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665" yWindow="375" windowWidth="14310" windowHeight="12750" tabRatio="829" firstSheet="3" activeTab="3"/>
  </bookViews>
  <sheets>
    <sheet name="PPXLFunctions" sheetId="20" state="veryHidden" r:id="rId1"/>
    <sheet name="PPXLSaveData0" sheetId="22" state="veryHidden" r:id="rId2"/>
    <sheet name="PPXLOpen" sheetId="23" state="veryHidden" r:id="rId3"/>
    <sheet name="Lead E" sheetId="159" r:id="rId4"/>
    <sheet name="TY Reg Assets RB" sheetId="160" r:id="rId5"/>
    <sheet name="RB-IS by FERC" sheetId="162" r:id="rId6"/>
    <sheet name="Electron Deferral" sheetId="156" r:id="rId7"/>
    <sheet name="T-Grant Snoq Deferral" sheetId="147" r:id="rId8"/>
    <sheet name="T-Grant Baker Deferral" sheetId="148" r:id="rId9"/>
    <sheet name="LSR Prepaid Principal" sheetId="113" r:id="rId10"/>
    <sheet name="Colstrip 1&amp;2 Prepaid" sheetId="91" r:id="rId11"/>
    <sheet name="Chelan PUD" sheetId="110" r:id="rId12"/>
    <sheet name="LSR Prepaid BPA interest" sheetId="112" r:id="rId13"/>
    <sheet name="LSR Prepaid carrying charges " sheetId="114" r:id="rId14"/>
    <sheet name="BNP" sheetId="78" r:id="rId15"/>
    <sheet name="Ferndale" sheetId="134" r:id="rId16"/>
    <sheet name="Snoq" sheetId="135" r:id="rId17"/>
    <sheet name="Mint Farm Def" sheetId="95" r:id="rId18"/>
    <sheet name="Baker" sheetId="133" r:id="rId19"/>
    <sheet name="BEP 2006 GRC" sheetId="55" r:id="rId20"/>
    <sheet name="FB Energy" sheetId="77" r:id="rId21"/>
    <sheet name="LSR Deferral 4yrs" sheetId="121" r:id="rId22"/>
    <sheet name="LSR Prepaid Bill Credits" sheetId="111" r:id="rId23"/>
    <sheet name="$89M Chelan PUD" sheetId="88" r:id="rId24"/>
    <sheet name="$18.5M Chelan" sheetId="93" r:id="rId25"/>
    <sheet name="FERC PART 12 STUDY (Baker)" sheetId="104" r:id="rId26"/>
    <sheet name="BPA Statement" sheetId="163" r:id="rId27"/>
  </sheets>
  <externalReferences>
    <externalReference r:id="rId28"/>
  </externalReferences>
  <definedNames>
    <definedName name="_________________ex1" localSheetId="26" hidden="1">{#N/A,#N/A,FALSE,"Summ";#N/A,#N/A,FALSE,"General"}</definedName>
    <definedName name="_________________ex1" localSheetId="6" hidden="1">{#N/A,#N/A,FALSE,"Summ";#N/A,#N/A,FALSE,"General"}</definedName>
    <definedName name="_________________ex1" localSheetId="4" hidden="1">{#N/A,#N/A,FALSE,"Summ";#N/A,#N/A,FALSE,"General"}</definedName>
    <definedName name="_________________ex1" hidden="1">{#N/A,#N/A,FALSE,"Summ";#N/A,#N/A,FALSE,"General"}</definedName>
    <definedName name="_________________new1" localSheetId="26" hidden="1">{#N/A,#N/A,FALSE,"Summ";#N/A,#N/A,FALSE,"General"}</definedName>
    <definedName name="_________________new1" localSheetId="6" hidden="1">{#N/A,#N/A,FALSE,"Summ";#N/A,#N/A,FALSE,"General"}</definedName>
    <definedName name="_________________new1" localSheetId="4" hidden="1">{#N/A,#N/A,FALSE,"Summ";#N/A,#N/A,FALSE,"General"}</definedName>
    <definedName name="_________________new1" hidden="1">{#N/A,#N/A,FALSE,"Summ";#N/A,#N/A,FALSE,"General"}</definedName>
    <definedName name="_________________six6" localSheetId="26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26" hidden="1">{#N/A,#N/A,FALSE,"Summ";#N/A,#N/A,FALSE,"General"}</definedName>
    <definedName name="________________ex1" localSheetId="4" hidden="1">{#N/A,#N/A,FALSE,"Summ";#N/A,#N/A,FALSE,"General"}</definedName>
    <definedName name="________________ex1" hidden="1">{#N/A,#N/A,FALSE,"Summ";#N/A,#N/A,FALSE,"General"}</definedName>
    <definedName name="________________new1" localSheetId="26" hidden="1">{#N/A,#N/A,FALSE,"Summ";#N/A,#N/A,FALSE,"General"}</definedName>
    <definedName name="________________new1" localSheetId="4" hidden="1">{#N/A,#N/A,FALSE,"Summ";#N/A,#N/A,FALSE,"General"}</definedName>
    <definedName name="________________new1" hidden="1">{#N/A,#N/A,FALSE,"Summ";#N/A,#N/A,FALSE,"General"}</definedName>
    <definedName name="________________six6" localSheetId="26" hidden="1">{#N/A,#N/A,FALSE,"CRPT";#N/A,#N/A,FALSE,"TREND";#N/A,#N/A,FALSE,"%Curve"}</definedName>
    <definedName name="________________six6" localSheetId="4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26" hidden="1">{#N/A,#N/A,FALSE,"Summ";#N/A,#N/A,FALSE,"General"}</definedName>
    <definedName name="_______________ex1" localSheetId="6" hidden="1">{#N/A,#N/A,FALSE,"Summ";#N/A,#N/A,FALSE,"General"}</definedName>
    <definedName name="_______________ex1" localSheetId="4" hidden="1">{#N/A,#N/A,FALSE,"Summ";#N/A,#N/A,FALSE,"General"}</definedName>
    <definedName name="_______________ex1" hidden="1">{#N/A,#N/A,FALSE,"Summ";#N/A,#N/A,FALSE,"General"}</definedName>
    <definedName name="_______________new1" localSheetId="26" hidden="1">{#N/A,#N/A,FALSE,"Summ";#N/A,#N/A,FALSE,"General"}</definedName>
    <definedName name="_______________new1" localSheetId="6" hidden="1">{#N/A,#N/A,FALSE,"Summ";#N/A,#N/A,FALSE,"General"}</definedName>
    <definedName name="_______________new1" localSheetId="4" hidden="1">{#N/A,#N/A,FALSE,"Summ";#N/A,#N/A,FALSE,"General"}</definedName>
    <definedName name="_______________new1" hidden="1">{#N/A,#N/A,FALSE,"Summ";#N/A,#N/A,FALSE,"General"}</definedName>
    <definedName name="_______________six6" localSheetId="26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26" hidden="1">{#N/A,#N/A,FALSE,"Summ";#N/A,#N/A,FALSE,"General"}</definedName>
    <definedName name="______________ex1" localSheetId="6" hidden="1">{#N/A,#N/A,FALSE,"Summ";#N/A,#N/A,FALSE,"General"}</definedName>
    <definedName name="______________ex1" localSheetId="4" hidden="1">{#N/A,#N/A,FALSE,"Summ";#N/A,#N/A,FALSE,"General"}</definedName>
    <definedName name="______________ex1" hidden="1">{#N/A,#N/A,FALSE,"Summ";#N/A,#N/A,FALSE,"General"}</definedName>
    <definedName name="______________new1" localSheetId="26" hidden="1">{#N/A,#N/A,FALSE,"Summ";#N/A,#N/A,FALSE,"General"}</definedName>
    <definedName name="______________new1" localSheetId="6" hidden="1">{#N/A,#N/A,FALSE,"Summ";#N/A,#N/A,FALSE,"General"}</definedName>
    <definedName name="______________new1" localSheetId="4" hidden="1">{#N/A,#N/A,FALSE,"Summ";#N/A,#N/A,FALSE,"General"}</definedName>
    <definedName name="______________new1" hidden="1">{#N/A,#N/A,FALSE,"Summ";#N/A,#N/A,FALSE,"General"}</definedName>
    <definedName name="______________six6" localSheetId="26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26" hidden="1">{#N/A,#N/A,FALSE,"Summ";#N/A,#N/A,FALSE,"General"}</definedName>
    <definedName name="_____________ex1" localSheetId="6" hidden="1">{#N/A,#N/A,FALSE,"Summ";#N/A,#N/A,FALSE,"General"}</definedName>
    <definedName name="_____________ex1" localSheetId="4" hidden="1">{#N/A,#N/A,FALSE,"Summ";#N/A,#N/A,FALSE,"General"}</definedName>
    <definedName name="_____________ex1" hidden="1">{#N/A,#N/A,FALSE,"Summ";#N/A,#N/A,FALSE,"General"}</definedName>
    <definedName name="_____________new1" localSheetId="26" hidden="1">{#N/A,#N/A,FALSE,"Summ";#N/A,#N/A,FALSE,"General"}</definedName>
    <definedName name="_____________new1" localSheetId="6" hidden="1">{#N/A,#N/A,FALSE,"Summ";#N/A,#N/A,FALSE,"General"}</definedName>
    <definedName name="_____________new1" localSheetId="4" hidden="1">{#N/A,#N/A,FALSE,"Summ";#N/A,#N/A,FALSE,"General"}</definedName>
    <definedName name="_____________new1" hidden="1">{#N/A,#N/A,FALSE,"Summ";#N/A,#N/A,FALSE,"General"}</definedName>
    <definedName name="_____________six6" localSheetId="26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26" hidden="1">{#N/A,#N/A,FALSE,"Summ";#N/A,#N/A,FALSE,"General"}</definedName>
    <definedName name="____________ex1" localSheetId="6" hidden="1">{#N/A,#N/A,FALSE,"Summ";#N/A,#N/A,FALSE,"General"}</definedName>
    <definedName name="____________ex1" localSheetId="4" hidden="1">{#N/A,#N/A,FALSE,"Summ";#N/A,#N/A,FALSE,"General"}</definedName>
    <definedName name="____________ex1" hidden="1">{#N/A,#N/A,FALSE,"Summ";#N/A,#N/A,FALSE,"General"}</definedName>
    <definedName name="____________new1" localSheetId="26" hidden="1">{#N/A,#N/A,FALSE,"Summ";#N/A,#N/A,FALSE,"General"}</definedName>
    <definedName name="____________new1" localSheetId="6" hidden="1">{#N/A,#N/A,FALSE,"Summ";#N/A,#N/A,FALSE,"General"}</definedName>
    <definedName name="____________new1" localSheetId="4" hidden="1">{#N/A,#N/A,FALSE,"Summ";#N/A,#N/A,FALSE,"General"}</definedName>
    <definedName name="____________new1" hidden="1">{#N/A,#N/A,FALSE,"Summ";#N/A,#N/A,FALSE,"General"}</definedName>
    <definedName name="____________six6" localSheetId="26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26" hidden="1">{#N/A,#N/A,FALSE,"Summ";#N/A,#N/A,FALSE,"General"}</definedName>
    <definedName name="___________ex1" localSheetId="6" hidden="1">{#N/A,#N/A,FALSE,"Summ";#N/A,#N/A,FALSE,"General"}</definedName>
    <definedName name="___________ex1" localSheetId="4" hidden="1">{#N/A,#N/A,FALSE,"Summ";#N/A,#N/A,FALSE,"General"}</definedName>
    <definedName name="___________ex1" hidden="1">{#N/A,#N/A,FALSE,"Summ";#N/A,#N/A,FALSE,"General"}</definedName>
    <definedName name="___________new1" localSheetId="26" hidden="1">{#N/A,#N/A,FALSE,"Summ";#N/A,#N/A,FALSE,"General"}</definedName>
    <definedName name="___________new1" localSheetId="6" hidden="1">{#N/A,#N/A,FALSE,"Summ";#N/A,#N/A,FALSE,"General"}</definedName>
    <definedName name="___________new1" localSheetId="4" hidden="1">{#N/A,#N/A,FALSE,"Summ";#N/A,#N/A,FALSE,"General"}</definedName>
    <definedName name="___________new1" hidden="1">{#N/A,#N/A,FALSE,"Summ";#N/A,#N/A,FALSE,"General"}</definedName>
    <definedName name="___________six6" localSheetId="26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26" hidden="1">{#N/A,#N/A,FALSE,"Summ";#N/A,#N/A,FALSE,"General"}</definedName>
    <definedName name="__________ex1" localSheetId="6" hidden="1">{#N/A,#N/A,FALSE,"Summ";#N/A,#N/A,FALSE,"General"}</definedName>
    <definedName name="__________ex1" localSheetId="4" hidden="1">{#N/A,#N/A,FALSE,"Summ";#N/A,#N/A,FALSE,"General"}</definedName>
    <definedName name="__________ex1" hidden="1">{#N/A,#N/A,FALSE,"Summ";#N/A,#N/A,FALSE,"General"}</definedName>
    <definedName name="__________new1" localSheetId="26" hidden="1">{#N/A,#N/A,FALSE,"Summ";#N/A,#N/A,FALSE,"General"}</definedName>
    <definedName name="__________new1" localSheetId="6" hidden="1">{#N/A,#N/A,FALSE,"Summ";#N/A,#N/A,FALSE,"General"}</definedName>
    <definedName name="__________new1" localSheetId="4" hidden="1">{#N/A,#N/A,FALSE,"Summ";#N/A,#N/A,FALSE,"General"}</definedName>
    <definedName name="__________new1" hidden="1">{#N/A,#N/A,FALSE,"Summ";#N/A,#N/A,FALSE,"General"}</definedName>
    <definedName name="__________six6" localSheetId="26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26" hidden="1">{#N/A,#N/A,FALSE,"Summ";#N/A,#N/A,FALSE,"General"}</definedName>
    <definedName name="_________ex1" localSheetId="6" hidden="1">{#N/A,#N/A,FALSE,"Summ";#N/A,#N/A,FALSE,"General"}</definedName>
    <definedName name="_________ex1" localSheetId="4" hidden="1">{#N/A,#N/A,FALSE,"Summ";#N/A,#N/A,FALSE,"General"}</definedName>
    <definedName name="_________ex1" hidden="1">{#N/A,#N/A,FALSE,"Summ";#N/A,#N/A,FALSE,"General"}</definedName>
    <definedName name="_________new1" localSheetId="26" hidden="1">{#N/A,#N/A,FALSE,"Summ";#N/A,#N/A,FALSE,"General"}</definedName>
    <definedName name="_________new1" localSheetId="6" hidden="1">{#N/A,#N/A,FALSE,"Summ";#N/A,#N/A,FALSE,"General"}</definedName>
    <definedName name="_________new1" localSheetId="4" hidden="1">{#N/A,#N/A,FALSE,"Summ";#N/A,#N/A,FALSE,"General"}</definedName>
    <definedName name="_________new1" hidden="1">{#N/A,#N/A,FALSE,"Summ";#N/A,#N/A,FALSE,"General"}</definedName>
    <definedName name="_________six6" localSheetId="26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26" hidden="1">{#N/A,#N/A,FALSE,"Summ";#N/A,#N/A,FALSE,"General"}</definedName>
    <definedName name="________ex1" localSheetId="6" hidden="1">{#N/A,#N/A,FALSE,"Summ";#N/A,#N/A,FALSE,"General"}</definedName>
    <definedName name="________ex1" localSheetId="4" hidden="1">{#N/A,#N/A,FALSE,"Summ";#N/A,#N/A,FALSE,"General"}</definedName>
    <definedName name="________ex1" hidden="1">{#N/A,#N/A,FALSE,"Summ";#N/A,#N/A,FALSE,"General"}</definedName>
    <definedName name="________new1" localSheetId="26" hidden="1">{#N/A,#N/A,FALSE,"Summ";#N/A,#N/A,FALSE,"General"}</definedName>
    <definedName name="________new1" localSheetId="6" hidden="1">{#N/A,#N/A,FALSE,"Summ";#N/A,#N/A,FALSE,"General"}</definedName>
    <definedName name="________new1" localSheetId="4" hidden="1">{#N/A,#N/A,FALSE,"Summ";#N/A,#N/A,FALSE,"General"}</definedName>
    <definedName name="________new1" hidden="1">{#N/A,#N/A,FALSE,"Summ";#N/A,#N/A,FALSE,"General"}</definedName>
    <definedName name="________six6" localSheetId="26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6" hidden="1">{#N/A,#N/A,FALSE,"Summ";#N/A,#N/A,FALSE,"General"}</definedName>
    <definedName name="_______ex1" localSheetId="6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26" hidden="1">{#N/A,#N/A,FALSE,"Summ";#N/A,#N/A,FALSE,"General"}</definedName>
    <definedName name="_______new1" localSheetId="6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six6" localSheetId="26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6" hidden="1">{#N/A,#N/A,FALSE,"schA"}</definedName>
    <definedName name="_______www1" localSheetId="4" hidden="1">{#N/A,#N/A,FALSE,"schA"}</definedName>
    <definedName name="_______www1" hidden="1">{#N/A,#N/A,FALSE,"schA"}</definedName>
    <definedName name="______ex1" localSheetId="26" hidden="1">{#N/A,#N/A,FALSE,"Summ";#N/A,#N/A,FALSE,"General"}</definedName>
    <definedName name="______ex1" localSheetId="6" hidden="1">{#N/A,#N/A,FALSE,"Summ";#N/A,#N/A,FALSE,"General"}</definedName>
    <definedName name="______ex1" localSheetId="4" hidden="1">{#N/A,#N/A,FALSE,"Summ";#N/A,#N/A,FALSE,"General"}</definedName>
    <definedName name="______ex1" hidden="1">{#N/A,#N/A,FALSE,"Summ";#N/A,#N/A,FALSE,"General"}</definedName>
    <definedName name="______new1" localSheetId="26" hidden="1">{#N/A,#N/A,FALSE,"Summ";#N/A,#N/A,FALSE,"General"}</definedName>
    <definedName name="______new1" localSheetId="6" hidden="1">{#N/A,#N/A,FALSE,"Summ";#N/A,#N/A,FALSE,"General"}</definedName>
    <definedName name="______new1" localSheetId="4" hidden="1">{#N/A,#N/A,FALSE,"Summ";#N/A,#N/A,FALSE,"General"}</definedName>
    <definedName name="______new1" hidden="1">{#N/A,#N/A,FALSE,"Summ";#N/A,#N/A,FALSE,"General"}</definedName>
    <definedName name="______six6" localSheetId="26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6" hidden="1">{#N/A,#N/A,FALSE,"schA"}</definedName>
    <definedName name="______www1" localSheetId="6" hidden="1">{#N/A,#N/A,FALSE,"schA"}</definedName>
    <definedName name="______www1" localSheetId="4" hidden="1">{#N/A,#N/A,FALSE,"schA"}</definedName>
    <definedName name="______www1" hidden="1">{#N/A,#N/A,FALSE,"schA"}</definedName>
    <definedName name="_____ex1" localSheetId="26" hidden="1">{#N/A,#N/A,FALSE,"Summ";#N/A,#N/A,FALSE,"General"}</definedName>
    <definedName name="_____ex1" localSheetId="6" hidden="1">{#N/A,#N/A,FALSE,"Summ";#N/A,#N/A,FALSE,"General"}</definedName>
    <definedName name="_____ex1" localSheetId="8" hidden="1">{#N/A,#N/A,FALSE,"Summ";#N/A,#N/A,FALSE,"General"}</definedName>
    <definedName name="_____ex1" localSheetId="7" hidden="1">{#N/A,#N/A,FALSE,"Summ";#N/A,#N/A,FALSE,"General"}</definedName>
    <definedName name="_____ex1" localSheetId="4" hidden="1">{#N/A,#N/A,FALSE,"Summ";#N/A,#N/A,FALSE,"General"}</definedName>
    <definedName name="_____ex1" hidden="1">{#N/A,#N/A,FALSE,"Summ";#N/A,#N/A,FALSE,"General"}</definedName>
    <definedName name="_____new1" localSheetId="26" hidden="1">{#N/A,#N/A,FALSE,"Summ";#N/A,#N/A,FALSE,"General"}</definedName>
    <definedName name="_____new1" localSheetId="6" hidden="1">{#N/A,#N/A,FALSE,"Summ";#N/A,#N/A,FALSE,"General"}</definedName>
    <definedName name="_____new1" localSheetId="8" hidden="1">{#N/A,#N/A,FALSE,"Summ";#N/A,#N/A,FALSE,"General"}</definedName>
    <definedName name="_____new1" localSheetId="7" hidden="1">{#N/A,#N/A,FALSE,"Summ";#N/A,#N/A,FALSE,"General"}</definedName>
    <definedName name="_____new1" localSheetId="4" hidden="1">{#N/A,#N/A,FALSE,"Summ";#N/A,#N/A,FALSE,"General"}</definedName>
    <definedName name="_____new1" hidden="1">{#N/A,#N/A,FALSE,"Summ";#N/A,#N/A,FALSE,"General"}</definedName>
    <definedName name="_____six6" localSheetId="26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6" hidden="1">{#N/A,#N/A,FALSE,"schA"}</definedName>
    <definedName name="_____www1" localSheetId="6" hidden="1">{#N/A,#N/A,FALSE,"schA"}</definedName>
    <definedName name="_____www1" localSheetId="8" hidden="1">{#N/A,#N/A,FALSE,"schA"}</definedName>
    <definedName name="_____www1" localSheetId="7" hidden="1">{#N/A,#N/A,FALSE,"schA"}</definedName>
    <definedName name="_____www1" localSheetId="4" hidden="1">{#N/A,#N/A,FALSE,"schA"}</definedName>
    <definedName name="_____www1" hidden="1">{#N/A,#N/A,FALSE,"schA"}</definedName>
    <definedName name="____ex1" localSheetId="26" hidden="1">{#N/A,#N/A,FALSE,"Summ";#N/A,#N/A,FALSE,"General"}</definedName>
    <definedName name="____ex1" localSheetId="6" hidden="1">{#N/A,#N/A,FALSE,"Summ";#N/A,#N/A,FALSE,"General"}</definedName>
    <definedName name="____ex1" localSheetId="8" hidden="1">{#N/A,#N/A,FALSE,"Summ";#N/A,#N/A,FALSE,"General"}</definedName>
    <definedName name="____ex1" localSheetId="7" hidden="1">{#N/A,#N/A,FALSE,"Summ";#N/A,#N/A,FALSE,"General"}</definedName>
    <definedName name="____ex1" localSheetId="4" hidden="1">{#N/A,#N/A,FALSE,"Summ";#N/A,#N/A,FALSE,"General"}</definedName>
    <definedName name="____ex1" hidden="1">{#N/A,#N/A,FALSE,"Summ";#N/A,#N/A,FALSE,"General"}</definedName>
    <definedName name="____new1" localSheetId="26" hidden="1">{#N/A,#N/A,FALSE,"Summ";#N/A,#N/A,FALSE,"General"}</definedName>
    <definedName name="____new1" localSheetId="6" hidden="1">{#N/A,#N/A,FALSE,"Summ";#N/A,#N/A,FALSE,"General"}</definedName>
    <definedName name="____new1" localSheetId="8" hidden="1">{#N/A,#N/A,FALSE,"Summ";#N/A,#N/A,FALSE,"General"}</definedName>
    <definedName name="____new1" localSheetId="7" hidden="1">{#N/A,#N/A,FALSE,"Summ";#N/A,#N/A,FALSE,"General"}</definedName>
    <definedName name="____new1" localSheetId="4" hidden="1">{#N/A,#N/A,FALSE,"Summ";#N/A,#N/A,FALSE,"General"}</definedName>
    <definedName name="____new1" hidden="1">{#N/A,#N/A,FALSE,"Summ";#N/A,#N/A,FALSE,"General"}</definedName>
    <definedName name="____six6" localSheetId="26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6" hidden="1">{#N/A,#N/A,FALSE,"schA"}</definedName>
    <definedName name="____www1" localSheetId="6" hidden="1">{#N/A,#N/A,FALSE,"schA"}</definedName>
    <definedName name="____www1" localSheetId="21" hidden="1">{#N/A,#N/A,FALSE,"schA"}</definedName>
    <definedName name="____www1" localSheetId="8" hidden="1">{#N/A,#N/A,FALSE,"schA"}</definedName>
    <definedName name="____www1" localSheetId="7" hidden="1">{#N/A,#N/A,FALSE,"schA"}</definedName>
    <definedName name="____www1" localSheetId="4" hidden="1">{#N/A,#N/A,FALSE,"schA"}</definedName>
    <definedName name="____www1" hidden="1">{#N/A,#N/A,FALSE,"schA"}</definedName>
    <definedName name="___ex1" localSheetId="26" hidden="1">{#N/A,#N/A,FALSE,"Summ";#N/A,#N/A,FALSE,"General"}</definedName>
    <definedName name="___ex1" localSheetId="6" hidden="1">{#N/A,#N/A,FALSE,"Summ";#N/A,#N/A,FALSE,"General"}</definedName>
    <definedName name="___ex1" localSheetId="21" hidden="1">{#N/A,#N/A,FALSE,"Summ";#N/A,#N/A,FALSE,"General"}</definedName>
    <definedName name="___ex1" localSheetId="8" hidden="1">{#N/A,#N/A,FALSE,"Summ";#N/A,#N/A,FALSE,"General"}</definedName>
    <definedName name="___ex1" localSheetId="7" hidden="1">{#N/A,#N/A,FALSE,"Summ";#N/A,#N/A,FALSE,"General"}</definedName>
    <definedName name="___ex1" localSheetId="4" hidden="1">{#N/A,#N/A,FALSE,"Summ";#N/A,#N/A,FALSE,"General"}</definedName>
    <definedName name="___ex1" hidden="1">{#N/A,#N/A,FALSE,"Summ";#N/A,#N/A,FALSE,"General"}</definedName>
    <definedName name="___new1" localSheetId="26" hidden="1">{#N/A,#N/A,FALSE,"Summ";#N/A,#N/A,FALSE,"General"}</definedName>
    <definedName name="___new1" localSheetId="6" hidden="1">{#N/A,#N/A,FALSE,"Summ";#N/A,#N/A,FALSE,"General"}</definedName>
    <definedName name="___new1" localSheetId="21" hidden="1">{#N/A,#N/A,FALSE,"Summ";#N/A,#N/A,FALSE,"General"}</definedName>
    <definedName name="___new1" localSheetId="8" hidden="1">{#N/A,#N/A,FALSE,"Summ";#N/A,#N/A,FALSE,"General"}</definedName>
    <definedName name="___new1" localSheetId="7" hidden="1">{#N/A,#N/A,FALSE,"Summ";#N/A,#N/A,FALSE,"General"}</definedName>
    <definedName name="___new1" localSheetId="4" hidden="1">{#N/A,#N/A,FALSE,"Summ";#N/A,#N/A,FALSE,"General"}</definedName>
    <definedName name="___new1" hidden="1">{#N/A,#N/A,FALSE,"Summ";#N/A,#N/A,FALSE,"General"}</definedName>
    <definedName name="___six6" localSheetId="26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hidden="1">{#N/A,#N/A,FALSE,"CRPT";#N/A,#N/A,FALSE,"TREND";#N/A,#N/A,FALSE,"%Curve"}</definedName>
    <definedName name="___www1" localSheetId="26" hidden="1">{#N/A,#N/A,FALSE,"schA"}</definedName>
    <definedName name="___www1" localSheetId="6" hidden="1">{#N/A,#N/A,FALSE,"schA"}</definedName>
    <definedName name="___www1" localSheetId="21" hidden="1">{#N/A,#N/A,FALSE,"schA"}</definedName>
    <definedName name="___www1" localSheetId="8" hidden="1">{#N/A,#N/A,FALSE,"schA"}</definedName>
    <definedName name="___www1" localSheetId="7" hidden="1">{#N/A,#N/A,FALSE,"schA"}</definedName>
    <definedName name="___www1" localSheetId="4" hidden="1">{#N/A,#N/A,FALSE,"schA"}</definedName>
    <definedName name="___www1" hidden="1">{#N/A,#N/A,FALSE,"schA"}</definedName>
    <definedName name="__123Graph_D" localSheetId="21" hidden="1">#REF!</definedName>
    <definedName name="__123Graph_D" localSheetId="4" hidden="1">#REF!</definedName>
    <definedName name="__123Graph_ECURRENT" localSheetId="23" hidden="1">[1]ConsolidatingPL!#REF!</definedName>
    <definedName name="__123Graph_ECURRENT" localSheetId="14" hidden="1">[1]ConsolidatingPL!#REF!</definedName>
    <definedName name="__123Graph_ECURRENT" localSheetId="11" hidden="1">[1]ConsolidatingPL!#REF!</definedName>
    <definedName name="__123Graph_ECURRENT" localSheetId="10" hidden="1">#N/A</definedName>
    <definedName name="__123Graph_ECURRENT" localSheetId="6" hidden="1">#N/A</definedName>
    <definedName name="__123Graph_ECURRENT" localSheetId="25" hidden="1">#N/A</definedName>
    <definedName name="__123Graph_ECURRENT" localSheetId="3" hidden="1">[1]ConsolidatingPL!#REF!</definedName>
    <definedName name="__123Graph_ECURRENT" localSheetId="21" hidden="1">#N/A</definedName>
    <definedName name="__123Graph_ECURRENT" localSheetId="13" hidden="1">#N/A</definedName>
    <definedName name="__123Graph_ECURRENT" localSheetId="17" hidden="1">[1]ConsolidatingPL!#REF!</definedName>
    <definedName name="__123Graph_ECURRENT" localSheetId="8" hidden="1">#N/A</definedName>
    <definedName name="__123Graph_ECURRENT" localSheetId="7" hidden="1">#N/A</definedName>
    <definedName name="__ex1" localSheetId="26" hidden="1">{#N/A,#N/A,FALSE,"Summ";#N/A,#N/A,FALSE,"General"}</definedName>
    <definedName name="__ex1" localSheetId="6" hidden="1">{#N/A,#N/A,FALSE,"Summ";#N/A,#N/A,FALSE,"General"}</definedName>
    <definedName name="__ex1" localSheetId="21" hidden="1">{#N/A,#N/A,FALSE,"Summ";#N/A,#N/A,FALSE,"General"}</definedName>
    <definedName name="__ex1" localSheetId="8" hidden="1">{#N/A,#N/A,FALSE,"Summ";#N/A,#N/A,FALSE,"General"}</definedName>
    <definedName name="__ex1" localSheetId="7" hidden="1">{#N/A,#N/A,FALSE,"Summ";#N/A,#N/A,FALSE,"General"}</definedName>
    <definedName name="__ex1" localSheetId="4" hidden="1">{#N/A,#N/A,FALSE,"Summ";#N/A,#N/A,FALSE,"General"}</definedName>
    <definedName name="__ex1" hidden="1">{#N/A,#N/A,FALSE,"Summ";#N/A,#N/A,FALSE,"General"}</definedName>
    <definedName name="__new1" localSheetId="26" hidden="1">{#N/A,#N/A,FALSE,"Summ";#N/A,#N/A,FALSE,"General"}</definedName>
    <definedName name="__new1" localSheetId="6" hidden="1">{#N/A,#N/A,FALSE,"Summ";#N/A,#N/A,FALSE,"General"}</definedName>
    <definedName name="__new1" localSheetId="21" hidden="1">{#N/A,#N/A,FALSE,"Summ";#N/A,#N/A,FALSE,"General"}</definedName>
    <definedName name="__new1" localSheetId="8" hidden="1">{#N/A,#N/A,FALSE,"Summ";#N/A,#N/A,FALSE,"General"}</definedName>
    <definedName name="__new1" localSheetId="7" hidden="1">{#N/A,#N/A,FALSE,"Summ";#N/A,#N/A,FALSE,"General"}</definedName>
    <definedName name="__new1" localSheetId="4" hidden="1">{#N/A,#N/A,FALSE,"Summ";#N/A,#N/A,FALSE,"General"}</definedName>
    <definedName name="__new1" hidden="1">{#N/A,#N/A,FALSE,"Summ";#N/A,#N/A,FALSE,"General"}</definedName>
    <definedName name="__six6" localSheetId="26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4" hidden="1">{#N/A,#N/A,FALSE,"CRPT";#N/A,#N/A,FALSE,"TREND";#N/A,#N/A,FALSE,"%Curve"}</definedName>
    <definedName name="__six6" hidden="1">{#N/A,#N/A,FALSE,"CRPT";#N/A,#N/A,FALSE,"TREND";#N/A,#N/A,FALSE,"%Curve"}</definedName>
    <definedName name="__www1" localSheetId="26" hidden="1">{#N/A,#N/A,FALSE,"schA"}</definedName>
    <definedName name="__www1" localSheetId="11" hidden="1">{#N/A,#N/A,FALSE,"schA"}</definedName>
    <definedName name="__www1" localSheetId="6" hidden="1">{#N/A,#N/A,FALSE,"schA"}</definedName>
    <definedName name="__www1" localSheetId="3" hidden="1">{#N/A,#N/A,FALSE,"schA"}</definedName>
    <definedName name="__www1" localSheetId="21" hidden="1">{#N/A,#N/A,FALSE,"schA"}</definedName>
    <definedName name="__www1" localSheetId="13" hidden="1">{#N/A,#N/A,FALSE,"schA"}</definedName>
    <definedName name="__www1" localSheetId="8" hidden="1">{#N/A,#N/A,FALSE,"schA"}</definedName>
    <definedName name="__www1" localSheetId="7" hidden="1">{#N/A,#N/A,FALSE,"schA"}</definedName>
    <definedName name="__www1" localSheetId="4" hidden="1">{#N/A,#N/A,FALSE,"schA"}</definedName>
    <definedName name="__www1" hidden="1">{#N/A,#N/A,FALSE,"schA"}</definedName>
    <definedName name="_ex1" localSheetId="26" hidden="1">{#N/A,#N/A,FALSE,"Summ";#N/A,#N/A,FALSE,"General"}</definedName>
    <definedName name="_ex1" localSheetId="11" hidden="1">{#N/A,#N/A,FALSE,"Summ";#N/A,#N/A,FALSE,"General"}</definedName>
    <definedName name="_ex1" localSheetId="6" hidden="1">{#N/A,#N/A,FALSE,"Summ";#N/A,#N/A,FALSE,"General"}</definedName>
    <definedName name="_ex1" localSheetId="3" hidden="1">{#N/A,#N/A,FALSE,"Summ";#N/A,#N/A,FALSE,"General"}</definedName>
    <definedName name="_ex1" localSheetId="21" hidden="1">{#N/A,#N/A,FALSE,"Summ";#N/A,#N/A,FALSE,"General"}</definedName>
    <definedName name="_ex1" localSheetId="13" hidden="1">{#N/A,#N/A,FALSE,"Summ";#N/A,#N/A,FALSE,"General"}</definedName>
    <definedName name="_ex1" localSheetId="8" hidden="1">{#N/A,#N/A,FALSE,"Summ";#N/A,#N/A,FALSE,"General"}</definedName>
    <definedName name="_ex1" localSheetId="7" hidden="1">{#N/A,#N/A,FALSE,"Summ";#N/A,#N/A,FALSE,"General"}</definedName>
    <definedName name="_ex1" localSheetId="4" hidden="1">{#N/A,#N/A,FALSE,"Summ";#N/A,#N/A,FALSE,"General"}</definedName>
    <definedName name="_ex1" hidden="1">{#N/A,#N/A,FALSE,"Summ";#N/A,#N/A,FALSE,"General"}</definedName>
    <definedName name="_Fill" localSheetId="14" hidden="1">#REF!</definedName>
    <definedName name="_Fill" localSheetId="10" hidden="1">#REF!</definedName>
    <definedName name="_Fill" localSheetId="6" hidden="1">#REF!</definedName>
    <definedName name="_Fill" localSheetId="25" hidden="1">#REF!</definedName>
    <definedName name="_Fill" localSheetId="3" hidden="1">#REF!</definedName>
    <definedName name="_Fill" localSheetId="21" hidden="1">#REF!</definedName>
    <definedName name="_Fill" localSheetId="13" hidden="1">#REF!</definedName>
    <definedName name="_Fill" localSheetId="8" hidden="1">#REF!</definedName>
    <definedName name="_Fill" localSheetId="7" hidden="1">#REF!</definedName>
    <definedName name="_Fill" localSheetId="4" hidden="1">#REF!</definedName>
    <definedName name="_Key1" localSheetId="21" hidden="1">#REF!</definedName>
    <definedName name="_Key1" localSheetId="4" hidden="1">#REF!</definedName>
    <definedName name="_Key2" localSheetId="21" hidden="1">#REF!</definedName>
    <definedName name="_Key2" localSheetId="4" hidden="1">#REF!</definedName>
    <definedName name="_new1" localSheetId="26" hidden="1">{#N/A,#N/A,FALSE,"Summ";#N/A,#N/A,FALSE,"General"}</definedName>
    <definedName name="_new1" localSheetId="11" hidden="1">{#N/A,#N/A,FALSE,"Summ";#N/A,#N/A,FALSE,"General"}</definedName>
    <definedName name="_new1" localSheetId="6" hidden="1">{#N/A,#N/A,FALSE,"Summ";#N/A,#N/A,FALSE,"General"}</definedName>
    <definedName name="_new1" localSheetId="3" hidden="1">{#N/A,#N/A,FALSE,"Summ";#N/A,#N/A,FALSE,"General"}</definedName>
    <definedName name="_new1" localSheetId="21" hidden="1">{#N/A,#N/A,FALSE,"Summ";#N/A,#N/A,FALSE,"General"}</definedName>
    <definedName name="_new1" localSheetId="13" hidden="1">{#N/A,#N/A,FALSE,"Summ";#N/A,#N/A,FALSE,"General"}</definedName>
    <definedName name="_new1" localSheetId="8" hidden="1">{#N/A,#N/A,FALSE,"Summ";#N/A,#N/A,FALSE,"General"}</definedName>
    <definedName name="_new1" localSheetId="7" hidden="1">{#N/A,#N/A,FALSE,"Summ";#N/A,#N/A,FALSE,"General"}</definedName>
    <definedName name="_new1" localSheetId="4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egression_Int" hidden="1">1</definedName>
    <definedName name="_six6" localSheetId="23" hidden="1">{#N/A,#N/A,FALSE,"CRPT";#N/A,#N/A,FALSE,"TREND";#N/A,#N/A,FALSE,"%Curve"}</definedName>
    <definedName name="_six6" localSheetId="26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12" hidden="1">{#N/A,#N/A,FALSE,"CRPT";#N/A,#N/A,FALSE,"TREND";#N/A,#N/A,FALSE,"%Curve"}</definedName>
    <definedName name="_six6" localSheetId="13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4" hidden="1">{#N/A,#N/A,FALSE,"CRPT";#N/A,#N/A,FALSE,"TREND";#N/A,#N/A,FALSE,"%Curve"}</definedName>
    <definedName name="_six6" hidden="1">{#N/A,#N/A,FALSE,"CRPT";#N/A,#N/A,FALSE,"TREND";#N/A,#N/A,FALSE,"%Curve"}</definedName>
    <definedName name="_Sort" localSheetId="21" hidden="1">#REF!</definedName>
    <definedName name="_Sort" localSheetId="4" hidden="1">#REF!</definedName>
    <definedName name="_www1" localSheetId="26" hidden="1">{#N/A,#N/A,FALSE,"schA"}</definedName>
    <definedName name="_www1" localSheetId="11" hidden="1">{#N/A,#N/A,FALSE,"schA"}</definedName>
    <definedName name="_www1" localSheetId="6" hidden="1">{#N/A,#N/A,FALSE,"schA"}</definedName>
    <definedName name="_www1" localSheetId="25" hidden="1">{#N/A,#N/A,FALSE,"schA"}</definedName>
    <definedName name="_www1" localSheetId="3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12" hidden="1">{#N/A,#N/A,FALSE,"schA"}</definedName>
    <definedName name="_www1" localSheetId="13" hidden="1">{#N/A,#N/A,FALSE,"schA"}</definedName>
    <definedName name="_www1" localSheetId="9" hidden="1">{#N/A,#N/A,FALSE,"schA"}</definedName>
    <definedName name="_www1" localSheetId="8" hidden="1">{#N/A,#N/A,FALSE,"schA"}</definedName>
    <definedName name="_www1" localSheetId="7" hidden="1">{#N/A,#N/A,FALSE,"schA"}</definedName>
    <definedName name="_www1" localSheetId="4" hidden="1">{#N/A,#N/A,FALSE,"schA"}</definedName>
    <definedName name="_www1" hidden="1">{#N/A,#N/A,FALSE,"schA"}</definedName>
    <definedName name="a" localSheetId="23" hidden="1">{#N/A,#N/A,FALSE,"Coversheet";#N/A,#N/A,FALSE,"QA"}</definedName>
    <definedName name="a" localSheetId="14" hidden="1">{#N/A,#N/A,FALSE,"Coversheet";#N/A,#N/A,FALSE,"QA"}</definedName>
    <definedName name="a" localSheetId="26" hidden="1">{#N/A,#N/A,FALSE,"Coversheet";#N/A,#N/A,FALSE,"QA"}</definedName>
    <definedName name="a" localSheetId="11" hidden="1">{#N/A,#N/A,FALSE,"Coversheet";#N/A,#N/A,FALSE,"QA"}</definedName>
    <definedName name="a" localSheetId="10" hidden="1">{#N/A,#N/A,FALSE,"Coversheet";#N/A,#N/A,FALSE,"QA"}</definedName>
    <definedName name="a" localSheetId="6" hidden="1">{#N/A,#N/A,FALSE,"Coversheet";#N/A,#N/A,FALSE,"QA"}</definedName>
    <definedName name="a" localSheetId="20" hidden="1">{#N/A,#N/A,FALSE,"Coversheet";#N/A,#N/A,FALSE,"QA"}</definedName>
    <definedName name="a" localSheetId="25" hidden="1">{#N/A,#N/A,FALSE,"Coversheet";#N/A,#N/A,FALSE,"QA"}</definedName>
    <definedName name="a" localSheetId="3" hidden="1">{#N/A,#N/A,FALSE,"Coversheet";#N/A,#N/A,FALSE,"QA"}</definedName>
    <definedName name="a" localSheetId="21" hidden="1">{#N/A,#N/A,FALSE,"Coversheet";#N/A,#N/A,FALSE,"QA"}</definedName>
    <definedName name="a" localSheetId="22" hidden="1">{#N/A,#N/A,FALSE,"Coversheet";#N/A,#N/A,FALSE,"QA"}</definedName>
    <definedName name="a" localSheetId="12" hidden="1">{#N/A,#N/A,FALSE,"Coversheet";#N/A,#N/A,FALSE,"QA"}</definedName>
    <definedName name="a" localSheetId="13" hidden="1">{#N/A,#N/A,FALSE,"Coversheet";#N/A,#N/A,FALSE,"QA"}</definedName>
    <definedName name="a" localSheetId="9" hidden="1">{#N/A,#N/A,FALSE,"Coversheet";#N/A,#N/A,FALSE,"QA"}</definedName>
    <definedName name="a" localSheetId="17" hidden="1">{#N/A,#N/A,FALSE,"Coversheet";#N/A,#N/A,FALSE,"QA"}</definedName>
    <definedName name="a" localSheetId="8" hidden="1">{#N/A,#N/A,FALSE,"Coversheet";#N/A,#N/A,FALSE,"QA"}</definedName>
    <definedName name="a" localSheetId="7" hidden="1">{#N/A,#N/A,FALSE,"Coversheet";#N/A,#N/A,FALSE,"QA"}</definedName>
    <definedName name="a" localSheetId="4" hidden="1">{#N/A,#N/A,FALSE,"Coversheet";#N/A,#N/A,FALSE,"QA"}</definedName>
    <definedName name="a" hidden="1">{#N/A,#N/A,FALSE,"Coversheet";#N/A,#N/A,FALSE,"QA"}</definedName>
    <definedName name="AAAAAAAAAAAAAA" localSheetId="26" hidden="1">{#N/A,#N/A,FALSE,"Coversheet";#N/A,#N/A,FALSE,"QA"}</definedName>
    <definedName name="AAAAAAAAAAAAAA" localSheetId="6" hidden="1">{#N/A,#N/A,FALSE,"Coversheet";#N/A,#N/A,FALSE,"QA"}</definedName>
    <definedName name="AAAAAAAAAAAAAA" localSheetId="8" hidden="1">{#N/A,#N/A,FALSE,"Coversheet";#N/A,#N/A,FALSE,"QA"}</definedName>
    <definedName name="AAAAAAAAAAAAAA" localSheetId="7" hidden="1">{#N/A,#N/A,FALSE,"Coversheet";#N/A,#N/A,FALSE,"QA"}</definedName>
    <definedName name="AAAAAAAAAAAAAA" localSheetId="4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3" hidden="1">{#N/A,#N/A,FALSE,"Coversheet";#N/A,#N/A,FALSE,"QA"}</definedName>
    <definedName name="b" localSheetId="19" hidden="1">{#N/A,#N/A,FALSE,"Coversheet";#N/A,#N/A,FALSE,"QA"}</definedName>
    <definedName name="b" localSheetId="14" hidden="1">{#N/A,#N/A,FALSE,"Coversheet";#N/A,#N/A,FALSE,"QA"}</definedName>
    <definedName name="b" localSheetId="11" hidden="1">{#N/A,#N/A,FALSE,"Coversheet";#N/A,#N/A,FALSE,"QA"}</definedName>
    <definedName name="b" localSheetId="10" hidden="1">{#N/A,#N/A,FALSE,"Coversheet";#N/A,#N/A,FALSE,"QA"}</definedName>
    <definedName name="b" localSheetId="6" hidden="1">{#N/A,#N/A,FALSE,"Coversheet";#N/A,#N/A,FALSE,"QA"}</definedName>
    <definedName name="b" localSheetId="20" hidden="1">{#N/A,#N/A,FALSE,"Coversheet";#N/A,#N/A,FALSE,"QA"}</definedName>
    <definedName name="b" localSheetId="25" hidden="1">{#N/A,#N/A,FALSE,"Coversheet";#N/A,#N/A,FALSE,"QA"}</definedName>
    <definedName name="b" localSheetId="3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localSheetId="9" hidden="1">{#N/A,#N/A,FALSE,"Coversheet";#N/A,#N/A,FALSE,"QA"}</definedName>
    <definedName name="b" localSheetId="17" hidden="1">{#N/A,#N/A,FALSE,"Coversheet";#N/A,#N/A,FALSE,"QA"}</definedName>
    <definedName name="b" localSheetId="8" hidden="1">{#N/A,#N/A,FALSE,"Coversheet";#N/A,#N/A,FALSE,"QA"}</definedName>
    <definedName name="b" localSheetId="7" hidden="1">{#N/A,#N/A,FALSE,"Coversheet";#N/A,#N/A,FALSE,"QA"}</definedName>
    <definedName name="b" localSheetId="4" hidden="1">{#N/A,#N/A,FALSE,"Coversheet";#N/A,#N/A,FALSE,"QA"}</definedName>
    <definedName name="BEx0017DGUEDPCFJUPUZOOLJCS2B" localSheetId="6" hidden="1">#REF!</definedName>
    <definedName name="BEx0017DGUEDPCFJUPUZOOLJCS2B" localSheetId="3" hidden="1">#REF!</definedName>
    <definedName name="BEx0017DGUEDPCFJUPUZOOLJCS2B" localSheetId="21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localSheetId="4" hidden="1">#REF!</definedName>
    <definedName name="BEx001CNWHJ5RULCSFM36ZCGJ1UH" localSheetId="6" hidden="1">#REF!</definedName>
    <definedName name="BEx001CNWHJ5RULCSFM36ZCGJ1UH" localSheetId="21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localSheetId="4" hidden="1">#REF!</definedName>
    <definedName name="BEx004791UAJIJSN57OT7YBLNP82" localSheetId="6" hidden="1">#REF!</definedName>
    <definedName name="BEx004791UAJIJSN57OT7YBLNP82" localSheetId="21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localSheetId="4" hidden="1">#REF!</definedName>
    <definedName name="BEx008P2NVFDLBHL7IZ5WTMVOQ1F" localSheetId="6" hidden="1">#REF!</definedName>
    <definedName name="BEx008P2NVFDLBHL7IZ5WTMVOQ1F" localSheetId="21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localSheetId="4" hidden="1">#REF!</definedName>
    <definedName name="BEx009G00IN0JUIAQ4WE9NHTMQE2" localSheetId="6" hidden="1">#REF!</definedName>
    <definedName name="BEx009G00IN0JUIAQ4WE9NHTMQE2" localSheetId="21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localSheetId="4" hidden="1">#REF!</definedName>
    <definedName name="BEx00DXTY2JDVGWQKV8H7FG4SV30" localSheetId="6" hidden="1">#REF!</definedName>
    <definedName name="BEx00DXTY2JDVGWQKV8H7FG4SV30" localSheetId="21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localSheetId="4" hidden="1">#REF!</definedName>
    <definedName name="BEx00GHLTYRH5N2S6P78YW1CD30N" localSheetId="6" hidden="1">#REF!</definedName>
    <definedName name="BEx00GHLTYRH5N2S6P78YW1CD30N" localSheetId="21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localSheetId="4" hidden="1">#REF!</definedName>
    <definedName name="BEx00JC31DY11L45SEU4B10BIN6W" localSheetId="6" hidden="1">#REF!</definedName>
    <definedName name="BEx00JC31DY11L45SEU4B10BIN6W" localSheetId="21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localSheetId="4" hidden="1">#REF!</definedName>
    <definedName name="BEx00KZHZBHP3TDV1YMX4B19B95O" localSheetId="6" hidden="1">#REF!</definedName>
    <definedName name="BEx00KZHZBHP3TDV1YMX4B19B95O" localSheetId="21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localSheetId="4" hidden="1">#REF!</definedName>
    <definedName name="BEx00P11V7HA4MS6XYY3P4BPVXML" localSheetId="6" hidden="1">#REF!</definedName>
    <definedName name="BEx00P11V7HA4MS6XYY3P4BPVXML" localSheetId="21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localSheetId="4" hidden="1">#REF!</definedName>
    <definedName name="BEx00PBV7V99V7M3LDYUTF31MUFJ" localSheetId="6" hidden="1">#REF!</definedName>
    <definedName name="BEx00PBV7V99V7M3LDYUTF31MUFJ" localSheetId="21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localSheetId="4" hidden="1">#REF!</definedName>
    <definedName name="BEx00SMIQJ55EVB7T24CORX0JWQO" localSheetId="6" hidden="1">#REF!</definedName>
    <definedName name="BEx00SMIQJ55EVB7T24CORX0JWQO" localSheetId="21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localSheetId="4" hidden="1">#REF!</definedName>
    <definedName name="BEx010V7DB7O7Z9NHSX27HZK4H76" localSheetId="6" hidden="1">#REF!</definedName>
    <definedName name="BEx010V7DB7O7Z9NHSX27HZK4H76" localSheetId="21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localSheetId="4" hidden="1">#REF!</definedName>
    <definedName name="BEx012IKS6YVHG9KTG2FAKRSMYLU" localSheetId="6" hidden="1">#REF!</definedName>
    <definedName name="BEx012IKS6YVHG9KTG2FAKRSMYLU" localSheetId="21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localSheetId="4" hidden="1">#REF!</definedName>
    <definedName name="BEx01HY6E3GJ66ABU5ABN26V6Q13" localSheetId="6" hidden="1">#REF!</definedName>
    <definedName name="BEx01HY6E3GJ66ABU5ABN26V6Q13" localSheetId="21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localSheetId="4" hidden="1">#REF!</definedName>
    <definedName name="BEx01PW5YQKEGAR8JDDI5OARYXDF" localSheetId="6" hidden="1">#REF!</definedName>
    <definedName name="BEx01PW5YQKEGAR8JDDI5OARYXDF" localSheetId="21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localSheetId="4" hidden="1">#REF!</definedName>
    <definedName name="BEx01QCB2ERCAYYOFDP3OQRWUU60" localSheetId="6" hidden="1">#REF!</definedName>
    <definedName name="BEx01QCB2ERCAYYOFDP3OQRWUU60" localSheetId="21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localSheetId="4" hidden="1">#REF!</definedName>
    <definedName name="BEx01U37NQSMTGJRU8EGTJORBJ6H" localSheetId="6" hidden="1">#REF!</definedName>
    <definedName name="BEx01U37NQSMTGJRU8EGTJORBJ6H" localSheetId="21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localSheetId="4" hidden="1">#REF!</definedName>
    <definedName name="BEx01XJ94SHJ1YQ7ORPW0RQGKI2H" localSheetId="6" hidden="1">#REF!</definedName>
    <definedName name="BEx01XJ94SHJ1YQ7ORPW0RQGKI2H" localSheetId="21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localSheetId="4" hidden="1">#REF!</definedName>
    <definedName name="BEx028BOZCS2MQO9MODVS6F7NCA3" localSheetId="6" hidden="1">#REF!</definedName>
    <definedName name="BEx028BOZCS2MQO9MODVS6F7NCA3" localSheetId="21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localSheetId="4" hidden="1">#REF!</definedName>
    <definedName name="BEx02DPUYNH76938V8GVORY8LRY1" localSheetId="6" hidden="1">#REF!</definedName>
    <definedName name="BEx02DPUYNH76938V8GVORY8LRY1" localSheetId="21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localSheetId="4" hidden="1">#REF!</definedName>
    <definedName name="BEx02PEP6DY4K1JGB0HHS3B6QOGZ" localSheetId="6" hidden="1">#REF!</definedName>
    <definedName name="BEx02PEP6DY4K1JGB0HHS3B6QOGZ" localSheetId="21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localSheetId="4" hidden="1">#REF!</definedName>
    <definedName name="BEx02Q08R9G839Q4RFGG9026C7PX" localSheetId="6" hidden="1">#REF!</definedName>
    <definedName name="BEx02Q08R9G839Q4RFGG9026C7PX" localSheetId="21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localSheetId="4" hidden="1">#REF!</definedName>
    <definedName name="BEx02SEL3Z1QWGAHXDPUA9WLTTPS" localSheetId="6" hidden="1">#REF!</definedName>
    <definedName name="BEx02SEL3Z1QWGAHXDPUA9WLTTPS" localSheetId="21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localSheetId="4" hidden="1">#REF!</definedName>
    <definedName name="BEx02Y3KJZH5BGDM9QEZ1PVVI114" localSheetId="6" hidden="1">#REF!</definedName>
    <definedName name="BEx02Y3KJZH5BGDM9QEZ1PVVI114" localSheetId="21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localSheetId="4" hidden="1">#REF!</definedName>
    <definedName name="BEx0313GRLLASDTVPW5DHTXHE74M" localSheetId="6" hidden="1">#REF!</definedName>
    <definedName name="BEx0313GRLLASDTVPW5DHTXHE74M" localSheetId="21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localSheetId="4" hidden="1">#REF!</definedName>
    <definedName name="BEx1F0SOZ3H5XUHXD7O01TCR8T6J" localSheetId="6" hidden="1">#REF!</definedName>
    <definedName name="BEx1F0SOZ3H5XUHXD7O01TCR8T6J" localSheetId="21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localSheetId="4" hidden="1">#REF!</definedName>
    <definedName name="BEx1F9HL824UCNCVZ2U62J4KZCX8" localSheetId="6" hidden="1">#REF!</definedName>
    <definedName name="BEx1F9HL824UCNCVZ2U62J4KZCX8" localSheetId="21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localSheetId="4" hidden="1">#REF!</definedName>
    <definedName name="BEx1FEVSJKTI1Q1Z874QZVFSJSVA" localSheetId="6" hidden="1">#REF!</definedName>
    <definedName name="BEx1FEVSJKTI1Q1Z874QZVFSJSVA" localSheetId="21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localSheetId="4" hidden="1">#REF!</definedName>
    <definedName name="BEx1FGDRUHHLI1GBHELT4PK0LY4V" localSheetId="6" hidden="1">#REF!</definedName>
    <definedName name="BEx1FGDRUHHLI1GBHELT4PK0LY4V" localSheetId="21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localSheetId="4" hidden="1">#REF!</definedName>
    <definedName name="BEx1FJZ7GKO99IYTP6GGGF7EUL3Z" localSheetId="6" hidden="1">#REF!</definedName>
    <definedName name="BEx1FJZ7GKO99IYTP6GGGF7EUL3Z" localSheetId="21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localSheetId="4" hidden="1">#REF!</definedName>
    <definedName name="BEx1FPDH0YKYQXDHUTFIQLIF34J8" localSheetId="6" hidden="1">#REF!</definedName>
    <definedName name="BEx1FPDH0YKYQXDHUTFIQLIF34J8" localSheetId="21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localSheetId="4" hidden="1">#REF!</definedName>
    <definedName name="BEx1FQ9SZAGL2HEKRB046EOQDWOX" localSheetId="6" hidden="1">#REF!</definedName>
    <definedName name="BEx1FQ9SZAGL2HEKRB046EOQDWOX" localSheetId="21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localSheetId="4" hidden="1">#REF!</definedName>
    <definedName name="BEx1FZV2CM77TBH1R6YYV9P06KA2" localSheetId="6" hidden="1">#REF!</definedName>
    <definedName name="BEx1FZV2CM77TBH1R6YYV9P06KA2" localSheetId="21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localSheetId="4" hidden="1">#REF!</definedName>
    <definedName name="BEx1G59AY8195JTUM6P18VXUFJ3E" localSheetId="6" hidden="1">#REF!</definedName>
    <definedName name="BEx1G59AY8195JTUM6P18VXUFJ3E" localSheetId="21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localSheetId="4" hidden="1">#REF!</definedName>
    <definedName name="BEx1GKUDMCV60BOZT0SENCT0MD8L" localSheetId="6" hidden="1">#REF!</definedName>
    <definedName name="BEx1GKUDMCV60BOZT0SENCT0MD8L" localSheetId="21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localSheetId="4" hidden="1">#REF!</definedName>
    <definedName name="BEx1GUVQ5L0JCX3E4SROI4WBYVTO" localSheetId="6" hidden="1">#REF!</definedName>
    <definedName name="BEx1GUVQ5L0JCX3E4SROI4WBYVTO" localSheetId="21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localSheetId="4" hidden="1">#REF!</definedName>
    <definedName name="BEx1GVMRHFXUP6XYYY9NR12PV5TF" localSheetId="6" hidden="1">#REF!</definedName>
    <definedName name="BEx1GVMRHFXUP6XYYY9NR12PV5TF" localSheetId="21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localSheetId="4" hidden="1">#REF!</definedName>
    <definedName name="BEx1H6KIT7BHUH6MDDWC935V9N47" localSheetId="6" hidden="1">#REF!</definedName>
    <definedName name="BEx1H6KIT7BHUH6MDDWC935V9N47" localSheetId="21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localSheetId="4" hidden="1">#REF!</definedName>
    <definedName name="BEx1HA60AI3STEJQZAQ0RA3Q3AZV" localSheetId="6" hidden="1">#REF!</definedName>
    <definedName name="BEx1HA60AI3STEJQZAQ0RA3Q3AZV" localSheetId="21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localSheetId="4" hidden="1">#REF!</definedName>
    <definedName name="BEx1HB2DBVO5N6V2WX7BEHUFYTFU" localSheetId="6" hidden="1">#REF!</definedName>
    <definedName name="BEx1HB2DBVO5N6V2WX7BEHUFYTFU" localSheetId="21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localSheetId="4" hidden="1">#REF!</definedName>
    <definedName name="BEx1HDGOOJ3SKHYMWUZJ1P0RQZ9N" localSheetId="6" hidden="1">#REF!</definedName>
    <definedName name="BEx1HDGOOJ3SKHYMWUZJ1P0RQZ9N" localSheetId="21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localSheetId="4" hidden="1">#REF!</definedName>
    <definedName name="BEx1HDM5ZXSJG6JQEMSFV52PZ10V" localSheetId="6" hidden="1">#REF!</definedName>
    <definedName name="BEx1HDM5ZXSJG6JQEMSFV52PZ10V" localSheetId="21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localSheetId="4" hidden="1">#REF!</definedName>
    <definedName name="BEx1HETBBZVN5F43LKOFMC4QB0CR" localSheetId="6" hidden="1">#REF!</definedName>
    <definedName name="BEx1HETBBZVN5F43LKOFMC4QB0CR" localSheetId="21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localSheetId="4" hidden="1">#REF!</definedName>
    <definedName name="BEx1HGWNWPLNXICOTP90TKQVVE4E" localSheetId="6" hidden="1">#REF!</definedName>
    <definedName name="BEx1HGWNWPLNXICOTP90TKQVVE4E" localSheetId="21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localSheetId="4" hidden="1">#REF!</definedName>
    <definedName name="BEx1HIPLJZABY0EMUOTZN0EQMDPU" localSheetId="6" hidden="1">#REF!</definedName>
    <definedName name="BEx1HIPLJZABY0EMUOTZN0EQMDPU" localSheetId="21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localSheetId="4" hidden="1">#REF!</definedName>
    <definedName name="BEx1HO94JIRX219MPWMB5E5XZ04X" localSheetId="6" hidden="1">#REF!</definedName>
    <definedName name="BEx1HO94JIRX219MPWMB5E5XZ04X" localSheetId="21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localSheetId="4" hidden="1">#REF!</definedName>
    <definedName name="BEx1HQNF6KHM21E3XLW0NMSSEI9S" localSheetId="6" hidden="1">#REF!</definedName>
    <definedName name="BEx1HQNF6KHM21E3XLW0NMSSEI9S" localSheetId="21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localSheetId="4" hidden="1">#REF!</definedName>
    <definedName name="BEx1HSLNWIW4S97ZBYY7I7M5YVH4" localSheetId="6" hidden="1">#REF!</definedName>
    <definedName name="BEx1HSLNWIW4S97ZBYY7I7M5YVH4" localSheetId="21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localSheetId="4" hidden="1">#REF!</definedName>
    <definedName name="BEx1HZCBBWLB2BTNOXP319ZDEVOJ" localSheetId="6" hidden="1">#REF!</definedName>
    <definedName name="BEx1HZCBBWLB2BTNOXP319ZDEVOJ" localSheetId="21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localSheetId="4" hidden="1">#REF!</definedName>
    <definedName name="BEx1I4QKTILCKZUSOJCVZN7SNHL5" localSheetId="6" hidden="1">#REF!</definedName>
    <definedName name="BEx1I4QKTILCKZUSOJCVZN7SNHL5" localSheetId="21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localSheetId="4" hidden="1">#REF!</definedName>
    <definedName name="BEx1IE0ZP7RIFM9FI24S9I6AAJ14" localSheetId="6" hidden="1">#REF!</definedName>
    <definedName name="BEx1IE0ZP7RIFM9FI24S9I6AAJ14" localSheetId="21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localSheetId="4" hidden="1">#REF!</definedName>
    <definedName name="BEx1IGQ5B697MNDOE06MVSR0H58E" localSheetId="6" hidden="1">#REF!</definedName>
    <definedName name="BEx1IGQ5B697MNDOE06MVSR0H58E" localSheetId="21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localSheetId="4" hidden="1">#REF!</definedName>
    <definedName name="BEx1IKRPW8MLB9Y485M1TL2IT9SH" localSheetId="6" hidden="1">#REF!</definedName>
    <definedName name="BEx1IKRPW8MLB9Y485M1TL2IT9SH" localSheetId="21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localSheetId="4" hidden="1">#REF!</definedName>
    <definedName name="BEx1IPKCFCT3TL9MSO1LSYJ2VJ2X" localSheetId="6" hidden="1">#REF!</definedName>
    <definedName name="BEx1IPKCFCT3TL9MSO1LSYJ2VJ2X" localSheetId="21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localSheetId="4" hidden="1">#REF!</definedName>
    <definedName name="BEx1IW5PQTTMD62XZ287XF2O3FBQ" localSheetId="6" hidden="1">#REF!</definedName>
    <definedName name="BEx1IW5PQTTMD62XZ287XF2O3FBQ" localSheetId="21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localSheetId="4" hidden="1">#REF!</definedName>
    <definedName name="BEx1J0CSSHDJGBJUHVOEMCF2P4DL" localSheetId="6" hidden="1">#REF!</definedName>
    <definedName name="BEx1J0CSSHDJGBJUHVOEMCF2P4DL" localSheetId="21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localSheetId="4" hidden="1">#REF!</definedName>
    <definedName name="BEx1J0NL6D3ILC18B48AL0VNEN9A" localSheetId="6" hidden="1">#REF!</definedName>
    <definedName name="BEx1J0NL6D3ILC18B48AL0VNEN9A" localSheetId="21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localSheetId="4" hidden="1">#REF!</definedName>
    <definedName name="BEx1J7E8VCGLPYU82QXVUG5N3ZAI" localSheetId="6" hidden="1">#REF!</definedName>
    <definedName name="BEx1J7E8VCGLPYU82QXVUG5N3ZAI" localSheetId="21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localSheetId="4" hidden="1">#REF!</definedName>
    <definedName name="BEx1JGE2YQWH8S25USOY08XVGO0D" localSheetId="6" hidden="1">#REF!</definedName>
    <definedName name="BEx1JGE2YQWH8S25USOY08XVGO0D" localSheetId="21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localSheetId="4" hidden="1">#REF!</definedName>
    <definedName name="BEx1JJJC9T1W7HY4V7HP1S1W4JO1" localSheetId="6" hidden="1">#REF!</definedName>
    <definedName name="BEx1JJJC9T1W7HY4V7HP1S1W4JO1" localSheetId="21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localSheetId="4" hidden="1">#REF!</definedName>
    <definedName name="BEx1JKKZSJ7DI4PTFVI9VVFMB1X2" localSheetId="6" hidden="1">#REF!</definedName>
    <definedName name="BEx1JKKZSJ7DI4PTFVI9VVFMB1X2" localSheetId="21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localSheetId="4" hidden="1">#REF!</definedName>
    <definedName name="BEx1JUBQFRVMASSFK4B3V0AD7YP9" localSheetId="6" hidden="1">#REF!</definedName>
    <definedName name="BEx1JUBQFRVMASSFK4B3V0AD7YP9" localSheetId="21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localSheetId="4" hidden="1">#REF!</definedName>
    <definedName name="BEx1JVTOATZGRJFXGXPJJLC4DOBE" localSheetId="6" hidden="1">#REF!</definedName>
    <definedName name="BEx1JVTOATZGRJFXGXPJJLC4DOBE" localSheetId="21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localSheetId="4" hidden="1">#REF!</definedName>
    <definedName name="BEx1JXBM5W4YRWNQ0P95QQS6JWD6" localSheetId="6" hidden="1">#REF!</definedName>
    <definedName name="BEx1JXBM5W4YRWNQ0P95QQS6JWD6" localSheetId="21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localSheetId="4" hidden="1">#REF!</definedName>
    <definedName name="BEx1KGY9QEHZ9QSARMQUTQKRK4UX" localSheetId="6" hidden="1">#REF!</definedName>
    <definedName name="BEx1KGY9QEHZ9QSARMQUTQKRK4UX" localSheetId="21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localSheetId="4" hidden="1">#REF!</definedName>
    <definedName name="BEx1KIWH5MOLR00SBECT39NS3AJ1" localSheetId="6" hidden="1">#REF!</definedName>
    <definedName name="BEx1KIWH5MOLR00SBECT39NS3AJ1" localSheetId="21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localSheetId="4" hidden="1">#REF!</definedName>
    <definedName name="BEx1KKP1ELIF2UII2FWVGL7M1X7J" localSheetId="6" hidden="1">#REF!</definedName>
    <definedName name="BEx1KKP1ELIF2UII2FWVGL7M1X7J" localSheetId="21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localSheetId="4" hidden="1">#REF!</definedName>
    <definedName name="BEx1KQJKIAPZKE9YDYH5HKXX52FM" localSheetId="6" hidden="1">#REF!</definedName>
    <definedName name="BEx1KQJKIAPZKE9YDYH5HKXX52FM" localSheetId="21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localSheetId="4" hidden="1">#REF!</definedName>
    <definedName name="BEx1KUVWMB0QCWA3RBE4CADFVRIS" localSheetId="6" hidden="1">#REF!</definedName>
    <definedName name="BEx1KUVWMB0QCWA3RBE4CADFVRIS" localSheetId="21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localSheetId="4" hidden="1">#REF!</definedName>
    <definedName name="BEx1L0AAH7PV8PPQQDBP5AI4TLYP" localSheetId="6" hidden="1">#REF!</definedName>
    <definedName name="BEx1L0AAH7PV8PPQQDBP5AI4TLYP" localSheetId="21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localSheetId="4" hidden="1">#REF!</definedName>
    <definedName name="BEx1L2OG1SDFK2TPXELJ77YP4NI2" localSheetId="6" hidden="1">#REF!</definedName>
    <definedName name="BEx1L2OG1SDFK2TPXELJ77YP4NI2" localSheetId="21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localSheetId="4" hidden="1">#REF!</definedName>
    <definedName name="BEx1L6Q60MWRDJB4L20LK0XPA0Z2" localSheetId="6" hidden="1">#REF!</definedName>
    <definedName name="BEx1L6Q60MWRDJB4L20LK0XPA0Z2" localSheetId="21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localSheetId="4" hidden="1">#REF!</definedName>
    <definedName name="BEx1L7BSEFOLQDNZWMLUNBRO08T4" localSheetId="6" hidden="1">#REF!</definedName>
    <definedName name="BEx1L7BSEFOLQDNZWMLUNBRO08T4" localSheetId="21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localSheetId="4" hidden="1">#REF!</definedName>
    <definedName name="BEx1LD63FP2Z4BR9TKSHOZW9KKZ5" localSheetId="6" hidden="1">#REF!</definedName>
    <definedName name="BEx1LD63FP2Z4BR9TKSHOZW9KKZ5" localSheetId="21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localSheetId="4" hidden="1">#REF!</definedName>
    <definedName name="BEx1LDMB9RW982DUILM2WPT5VWQ3" localSheetId="6" hidden="1">#REF!</definedName>
    <definedName name="BEx1LDMB9RW982DUILM2WPT5VWQ3" localSheetId="21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localSheetId="4" hidden="1">#REF!</definedName>
    <definedName name="BEx1LFF2UQ13XL4X1I2WBD73NZ21" localSheetId="6" hidden="1">#REF!</definedName>
    <definedName name="BEx1LFF2UQ13XL4X1I2WBD73NZ21" localSheetId="21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localSheetId="4" hidden="1">#REF!</definedName>
    <definedName name="BEx1LKTB33LO23ACTADIVRY7ZNFC" localSheetId="6" hidden="1">#REF!</definedName>
    <definedName name="BEx1LKTB33LO23ACTADIVRY7ZNFC" localSheetId="21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localSheetId="4" hidden="1">#REF!</definedName>
    <definedName name="BEx1LQNKVZAXGSEPDAM8AWU2FHHJ" localSheetId="6" hidden="1">#REF!</definedName>
    <definedName name="BEx1LQNKVZAXGSEPDAM8AWU2FHHJ" localSheetId="21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localSheetId="4" hidden="1">#REF!</definedName>
    <definedName name="BEx1LRPGDQCOEMW8YT80J1XCDCIV" localSheetId="6" hidden="1">#REF!</definedName>
    <definedName name="BEx1LRPGDQCOEMW8YT80J1XCDCIV" localSheetId="21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localSheetId="4" hidden="1">#REF!</definedName>
    <definedName name="BEx1LRUSJW4JG54X07QWD9R27WV9" localSheetId="6" hidden="1">#REF!</definedName>
    <definedName name="BEx1LRUSJW4JG54X07QWD9R27WV9" localSheetId="21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localSheetId="4" hidden="1">#REF!</definedName>
    <definedName name="BEx1M1WBK5T0LP1AK2JYV6W87ID6" localSheetId="6" hidden="1">#REF!</definedName>
    <definedName name="BEx1M1WBK5T0LP1AK2JYV6W87ID6" localSheetId="21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localSheetId="4" hidden="1">#REF!</definedName>
    <definedName name="BEx1M51HHDYGIT8PON7U8ICL2S95" localSheetId="6" hidden="1">#REF!</definedName>
    <definedName name="BEx1M51HHDYGIT8PON7U8ICL2S95" localSheetId="21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localSheetId="4" hidden="1">#REF!</definedName>
    <definedName name="BEx1MP4FWKV0QYXE13PX9JSNA270" localSheetId="6" hidden="1">#REF!</definedName>
    <definedName name="BEx1MP4FWKV0QYXE13PX9JSNA270" localSheetId="21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localSheetId="4" hidden="1">#REF!</definedName>
    <definedName name="BEx1MSV791FSS4CZQKG04NHT3F79" localSheetId="6" hidden="1">#REF!</definedName>
    <definedName name="BEx1MSV791FSS4CZQKG04NHT3F79" localSheetId="21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localSheetId="4" hidden="1">#REF!</definedName>
    <definedName name="BEx1MTRKKVCHOZ0YGID6HZ49LJTO" localSheetId="6" hidden="1">#REF!</definedName>
    <definedName name="BEx1MTRKKVCHOZ0YGID6HZ49LJTO" localSheetId="21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localSheetId="4" hidden="1">#REF!</definedName>
    <definedName name="BEx1N3CUJ3UX61X38ZAJVPEN4KMC" localSheetId="6" hidden="1">#REF!</definedName>
    <definedName name="BEx1N3CUJ3UX61X38ZAJVPEN4KMC" localSheetId="21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localSheetId="4" hidden="1">#REF!</definedName>
    <definedName name="BEx1N5R5IJ3CG6CL344F5KWPINEO" localSheetId="6" hidden="1">#REF!</definedName>
    <definedName name="BEx1N5R5IJ3CG6CL344F5KWPINEO" localSheetId="21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localSheetId="4" hidden="1">#REF!</definedName>
    <definedName name="BEx1NFCFVPBS7XURQ8Y0BZEGPBVP" localSheetId="6" hidden="1">#REF!</definedName>
    <definedName name="BEx1NFCFVPBS7XURQ8Y0BZEGPBVP" localSheetId="21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localSheetId="4" hidden="1">#REF!</definedName>
    <definedName name="BEx1NM34KQTO1LDNSAFD1L82UZFG" localSheetId="6" hidden="1">#REF!</definedName>
    <definedName name="BEx1NM34KQTO1LDNSAFD1L82UZFG" localSheetId="21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localSheetId="4" hidden="1">#REF!</definedName>
    <definedName name="BEx1NO6TXZVOGCUWCCRTXRXWW0XL" localSheetId="6" hidden="1">#REF!</definedName>
    <definedName name="BEx1NO6TXZVOGCUWCCRTXRXWW0XL" localSheetId="21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localSheetId="4" hidden="1">#REF!</definedName>
    <definedName name="BEx1NS8EU5P9FQV3S0WRTXI5L361" localSheetId="6" hidden="1">#REF!</definedName>
    <definedName name="BEx1NS8EU5P9FQV3S0WRTXI5L361" localSheetId="21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localSheetId="4" hidden="1">#REF!</definedName>
    <definedName name="BEx1NUBX5VUYZFKQH69FN6BTLWCR" localSheetId="6" hidden="1">#REF!</definedName>
    <definedName name="BEx1NUBX5VUYZFKQH69FN6BTLWCR" localSheetId="21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localSheetId="4" hidden="1">#REF!</definedName>
    <definedName name="BEx1NZ4K1L8UON80Y2A4RASKWGNP" localSheetId="6" hidden="1">#REF!</definedName>
    <definedName name="BEx1NZ4K1L8UON80Y2A4RASKWGNP" localSheetId="21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localSheetId="4" hidden="1">#REF!</definedName>
    <definedName name="BEx1O24FB2CPATAGE3T7L1NBQQO1" localSheetId="6" hidden="1">#REF!</definedName>
    <definedName name="BEx1O24FB2CPATAGE3T7L1NBQQO1" localSheetId="21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localSheetId="4" hidden="1">#REF!</definedName>
    <definedName name="BEx1OLAZ915OGYWP0QP1QQWDLCRX" localSheetId="6" hidden="1">#REF!</definedName>
    <definedName name="BEx1OLAZ915OGYWP0QP1QQWDLCRX" localSheetId="21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localSheetId="4" hidden="1">#REF!</definedName>
    <definedName name="BEx1OO5ER042IS6IC4TLDI75JNVH" localSheetId="6" hidden="1">#REF!</definedName>
    <definedName name="BEx1OO5ER042IS6IC4TLDI75JNVH" localSheetId="21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localSheetId="4" hidden="1">#REF!</definedName>
    <definedName name="BEx1OTE54CBSUT8FWKRALEDCUWN4" localSheetId="6" hidden="1">#REF!</definedName>
    <definedName name="BEx1OTE54CBSUT8FWKRALEDCUWN4" localSheetId="21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localSheetId="4" hidden="1">#REF!</definedName>
    <definedName name="BEx1OVSMPADTX95QUOX34KZQ8EDY" localSheetId="6" hidden="1">#REF!</definedName>
    <definedName name="BEx1OVSMPADTX95QUOX34KZQ8EDY" localSheetId="21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localSheetId="4" hidden="1">#REF!</definedName>
    <definedName name="BEx1OWJJ0DP4628GCVVRQ9X0DRHQ" localSheetId="6" hidden="1">#REF!</definedName>
    <definedName name="BEx1OWJJ0DP4628GCVVRQ9X0DRHQ" localSheetId="21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localSheetId="4" hidden="1">#REF!</definedName>
    <definedName name="BEx1OX544IO9FQJI7YYQGZCEHB3O" localSheetId="6" hidden="1">#REF!</definedName>
    <definedName name="BEx1OX544IO9FQJI7YYQGZCEHB3O" localSheetId="21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localSheetId="4" hidden="1">#REF!</definedName>
    <definedName name="BEx1OY6SVEUT2EQ26P7EKEND342G" localSheetId="6" hidden="1">#REF!</definedName>
    <definedName name="BEx1OY6SVEUT2EQ26P7EKEND342G" localSheetId="21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localSheetId="4" hidden="1">#REF!</definedName>
    <definedName name="BEx1OYN1LPIPI12O9G6F7QAOS9T4" localSheetId="6" hidden="1">#REF!</definedName>
    <definedName name="BEx1OYN1LPIPI12O9G6F7QAOS9T4" localSheetId="21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localSheetId="4" hidden="1">#REF!</definedName>
    <definedName name="BEx1P1HHKJA799O3YZXQAX6KFH58" localSheetId="6" hidden="1">#REF!</definedName>
    <definedName name="BEx1P1HHKJA799O3YZXQAX6KFH58" localSheetId="21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localSheetId="4" hidden="1">#REF!</definedName>
    <definedName name="BEx1P34W467WGPOXPK292QFJIPHJ" localSheetId="6" hidden="1">#REF!</definedName>
    <definedName name="BEx1P34W467WGPOXPK292QFJIPHJ" localSheetId="21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localSheetId="4" hidden="1">#REF!</definedName>
    <definedName name="BEx1P76FRYAB1BWA5RJS4KOB3G9I" localSheetId="6" hidden="1">#REF!</definedName>
    <definedName name="BEx1P76FRYAB1BWA5RJS4KOB3G9I" localSheetId="21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localSheetId="4" hidden="1">#REF!</definedName>
    <definedName name="BEx1P7S1J4TKGVJ43C2Q2R3M9WRB" localSheetId="6" hidden="1">#REF!</definedName>
    <definedName name="BEx1P7S1J4TKGVJ43C2Q2R3M9WRB" localSheetId="21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localSheetId="4" hidden="1">#REF!</definedName>
    <definedName name="BEx1P8OF6WY3IH8SO71KQOU83V3Y" localSheetId="6" hidden="1">#REF!</definedName>
    <definedName name="BEx1P8OF6WY3IH8SO71KQOU83V3Y" localSheetId="21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localSheetId="4" hidden="1">#REF!</definedName>
    <definedName name="BEx1PA11BLPVZM8RC5BL46WX8YB5" localSheetId="6" hidden="1">#REF!</definedName>
    <definedName name="BEx1PA11BLPVZM8RC5BL46WX8YB5" localSheetId="21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localSheetId="4" hidden="1">#REF!</definedName>
    <definedName name="BEx1PAMMMZTO2BTR6YLZ9ASMPS4N" localSheetId="6" hidden="1">#REF!</definedName>
    <definedName name="BEx1PAMMMZTO2BTR6YLZ9ASMPS4N" localSheetId="21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localSheetId="4" hidden="1">#REF!</definedName>
    <definedName name="BEx1PBZ4BEFIPGMQXT9T8S4PZ2IM" localSheetId="6" hidden="1">#REF!</definedName>
    <definedName name="BEx1PBZ4BEFIPGMQXT9T8S4PZ2IM" localSheetId="21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localSheetId="4" hidden="1">#REF!</definedName>
    <definedName name="BEx1PJMAAUI73DAR3XUON2UMXTBS" localSheetId="6" hidden="1">#REF!</definedName>
    <definedName name="BEx1PJMAAUI73DAR3XUON2UMXTBS" localSheetId="21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localSheetId="4" hidden="1">#REF!</definedName>
    <definedName name="BEx1PLF2CFSXBZPVI6CJ534EIJDN" localSheetId="6" hidden="1">#REF!</definedName>
    <definedName name="BEx1PLF2CFSXBZPVI6CJ534EIJDN" localSheetId="21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localSheetId="4" hidden="1">#REF!</definedName>
    <definedName name="BEx1PMWZB2DO6EM9BKLUICZJ65HD" localSheetId="6" hidden="1">#REF!</definedName>
    <definedName name="BEx1PMWZB2DO6EM9BKLUICZJ65HD" localSheetId="21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localSheetId="4" hidden="1">#REF!</definedName>
    <definedName name="BEx1PU3X6U0EVLY9569KVBPAH7XU" localSheetId="6" hidden="1">#REF!</definedName>
    <definedName name="BEx1PU3X6U0EVLY9569KVBPAH7XU" localSheetId="21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localSheetId="4" hidden="1">#REF!</definedName>
    <definedName name="BEx1Q9OV5AOW28OUGRFCD3ZFVWC3" localSheetId="6" hidden="1">#REF!</definedName>
    <definedName name="BEx1Q9OV5AOW28OUGRFCD3ZFVWC3" localSheetId="21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localSheetId="4" hidden="1">#REF!</definedName>
    <definedName name="BEx1QA54J2A4I7IBQR19BTY28ZMR" localSheetId="6" hidden="1">#REF!</definedName>
    <definedName name="BEx1QA54J2A4I7IBQR19BTY28ZMR" localSheetId="21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localSheetId="4" hidden="1">#REF!</definedName>
    <definedName name="BEx1QD50TNYYZ6YO943BWHPB9UD9" localSheetId="6" hidden="1">#REF!</definedName>
    <definedName name="BEx1QD50TNYYZ6YO943BWHPB9UD9" localSheetId="21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localSheetId="4" hidden="1">#REF!</definedName>
    <definedName name="BEx1QMQAHG3KQUK59DVM68SWKZIZ" localSheetId="6" hidden="1">#REF!</definedName>
    <definedName name="BEx1QMQAHG3KQUK59DVM68SWKZIZ" localSheetId="21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localSheetId="4" hidden="1">#REF!</definedName>
    <definedName name="BEx1R9YFKJCMSEST8OVCAO5E47FO" localSheetId="6" hidden="1">#REF!</definedName>
    <definedName name="BEx1R9YFKJCMSEST8OVCAO5E47FO" localSheetId="21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localSheetId="4" hidden="1">#REF!</definedName>
    <definedName name="BEx1RBGC06B3T52OIC0EQ1KGVP1I" localSheetId="6" hidden="1">#REF!</definedName>
    <definedName name="BEx1RBGC06B3T52OIC0EQ1KGVP1I" localSheetId="21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localSheetId="4" hidden="1">#REF!</definedName>
    <definedName name="BEx1RRC7X4NI1CU4EO5XYE2GVARJ" localSheetId="6" hidden="1">#REF!</definedName>
    <definedName name="BEx1RRC7X4NI1CU4EO5XYE2GVARJ" localSheetId="21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localSheetId="4" hidden="1">#REF!</definedName>
    <definedName name="BEx1RZA1NCGT832L7EMR7GMF588W" localSheetId="6" hidden="1">#REF!</definedName>
    <definedName name="BEx1RZA1NCGT832L7EMR7GMF588W" localSheetId="21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localSheetId="4" hidden="1">#REF!</definedName>
    <definedName name="BEx1S0XGIPUSZQUCSGWSK10GKW7Y" localSheetId="6" hidden="1">#REF!</definedName>
    <definedName name="BEx1S0XGIPUSZQUCSGWSK10GKW7Y" localSheetId="21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localSheetId="4" hidden="1">#REF!</definedName>
    <definedName name="BEx1S5VFNKIXHTTCWSV60UC50EZ8" localSheetId="6" hidden="1">#REF!</definedName>
    <definedName name="BEx1S5VFNKIXHTTCWSV60UC50EZ8" localSheetId="21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localSheetId="4" hidden="1">#REF!</definedName>
    <definedName name="BEx1SK3U02H0RGKEYXW7ZMCEOF3V" localSheetId="6" hidden="1">#REF!</definedName>
    <definedName name="BEx1SK3U02H0RGKEYXW7ZMCEOF3V" localSheetId="21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localSheetId="4" hidden="1">#REF!</definedName>
    <definedName name="BEx1SSNEZINBJT29QVS62VS1THT4" localSheetId="6" hidden="1">#REF!</definedName>
    <definedName name="BEx1SSNEZINBJT29QVS62VS1THT4" localSheetId="21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localSheetId="4" hidden="1">#REF!</definedName>
    <definedName name="BEx1SVNCHNANBJIDIQVB8AFK4HAN" localSheetId="6" hidden="1">#REF!</definedName>
    <definedName name="BEx1SVNCHNANBJIDIQVB8AFK4HAN" localSheetId="21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localSheetId="4" hidden="1">#REF!</definedName>
    <definedName name="BEx1SY74DYVEPAQ9TGGGXKJA025O" localSheetId="6" hidden="1">#REF!</definedName>
    <definedName name="BEx1SY74DYVEPAQ9TGGGXKJA025O" localSheetId="21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localSheetId="4" hidden="1">#REF!</definedName>
    <definedName name="BEx1TJ0WLS9O7KNSGIPWTYHDYI1D" localSheetId="6" hidden="1">#REF!</definedName>
    <definedName name="BEx1TJ0WLS9O7KNSGIPWTYHDYI1D" localSheetId="21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localSheetId="4" hidden="1">#REF!</definedName>
    <definedName name="BEx1TUPQAYGAI13ZC7FU1FJXFAPM" localSheetId="6" hidden="1">#REF!</definedName>
    <definedName name="BEx1TUPQAYGAI13ZC7FU1FJXFAPM" localSheetId="21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localSheetId="4" hidden="1">#REF!</definedName>
    <definedName name="BEx1TY0F9W7EOF31FZXITWEYBSRT" localSheetId="6" hidden="1">#REF!</definedName>
    <definedName name="BEx1TY0F9W7EOF31FZXITWEYBSRT" localSheetId="21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localSheetId="4" hidden="1">#REF!</definedName>
    <definedName name="BEx1U7WFO8OZKB1EBF4H386JW91L" localSheetId="6" hidden="1">#REF!</definedName>
    <definedName name="BEx1U7WFO8OZKB1EBF4H386JW91L" localSheetId="21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localSheetId="4" hidden="1">#REF!</definedName>
    <definedName name="BEx1U87938YR9N6HYI24KVBKLOS3" localSheetId="6" hidden="1">#REF!</definedName>
    <definedName name="BEx1U87938YR9N6HYI24KVBKLOS3" localSheetId="21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localSheetId="4" hidden="1">#REF!</definedName>
    <definedName name="BEx1U9P6VQWSVRICLZR9DYRMN61U" localSheetId="6" hidden="1">#REF!</definedName>
    <definedName name="BEx1U9P6VQWSVRICLZR9DYRMN61U" localSheetId="21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localSheetId="4" hidden="1">#REF!</definedName>
    <definedName name="BEx1UESH4KDWHYESQU2IE55RS3LI" localSheetId="6" hidden="1">#REF!</definedName>
    <definedName name="BEx1UESH4KDWHYESQU2IE55RS3LI" localSheetId="21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localSheetId="4" hidden="1">#REF!</definedName>
    <definedName name="BEx1UI8N9KTCPSOJ7RDW0T8UEBNP" localSheetId="6" hidden="1">#REF!</definedName>
    <definedName name="BEx1UI8N9KTCPSOJ7RDW0T8UEBNP" localSheetId="21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localSheetId="4" hidden="1">#REF!</definedName>
    <definedName name="BEx1UML0HHJFHA5TBOYQ24I3RV1W" localSheetId="6" hidden="1">#REF!</definedName>
    <definedName name="BEx1UML0HHJFHA5TBOYQ24I3RV1W" localSheetId="21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localSheetId="4" hidden="1">#REF!</definedName>
    <definedName name="BEx1UO8ENOJNYCNX5Z95TBIJ3MKP" localSheetId="6" hidden="1">#REF!</definedName>
    <definedName name="BEx1UO8ENOJNYCNX5Z95TBIJ3MKP" localSheetId="21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localSheetId="4" hidden="1">#REF!</definedName>
    <definedName name="BEx1UUDIQPZ23XQ79GUL0RAWRSCK" localSheetId="6" hidden="1">#REF!</definedName>
    <definedName name="BEx1UUDIQPZ23XQ79GUL0RAWRSCK" localSheetId="21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localSheetId="4" hidden="1">#REF!</definedName>
    <definedName name="BEx1V67SEV778NVW68J8W5SND1J7" localSheetId="6" hidden="1">#REF!</definedName>
    <definedName name="BEx1V67SEV778NVW68J8W5SND1J7" localSheetId="21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localSheetId="4" hidden="1">#REF!</definedName>
    <definedName name="BEx1VIY9SQLRESD11CC4PHYT0XSG" localSheetId="6" hidden="1">#REF!</definedName>
    <definedName name="BEx1VIY9SQLRESD11CC4PHYT0XSG" localSheetId="21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localSheetId="4" hidden="1">#REF!</definedName>
    <definedName name="BEx1W3170EJU6QEJR4F8E2ULUU2U" localSheetId="6" hidden="1">#REF!</definedName>
    <definedName name="BEx1W3170EJU6QEJR4F8E2ULUU2U" localSheetId="21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localSheetId="4" hidden="1">#REF!</definedName>
    <definedName name="BEx1WC67EH10SC38QWX3WEA5KH3A" localSheetId="6" hidden="1">#REF!</definedName>
    <definedName name="BEx1WC67EH10SC38QWX3WEA5KH3A" localSheetId="21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localSheetId="4" hidden="1">#REF!</definedName>
    <definedName name="BEx1WDTMC6W73PJPTY0JYLKOA883" localSheetId="6" hidden="1">#REF!</definedName>
    <definedName name="BEx1WDTMC6W73PJPTY0JYLKOA883" localSheetId="21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localSheetId="4" hidden="1">#REF!</definedName>
    <definedName name="BEx1WGYTKZZIPM1577W5FEYKFH3V" localSheetId="6" hidden="1">#REF!</definedName>
    <definedName name="BEx1WGYTKZZIPM1577W5FEYKFH3V" localSheetId="21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localSheetId="4" hidden="1">#REF!</definedName>
    <definedName name="BEx1WHPURIV3D3PTJJ359H1OP7ZV" localSheetId="6" hidden="1">#REF!</definedName>
    <definedName name="BEx1WHPURIV3D3PTJJ359H1OP7ZV" localSheetId="21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localSheetId="4" hidden="1">#REF!</definedName>
    <definedName name="BEx1WLBBR45RLDQX9FCLJWUUQX5R" localSheetId="6" hidden="1">#REF!</definedName>
    <definedName name="BEx1WLBBR45RLDQX9FCLJWUUQX5R" localSheetId="21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localSheetId="4" hidden="1">#REF!</definedName>
    <definedName name="BEx1WLWY2CR1WRD694JJSWSDFAIR" localSheetId="6" hidden="1">#REF!</definedName>
    <definedName name="BEx1WLWY2CR1WRD694JJSWSDFAIR" localSheetId="21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localSheetId="4" hidden="1">#REF!</definedName>
    <definedName name="BEx1WMD1LWPWRIK6GGAJRJAHJM8I" localSheetId="6" hidden="1">#REF!</definedName>
    <definedName name="BEx1WMD1LWPWRIK6GGAJRJAHJM8I" localSheetId="21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localSheetId="4" hidden="1">#REF!</definedName>
    <definedName name="BEx1WR0D41MR174LBF3P9E3K0J51" localSheetId="6" hidden="1">#REF!</definedName>
    <definedName name="BEx1WR0D41MR174LBF3P9E3K0J51" localSheetId="21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localSheetId="4" hidden="1">#REF!</definedName>
    <definedName name="BEx1WT3VU2F7OSUQZHBIV4KTTFJ4" localSheetId="6" hidden="1">#REF!</definedName>
    <definedName name="BEx1WT3VU2F7OSUQZHBIV4KTTFJ4" localSheetId="21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localSheetId="4" hidden="1">#REF!</definedName>
    <definedName name="BEx1WUB1FAS5PHU33TJ60SUHR618" localSheetId="6" hidden="1">#REF!</definedName>
    <definedName name="BEx1WUB1FAS5PHU33TJ60SUHR618" localSheetId="21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localSheetId="4" hidden="1">#REF!</definedName>
    <definedName name="BEx1WX04G0INSPPG9NTNR3DYR6PZ" localSheetId="6" hidden="1">#REF!</definedName>
    <definedName name="BEx1WX04G0INSPPG9NTNR3DYR6PZ" localSheetId="21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localSheetId="4" hidden="1">#REF!</definedName>
    <definedName name="BEx1X3LHU9DPG01VWX2IF65TRATF" localSheetId="6" hidden="1">#REF!</definedName>
    <definedName name="BEx1X3LHU9DPG01VWX2IF65TRATF" localSheetId="21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localSheetId="4" hidden="1">#REF!</definedName>
    <definedName name="BEx1XFL3ISYW3FU1DQ3US0DYA8NQ" localSheetId="6" hidden="1">#REF!</definedName>
    <definedName name="BEx1XFL3ISYW3FU1DQ3US0DYA8NQ" localSheetId="21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localSheetId="4" hidden="1">#REF!</definedName>
    <definedName name="BEx1XK8AAMO0AH0Z1OUKW30CA7EQ" localSheetId="6" hidden="1">#REF!</definedName>
    <definedName name="BEx1XK8AAMO0AH0Z1OUKW30CA7EQ" localSheetId="21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localSheetId="4" hidden="1">#REF!</definedName>
    <definedName name="BEx1XL4MZ7C80495GHQRWOBS16PQ" localSheetId="6" hidden="1">#REF!</definedName>
    <definedName name="BEx1XL4MZ7C80495GHQRWOBS16PQ" localSheetId="21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localSheetId="4" hidden="1">#REF!</definedName>
    <definedName name="BEx1Y2IGS2K95E1M51PEF9KJZ0KB" localSheetId="6" hidden="1">#REF!</definedName>
    <definedName name="BEx1Y2IGS2K95E1M51PEF9KJZ0KB" localSheetId="21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localSheetId="4" hidden="1">#REF!</definedName>
    <definedName name="BEx1Y3PKK83X2FN9SAALFHOWKMRQ" localSheetId="6" hidden="1">#REF!</definedName>
    <definedName name="BEx1Y3PKK83X2FN9SAALFHOWKMRQ" localSheetId="21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localSheetId="4" hidden="1">#REF!</definedName>
    <definedName name="BEx1YL3DJ7Y4AZ01ERCOGW0FJ26T" localSheetId="6" hidden="1">#REF!</definedName>
    <definedName name="BEx1YL3DJ7Y4AZ01ERCOGW0FJ26T" localSheetId="21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localSheetId="4" hidden="1">#REF!</definedName>
    <definedName name="BEx1Z2RYHSVD1H37817SN93VMURZ" localSheetId="6" hidden="1">#REF!</definedName>
    <definedName name="BEx1Z2RYHSVD1H37817SN93VMURZ" localSheetId="21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localSheetId="4" hidden="1">#REF!</definedName>
    <definedName name="BEx3AMAKWI6458B67VKZO56MCNJW" localSheetId="6" hidden="1">#REF!</definedName>
    <definedName name="BEx3AMAKWI6458B67VKZO56MCNJW" localSheetId="21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localSheetId="4" hidden="1">#REF!</definedName>
    <definedName name="BEx3AOOVM42G82TNF53W0EKXLUSI" localSheetId="6" hidden="1">#REF!</definedName>
    <definedName name="BEx3AOOVM42G82TNF53W0EKXLUSI" localSheetId="21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localSheetId="4" hidden="1">#REF!</definedName>
    <definedName name="BEx3AZH9W4SUFCAHNDOQ728R9V4L" localSheetId="6" hidden="1">#REF!</definedName>
    <definedName name="BEx3AZH9W4SUFCAHNDOQ728R9V4L" localSheetId="21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localSheetId="4" hidden="1">#REF!</definedName>
    <definedName name="BEx3BNR9ES4KY7Q1DK83KC5NDGL8" localSheetId="6" hidden="1">#REF!</definedName>
    <definedName name="BEx3BNR9ES4KY7Q1DK83KC5NDGL8" localSheetId="21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localSheetId="4" hidden="1">#REF!</definedName>
    <definedName name="BEx3BQR5VZXNQ4H949ORM8ESU3B3" localSheetId="6" hidden="1">#REF!</definedName>
    <definedName name="BEx3BQR5VZXNQ4H949ORM8ESU3B3" localSheetId="21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localSheetId="4" hidden="1">#REF!</definedName>
    <definedName name="BEx3BTLL3ASJN134DLEQTQM70VZM" localSheetId="6" hidden="1">#REF!</definedName>
    <definedName name="BEx3BTLL3ASJN134DLEQTQM70VZM" localSheetId="21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localSheetId="4" hidden="1">#REF!</definedName>
    <definedName name="BEx3BW5CTV0DJU5AQS3ZQFK2VLF3" localSheetId="6" hidden="1">#REF!</definedName>
    <definedName name="BEx3BW5CTV0DJU5AQS3ZQFK2VLF3" localSheetId="21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localSheetId="4" hidden="1">#REF!</definedName>
    <definedName name="BEx3BYP0FG369M7G3JEFLMMXAKTS" localSheetId="6" hidden="1">#REF!</definedName>
    <definedName name="BEx3BYP0FG369M7G3JEFLMMXAKTS" localSheetId="21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localSheetId="4" hidden="1">#REF!</definedName>
    <definedName name="BEx3C2QR0WUD19QSVO8EMIPNQJKH" localSheetId="6" hidden="1">#REF!</definedName>
    <definedName name="BEx3C2QR0WUD19QSVO8EMIPNQJKH" localSheetId="21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localSheetId="4" hidden="1">#REF!</definedName>
    <definedName name="BEx3CKFCCPZZ6ROLAT5C1DZNIC1U" localSheetId="6" hidden="1">#REF!</definedName>
    <definedName name="BEx3CKFCCPZZ6ROLAT5C1DZNIC1U" localSheetId="21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localSheetId="4" hidden="1">#REF!</definedName>
    <definedName name="BEx3CO0SVO4WLH0DO43DCHYDTH1P" localSheetId="6" hidden="1">#REF!</definedName>
    <definedName name="BEx3CO0SVO4WLH0DO43DCHYDTH1P" localSheetId="21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localSheetId="4" hidden="1">#REF!</definedName>
    <definedName name="BEx3CPDAEBC12450MVHX6S78ILBS" localSheetId="6" hidden="1">#REF!</definedName>
    <definedName name="BEx3CPDAEBC12450MVHX6S78ILBS" localSheetId="21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localSheetId="4" hidden="1">#REF!</definedName>
    <definedName name="BEx3CQ9OQ7E1YH93NADGWWEH0HD5" localSheetId="6" hidden="1">#REF!</definedName>
    <definedName name="BEx3CQ9OQ7E1YH93NADGWWEH0HD5" localSheetId="21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localSheetId="4" hidden="1">#REF!</definedName>
    <definedName name="BEx3D9G6QTSPF9UYI4X0XY0VE896" localSheetId="6" hidden="1">#REF!</definedName>
    <definedName name="BEx3D9G6QTSPF9UYI4X0XY0VE896" localSheetId="21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localSheetId="4" hidden="1">#REF!</definedName>
    <definedName name="BEx3DCQU9PBRXIMLO62KS5RLH447" localSheetId="6" hidden="1">#REF!</definedName>
    <definedName name="BEx3DCQU9PBRXIMLO62KS5RLH447" localSheetId="21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localSheetId="4" hidden="1">#REF!</definedName>
    <definedName name="BEx3DQ8EH7C7L4XQAOL3NRRVRRT3" localSheetId="6" hidden="1">#REF!</definedName>
    <definedName name="BEx3DQ8EH7C7L4XQAOL3NRRVRRT3" localSheetId="21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localSheetId="4" hidden="1">#REF!</definedName>
    <definedName name="BEx3EF99FD6QNNCNOKDEE67JHTUJ" localSheetId="6" hidden="1">#REF!</definedName>
    <definedName name="BEx3EF99FD6QNNCNOKDEE67JHTUJ" localSheetId="21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localSheetId="4" hidden="1">#REF!</definedName>
    <definedName name="BEx3EGLXG4AU8GXIFP26DZ61E6EP" localSheetId="6" hidden="1">#REF!</definedName>
    <definedName name="BEx3EGLXG4AU8GXIFP26DZ61E6EP" localSheetId="21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localSheetId="4" hidden="1">#REF!</definedName>
    <definedName name="BEx3EHCSERZ2O2OAG8Y95UPG2IY9" localSheetId="6" hidden="1">#REF!</definedName>
    <definedName name="BEx3EHCSERZ2O2OAG8Y95UPG2IY9" localSheetId="21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localSheetId="4" hidden="1">#REF!</definedName>
    <definedName name="BEx3EJR3TCJDYS7ZXNDS5N9KTGIK" localSheetId="6" hidden="1">#REF!</definedName>
    <definedName name="BEx3EJR3TCJDYS7ZXNDS5N9KTGIK" localSheetId="21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localSheetId="4" hidden="1">#REF!</definedName>
    <definedName name="BEx3ELJTTBS6P05CNISMGOJOA60V" localSheetId="6" hidden="1">#REF!</definedName>
    <definedName name="BEx3ELJTTBS6P05CNISMGOJOA60V" localSheetId="21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localSheetId="4" hidden="1">#REF!</definedName>
    <definedName name="BEx3EQSLJBDDJRHNX19PBFCKNY2I" localSheetId="6" hidden="1">#REF!</definedName>
    <definedName name="BEx3EQSLJBDDJRHNX19PBFCKNY2I" localSheetId="21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localSheetId="4" hidden="1">#REF!</definedName>
    <definedName name="BEx3EUUAX947Q5N6MY6W0KSNY78Y" localSheetId="6" hidden="1">#REF!</definedName>
    <definedName name="BEx3EUUAX947Q5N6MY6W0KSNY78Y" localSheetId="21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localSheetId="4" hidden="1">#REF!</definedName>
    <definedName name="BEx3F3OJYKFH63TY4TBS69H5CI8M" localSheetId="6" hidden="1">#REF!</definedName>
    <definedName name="BEx3F3OJYKFH63TY4TBS69H5CI8M" localSheetId="21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localSheetId="4" hidden="1">#REF!</definedName>
    <definedName name="BEx3FHMD1P5XBCH23ZKIFO6ZTCNB" localSheetId="6" hidden="1">#REF!</definedName>
    <definedName name="BEx3FHMD1P5XBCH23ZKIFO6ZTCNB" localSheetId="21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localSheetId="4" hidden="1">#REF!</definedName>
    <definedName name="BEx3FI2G3YYIACQHXNXEA15M8ZK5" localSheetId="6" hidden="1">#REF!</definedName>
    <definedName name="BEx3FI2G3YYIACQHXNXEA15M8ZK5" localSheetId="21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localSheetId="4" hidden="1">#REF!</definedName>
    <definedName name="BEx3FJ9MHSLDK8W91GO85FX1GX57" localSheetId="6" hidden="1">#REF!</definedName>
    <definedName name="BEx3FJ9MHSLDK8W91GO85FX1GX57" localSheetId="21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localSheetId="4" hidden="1">#REF!</definedName>
    <definedName name="BEx3FR251HFU7A33PU01SJUENL2B" localSheetId="6" hidden="1">#REF!</definedName>
    <definedName name="BEx3FR251HFU7A33PU01SJUENL2B" localSheetId="21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localSheetId="4" hidden="1">#REF!</definedName>
    <definedName name="BEx3FX7EJL47JSLSWP3EOC265WAE" localSheetId="6" hidden="1">#REF!</definedName>
    <definedName name="BEx3FX7EJL47JSLSWP3EOC265WAE" localSheetId="21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localSheetId="4" hidden="1">#REF!</definedName>
    <definedName name="BEx3G201R8NLJ6FIHO2QS0SW9QVV" localSheetId="6" hidden="1">#REF!</definedName>
    <definedName name="BEx3G201R8NLJ6FIHO2QS0SW9QVV" localSheetId="21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localSheetId="4" hidden="1">#REF!</definedName>
    <definedName name="BEx3G2LL2II66XY5YCDPG4JE13A3" localSheetId="6" hidden="1">#REF!</definedName>
    <definedName name="BEx3G2LL2II66XY5YCDPG4JE13A3" localSheetId="21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localSheetId="4" hidden="1">#REF!</definedName>
    <definedName name="BEx3G2WA0DTYY9D8AGHHOBTPE2B2" localSheetId="6" hidden="1">#REF!</definedName>
    <definedName name="BEx3G2WA0DTYY9D8AGHHOBTPE2B2" localSheetId="21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localSheetId="4" hidden="1">#REF!</definedName>
    <definedName name="BEx3GCXR6IAS0B6WJ03GJVH7CO52" localSheetId="6" hidden="1">#REF!</definedName>
    <definedName name="BEx3GCXR6IAS0B6WJ03GJVH7CO52" localSheetId="21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localSheetId="4" hidden="1">#REF!</definedName>
    <definedName name="BEx3GEVV18SEQDI1JGY7EN6D1GT1" localSheetId="6" hidden="1">#REF!</definedName>
    <definedName name="BEx3GEVV18SEQDI1JGY7EN6D1GT1" localSheetId="21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localSheetId="4" hidden="1">#REF!</definedName>
    <definedName name="BEx3GKFH64MKQX61S7DYTZ15JCPY" localSheetId="6" hidden="1">#REF!</definedName>
    <definedName name="BEx3GKFH64MKQX61S7DYTZ15JCPY" localSheetId="21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localSheetId="4" hidden="1">#REF!</definedName>
    <definedName name="BEx3GMJ1Y6UU02DLRL0QXCEKDA6C" localSheetId="6" hidden="1">#REF!</definedName>
    <definedName name="BEx3GMJ1Y6UU02DLRL0QXCEKDA6C" localSheetId="21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localSheetId="4" hidden="1">#REF!</definedName>
    <definedName name="BEx3GN4LY0135CBDIN1TU2UEODGF" localSheetId="6" hidden="1">#REF!</definedName>
    <definedName name="BEx3GN4LY0135CBDIN1TU2UEODGF" localSheetId="21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localSheetId="4" hidden="1">#REF!</definedName>
    <definedName name="BEx3GPDH2AH4QKT4OOSN563XUHBD" localSheetId="6" hidden="1">#REF!</definedName>
    <definedName name="BEx3GPDH2AH4QKT4OOSN563XUHBD" localSheetId="21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localSheetId="4" hidden="1">#REF!</definedName>
    <definedName name="BEx3GRGZOH1A62SHC133FKNN9K23" localSheetId="6" hidden="1">#REF!</definedName>
    <definedName name="BEx3GRGZOH1A62SHC133FKNN9K23" localSheetId="21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localSheetId="4" hidden="1">#REF!</definedName>
    <definedName name="BEx3GS2LABKJSRV8GPZLJZVX7NMJ" localSheetId="6" hidden="1">#REF!</definedName>
    <definedName name="BEx3GS2LABKJSRV8GPZLJZVX7NMJ" localSheetId="21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localSheetId="4" hidden="1">#REF!</definedName>
    <definedName name="BEx3H05W7OEBR6W6YJKGD6W5M3I1" localSheetId="6" hidden="1">#REF!</definedName>
    <definedName name="BEx3H05W7OEBR6W6YJKGD6W5M3I1" localSheetId="21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localSheetId="4" hidden="1">#REF!</definedName>
    <definedName name="BEx3H244GCME7ZDNAXG6ZSJ64ZRE" localSheetId="6" hidden="1">#REF!</definedName>
    <definedName name="BEx3H244GCME7ZDNAXG6ZSJ64ZRE" localSheetId="21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localSheetId="4" hidden="1">#REF!</definedName>
    <definedName name="BEx3H5UX2GZFZZT657YR76RHW5I6" localSheetId="6" hidden="1">#REF!</definedName>
    <definedName name="BEx3H5UX2GZFZZT657YR76RHW5I6" localSheetId="21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localSheetId="4" hidden="1">#REF!</definedName>
    <definedName name="BEx3HACPKDZVUOS9WBDCCFJB46DK" localSheetId="6" hidden="1">#REF!</definedName>
    <definedName name="BEx3HACPKDZVUOS9WBDCCFJB46DK" localSheetId="21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localSheetId="4" hidden="1">#REF!</definedName>
    <definedName name="BEx3HMSEFOP6DBM4R97XA6B7NFG6" localSheetId="6" hidden="1">#REF!</definedName>
    <definedName name="BEx3HMSEFOP6DBM4R97XA6B7NFG6" localSheetId="21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localSheetId="4" hidden="1">#REF!</definedName>
    <definedName name="BEx3HWJ5SQSD2CVCQNR183X44FR8" localSheetId="6" hidden="1">#REF!</definedName>
    <definedName name="BEx3HWJ5SQSD2CVCQNR183X44FR8" localSheetId="21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localSheetId="4" hidden="1">#REF!</definedName>
    <definedName name="BEx3I09YVXO0G4X7KGSA4WGORM35" localSheetId="6" hidden="1">#REF!</definedName>
    <definedName name="BEx3I09YVXO0G4X7KGSA4WGORM35" localSheetId="21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localSheetId="4" hidden="1">#REF!</definedName>
    <definedName name="BEx3I3KN8WAL54AYYACGCUM43J9W" localSheetId="6" hidden="1">#REF!</definedName>
    <definedName name="BEx3I3KN8WAL54AYYACGCUM43J9W" localSheetId="21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localSheetId="4" hidden="1">#REF!</definedName>
    <definedName name="BEx3ICF1GY8HQEBIU9S43PDJ90BX" localSheetId="6" hidden="1">#REF!</definedName>
    <definedName name="BEx3ICF1GY8HQEBIU9S43PDJ90BX" localSheetId="21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localSheetId="4" hidden="1">#REF!</definedName>
    <definedName name="BEx3IYAH2DEBFWO8F94H4MXE3RLY" localSheetId="6" hidden="1">#REF!</definedName>
    <definedName name="BEx3IYAH2DEBFWO8F94H4MXE3RLY" localSheetId="21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localSheetId="4" hidden="1">#REF!</definedName>
    <definedName name="BEx3IZSG3932LSWHR5YV78IVRPCK" localSheetId="6" hidden="1">#REF!</definedName>
    <definedName name="BEx3IZSG3932LSWHR5YV78IVRPCK" localSheetId="21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localSheetId="4" hidden="1">#REF!</definedName>
    <definedName name="BEx3IZXXSYEW50379N2EAFWO8DZV" localSheetId="6" hidden="1">#REF!</definedName>
    <definedName name="BEx3IZXXSYEW50379N2EAFWO8DZV" localSheetId="21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localSheetId="4" hidden="1">#REF!</definedName>
    <definedName name="BEx3J1VZVGTKT4ATPO9O5JCSFTTR" localSheetId="6" hidden="1">#REF!</definedName>
    <definedName name="BEx3J1VZVGTKT4ATPO9O5JCSFTTR" localSheetId="21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localSheetId="4" hidden="1">#REF!</definedName>
    <definedName name="BEx3JC2TY7JNAAC3L7QHVPQXLGQ8" localSheetId="6" hidden="1">#REF!</definedName>
    <definedName name="BEx3JC2TY7JNAAC3L7QHVPQXLGQ8" localSheetId="21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localSheetId="4" hidden="1">#REF!</definedName>
    <definedName name="BEx3JMF5D7ODCJ7THAJTC1GFSG95" localSheetId="6" hidden="1">#REF!</definedName>
    <definedName name="BEx3JMF5D7ODCJ7THAJTC1GFSG95" localSheetId="21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localSheetId="4" hidden="1">#REF!</definedName>
    <definedName name="BEx3JX23SYDIGOGM4Y0CQFBW8ZBV" localSheetId="6" hidden="1">#REF!</definedName>
    <definedName name="BEx3JX23SYDIGOGM4Y0CQFBW8ZBV" localSheetId="21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localSheetId="4" hidden="1">#REF!</definedName>
    <definedName name="BEx3JXCXCVBZJGV5VEG9MJEI01AL" localSheetId="6" hidden="1">#REF!</definedName>
    <definedName name="BEx3JXCXCVBZJGV5VEG9MJEI01AL" localSheetId="21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localSheetId="4" hidden="1">#REF!</definedName>
    <definedName name="BEx3JYK2N7X59TPJSKYZ77ENY8SS" localSheetId="6" hidden="1">#REF!</definedName>
    <definedName name="BEx3JYK2N7X59TPJSKYZ77ENY8SS" localSheetId="21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localSheetId="4" hidden="1">#REF!</definedName>
    <definedName name="BEx3K13PSDK50JLCLD0GX8L4TWAH" localSheetId="6" hidden="1">#REF!</definedName>
    <definedName name="BEx3K13PSDK50JLCLD0GX8L4TWAH" localSheetId="21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localSheetId="4" hidden="1">#REF!</definedName>
    <definedName name="BEx3K4EII7GU1CG0BN7UL15M6J8Z" localSheetId="6" hidden="1">#REF!</definedName>
    <definedName name="BEx3K4EII7GU1CG0BN7UL15M6J8Z" localSheetId="21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localSheetId="4" hidden="1">#REF!</definedName>
    <definedName name="BEx3K4ZXQUQ2KYZF74B84SO48XMW" localSheetId="6" hidden="1">#REF!</definedName>
    <definedName name="BEx3K4ZXQUQ2KYZF74B84SO48XMW" localSheetId="21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localSheetId="4" hidden="1">#REF!</definedName>
    <definedName name="BEx3KEFXUCVNVPH7KSEGAZYX13B5" localSheetId="6" hidden="1">#REF!</definedName>
    <definedName name="BEx3KEFXUCVNVPH7KSEGAZYX13B5" localSheetId="21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localSheetId="4" hidden="1">#REF!</definedName>
    <definedName name="BEx3KFXUAF6YXAA47B7Q6X9B3VGB" localSheetId="6" hidden="1">#REF!</definedName>
    <definedName name="BEx3KFXUAF6YXAA47B7Q6X9B3VGB" localSheetId="21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localSheetId="4" hidden="1">#REF!</definedName>
    <definedName name="BEx3KIXQYOGMPK4WJJAVBRX4NR28" localSheetId="6" hidden="1">#REF!</definedName>
    <definedName name="BEx3KIXQYOGMPK4WJJAVBRX4NR28" localSheetId="21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localSheetId="4" hidden="1">#REF!</definedName>
    <definedName name="BEx3KJOMVOSFZVJUL3GKCNP6DQDS" localSheetId="6" hidden="1">#REF!</definedName>
    <definedName name="BEx3KJOMVOSFZVJUL3GKCNP6DQDS" localSheetId="21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localSheetId="4" hidden="1">#REF!</definedName>
    <definedName name="BEx3KP2VRBMORK0QEAZUYCXL3DHJ" localSheetId="6" hidden="1">#REF!</definedName>
    <definedName name="BEx3KP2VRBMORK0QEAZUYCXL3DHJ" localSheetId="21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localSheetId="4" hidden="1">#REF!</definedName>
    <definedName name="BEx3L4IN3LI4C26SITKTGAH27CDU" localSheetId="6" hidden="1">#REF!</definedName>
    <definedName name="BEx3L4IN3LI4C26SITKTGAH27CDU" localSheetId="21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localSheetId="4" hidden="1">#REF!</definedName>
    <definedName name="BEx3L4YQ0J7ZU0M5QM6YIPCEYC9K" localSheetId="6" hidden="1">#REF!</definedName>
    <definedName name="BEx3L4YQ0J7ZU0M5QM6YIPCEYC9K" localSheetId="21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localSheetId="4" hidden="1">#REF!</definedName>
    <definedName name="BEx3L60DJOR7NQN42G7YSAODP1EX" localSheetId="6" hidden="1">#REF!</definedName>
    <definedName name="BEx3L60DJOR7NQN42G7YSAODP1EX" localSheetId="21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localSheetId="4" hidden="1">#REF!</definedName>
    <definedName name="BEx3L7D0PI38HWZ7VADU16C9E33D" localSheetId="6" hidden="1">#REF!</definedName>
    <definedName name="BEx3L7D0PI38HWZ7VADU16C9E33D" localSheetId="21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localSheetId="4" hidden="1">#REF!</definedName>
    <definedName name="BEx3LM1PR4Y7KINKMTMKR984GX8Q" localSheetId="6" hidden="1">#REF!</definedName>
    <definedName name="BEx3LM1PR4Y7KINKMTMKR984GX8Q" localSheetId="21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localSheetId="4" hidden="1">#REF!</definedName>
    <definedName name="BEx3LM1PWWC9WH0R5TX5K06V559U" localSheetId="6" hidden="1">#REF!</definedName>
    <definedName name="BEx3LM1PWWC9WH0R5TX5K06V559U" localSheetId="21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localSheetId="4" hidden="1">#REF!</definedName>
    <definedName name="BEx3LPCEZ1C0XEKNCM3YT09JWCUO" localSheetId="6" hidden="1">#REF!</definedName>
    <definedName name="BEx3LPCEZ1C0XEKNCM3YT09JWCUO" localSheetId="21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localSheetId="4" hidden="1">#REF!</definedName>
    <definedName name="BEx3LSXW33WR1ECIMRYUPFBJXGGH" localSheetId="6" hidden="1">#REF!</definedName>
    <definedName name="BEx3LSXW33WR1ECIMRYUPFBJXGGH" localSheetId="21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localSheetId="4" hidden="1">#REF!</definedName>
    <definedName name="BEx3M1MR1K1NQD03H74BFWOK4MWQ" localSheetId="6" hidden="1">#REF!</definedName>
    <definedName name="BEx3M1MR1K1NQD03H74BFWOK4MWQ" localSheetId="21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localSheetId="4" hidden="1">#REF!</definedName>
    <definedName name="BEx3M4H77MYUKOOD31H9F80NMVK8" localSheetId="6" hidden="1">#REF!</definedName>
    <definedName name="BEx3M4H77MYUKOOD31H9F80NMVK8" localSheetId="21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localSheetId="4" hidden="1">#REF!</definedName>
    <definedName name="BEx3M9VFX329PZWYC4DMZ6P3W9R2" localSheetId="6" hidden="1">#REF!</definedName>
    <definedName name="BEx3M9VFX329PZWYC4DMZ6P3W9R2" localSheetId="21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localSheetId="4" hidden="1">#REF!</definedName>
    <definedName name="BEx3MCQ0VEBV0CZXDS505L38EQ8N" localSheetId="6" hidden="1">#REF!</definedName>
    <definedName name="BEx3MCQ0VEBV0CZXDS505L38EQ8N" localSheetId="21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localSheetId="4" hidden="1">#REF!</definedName>
    <definedName name="BEx3MEYV5LQY0BAL7V3CFAFVOM3T" localSheetId="6" hidden="1">#REF!</definedName>
    <definedName name="BEx3MEYV5LQY0BAL7V3CFAFVOM3T" localSheetId="21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localSheetId="4" hidden="1">#REF!</definedName>
    <definedName name="BEx3MF9LX8G8DXGARRYNTDH542WG" localSheetId="6" hidden="1">#REF!</definedName>
    <definedName name="BEx3MF9LX8G8DXGARRYNTDH542WG" localSheetId="21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localSheetId="4" hidden="1">#REF!</definedName>
    <definedName name="BEx3MREOFWJQEYMCMBL7ZE06NBN6" localSheetId="6" hidden="1">#REF!</definedName>
    <definedName name="BEx3MREOFWJQEYMCMBL7ZE06NBN6" localSheetId="21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localSheetId="4" hidden="1">#REF!</definedName>
    <definedName name="BEx3MSGD8I6KBFD4XFWYGH3DKUK3" localSheetId="6" hidden="1">#REF!</definedName>
    <definedName name="BEx3MSGD8I6KBFD4XFWYGH3DKUK3" localSheetId="21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localSheetId="4" hidden="1">#REF!</definedName>
    <definedName name="BEx3NDQFYEWZAUGWFMGT2R7E7RBT" localSheetId="6" hidden="1">#REF!</definedName>
    <definedName name="BEx3NDQFYEWZAUGWFMGT2R7E7RBT" localSheetId="21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localSheetId="4" hidden="1">#REF!</definedName>
    <definedName name="BEx3NGQBX2HEDKOCDX0TX1TGBB3P" localSheetId="6" hidden="1">#REF!</definedName>
    <definedName name="BEx3NGQBX2HEDKOCDX0TX1TGBB3P" localSheetId="21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localSheetId="4" hidden="1">#REF!</definedName>
    <definedName name="BEx3NLIZ7PHF2XE59ECZ3MD04ZG1" localSheetId="6" hidden="1">#REF!</definedName>
    <definedName name="BEx3NLIZ7PHF2XE59ECZ3MD04ZG1" localSheetId="21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localSheetId="4" hidden="1">#REF!</definedName>
    <definedName name="BEx3NMQ4BVC94728AUM7CCX7UHTU" localSheetId="6" hidden="1">#REF!</definedName>
    <definedName name="BEx3NMQ4BVC94728AUM7CCX7UHTU" localSheetId="21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localSheetId="4" hidden="1">#REF!</definedName>
    <definedName name="BEx3NR2I4OUFP3Z2QZEDU2PIFIDI" localSheetId="6" hidden="1">#REF!</definedName>
    <definedName name="BEx3NR2I4OUFP3Z2QZEDU2PIFIDI" localSheetId="21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localSheetId="4" hidden="1">#REF!</definedName>
    <definedName name="BEx3O19B8FTTAPVT5DZXQGQXWFR8" localSheetId="6" hidden="1">#REF!</definedName>
    <definedName name="BEx3O19B8FTTAPVT5DZXQGQXWFR8" localSheetId="21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localSheetId="4" hidden="1">#REF!</definedName>
    <definedName name="BEx3O85IKWARA6NCJOLRBRJFMEWW" localSheetId="6" hidden="1">#REF!</definedName>
    <definedName name="BEx3O85IKWARA6NCJOLRBRJFMEWW" localSheetId="21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localSheetId="4" hidden="1">#REF!</definedName>
    <definedName name="BEx3OJZSCGFRW7SVGBFI0X9DNVMM" localSheetId="6" hidden="1">#REF!</definedName>
    <definedName name="BEx3OJZSCGFRW7SVGBFI0X9DNVMM" localSheetId="21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localSheetId="4" hidden="1">#REF!</definedName>
    <definedName name="BEx3ORSBUXAF21MKEY90YJV9AY9A" localSheetId="6" hidden="1">#REF!</definedName>
    <definedName name="BEx3ORSBUXAF21MKEY90YJV9AY9A" localSheetId="21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localSheetId="4" hidden="1">#REF!</definedName>
    <definedName name="BEx3OUS0N576NJN078Y1BWUWQK6B" localSheetId="6" hidden="1">#REF!</definedName>
    <definedName name="BEx3OUS0N576NJN078Y1BWUWQK6B" localSheetId="21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localSheetId="4" hidden="1">#REF!</definedName>
    <definedName name="BEx3OV8BH6PYNZT7C246LOAU9SVX" localSheetId="6" hidden="1">#REF!</definedName>
    <definedName name="BEx3OV8BH6PYNZT7C246LOAU9SVX" localSheetId="21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localSheetId="4" hidden="1">#REF!</definedName>
    <definedName name="BEx3OXRYJZUEY6E72UJU0PHLMYAR" localSheetId="6" hidden="1">#REF!</definedName>
    <definedName name="BEx3OXRYJZUEY6E72UJU0PHLMYAR" localSheetId="21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localSheetId="4" hidden="1">#REF!</definedName>
    <definedName name="BEx3P3RP5PYI4BJVYGNU1V7KT5EH" localSheetId="6" hidden="1">#REF!</definedName>
    <definedName name="BEx3P3RP5PYI4BJVYGNU1V7KT5EH" localSheetId="21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localSheetId="4" hidden="1">#REF!</definedName>
    <definedName name="BEx3P59TTRSGQY888P5C1O7M2PQT" localSheetId="6" hidden="1">#REF!</definedName>
    <definedName name="BEx3P59TTRSGQY888P5C1O7M2PQT" localSheetId="21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localSheetId="4" hidden="1">#REF!</definedName>
    <definedName name="BEx3PDNRRNKD5GOUBUQFXAHIXLD9" localSheetId="6" hidden="1">#REF!</definedName>
    <definedName name="BEx3PDNRRNKD5GOUBUQFXAHIXLD9" localSheetId="21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localSheetId="4" hidden="1">#REF!</definedName>
    <definedName name="BEx3PDT8GNPWLLN02IH1XPV90XYK" localSheetId="6" hidden="1">#REF!</definedName>
    <definedName name="BEx3PDT8GNPWLLN02IH1XPV90XYK" localSheetId="21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localSheetId="4" hidden="1">#REF!</definedName>
    <definedName name="BEx3PKEMDW8KZEP11IL927C5O7I2" localSheetId="6" hidden="1">#REF!</definedName>
    <definedName name="BEx3PKEMDW8KZEP11IL927C5O7I2" localSheetId="21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localSheetId="4" hidden="1">#REF!</definedName>
    <definedName name="BEx3PKJZ1Z7L9S6KV8KXVS6B2FX4" localSheetId="6" hidden="1">#REF!</definedName>
    <definedName name="BEx3PKJZ1Z7L9S6KV8KXVS6B2FX4" localSheetId="21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localSheetId="4" hidden="1">#REF!</definedName>
    <definedName name="BEx3PMNG53Z5HY138H99QOMTX8W3" localSheetId="6" hidden="1">#REF!</definedName>
    <definedName name="BEx3PMNG53Z5HY138H99QOMTX8W3" localSheetId="21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localSheetId="4" hidden="1">#REF!</definedName>
    <definedName name="BEx3PP1RRSFZ8UC0JC9R91W6LNKW" localSheetId="6" hidden="1">#REF!</definedName>
    <definedName name="BEx3PP1RRSFZ8UC0JC9R91W6LNKW" localSheetId="21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localSheetId="4" hidden="1">#REF!</definedName>
    <definedName name="BEx3PRQW017D7T1X732WDV7L1KP8" localSheetId="6" hidden="1">#REF!</definedName>
    <definedName name="BEx3PRQW017D7T1X732WDV7L1KP8" localSheetId="21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localSheetId="4" hidden="1">#REF!</definedName>
    <definedName name="BEx3PVXYZC8WB9ZJE7OCKUXZ46EA" localSheetId="6" hidden="1">#REF!</definedName>
    <definedName name="BEx3PVXYZC8WB9ZJE7OCKUXZ46EA" localSheetId="21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localSheetId="4" hidden="1">#REF!</definedName>
    <definedName name="BEx3Q0VWPU5EQECK7MQ47TYJ3SWW" localSheetId="6" hidden="1">#REF!</definedName>
    <definedName name="BEx3Q0VWPU5EQECK7MQ47TYJ3SWW" localSheetId="21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localSheetId="4" hidden="1">#REF!</definedName>
    <definedName name="BEx3Q7BZ9PUXK2RLIOFSIS9AHU1B" localSheetId="6" hidden="1">#REF!</definedName>
    <definedName name="BEx3Q7BZ9PUXK2RLIOFSIS9AHU1B" localSheetId="21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localSheetId="4" hidden="1">#REF!</definedName>
    <definedName name="BEx3Q8J42S9VU6EAN2Y28MR6DF88" localSheetId="6" hidden="1">#REF!</definedName>
    <definedName name="BEx3Q8J42S9VU6EAN2Y28MR6DF88" localSheetId="21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localSheetId="4" hidden="1">#REF!</definedName>
    <definedName name="BEx3QCFD2TBUF95ZN83Q7JPV97FK" localSheetId="6" hidden="1">#REF!</definedName>
    <definedName name="BEx3QCFD2TBUF95ZN83Q7JPV97FK" localSheetId="21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localSheetId="4" hidden="1">#REF!</definedName>
    <definedName name="BEx3QEDFOYFY5NBTININ5W4RLD4Q" localSheetId="6" hidden="1">#REF!</definedName>
    <definedName name="BEx3QEDFOYFY5NBTININ5W4RLD4Q" localSheetId="21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localSheetId="4" hidden="1">#REF!</definedName>
    <definedName name="BEx3QIKJ3U962US1Q564NZDLU8LD" localSheetId="6" hidden="1">#REF!</definedName>
    <definedName name="BEx3QIKJ3U962US1Q564NZDLU8LD" localSheetId="21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localSheetId="4" hidden="1">#REF!</definedName>
    <definedName name="BEx3QLF3RHHBNUFLUWEROBZDF1U4" localSheetId="6" hidden="1">#REF!</definedName>
    <definedName name="BEx3QLF3RHHBNUFLUWEROBZDF1U4" localSheetId="21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localSheetId="4" hidden="1">#REF!</definedName>
    <definedName name="BEx3QR9D45DHW50VQ7Y3Q1AXPOB9" localSheetId="6" hidden="1">#REF!</definedName>
    <definedName name="BEx3QR9D45DHW50VQ7Y3Q1AXPOB9" localSheetId="21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localSheetId="4" hidden="1">#REF!</definedName>
    <definedName name="BEx3QSWT2S5KWG6U2V9711IYDQBM" localSheetId="6" hidden="1">#REF!</definedName>
    <definedName name="BEx3QSWT2S5KWG6U2V9711IYDQBM" localSheetId="21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localSheetId="4" hidden="1">#REF!</definedName>
    <definedName name="BEx3QVGG7Q2X4HZHJAM35A8T3VR7" localSheetId="6" hidden="1">#REF!</definedName>
    <definedName name="BEx3QVGG7Q2X4HZHJAM35A8T3VR7" localSheetId="21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localSheetId="4" hidden="1">#REF!</definedName>
    <definedName name="BEx3R0JUB9YN8PHPPQTAMIT1IHWK" localSheetId="6" hidden="1">#REF!</definedName>
    <definedName name="BEx3R0JUB9YN8PHPPQTAMIT1IHWK" localSheetId="21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localSheetId="4" hidden="1">#REF!</definedName>
    <definedName name="BEx3R81NFRO7M81VHVKOBFT0QBIL" localSheetId="6" hidden="1">#REF!</definedName>
    <definedName name="BEx3R81NFRO7M81VHVKOBFT0QBIL" localSheetId="21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localSheetId="4" hidden="1">#REF!</definedName>
    <definedName name="BEx3RHC2ZD5UFS6QD4OPFCNNMWH1" localSheetId="6" hidden="1">#REF!</definedName>
    <definedName name="BEx3RHC2ZD5UFS6QD4OPFCNNMWH1" localSheetId="21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localSheetId="4" hidden="1">#REF!</definedName>
    <definedName name="BEx3RQ10QIWBAPHALAA91BUUCM2X" localSheetId="6" hidden="1">#REF!</definedName>
    <definedName name="BEx3RQ10QIWBAPHALAA91BUUCM2X" localSheetId="21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localSheetId="4" hidden="1">#REF!</definedName>
    <definedName name="BEx3RV4E1WT43SZBUN09RTB8EK1O" localSheetId="6" hidden="1">#REF!</definedName>
    <definedName name="BEx3RV4E1WT43SZBUN09RTB8EK1O" localSheetId="21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localSheetId="4" hidden="1">#REF!</definedName>
    <definedName name="BEx3RXYU0QLFXSFTM5EB20GD03W5" localSheetId="6" hidden="1">#REF!</definedName>
    <definedName name="BEx3RXYU0QLFXSFTM5EB20GD03W5" localSheetId="21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localSheetId="4" hidden="1">#REF!</definedName>
    <definedName name="BEx3RYKLC3QQO3XTUN7BEW2AQL98" localSheetId="6" hidden="1">#REF!</definedName>
    <definedName name="BEx3RYKLC3QQO3XTUN7BEW2AQL98" localSheetId="21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localSheetId="4" hidden="1">#REF!</definedName>
    <definedName name="BEx3S37QNFSKW3DGRH5YVVEZLJI7" localSheetId="6" hidden="1">#REF!</definedName>
    <definedName name="BEx3S37QNFSKW3DGRH5YVVEZLJI7" localSheetId="21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localSheetId="4" hidden="1">#REF!</definedName>
    <definedName name="BEx3SICJ45BYT6FHBER86PJT25FC" localSheetId="6" hidden="1">#REF!</definedName>
    <definedName name="BEx3SICJ45BYT6FHBER86PJT25FC" localSheetId="21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localSheetId="4" hidden="1">#REF!</definedName>
    <definedName name="BEx3SMUCMJVGQ2H4EHQI5ZFHEF0P" localSheetId="6" hidden="1">#REF!</definedName>
    <definedName name="BEx3SMUCMJVGQ2H4EHQI5ZFHEF0P" localSheetId="21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localSheetId="4" hidden="1">#REF!</definedName>
    <definedName name="BEx3SN56F03CPDRDA7LZ763V0N4I" localSheetId="6" hidden="1">#REF!</definedName>
    <definedName name="BEx3SN56F03CPDRDA7LZ763V0N4I" localSheetId="21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localSheetId="4" hidden="1">#REF!</definedName>
    <definedName name="BEx3SPE6N1ORXPRCDL3JPZD73Z9F" localSheetId="6" hidden="1">#REF!</definedName>
    <definedName name="BEx3SPE6N1ORXPRCDL3JPZD73Z9F" localSheetId="21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localSheetId="4" hidden="1">#REF!</definedName>
    <definedName name="BEx3T29ZTULQE0OMSMWUMZDU9ZZ0" localSheetId="6" hidden="1">#REF!</definedName>
    <definedName name="BEx3T29ZTULQE0OMSMWUMZDU9ZZ0" localSheetId="21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localSheetId="4" hidden="1">#REF!</definedName>
    <definedName name="BEx3T6MJ1QDJ929WMUDVZ0O3UW0Y" localSheetId="6" hidden="1">#REF!</definedName>
    <definedName name="BEx3T6MJ1QDJ929WMUDVZ0O3UW0Y" localSheetId="21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localSheetId="4" hidden="1">#REF!</definedName>
    <definedName name="BEx3TD7WH1NN1OH0MRS4T8ENRU32" localSheetId="6" hidden="1">#REF!</definedName>
    <definedName name="BEx3TD7WH1NN1OH0MRS4T8ENRU32" localSheetId="21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localSheetId="4" hidden="1">#REF!</definedName>
    <definedName name="BEx3TPCSI16OAB2L9M9IULQMQ9J9" localSheetId="6" hidden="1">#REF!</definedName>
    <definedName name="BEx3TPCSI16OAB2L9M9IULQMQ9J9" localSheetId="21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localSheetId="4" hidden="1">#REF!</definedName>
    <definedName name="BEx3TQ3SFJB2WTCV0OXDE56FB46K" localSheetId="6" hidden="1">#REF!</definedName>
    <definedName name="BEx3TQ3SFJB2WTCV0OXDE56FB46K" localSheetId="21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localSheetId="4" hidden="1">#REF!</definedName>
    <definedName name="BEx3TX59M3456DDBXWFJ8X2TU37A" localSheetId="6" hidden="1">#REF!</definedName>
    <definedName name="BEx3TX59M3456DDBXWFJ8X2TU37A" localSheetId="21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localSheetId="4" hidden="1">#REF!</definedName>
    <definedName name="BEx3U2UBY80GPGSTYFGI6F8TPKCV" localSheetId="6" hidden="1">#REF!</definedName>
    <definedName name="BEx3U2UBY80GPGSTYFGI6F8TPKCV" localSheetId="21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localSheetId="4" hidden="1">#REF!</definedName>
    <definedName name="BEx3U64YUOZ419BAJS2W78UMATAW" localSheetId="6" hidden="1">#REF!</definedName>
    <definedName name="BEx3U64YUOZ419BAJS2W78UMATAW" localSheetId="21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localSheetId="4" hidden="1">#REF!</definedName>
    <definedName name="BEx3U94WCEA5DKMWBEX1GU0LKYG2" localSheetId="6" hidden="1">#REF!</definedName>
    <definedName name="BEx3U94WCEA5DKMWBEX1GU0LKYG2" localSheetId="21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localSheetId="4" hidden="1">#REF!</definedName>
    <definedName name="BEx3U9VZ8SQVYS6ZA038J7AP7ZGW" localSheetId="6" hidden="1">#REF!</definedName>
    <definedName name="BEx3U9VZ8SQVYS6ZA038J7AP7ZGW" localSheetId="21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localSheetId="4" hidden="1">#REF!</definedName>
    <definedName name="BEx3UIQ5WRJBGNTFCCLOR4N7B1OQ" localSheetId="6" hidden="1">#REF!</definedName>
    <definedName name="BEx3UIQ5WRJBGNTFCCLOR4N7B1OQ" localSheetId="21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localSheetId="4" hidden="1">#REF!</definedName>
    <definedName name="BEx3UJMIX2NUSSWGMSI25A5DM4CH" localSheetId="6" hidden="1">#REF!</definedName>
    <definedName name="BEx3UJMIX2NUSSWGMSI25A5DM4CH" localSheetId="21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localSheetId="4" hidden="1">#REF!</definedName>
    <definedName name="BEx3UKIX0UULWP3BZA8VT2SQ8WI7" localSheetId="6" hidden="1">#REF!</definedName>
    <definedName name="BEx3UKIX0UULWP3BZA8VT2SQ8WI7" localSheetId="21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localSheetId="4" hidden="1">#REF!</definedName>
    <definedName name="BEx3UKOCOQG7S1YQ436S997K1KWV" localSheetId="6" hidden="1">#REF!</definedName>
    <definedName name="BEx3UKOCOQG7S1YQ436S997K1KWV" localSheetId="21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localSheetId="4" hidden="1">#REF!</definedName>
    <definedName name="BEx3UYM19VIXLA0EU7LB9NHA77PB" localSheetId="6" hidden="1">#REF!</definedName>
    <definedName name="BEx3UYM19VIXLA0EU7LB9NHA77PB" localSheetId="21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localSheetId="4" hidden="1">#REF!</definedName>
    <definedName name="BEx3VML7CG70HPISMVYIUEN3711Q" localSheetId="6" hidden="1">#REF!</definedName>
    <definedName name="BEx3VML7CG70HPISMVYIUEN3711Q" localSheetId="21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localSheetId="4" hidden="1">#REF!</definedName>
    <definedName name="BEx56ZID5H04P9AIYLP1OASFGV56" localSheetId="6" hidden="1">#REF!</definedName>
    <definedName name="BEx56ZID5H04P9AIYLP1OASFGV56" localSheetId="21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localSheetId="4" hidden="1">#REF!</definedName>
    <definedName name="BEx57ROM8UIFKV5C1BOZWSQQLESO" localSheetId="6" hidden="1">#REF!</definedName>
    <definedName name="BEx57ROM8UIFKV5C1BOZWSQQLESO" localSheetId="21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localSheetId="4" hidden="1">#REF!</definedName>
    <definedName name="BEx587EYSS57E3PI8DT973HLJM9E" localSheetId="6" hidden="1">#REF!</definedName>
    <definedName name="BEx587EYSS57E3PI8DT973HLJM9E" localSheetId="21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localSheetId="4" hidden="1">#REF!</definedName>
    <definedName name="BEx587KFQ3VKCOCY1SA5F24PQGUI" localSheetId="6" hidden="1">#REF!</definedName>
    <definedName name="BEx587KFQ3VKCOCY1SA5F24PQGUI" localSheetId="21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localSheetId="4" hidden="1">#REF!</definedName>
    <definedName name="BEx58O780PQ05NF0Z1SKKRB3N099" localSheetId="6" hidden="1">#REF!</definedName>
    <definedName name="BEx58O780PQ05NF0Z1SKKRB3N099" localSheetId="21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localSheetId="4" hidden="1">#REF!</definedName>
    <definedName name="BEx58W57CTL8HFK3U7ZRFYZR6MXE" localSheetId="6" hidden="1">#REF!</definedName>
    <definedName name="BEx58W57CTL8HFK3U7ZRFYZR6MXE" localSheetId="21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localSheetId="4" hidden="1">#REF!</definedName>
    <definedName name="BEx58XHO7ZULLF2EUD7YIS0MGQJ5" localSheetId="6" hidden="1">#REF!</definedName>
    <definedName name="BEx58XHO7ZULLF2EUD7YIS0MGQJ5" localSheetId="21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localSheetId="4" hidden="1">#REF!</definedName>
    <definedName name="BEx58ZAFNTMGBNDH52VUYXLRJO7P" localSheetId="6" hidden="1">#REF!</definedName>
    <definedName name="BEx58ZAFNTMGBNDH52VUYXLRJO7P" localSheetId="21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localSheetId="4" hidden="1">#REF!</definedName>
    <definedName name="BEx58ZW0HAIGIPEX9CVA1PQQTR6X" localSheetId="6" hidden="1">#REF!</definedName>
    <definedName name="BEx58ZW0HAIGIPEX9CVA1PQQTR6X" localSheetId="21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localSheetId="4" hidden="1">#REF!</definedName>
    <definedName name="BEx593SAFVYKW7V61D9COEZJXDA7" localSheetId="6" hidden="1">#REF!</definedName>
    <definedName name="BEx593SAFVYKW7V61D9COEZJXDA7" localSheetId="21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localSheetId="4" hidden="1">#REF!</definedName>
    <definedName name="BEx59BA1KH3RG6K1LHL7YS2VB79N" localSheetId="6" hidden="1">#REF!</definedName>
    <definedName name="BEx59BA1KH3RG6K1LHL7YS2VB79N" localSheetId="21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localSheetId="4" hidden="1">#REF!</definedName>
    <definedName name="BEx59DDIU0AMFOY94NSP1ULST8JD" localSheetId="6" hidden="1">#REF!</definedName>
    <definedName name="BEx59DDIU0AMFOY94NSP1ULST8JD" localSheetId="21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localSheetId="4" hidden="1">#REF!</definedName>
    <definedName name="BEx59E9WABJP2TN71QAIKK79HPK9" localSheetId="6" hidden="1">#REF!</definedName>
    <definedName name="BEx59E9WABJP2TN71QAIKK79HPK9" localSheetId="21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localSheetId="4" hidden="1">#REF!</definedName>
    <definedName name="BEx59F0T17A80RNLNSZNFX8NAO8Y" localSheetId="6" hidden="1">#REF!</definedName>
    <definedName name="BEx59F0T17A80RNLNSZNFX8NAO8Y" localSheetId="21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localSheetId="4" hidden="1">#REF!</definedName>
    <definedName name="BEx59P7MAPNU129ZTC5H3EH892G1" localSheetId="6" hidden="1">#REF!</definedName>
    <definedName name="BEx59P7MAPNU129ZTC5H3EH892G1" localSheetId="21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localSheetId="4" hidden="1">#REF!</definedName>
    <definedName name="BEx5A11WZRQSIE089QE119AOX9ZG" localSheetId="6" hidden="1">#REF!</definedName>
    <definedName name="BEx5A11WZRQSIE089QE119AOX9ZG" localSheetId="21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localSheetId="4" hidden="1">#REF!</definedName>
    <definedName name="BEx5A7CIGCOTHJKHGUBDZG91JGPZ" localSheetId="6" hidden="1">#REF!</definedName>
    <definedName name="BEx5A7CIGCOTHJKHGUBDZG91JGPZ" localSheetId="21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localSheetId="4" hidden="1">#REF!</definedName>
    <definedName name="BEx5A8UFLT2SWVSG5COFA9B8P376" localSheetId="6" hidden="1">#REF!</definedName>
    <definedName name="BEx5A8UFLT2SWVSG5COFA9B8P376" localSheetId="21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localSheetId="4" hidden="1">#REF!</definedName>
    <definedName name="BEx5ABUBK8WJV1WILGYU9A7CO0KI" localSheetId="6" hidden="1">#REF!</definedName>
    <definedName name="BEx5ABUBK8WJV1WILGYU9A7CO0KI" localSheetId="21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localSheetId="4" hidden="1">#REF!</definedName>
    <definedName name="BEx5AFFTN3IXIBHDKM0FYC4OFL1S" localSheetId="6" hidden="1">#REF!</definedName>
    <definedName name="BEx5AFFTN3IXIBHDKM0FYC4OFL1S" localSheetId="21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localSheetId="4" hidden="1">#REF!</definedName>
    <definedName name="BEx5AOFIO8KVRHIZ1RII337AA8ML" localSheetId="6" hidden="1">#REF!</definedName>
    <definedName name="BEx5AOFIO8KVRHIZ1RII337AA8ML" localSheetId="21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localSheetId="4" hidden="1">#REF!</definedName>
    <definedName name="BEx5APRZ66L5BWHFE8E4YYNEDTI4" localSheetId="6" hidden="1">#REF!</definedName>
    <definedName name="BEx5APRZ66L5BWHFE8E4YYNEDTI4" localSheetId="21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localSheetId="4" hidden="1">#REF!</definedName>
    <definedName name="BEx5AQJ1Z64KY10P8ZF1JKJUFEGN" localSheetId="6" hidden="1">#REF!</definedName>
    <definedName name="BEx5AQJ1Z64KY10P8ZF1JKJUFEGN" localSheetId="21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localSheetId="4" hidden="1">#REF!</definedName>
    <definedName name="BEx5AY62R0TL82VHXE37SCZCINQC" localSheetId="6" hidden="1">#REF!</definedName>
    <definedName name="BEx5AY62R0TL82VHXE37SCZCINQC" localSheetId="21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localSheetId="4" hidden="1">#REF!</definedName>
    <definedName name="BEx5B0PV1FCOUSHWQTY94AO0B8P0" localSheetId="6" hidden="1">#REF!</definedName>
    <definedName name="BEx5B0PV1FCOUSHWQTY94AO0B8P0" localSheetId="21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localSheetId="4" hidden="1">#REF!</definedName>
    <definedName name="BEx5B4RHHX0J1BF2FZKEA0SPP29O" localSheetId="6" hidden="1">#REF!</definedName>
    <definedName name="BEx5B4RHHX0J1BF2FZKEA0SPP29O" localSheetId="21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localSheetId="4" hidden="1">#REF!</definedName>
    <definedName name="BEx5B5YMSWP0OVI5CIQRP5V18D0C" localSheetId="6" hidden="1">#REF!</definedName>
    <definedName name="BEx5B5YMSWP0OVI5CIQRP5V18D0C" localSheetId="21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localSheetId="4" hidden="1">#REF!</definedName>
    <definedName name="BEx5B825RW35M5H0UB2IZGGRS4ER" localSheetId="6" hidden="1">#REF!</definedName>
    <definedName name="BEx5B825RW35M5H0UB2IZGGRS4ER" localSheetId="21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localSheetId="4" hidden="1">#REF!</definedName>
    <definedName name="BEx5BAWPMY0TL684WDXX6KKJLRCN" localSheetId="6" hidden="1">#REF!</definedName>
    <definedName name="BEx5BAWPMY0TL684WDXX6KKJLRCN" localSheetId="21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localSheetId="4" hidden="1">#REF!</definedName>
    <definedName name="BEx5BBCUOWR6J9MZS2ML5XB0X7MW" localSheetId="6" hidden="1">#REF!</definedName>
    <definedName name="BEx5BBCUOWR6J9MZS2ML5XB0X7MW" localSheetId="21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localSheetId="4" hidden="1">#REF!</definedName>
    <definedName name="BEx5BBI61U4Y65GD0ARMTALPP7SJ" localSheetId="6" hidden="1">#REF!</definedName>
    <definedName name="BEx5BBI61U4Y65GD0ARMTALPP7SJ" localSheetId="21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localSheetId="4" hidden="1">#REF!</definedName>
    <definedName name="BEx5BDR56MEV4IHY6CIH2SVNG1UB" localSheetId="6" hidden="1">#REF!</definedName>
    <definedName name="BEx5BDR56MEV4IHY6CIH2SVNG1UB" localSheetId="21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localSheetId="4" hidden="1">#REF!</definedName>
    <definedName name="BEx5BESZC5H329SKHGJOHZFILYJJ" localSheetId="6" hidden="1">#REF!</definedName>
    <definedName name="BEx5BESZC5H329SKHGJOHZFILYJJ" localSheetId="21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localSheetId="4" hidden="1">#REF!</definedName>
    <definedName name="BEx5BHSQ42B50IU1TEQFUXFX9XQD" localSheetId="6" hidden="1">#REF!</definedName>
    <definedName name="BEx5BHSQ42B50IU1TEQFUXFX9XQD" localSheetId="21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localSheetId="4" hidden="1">#REF!</definedName>
    <definedName name="BEx5BKSM4UN4C1DM3EYKM79MRC5K" localSheetId="6" hidden="1">#REF!</definedName>
    <definedName name="BEx5BKSM4UN4C1DM3EYKM79MRC5K" localSheetId="21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localSheetId="4" hidden="1">#REF!</definedName>
    <definedName name="BEx5BNN8NPH9KVOBARB9CDD9WLB6" localSheetId="6" hidden="1">#REF!</definedName>
    <definedName name="BEx5BNN8NPH9KVOBARB9CDD9WLB6" localSheetId="21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localSheetId="4" hidden="1">#REF!</definedName>
    <definedName name="BEx5BPLEZ8XY6S89R7AZQSKLT4HK" localSheetId="6" hidden="1">#REF!</definedName>
    <definedName name="BEx5BPLEZ8XY6S89R7AZQSKLT4HK" localSheetId="21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localSheetId="4" hidden="1">#REF!</definedName>
    <definedName name="BEx5BYFMZ80TDDN2EZO8CF39AIAC" localSheetId="6" hidden="1">#REF!</definedName>
    <definedName name="BEx5BYFMZ80TDDN2EZO8CF39AIAC" localSheetId="21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localSheetId="4" hidden="1">#REF!</definedName>
    <definedName name="BEx5C2BWFW6SHZBFDEISKGXHZCQW" localSheetId="6" hidden="1">#REF!</definedName>
    <definedName name="BEx5C2BWFW6SHZBFDEISKGXHZCQW" localSheetId="21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localSheetId="4" hidden="1">#REF!</definedName>
    <definedName name="BEx5C44NK782B81CBGQUDS6Z8MV9" localSheetId="6" hidden="1">#REF!</definedName>
    <definedName name="BEx5C44NK782B81CBGQUDS6Z8MV9" localSheetId="21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localSheetId="4" hidden="1">#REF!</definedName>
    <definedName name="BEx5C49ZFH8TO9ZU55729C3F7XG7" localSheetId="6" hidden="1">#REF!</definedName>
    <definedName name="BEx5C49ZFH8TO9ZU55729C3F7XG7" localSheetId="21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localSheetId="4" hidden="1">#REF!</definedName>
    <definedName name="BEx5C8GZQK13G60ZM70P63I5OS0L" localSheetId="6" hidden="1">#REF!</definedName>
    <definedName name="BEx5C8GZQK13G60ZM70P63I5OS0L" localSheetId="21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localSheetId="4" hidden="1">#REF!</definedName>
    <definedName name="BEx5CAPTVN2NBT3UOMA1UFAL1C2R" localSheetId="6" hidden="1">#REF!</definedName>
    <definedName name="BEx5CAPTVN2NBT3UOMA1UFAL1C2R" localSheetId="21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localSheetId="4" hidden="1">#REF!</definedName>
    <definedName name="BEx5CEM3SYF9XP0ZZVE0GEPCLV3F" localSheetId="6" hidden="1">#REF!</definedName>
    <definedName name="BEx5CEM3SYF9XP0ZZVE0GEPCLV3F" localSheetId="21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localSheetId="4" hidden="1">#REF!</definedName>
    <definedName name="BEx5CFYQ0F1Z6P8SCVJ0I3UPVFE4" localSheetId="6" hidden="1">#REF!</definedName>
    <definedName name="BEx5CFYQ0F1Z6P8SCVJ0I3UPVFE4" localSheetId="21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localSheetId="4" hidden="1">#REF!</definedName>
    <definedName name="BEx5CPEKNSJORIPFQC2E1LTRYY8L" localSheetId="6" hidden="1">#REF!</definedName>
    <definedName name="BEx5CPEKNSJORIPFQC2E1LTRYY8L" localSheetId="21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localSheetId="4" hidden="1">#REF!</definedName>
    <definedName name="BEx5CSUOL05D8PAM2TRDA9VRJT1O" localSheetId="6" hidden="1">#REF!</definedName>
    <definedName name="BEx5CSUOL05D8PAM2TRDA9VRJT1O" localSheetId="21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localSheetId="4" hidden="1">#REF!</definedName>
    <definedName name="BEx5CUNFOO4YDFJ22HCMI2QKIGKM" localSheetId="6" hidden="1">#REF!</definedName>
    <definedName name="BEx5CUNFOO4YDFJ22HCMI2QKIGKM" localSheetId="21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localSheetId="4" hidden="1">#REF!</definedName>
    <definedName name="BEx5D01O3G6BXWXT7MZEVS1F4TE9" localSheetId="6" hidden="1">#REF!</definedName>
    <definedName name="BEx5D01O3G6BXWXT7MZEVS1F4TE9" localSheetId="21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localSheetId="4" hidden="1">#REF!</definedName>
    <definedName name="BEx5D3HO5XE85AN0NGALZ4K4GE8J" localSheetId="6" hidden="1">#REF!</definedName>
    <definedName name="BEx5D3HO5XE85AN0NGALZ4K4GE8J" localSheetId="21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localSheetId="4" hidden="1">#REF!</definedName>
    <definedName name="BEx5D8L47OF0WHBPFWXGZINZWUBZ" localSheetId="6" hidden="1">#REF!</definedName>
    <definedName name="BEx5D8L47OF0WHBPFWXGZINZWUBZ" localSheetId="21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localSheetId="4" hidden="1">#REF!</definedName>
    <definedName name="BEx5DAJAHQ2SKUPCKSCR3PYML67L" localSheetId="6" hidden="1">#REF!</definedName>
    <definedName name="BEx5DAJAHQ2SKUPCKSCR3PYML67L" localSheetId="21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localSheetId="4" hidden="1">#REF!</definedName>
    <definedName name="BEx5DC18JM1KJCV44PF18E0LNRKA" localSheetId="6" hidden="1">#REF!</definedName>
    <definedName name="BEx5DC18JM1KJCV44PF18E0LNRKA" localSheetId="21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localSheetId="4" hidden="1">#REF!</definedName>
    <definedName name="BEx5DFH8EU3RCPUOTFY8S9G8SBCG" localSheetId="6" hidden="1">#REF!</definedName>
    <definedName name="BEx5DFH8EU3RCPUOTFY8S9G8SBCG" localSheetId="21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localSheetId="4" hidden="1">#REF!</definedName>
    <definedName name="BEx5DJIZBTNS011R9IIG2OQ2L6ZX" localSheetId="6" hidden="1">#REF!</definedName>
    <definedName name="BEx5DJIZBTNS011R9IIG2OQ2L6ZX" localSheetId="21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localSheetId="4" hidden="1">#REF!</definedName>
    <definedName name="BEx5DS2EKWFPC2UWI1W1QESX9QP5" localSheetId="6" hidden="1">#REF!</definedName>
    <definedName name="BEx5DS2EKWFPC2UWI1W1QESX9QP5" localSheetId="21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localSheetId="4" hidden="1">#REF!</definedName>
    <definedName name="BEx5E123OLO9WQUOIRIDJ967KAGK" localSheetId="6" hidden="1">#REF!</definedName>
    <definedName name="BEx5E123OLO9WQUOIRIDJ967KAGK" localSheetId="21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localSheetId="4" hidden="1">#REF!</definedName>
    <definedName name="BEx5E2UU5NES6W779W2OZTZOB4O7" localSheetId="6" hidden="1">#REF!</definedName>
    <definedName name="BEx5E2UU5NES6W779W2OZTZOB4O7" localSheetId="21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localSheetId="4" hidden="1">#REF!</definedName>
    <definedName name="BEx5ELFT92WAQN3NW8COIMQHUL91" localSheetId="6" hidden="1">#REF!</definedName>
    <definedName name="BEx5ELFT92WAQN3NW8COIMQHUL91" localSheetId="21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localSheetId="4" hidden="1">#REF!</definedName>
    <definedName name="BEx5ELQL9B0VR6UT18KP11DHOTFX" localSheetId="6" hidden="1">#REF!</definedName>
    <definedName name="BEx5ELQL9B0VR6UT18KP11DHOTFX" localSheetId="21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localSheetId="4" hidden="1">#REF!</definedName>
    <definedName name="BEx5ER4TJTFPN7IB1MNEB1ZFR5M6" localSheetId="6" hidden="1">#REF!</definedName>
    <definedName name="BEx5ER4TJTFPN7IB1MNEB1ZFR5M6" localSheetId="21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localSheetId="4" hidden="1">#REF!</definedName>
    <definedName name="BEx5EYXB2LDMI4FLC3QFAOXC0FZ3" localSheetId="6" hidden="1">#REF!</definedName>
    <definedName name="BEx5EYXB2LDMI4FLC3QFAOXC0FZ3" localSheetId="21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localSheetId="4" hidden="1">#REF!</definedName>
    <definedName name="BEx5F6V72QTCK7O39Y59R0EVM6CW" localSheetId="6" hidden="1">#REF!</definedName>
    <definedName name="BEx5F6V72QTCK7O39Y59R0EVM6CW" localSheetId="21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localSheetId="4" hidden="1">#REF!</definedName>
    <definedName name="BEx5FGLQVACD5F5YZG4DGSCHCGO2" localSheetId="6" hidden="1">#REF!</definedName>
    <definedName name="BEx5FGLQVACD5F5YZG4DGSCHCGO2" localSheetId="21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localSheetId="4" hidden="1">#REF!</definedName>
    <definedName name="BEx5FHCTE8VTJEF7IK189AVLNYSY" localSheetId="6" hidden="1">#REF!</definedName>
    <definedName name="BEx5FHCTE8VTJEF7IK189AVLNYSY" localSheetId="21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localSheetId="4" hidden="1">#REF!</definedName>
    <definedName name="BEx5FLJWHLW3BTZILDPN5NMA449V" localSheetId="6" hidden="1">#REF!</definedName>
    <definedName name="BEx5FLJWHLW3BTZILDPN5NMA449V" localSheetId="21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localSheetId="4" hidden="1">#REF!</definedName>
    <definedName name="BEx5FNI2O10YN2SI1NO4X5GP3GTF" localSheetId="6" hidden="1">#REF!</definedName>
    <definedName name="BEx5FNI2O10YN2SI1NO4X5GP3GTF" localSheetId="21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localSheetId="4" hidden="1">#REF!</definedName>
    <definedName name="BEx5FO8YRFSZCG3L608EHIHIHFY4" localSheetId="6" hidden="1">#REF!</definedName>
    <definedName name="BEx5FO8YRFSZCG3L608EHIHIHFY4" localSheetId="21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localSheetId="4" hidden="1">#REF!</definedName>
    <definedName name="BEx5FQNA6V4CNYSH013K45RI4BCV" localSheetId="6" hidden="1">#REF!</definedName>
    <definedName name="BEx5FQNA6V4CNYSH013K45RI4BCV" localSheetId="21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localSheetId="4" hidden="1">#REF!</definedName>
    <definedName name="BEx5FVQPPEU32CPNV9RRQ9MNLLVE" localSheetId="6" hidden="1">#REF!</definedName>
    <definedName name="BEx5FVQPPEU32CPNV9RRQ9MNLLVE" localSheetId="21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localSheetId="4" hidden="1">#REF!</definedName>
    <definedName name="BEx5G08KGMG5X2AQKDGPFYG5GH94" localSheetId="6" hidden="1">#REF!</definedName>
    <definedName name="BEx5G08KGMG5X2AQKDGPFYG5GH94" localSheetId="21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localSheetId="4" hidden="1">#REF!</definedName>
    <definedName name="BEx5G1A8TFN4C4QII35U9DKYNIS8" localSheetId="6" hidden="1">#REF!</definedName>
    <definedName name="BEx5G1A8TFN4C4QII35U9DKYNIS8" localSheetId="21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localSheetId="4" hidden="1">#REF!</definedName>
    <definedName name="BEx5G1L0QO91KEPDMV1D8OT4BT73" localSheetId="6" hidden="1">#REF!</definedName>
    <definedName name="BEx5G1L0QO91KEPDMV1D8OT4BT73" localSheetId="21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localSheetId="4" hidden="1">#REF!</definedName>
    <definedName name="BEx5G1QHX69GFUYHUZA5X74MTDMR" localSheetId="6" hidden="1">#REF!</definedName>
    <definedName name="BEx5G1QHX69GFUYHUZA5X74MTDMR" localSheetId="21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localSheetId="4" hidden="1">#REF!</definedName>
    <definedName name="BEx5G5S2C9JRD28ZQMMQLCBHWOHB" localSheetId="6" hidden="1">#REF!</definedName>
    <definedName name="BEx5G5S2C9JRD28ZQMMQLCBHWOHB" localSheetId="21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localSheetId="4" hidden="1">#REF!</definedName>
    <definedName name="BEx5G7KU3EGZQSYN2YNML8EW8NDC" localSheetId="6" hidden="1">#REF!</definedName>
    <definedName name="BEx5G7KU3EGZQSYN2YNML8EW8NDC" localSheetId="21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localSheetId="4" hidden="1">#REF!</definedName>
    <definedName name="BEx5G86DZL1VYUX6KWODAP3WFAWP" localSheetId="6" hidden="1">#REF!</definedName>
    <definedName name="BEx5G86DZL1VYUX6KWODAP3WFAWP" localSheetId="21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localSheetId="4" hidden="1">#REF!</definedName>
    <definedName name="BEx5G8BV2GIOCM3C7IUFK8L04A6M" localSheetId="6" hidden="1">#REF!</definedName>
    <definedName name="BEx5G8BV2GIOCM3C7IUFK8L04A6M" localSheetId="21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localSheetId="4" hidden="1">#REF!</definedName>
    <definedName name="BEx5GID9MVBUPFFT9M8K8B5MO9NV" localSheetId="6" hidden="1">#REF!</definedName>
    <definedName name="BEx5GID9MVBUPFFT9M8K8B5MO9NV" localSheetId="21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localSheetId="4" hidden="1">#REF!</definedName>
    <definedName name="BEx5GN0EWA9SCQDPQ7NTUQH82QVK" localSheetId="6" hidden="1">#REF!</definedName>
    <definedName name="BEx5GN0EWA9SCQDPQ7NTUQH82QVK" localSheetId="21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localSheetId="4" hidden="1">#REF!</definedName>
    <definedName name="BEx5GNBCU4WZ74I0UXFL9ZG2XSGJ" localSheetId="6" hidden="1">#REF!</definedName>
    <definedName name="BEx5GNBCU4WZ74I0UXFL9ZG2XSGJ" localSheetId="21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localSheetId="4" hidden="1">#REF!</definedName>
    <definedName name="BEx5GUCTYC7QCWGWU5BTO7Y7HDZX" localSheetId="6" hidden="1">#REF!</definedName>
    <definedName name="BEx5GUCTYC7QCWGWU5BTO7Y7HDZX" localSheetId="21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localSheetId="4" hidden="1">#REF!</definedName>
    <definedName name="BEx5GYUPJULJQ624TEESYFG1NFOH" localSheetId="6" hidden="1">#REF!</definedName>
    <definedName name="BEx5GYUPJULJQ624TEESYFG1NFOH" localSheetId="21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localSheetId="4" hidden="1">#REF!</definedName>
    <definedName name="BEx5H0NEE0AIN5E2UHJ9J9ISU9N1" localSheetId="6" hidden="1">#REF!</definedName>
    <definedName name="BEx5H0NEE0AIN5E2UHJ9J9ISU9N1" localSheetId="21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localSheetId="4" hidden="1">#REF!</definedName>
    <definedName name="BEx5H1UJSEUQM2K8QHQXO5THVHSO" localSheetId="6" hidden="1">#REF!</definedName>
    <definedName name="BEx5H1UJSEUQM2K8QHQXO5THVHSO" localSheetId="21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localSheetId="4" hidden="1">#REF!</definedName>
    <definedName name="BEx5HAOT9XWUF7XIFRZZS8B9F5TZ" localSheetId="6" hidden="1">#REF!</definedName>
    <definedName name="BEx5HAOT9XWUF7XIFRZZS8B9F5TZ" localSheetId="21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localSheetId="4" hidden="1">#REF!</definedName>
    <definedName name="BEx5HB534CO7TBSALKMD27WHMAQJ" localSheetId="6" hidden="1">#REF!</definedName>
    <definedName name="BEx5HB534CO7TBSALKMD27WHMAQJ" localSheetId="21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localSheetId="4" hidden="1">#REF!</definedName>
    <definedName name="BEx5HE4XRF9BUY04MENWY9CHHN5H" localSheetId="6" hidden="1">#REF!</definedName>
    <definedName name="BEx5HE4XRF9BUY04MENWY9CHHN5H" localSheetId="21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localSheetId="4" hidden="1">#REF!</definedName>
    <definedName name="BEx5HFHMABAT0H9KKS754X4T304E" localSheetId="6" hidden="1">#REF!</definedName>
    <definedName name="BEx5HFHMABAT0H9KKS754X4T304E" localSheetId="21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localSheetId="4" hidden="1">#REF!</definedName>
    <definedName name="BEx5HGDZ7MX1S3KNXLRL9WU565V4" localSheetId="6" hidden="1">#REF!</definedName>
    <definedName name="BEx5HGDZ7MX1S3KNXLRL9WU565V4" localSheetId="21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localSheetId="4" hidden="1">#REF!</definedName>
    <definedName name="BEx5HJZ9FAVNZSSBTAYRPZDYM9NU" localSheetId="6" hidden="1">#REF!</definedName>
    <definedName name="BEx5HJZ9FAVNZSSBTAYRPZDYM9NU" localSheetId="21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localSheetId="4" hidden="1">#REF!</definedName>
    <definedName name="BEx5HZ9JMKHNLFWLVUB1WP5B39BL" localSheetId="6" hidden="1">#REF!</definedName>
    <definedName name="BEx5HZ9JMKHNLFWLVUB1WP5B39BL" localSheetId="21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localSheetId="4" hidden="1">#REF!</definedName>
    <definedName name="BEx5I17QJ0PQ1OG1IMH69HMQWNEA" localSheetId="6" hidden="1">#REF!</definedName>
    <definedName name="BEx5I17QJ0PQ1OG1IMH69HMQWNEA" localSheetId="21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localSheetId="4" hidden="1">#REF!</definedName>
    <definedName name="BEx5I244LQHZTF3XI66J8705R9XX" localSheetId="6" hidden="1">#REF!</definedName>
    <definedName name="BEx5I244LQHZTF3XI66J8705R9XX" localSheetId="21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localSheetId="4" hidden="1">#REF!</definedName>
    <definedName name="BEx5I8PBP4LIXDGID5BP0THLO0AQ" localSheetId="6" hidden="1">#REF!</definedName>
    <definedName name="BEx5I8PBP4LIXDGID5BP0THLO0AQ" localSheetId="21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localSheetId="4" hidden="1">#REF!</definedName>
    <definedName name="BEx5I8USVUB3JP4S9OXGMZVMOQXR" localSheetId="6" hidden="1">#REF!</definedName>
    <definedName name="BEx5I8USVUB3JP4S9OXGMZVMOQXR" localSheetId="21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localSheetId="4" hidden="1">#REF!</definedName>
    <definedName name="BEx5I9GDQSYIAL65UQNDMNFQCS9Y" localSheetId="6" hidden="1">#REF!</definedName>
    <definedName name="BEx5I9GDQSYIAL65UQNDMNFQCS9Y" localSheetId="21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localSheetId="4" hidden="1">#REF!</definedName>
    <definedName name="BEx5IBUPG9AWNW5PK7JGRGEJ4OLM" localSheetId="6" hidden="1">#REF!</definedName>
    <definedName name="BEx5IBUPG9AWNW5PK7JGRGEJ4OLM" localSheetId="21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localSheetId="4" hidden="1">#REF!</definedName>
    <definedName name="BEx5IC06RVN8BSAEPREVKHKLCJ2L" localSheetId="6" hidden="1">#REF!</definedName>
    <definedName name="BEx5IC06RVN8BSAEPREVKHKLCJ2L" localSheetId="21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localSheetId="4" hidden="1">#REF!</definedName>
    <definedName name="BEx5IGY4M04BPXSQF2J4GQYXF85O" localSheetId="6" hidden="1">#REF!</definedName>
    <definedName name="BEx5IGY4M04BPXSQF2J4GQYXF85O" localSheetId="21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localSheetId="4" hidden="1">#REF!</definedName>
    <definedName name="BEx5IWTZDCLZ5CCDG108STY04SAJ" localSheetId="6" hidden="1">#REF!</definedName>
    <definedName name="BEx5IWTZDCLZ5CCDG108STY04SAJ" localSheetId="21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localSheetId="4" hidden="1">#REF!</definedName>
    <definedName name="BEx5J0FFP1KS4NGY20AEJI8VREEA" localSheetId="6" hidden="1">#REF!</definedName>
    <definedName name="BEx5J0FFP1KS4NGY20AEJI8VREEA" localSheetId="21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localSheetId="4" hidden="1">#REF!</definedName>
    <definedName name="BEx5J1XE5FVWL6IJV6CWKPN24UBK" localSheetId="6" hidden="1">#REF!</definedName>
    <definedName name="BEx5J1XE5FVWL6IJV6CWKPN24UBK" localSheetId="21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localSheetId="4" hidden="1">#REF!</definedName>
    <definedName name="BEx5JF3ZXLDIS8VNKDCY7ZI7H1CI" localSheetId="6" hidden="1">#REF!</definedName>
    <definedName name="BEx5JF3ZXLDIS8VNKDCY7ZI7H1CI" localSheetId="21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localSheetId="4" hidden="1">#REF!</definedName>
    <definedName name="BEx5JHCZJ8G6OOOW6EF3GABXKH6F" localSheetId="6" hidden="1">#REF!</definedName>
    <definedName name="BEx5JHCZJ8G6OOOW6EF3GABXKH6F" localSheetId="21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localSheetId="4" hidden="1">#REF!</definedName>
    <definedName name="BEx5JJB6W446THXQCRUKD3I7RKLP" localSheetId="6" hidden="1">#REF!</definedName>
    <definedName name="BEx5JJB6W446THXQCRUKD3I7RKLP" localSheetId="21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localSheetId="4" hidden="1">#REF!</definedName>
    <definedName name="BEx5JNCT8Z7XSSPD5EMNAJELCU2V" localSheetId="6" hidden="1">#REF!</definedName>
    <definedName name="BEx5JNCT8Z7XSSPD5EMNAJELCU2V" localSheetId="21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localSheetId="4" hidden="1">#REF!</definedName>
    <definedName name="BEx5JQCNT9Y4RM306CHC8IPY3HBZ" localSheetId="6" hidden="1">#REF!</definedName>
    <definedName name="BEx5JQCNT9Y4RM306CHC8IPY3HBZ" localSheetId="21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localSheetId="4" hidden="1">#REF!</definedName>
    <definedName name="BEx5K08PYKE6JOKBYIB006TX619P" localSheetId="6" hidden="1">#REF!</definedName>
    <definedName name="BEx5K08PYKE6JOKBYIB006TX619P" localSheetId="21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localSheetId="4" hidden="1">#REF!</definedName>
    <definedName name="BEx5K4W2S2K7M9V2M304KW93LK8Q" localSheetId="6" hidden="1">#REF!</definedName>
    <definedName name="BEx5K4W2S2K7M9V2M304KW93LK8Q" localSheetId="21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localSheetId="4" hidden="1">#REF!</definedName>
    <definedName name="BEx5K51DSERT1TR7B4A29R41W4NX" localSheetId="6" hidden="1">#REF!</definedName>
    <definedName name="BEx5K51DSERT1TR7B4A29R41W4NX" localSheetId="21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localSheetId="4" hidden="1">#REF!</definedName>
    <definedName name="BEx5KBBZ8KCEQK36ARG4ERYOFD4G" localSheetId="6" hidden="1">#REF!</definedName>
    <definedName name="BEx5KBBZ8KCEQK36ARG4ERYOFD4G" localSheetId="21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localSheetId="4" hidden="1">#REF!</definedName>
    <definedName name="BEx5KCOET0DYMY4VILOLGVBX7E3C" localSheetId="6" hidden="1">#REF!</definedName>
    <definedName name="BEx5KCOET0DYMY4VILOLGVBX7E3C" localSheetId="21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localSheetId="4" hidden="1">#REF!</definedName>
    <definedName name="BEx5KYER580I4T7WTLMUN7NLNP5K" localSheetId="6" hidden="1">#REF!</definedName>
    <definedName name="BEx5KYER580I4T7WTLMUN7NLNP5K" localSheetId="21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localSheetId="4" hidden="1">#REF!</definedName>
    <definedName name="BEx5LHLB3M6K4ZKY2F42QBZT30ZH" localSheetId="6" hidden="1">#REF!</definedName>
    <definedName name="BEx5LHLB3M6K4ZKY2F42QBZT30ZH" localSheetId="21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localSheetId="4" hidden="1">#REF!</definedName>
    <definedName name="BEx5LKQJG40DO2JR1ZF6KD3PON9K" localSheetId="6" hidden="1">#REF!</definedName>
    <definedName name="BEx5LKQJG40DO2JR1ZF6KD3PON9K" localSheetId="21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localSheetId="4" hidden="1">#REF!</definedName>
    <definedName name="BEx5LQA84QRPGAR4FLC7MCT3H9EN" localSheetId="6" hidden="1">#REF!</definedName>
    <definedName name="BEx5LQA84QRPGAR4FLC7MCT3H9EN" localSheetId="21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localSheetId="4" hidden="1">#REF!</definedName>
    <definedName name="BEx5LRMNU3HXIE1BUMDHRU31F7JJ" localSheetId="6" hidden="1">#REF!</definedName>
    <definedName name="BEx5LRMNU3HXIE1BUMDHRU31F7JJ" localSheetId="21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localSheetId="4" hidden="1">#REF!</definedName>
    <definedName name="BEx5LSJ1LPUAX3ENSPECWPG4J7D1" localSheetId="6" hidden="1">#REF!</definedName>
    <definedName name="BEx5LSJ1LPUAX3ENSPECWPG4J7D1" localSheetId="21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localSheetId="4" hidden="1">#REF!</definedName>
    <definedName name="BEx5LTKQ8RQWJE4BC88OP928893U" localSheetId="6" hidden="1">#REF!</definedName>
    <definedName name="BEx5LTKQ8RQWJE4BC88OP928893U" localSheetId="21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localSheetId="4" hidden="1">#REF!</definedName>
    <definedName name="BEx5M4D4KHXU4JXKDEHZZNRG7NRA" localSheetId="6" hidden="1">#REF!</definedName>
    <definedName name="BEx5M4D4KHXU4JXKDEHZZNRG7NRA" localSheetId="21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localSheetId="4" hidden="1">#REF!</definedName>
    <definedName name="BEx5MB9BR71LZDG7XXQ2EO58JC5F" localSheetId="6" hidden="1">#REF!</definedName>
    <definedName name="BEx5MB9BR71LZDG7XXQ2EO58JC5F" localSheetId="21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localSheetId="4" hidden="1">#REF!</definedName>
    <definedName name="BEx5MHEF05EVRV5DPTG4KMPWZSUS" localSheetId="6" hidden="1">#REF!</definedName>
    <definedName name="BEx5MHEF05EVRV5DPTG4KMPWZSUS" localSheetId="21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localSheetId="4" hidden="1">#REF!</definedName>
    <definedName name="BEx5MLQZM68YQSKARVWTTPINFQ2C" localSheetId="6" hidden="1">#REF!</definedName>
    <definedName name="BEx5MLQZM68YQSKARVWTTPINFQ2C" localSheetId="21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localSheetId="4" hidden="1">#REF!</definedName>
    <definedName name="BEx5MMCJMU7FOOWUCW9EA13B7V5F" localSheetId="6" hidden="1">#REF!</definedName>
    <definedName name="BEx5MMCJMU7FOOWUCW9EA13B7V5F" localSheetId="21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localSheetId="4" hidden="1">#REF!</definedName>
    <definedName name="BEx5MVXTKNBXHNWTL43C670E4KXC" localSheetId="6" hidden="1">#REF!</definedName>
    <definedName name="BEx5MVXTKNBXHNWTL43C670E4KXC" localSheetId="21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localSheetId="4" hidden="1">#REF!</definedName>
    <definedName name="BEx5MWZGZ3VRB5418C2RNF9H17BQ" localSheetId="6" hidden="1">#REF!</definedName>
    <definedName name="BEx5MWZGZ3VRB5418C2RNF9H17BQ" localSheetId="21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localSheetId="4" hidden="1">#REF!</definedName>
    <definedName name="BEx5MX4YD2QV39W04QH9C6AOA0FB" localSheetId="6" hidden="1">#REF!</definedName>
    <definedName name="BEx5MX4YD2QV39W04QH9C6AOA0FB" localSheetId="21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localSheetId="4" hidden="1">#REF!</definedName>
    <definedName name="BEx5N3A8LULD7YBJH5J83X27PZSW" localSheetId="6" hidden="1">#REF!</definedName>
    <definedName name="BEx5N3A8LULD7YBJH5J83X27PZSW" localSheetId="21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localSheetId="4" hidden="1">#REF!</definedName>
    <definedName name="BEx5N4XI4PWB1W9PMZ4O5R0HWTYD" localSheetId="6" hidden="1">#REF!</definedName>
    <definedName name="BEx5N4XI4PWB1W9PMZ4O5R0HWTYD" localSheetId="21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localSheetId="4" hidden="1">#REF!</definedName>
    <definedName name="BEx5N8DH1SY888WI2GZ2D6E9XCXB" localSheetId="6" hidden="1">#REF!</definedName>
    <definedName name="BEx5N8DH1SY888WI2GZ2D6E9XCXB" localSheetId="21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localSheetId="4" hidden="1">#REF!</definedName>
    <definedName name="BEx5NA68N6FJFX9UJXK4M14U487F" localSheetId="6" hidden="1">#REF!</definedName>
    <definedName name="BEx5NA68N6FJFX9UJXK4M14U487F" localSheetId="21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localSheetId="4" hidden="1">#REF!</definedName>
    <definedName name="BEx5NIKBG2GDJOYGE3WCXKU7YY51" localSheetId="6" hidden="1">#REF!</definedName>
    <definedName name="BEx5NIKBG2GDJOYGE3WCXKU7YY51" localSheetId="21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localSheetId="4" hidden="1">#REF!</definedName>
    <definedName name="BEx5NV06L5J5IMKGOMGKGJ4PBZCD" localSheetId="6" hidden="1">#REF!</definedName>
    <definedName name="BEx5NV06L5J5IMKGOMGKGJ4PBZCD" localSheetId="21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localSheetId="4" hidden="1">#REF!</definedName>
    <definedName name="BEx5NW1V6AB25NEEX9VPHRXWJDSS" localSheetId="6" hidden="1">#REF!</definedName>
    <definedName name="BEx5NW1V6AB25NEEX9VPHRXWJDSS" localSheetId="21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localSheetId="4" hidden="1">#REF!</definedName>
    <definedName name="BEx5NWSXWACAUHWVZAI57DGZ8OCQ" localSheetId="6" hidden="1">#REF!</definedName>
    <definedName name="BEx5NWSXWACAUHWVZAI57DGZ8OCQ" localSheetId="21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localSheetId="4" hidden="1">#REF!</definedName>
    <definedName name="BEx5NZSSQ6PY99ZX2D7Q9IGOR34W" localSheetId="6" hidden="1">#REF!</definedName>
    <definedName name="BEx5NZSSQ6PY99ZX2D7Q9IGOR34W" localSheetId="21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localSheetId="4" hidden="1">#REF!</definedName>
    <definedName name="BEx5O2N9HTGG4OJHR62PKFMNZTTW" localSheetId="6" hidden="1">#REF!</definedName>
    <definedName name="BEx5O2N9HTGG4OJHR62PKFMNZTTW" localSheetId="21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localSheetId="4" hidden="1">#REF!</definedName>
    <definedName name="BEx5O3ZUQ2OARA1CDOZ3NC4UE5AA" localSheetId="6" hidden="1">#REF!</definedName>
    <definedName name="BEx5O3ZUQ2OARA1CDOZ3NC4UE5AA" localSheetId="21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localSheetId="4" hidden="1">#REF!</definedName>
    <definedName name="BEx5OAFS0NJ2CB86A02E1JYHMLQ1" localSheetId="6" hidden="1">#REF!</definedName>
    <definedName name="BEx5OAFS0NJ2CB86A02E1JYHMLQ1" localSheetId="21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localSheetId="4" hidden="1">#REF!</definedName>
    <definedName name="BEx5OG4RPU8W1ETWDWM234NYYYEN" localSheetId="6" hidden="1">#REF!</definedName>
    <definedName name="BEx5OG4RPU8W1ETWDWM234NYYYEN" localSheetId="21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localSheetId="4" hidden="1">#REF!</definedName>
    <definedName name="BEx5OP9Y43F99O2IT69MKCCXGL61" localSheetId="6" hidden="1">#REF!</definedName>
    <definedName name="BEx5OP9Y43F99O2IT69MKCCXGL61" localSheetId="21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localSheetId="4" hidden="1">#REF!</definedName>
    <definedName name="BEx5P9Y9RDXNUAJ6CZ2LHMM8IM7T" localSheetId="6" hidden="1">#REF!</definedName>
    <definedName name="BEx5P9Y9RDXNUAJ6CZ2LHMM8IM7T" localSheetId="21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localSheetId="4" hidden="1">#REF!</definedName>
    <definedName name="BEx5PHWB2C0D5QLP3BZIP3UO7DIZ" localSheetId="6" hidden="1">#REF!</definedName>
    <definedName name="BEx5PHWB2C0D5QLP3BZIP3UO7DIZ" localSheetId="21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localSheetId="4" hidden="1">#REF!</definedName>
    <definedName name="BEx5PJP02W68K2E46L5C5YBSNU6T" localSheetId="6" hidden="1">#REF!</definedName>
    <definedName name="BEx5PJP02W68K2E46L5C5YBSNU6T" localSheetId="21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localSheetId="4" hidden="1">#REF!</definedName>
    <definedName name="BEx5PLCA8DOMAU315YCS5275L2HS" localSheetId="6" hidden="1">#REF!</definedName>
    <definedName name="BEx5PLCA8DOMAU315YCS5275L2HS" localSheetId="21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localSheetId="4" hidden="1">#REF!</definedName>
    <definedName name="BEx5PRXMZ5M65Z732WNNGV564C2J" localSheetId="6" hidden="1">#REF!</definedName>
    <definedName name="BEx5PRXMZ5M65Z732WNNGV564C2J" localSheetId="21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localSheetId="4" hidden="1">#REF!</definedName>
    <definedName name="BEx5Q29Y91E64DPE0YY53A6YHF3Y" localSheetId="6" hidden="1">#REF!</definedName>
    <definedName name="BEx5Q29Y91E64DPE0YY53A6YHF3Y" localSheetId="21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localSheetId="4" hidden="1">#REF!</definedName>
    <definedName name="BEx5QPSW4IPLH50WSR87HRER05RF" localSheetId="6" hidden="1">#REF!</definedName>
    <definedName name="BEx5QPSW4IPLH50WSR87HRER05RF" localSheetId="21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localSheetId="4" hidden="1">#REF!</definedName>
    <definedName name="BEx73V0EP8EMNRC3EZJJKKVKWQVB" localSheetId="6" hidden="1">#REF!</definedName>
    <definedName name="BEx73V0EP8EMNRC3EZJJKKVKWQVB" localSheetId="21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localSheetId="4" hidden="1">#REF!</definedName>
    <definedName name="BEx741WJHIJVXUX131SBXTVW8D71" localSheetId="6" hidden="1">#REF!</definedName>
    <definedName name="BEx741WJHIJVXUX131SBXTVW8D71" localSheetId="21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localSheetId="4" hidden="1">#REF!</definedName>
    <definedName name="BEx74Q6H3O7133AWQXWC21MI2UFT" localSheetId="6" hidden="1">#REF!</definedName>
    <definedName name="BEx74Q6H3O7133AWQXWC21MI2UFT" localSheetId="21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localSheetId="4" hidden="1">#REF!</definedName>
    <definedName name="BEx74R2VQ8BSMKPX25262AU3VZF7" localSheetId="6" hidden="1">#REF!</definedName>
    <definedName name="BEx74R2VQ8BSMKPX25262AU3VZF7" localSheetId="21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localSheetId="4" hidden="1">#REF!</definedName>
    <definedName name="BEx74W6BJ8ENO3J25WNM5H5APKA3" localSheetId="6" hidden="1">#REF!</definedName>
    <definedName name="BEx74W6BJ8ENO3J25WNM5H5APKA3" localSheetId="21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localSheetId="4" hidden="1">#REF!</definedName>
    <definedName name="BEx74YKLW1FKLWC3DJ2ELZBZBY1M" localSheetId="6" hidden="1">#REF!</definedName>
    <definedName name="BEx74YKLW1FKLWC3DJ2ELZBZBY1M" localSheetId="21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localSheetId="4" hidden="1">#REF!</definedName>
    <definedName name="BEx755GRRD9BL27YHLH5QWIYLWB7" localSheetId="6" hidden="1">#REF!</definedName>
    <definedName name="BEx755GRRD9BL27YHLH5QWIYLWB7" localSheetId="21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localSheetId="4" hidden="1">#REF!</definedName>
    <definedName name="BEx759D1D5SXS5ELLZVBI0SXYUNF" localSheetId="6" hidden="1">#REF!</definedName>
    <definedName name="BEx759D1D5SXS5ELLZVBI0SXYUNF" localSheetId="21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localSheetId="4" hidden="1">#REF!</definedName>
    <definedName name="BEx75DPEQTX055IZ2L8UVLJOT1DD" localSheetId="6" hidden="1">#REF!</definedName>
    <definedName name="BEx75DPEQTX055IZ2L8UVLJOT1DD" localSheetId="21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localSheetId="4" hidden="1">#REF!</definedName>
    <definedName name="BEx75GJZSZHUDN6OOAGQYFUDA2LP" localSheetId="6" hidden="1">#REF!</definedName>
    <definedName name="BEx75GJZSZHUDN6OOAGQYFUDA2LP" localSheetId="21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localSheetId="4" hidden="1">#REF!</definedName>
    <definedName name="BEx75HGCCV5K4UCJWYV8EV9AG5YT" localSheetId="6" hidden="1">#REF!</definedName>
    <definedName name="BEx75HGCCV5K4UCJWYV8EV9AG5YT" localSheetId="21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localSheetId="4" hidden="1">#REF!</definedName>
    <definedName name="BEx75PZT8TY5P13U978NVBUXKHT4" localSheetId="6" hidden="1">#REF!</definedName>
    <definedName name="BEx75PZT8TY5P13U978NVBUXKHT4" localSheetId="21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localSheetId="4" hidden="1">#REF!</definedName>
    <definedName name="BEx75T55F7GML8V1DMWL26WRT006" localSheetId="6" hidden="1">#REF!</definedName>
    <definedName name="BEx75T55F7GML8V1DMWL26WRT006" localSheetId="21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localSheetId="4" hidden="1">#REF!</definedName>
    <definedName name="BEx75VJGR07JY6UUWURQ4PJ29UKC" localSheetId="6" hidden="1">#REF!</definedName>
    <definedName name="BEx75VJGR07JY6UUWURQ4PJ29UKC" localSheetId="21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localSheetId="4" hidden="1">#REF!</definedName>
    <definedName name="BEx7696AZUPB1PK30JJQUWUELQPJ" localSheetId="6" hidden="1">#REF!</definedName>
    <definedName name="BEx7696AZUPB1PK30JJQUWUELQPJ" localSheetId="21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localSheetId="4" hidden="1">#REF!</definedName>
    <definedName name="BEx76PNR8S4T4VUQS0KU58SEX0VN" localSheetId="6" hidden="1">#REF!</definedName>
    <definedName name="BEx76PNR8S4T4VUQS0KU58SEX0VN" localSheetId="21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localSheetId="4" hidden="1">#REF!</definedName>
    <definedName name="BEx76YY7ODSIKDD9VDF9TLTDM18I" localSheetId="6" hidden="1">#REF!</definedName>
    <definedName name="BEx76YY7ODSIKDD9VDF9TLTDM18I" localSheetId="21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localSheetId="4" hidden="1">#REF!</definedName>
    <definedName name="BEx7705E86I9B7DTKMMJMAFSYMUL" localSheetId="6" hidden="1">#REF!</definedName>
    <definedName name="BEx7705E86I9B7DTKMMJMAFSYMUL" localSheetId="21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localSheetId="4" hidden="1">#REF!</definedName>
    <definedName name="BEx7741OUGLA0WJQLQRUJSL4DE00" localSheetId="6" hidden="1">#REF!</definedName>
    <definedName name="BEx7741OUGLA0WJQLQRUJSL4DE00" localSheetId="21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localSheetId="4" hidden="1">#REF!</definedName>
    <definedName name="BEx774N83DXLJZ54Q42PWIJZ2DN1" localSheetId="6" hidden="1">#REF!</definedName>
    <definedName name="BEx774N83DXLJZ54Q42PWIJZ2DN1" localSheetId="21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localSheetId="4" hidden="1">#REF!</definedName>
    <definedName name="BEx779QNIY3061ZV9BR462WKEGRW" localSheetId="6" hidden="1">#REF!</definedName>
    <definedName name="BEx779QNIY3061ZV9BR462WKEGRW" localSheetId="21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localSheetId="4" hidden="1">#REF!</definedName>
    <definedName name="BEx77G19QU9A95CNHE6QMVSQR2T3" localSheetId="6" hidden="1">#REF!</definedName>
    <definedName name="BEx77G19QU9A95CNHE6QMVSQR2T3" localSheetId="21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localSheetId="4" hidden="1">#REF!</definedName>
    <definedName name="BEx77P0S3GVMS7BJUL9OWUGJ1B02" localSheetId="6" hidden="1">#REF!</definedName>
    <definedName name="BEx77P0S3GVMS7BJUL9OWUGJ1B02" localSheetId="21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localSheetId="4" hidden="1">#REF!</definedName>
    <definedName name="BEx77QDESURI6WW5582YXSK3A972" localSheetId="6" hidden="1">#REF!</definedName>
    <definedName name="BEx77QDESURI6WW5582YXSK3A972" localSheetId="21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localSheetId="4" hidden="1">#REF!</definedName>
    <definedName name="BEx77VBI9XOPFHKEWU5EHQ9J675Y" localSheetId="6" hidden="1">#REF!</definedName>
    <definedName name="BEx77VBI9XOPFHKEWU5EHQ9J675Y" localSheetId="21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localSheetId="4" hidden="1">#REF!</definedName>
    <definedName name="BEx7809GQOCLHSNH95VOYIX7P1TV" localSheetId="6" hidden="1">#REF!</definedName>
    <definedName name="BEx7809GQOCLHSNH95VOYIX7P1TV" localSheetId="21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localSheetId="4" hidden="1">#REF!</definedName>
    <definedName name="BEx780K8XAXUHGVZGZWQ74DK4CI3" localSheetId="6" hidden="1">#REF!</definedName>
    <definedName name="BEx780K8XAXUHGVZGZWQ74DK4CI3" localSheetId="21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localSheetId="4" hidden="1">#REF!</definedName>
    <definedName name="BEx78226TN58UE0CTY98YEDU0LSL" localSheetId="6" hidden="1">#REF!</definedName>
    <definedName name="BEx78226TN58UE0CTY98YEDU0LSL" localSheetId="21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localSheetId="4" hidden="1">#REF!</definedName>
    <definedName name="BEx7881ZZBWHRAX6W2GY19J8MGEQ" localSheetId="6" hidden="1">#REF!</definedName>
    <definedName name="BEx7881ZZBWHRAX6W2GY19J8MGEQ" localSheetId="21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localSheetId="4" hidden="1">#REF!</definedName>
    <definedName name="BEx78BSYINF85GYNSCIRD95PH86Q" localSheetId="6" hidden="1">#REF!</definedName>
    <definedName name="BEx78BSYINF85GYNSCIRD95PH86Q" localSheetId="21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localSheetId="4" hidden="1">#REF!</definedName>
    <definedName name="BEx78HHRIWDLHQX2LG0HWFRYEL1T" localSheetId="6" hidden="1">#REF!</definedName>
    <definedName name="BEx78HHRIWDLHQX2LG0HWFRYEL1T" localSheetId="21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localSheetId="4" hidden="1">#REF!</definedName>
    <definedName name="BEx78QC4X2YVM9K6MQRB2WJG36N3" localSheetId="6" hidden="1">#REF!</definedName>
    <definedName name="BEx78QC4X2YVM9K6MQRB2WJG36N3" localSheetId="21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localSheetId="4" hidden="1">#REF!</definedName>
    <definedName name="BEx78QMXZ2P1ZB3HJ9O50DWHCMXR" localSheetId="6" hidden="1">#REF!</definedName>
    <definedName name="BEx78QMXZ2P1ZB3HJ9O50DWHCMXR" localSheetId="21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localSheetId="4" hidden="1">#REF!</definedName>
    <definedName name="BEx78SFO5VR28677DWZEMDN7G86X" localSheetId="6" hidden="1">#REF!</definedName>
    <definedName name="BEx78SFO5VR28677DWZEMDN7G86X" localSheetId="21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localSheetId="4" hidden="1">#REF!</definedName>
    <definedName name="BEx78SFOYH1Z0ZDTO47W2M60TW6K" localSheetId="6" hidden="1">#REF!</definedName>
    <definedName name="BEx78SFOYH1Z0ZDTO47W2M60TW6K" localSheetId="21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localSheetId="4" hidden="1">#REF!</definedName>
    <definedName name="BEx7974EARYYX2ICWU0YC50VO5D8" localSheetId="6" hidden="1">#REF!</definedName>
    <definedName name="BEx7974EARYYX2ICWU0YC50VO5D8" localSheetId="21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localSheetId="4" hidden="1">#REF!</definedName>
    <definedName name="BEx79JK3E6JO8MX4O35A5G8NZCC8" localSheetId="6" hidden="1">#REF!</definedName>
    <definedName name="BEx79JK3E6JO8MX4O35A5G8NZCC8" localSheetId="21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localSheetId="4" hidden="1">#REF!</definedName>
    <definedName name="BEx79OCP4HQ6XP8EWNGEUDLOZBBS" localSheetId="6" hidden="1">#REF!</definedName>
    <definedName name="BEx79OCP4HQ6XP8EWNGEUDLOZBBS" localSheetId="21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localSheetId="4" hidden="1">#REF!</definedName>
    <definedName name="BEx79SEAYKUZB0H4LYBCD6WWJBG2" localSheetId="6" hidden="1">#REF!</definedName>
    <definedName name="BEx79SEAYKUZB0H4LYBCD6WWJBG2" localSheetId="21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localSheetId="4" hidden="1">#REF!</definedName>
    <definedName name="BEx79SJRHTLS9PYM69O9BWW1FMJK" localSheetId="6" hidden="1">#REF!</definedName>
    <definedName name="BEx79SJRHTLS9PYM69O9BWW1FMJK" localSheetId="21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localSheetId="4" hidden="1">#REF!</definedName>
    <definedName name="BEx79YJJLBELICW9F9FRYSCQ101L" localSheetId="6" hidden="1">#REF!</definedName>
    <definedName name="BEx79YJJLBELICW9F9FRYSCQ101L" localSheetId="21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localSheetId="4" hidden="1">#REF!</definedName>
    <definedName name="BEx79YUC7B0V77FSBGIRCY1BR4VK" localSheetId="6" hidden="1">#REF!</definedName>
    <definedName name="BEx79YUC7B0V77FSBGIRCY1BR4VK" localSheetId="21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localSheetId="4" hidden="1">#REF!</definedName>
    <definedName name="BEx7A06T3RC2891FUX05G3QPRAUE" localSheetId="6" hidden="1">#REF!</definedName>
    <definedName name="BEx7A06T3RC2891FUX05G3QPRAUE" localSheetId="21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localSheetId="4" hidden="1">#REF!</definedName>
    <definedName name="BEx7A9S3JA1X7FH4CFSQLTZC4691" localSheetId="6" hidden="1">#REF!</definedName>
    <definedName name="BEx7A9S3JA1X7FH4CFSQLTZC4691" localSheetId="21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localSheetId="4" hidden="1">#REF!</definedName>
    <definedName name="BEx7ABA2C9IWH5VSLVLLLCY62161" localSheetId="6" hidden="1">#REF!</definedName>
    <definedName name="BEx7ABA2C9IWH5VSLVLLLCY62161" localSheetId="21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localSheetId="4" hidden="1">#REF!</definedName>
    <definedName name="BEx7AE4LPLX8N85BYB0WCO5S7ZPV" localSheetId="6" hidden="1">#REF!</definedName>
    <definedName name="BEx7AE4LPLX8N85BYB0WCO5S7ZPV" localSheetId="21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localSheetId="4" hidden="1">#REF!</definedName>
    <definedName name="BEx7AR0EEP9O5JPPEKQWG1TC860T" localSheetId="6" hidden="1">#REF!</definedName>
    <definedName name="BEx7AR0EEP9O5JPPEKQWG1TC860T" localSheetId="21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localSheetId="4" hidden="1">#REF!</definedName>
    <definedName name="BEx7ASD1I654MEDCO6GGWA95PXSC" localSheetId="6" hidden="1">#REF!</definedName>
    <definedName name="BEx7ASD1I654MEDCO6GGWA95PXSC" localSheetId="21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localSheetId="4" hidden="1">#REF!</definedName>
    <definedName name="BEx7AURD3S7JGN4D3YK1QAG6TAFA" localSheetId="6" hidden="1">#REF!</definedName>
    <definedName name="BEx7AURD3S7JGN4D3YK1QAG6TAFA" localSheetId="21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localSheetId="4" hidden="1">#REF!</definedName>
    <definedName name="BEx7AVCX9S5RJP3NSZ4QM4E6ERDT" localSheetId="6" hidden="1">#REF!</definedName>
    <definedName name="BEx7AVCX9S5RJP3NSZ4QM4E6ERDT" localSheetId="21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localSheetId="4" hidden="1">#REF!</definedName>
    <definedName name="BEx7AVYIGP0930MV5JEBWRYCJN68" localSheetId="6" hidden="1">#REF!</definedName>
    <definedName name="BEx7AVYIGP0930MV5JEBWRYCJN68" localSheetId="21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localSheetId="4" hidden="1">#REF!</definedName>
    <definedName name="BEx7B6LH6917TXOSAAQ6U7HVF018" localSheetId="6" hidden="1">#REF!</definedName>
    <definedName name="BEx7B6LH6917TXOSAAQ6U7HVF018" localSheetId="21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localSheetId="4" hidden="1">#REF!</definedName>
    <definedName name="BEx7BN8E88JR3K1BSLAZRPSFPQ9L" localSheetId="6" hidden="1">#REF!</definedName>
    <definedName name="BEx7BN8E88JR3K1BSLAZRPSFPQ9L" localSheetId="21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localSheetId="4" hidden="1">#REF!</definedName>
    <definedName name="BEx7BP14RMS3638K85OM4NCYLRHG" localSheetId="6" hidden="1">#REF!</definedName>
    <definedName name="BEx7BP14RMS3638K85OM4NCYLRHG" localSheetId="21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localSheetId="4" hidden="1">#REF!</definedName>
    <definedName name="BEx7BPXFZXJ79FQ0E8AQE21PGVHA" localSheetId="6" hidden="1">#REF!</definedName>
    <definedName name="BEx7BPXFZXJ79FQ0E8AQE21PGVHA" localSheetId="21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localSheetId="4" hidden="1">#REF!</definedName>
    <definedName name="BEx7C04AM39DQMC1TIX7CFZ2ADHX" localSheetId="6" hidden="1">#REF!</definedName>
    <definedName name="BEx7C04AM39DQMC1TIX7CFZ2ADHX" localSheetId="21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localSheetId="4" hidden="1">#REF!</definedName>
    <definedName name="BEx7C346X4AX2J1QPM4NBC7JL5W9" localSheetId="6" hidden="1">#REF!</definedName>
    <definedName name="BEx7C346X4AX2J1QPM4NBC7JL5W9" localSheetId="21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localSheetId="4" hidden="1">#REF!</definedName>
    <definedName name="BEx7C40F0PQURHPI6YQ39NFIR86Z" localSheetId="6" hidden="1">#REF!</definedName>
    <definedName name="BEx7C40F0PQURHPI6YQ39NFIR86Z" localSheetId="21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localSheetId="4" hidden="1">#REF!</definedName>
    <definedName name="BEx7C7B9VCY7N0H7N1NH6HNNH724" localSheetId="6" hidden="1">#REF!</definedName>
    <definedName name="BEx7C7B9VCY7N0H7N1NH6HNNH724" localSheetId="21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localSheetId="4" hidden="1">#REF!</definedName>
    <definedName name="BEx7C93VR7SYRIJS1JO8YZKSFAW9" localSheetId="6" hidden="1">#REF!</definedName>
    <definedName name="BEx7C93VR7SYRIJS1JO8YZKSFAW9" localSheetId="21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localSheetId="4" hidden="1">#REF!</definedName>
    <definedName name="BEx7CCPC6R1KQQZ2JQU6EFI1G0RM" localSheetId="6" hidden="1">#REF!</definedName>
    <definedName name="BEx7CCPC6R1KQQZ2JQU6EFI1G0RM" localSheetId="21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localSheetId="4" hidden="1">#REF!</definedName>
    <definedName name="BEx7CIJST9GLS2QD383UK7VUDTGL" localSheetId="6" hidden="1">#REF!</definedName>
    <definedName name="BEx7CIJST9GLS2QD383UK7VUDTGL" localSheetId="21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localSheetId="4" hidden="1">#REF!</definedName>
    <definedName name="BEx7CO8T2XKC7GHDSYNAWTZ9L7YR" localSheetId="6" hidden="1">#REF!</definedName>
    <definedName name="BEx7CO8T2XKC7GHDSYNAWTZ9L7YR" localSheetId="21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localSheetId="4" hidden="1">#REF!</definedName>
    <definedName name="BEx7CW1CF00DO8A36UNC2X7K65C2" localSheetId="6" hidden="1">#REF!</definedName>
    <definedName name="BEx7CW1CF00DO8A36UNC2X7K65C2" localSheetId="21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localSheetId="4" hidden="1">#REF!</definedName>
    <definedName name="BEx7CW6NFRL2P4XWP0MWHIYA97KF" localSheetId="6" hidden="1">#REF!</definedName>
    <definedName name="BEx7CW6NFRL2P4XWP0MWHIYA97KF" localSheetId="21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localSheetId="4" hidden="1">#REF!</definedName>
    <definedName name="BEx7CZXN83U7XFVGG1P1N6ZCQK7U" localSheetId="6" hidden="1">#REF!</definedName>
    <definedName name="BEx7CZXN83U7XFVGG1P1N6ZCQK7U" localSheetId="21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localSheetId="4" hidden="1">#REF!</definedName>
    <definedName name="BEx7D14R4J25CLH301NHMGU8FSWM" localSheetId="6" hidden="1">#REF!</definedName>
    <definedName name="BEx7D14R4J25CLH301NHMGU8FSWM" localSheetId="21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localSheetId="4" hidden="1">#REF!</definedName>
    <definedName name="BEx7D38BE0Z9QLQBDMGARM9USFPM" localSheetId="6" hidden="1">#REF!</definedName>
    <definedName name="BEx7D38BE0Z9QLQBDMGARM9USFPM" localSheetId="21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localSheetId="4" hidden="1">#REF!</definedName>
    <definedName name="BEx7D5RWKRS4W71J4NZ6ZSFHPKFT" localSheetId="6" hidden="1">#REF!</definedName>
    <definedName name="BEx7D5RWKRS4W71J4NZ6ZSFHPKFT" localSheetId="21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localSheetId="4" hidden="1">#REF!</definedName>
    <definedName name="BEx7D8H1TPOX1UN17QZYEV7Q58GA" localSheetId="6" hidden="1">#REF!</definedName>
    <definedName name="BEx7D8H1TPOX1UN17QZYEV7Q58GA" localSheetId="21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localSheetId="4" hidden="1">#REF!</definedName>
    <definedName name="BEx7DGF13H2074LRWFZQ45PZ6JPX" localSheetId="6" hidden="1">#REF!</definedName>
    <definedName name="BEx7DGF13H2074LRWFZQ45PZ6JPX" localSheetId="21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localSheetId="4" hidden="1">#REF!</definedName>
    <definedName name="BEx7DHBE0SOC5KXWWQ73WUDBRX8J" localSheetId="6" hidden="1">#REF!</definedName>
    <definedName name="BEx7DHBE0SOC5KXWWQ73WUDBRX8J" localSheetId="21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localSheetId="4" hidden="1">#REF!</definedName>
    <definedName name="BEx7DKWUXEDIISSX4GDD4YYT887F" localSheetId="6" hidden="1">#REF!</definedName>
    <definedName name="BEx7DKWUXEDIISSX4GDD4YYT887F" localSheetId="21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localSheetId="4" hidden="1">#REF!</definedName>
    <definedName name="BEx7DMUYR2HC26WW7AOB1TULERMB" localSheetId="6" hidden="1">#REF!</definedName>
    <definedName name="BEx7DMUYR2HC26WW7AOB1TULERMB" localSheetId="21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localSheetId="4" hidden="1">#REF!</definedName>
    <definedName name="BEx7DVJTRV44IMJIBFXELE67SZ7S" localSheetId="6" hidden="1">#REF!</definedName>
    <definedName name="BEx7DVJTRV44IMJIBFXELE67SZ7S" localSheetId="21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localSheetId="4" hidden="1">#REF!</definedName>
    <definedName name="BEx7DVUMFCI5INHMVFIJ44RTTSTT" localSheetId="6" hidden="1">#REF!</definedName>
    <definedName name="BEx7DVUMFCI5INHMVFIJ44RTTSTT" localSheetId="21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localSheetId="4" hidden="1">#REF!</definedName>
    <definedName name="BEx7E2QT2U8THYOKBPXONB1B47WH" localSheetId="6" hidden="1">#REF!</definedName>
    <definedName name="BEx7E2QT2U8THYOKBPXONB1B47WH" localSheetId="21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localSheetId="4" hidden="1">#REF!</definedName>
    <definedName name="BEx7E5QP7W6UKO74F5Y0VJ741HS5" localSheetId="6" hidden="1">#REF!</definedName>
    <definedName name="BEx7E5QP7W6UKO74F5Y0VJ741HS5" localSheetId="21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localSheetId="4" hidden="1">#REF!</definedName>
    <definedName name="BEx7E6N29HGH3I47AFB2DCS6MVS6" localSheetId="6" hidden="1">#REF!</definedName>
    <definedName name="BEx7E6N29HGH3I47AFB2DCS6MVS6" localSheetId="21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localSheetId="4" hidden="1">#REF!</definedName>
    <definedName name="BEx7EBA8IYHQKT7IQAOAML660SYA" localSheetId="6" hidden="1">#REF!</definedName>
    <definedName name="BEx7EBA8IYHQKT7IQAOAML660SYA" localSheetId="21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localSheetId="4" hidden="1">#REF!</definedName>
    <definedName name="BEx7EI6C8MCRZFEQYUBE5FSUTIHK" localSheetId="6" hidden="1">#REF!</definedName>
    <definedName name="BEx7EI6C8MCRZFEQYUBE5FSUTIHK" localSheetId="21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localSheetId="4" hidden="1">#REF!</definedName>
    <definedName name="BEx7EI6DL1Z6UWLFBXAKVGZTKHWJ" localSheetId="6" hidden="1">#REF!</definedName>
    <definedName name="BEx7EI6DL1Z6UWLFBXAKVGZTKHWJ" localSheetId="21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localSheetId="4" hidden="1">#REF!</definedName>
    <definedName name="BEx7EQKHX7GZYOLXRDU534TT4H64" localSheetId="6" hidden="1">#REF!</definedName>
    <definedName name="BEx7EQKHX7GZYOLXRDU534TT4H64" localSheetId="21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localSheetId="4" hidden="1">#REF!</definedName>
    <definedName name="BEx7ETV6L1TM7JSXJIGK3FC6RVZW" localSheetId="6" hidden="1">#REF!</definedName>
    <definedName name="BEx7ETV6L1TM7JSXJIGK3FC6RVZW" localSheetId="21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localSheetId="4" hidden="1">#REF!</definedName>
    <definedName name="BEx7EYYLHMBYQTH6I377FCQS7CSX" localSheetId="6" hidden="1">#REF!</definedName>
    <definedName name="BEx7EYYLHMBYQTH6I377FCQS7CSX" localSheetId="21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localSheetId="4" hidden="1">#REF!</definedName>
    <definedName name="BEx7FCLG1RYI2SNOU1Y2GQZNZSWA" localSheetId="6" hidden="1">#REF!</definedName>
    <definedName name="BEx7FCLG1RYI2SNOU1Y2GQZNZSWA" localSheetId="21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localSheetId="4" hidden="1">#REF!</definedName>
    <definedName name="BEx7FN32ZGWOAA4TTH79KINTDWR9" localSheetId="6" hidden="1">#REF!</definedName>
    <definedName name="BEx7FN32ZGWOAA4TTH79KINTDWR9" localSheetId="21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localSheetId="4" hidden="1">#REF!</definedName>
    <definedName name="BEx7FV0WJHXL6X5JNQ2ZX45PX49P" localSheetId="6" hidden="1">#REF!</definedName>
    <definedName name="BEx7FV0WJHXL6X5JNQ2ZX45PX49P" localSheetId="21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localSheetId="4" hidden="1">#REF!</definedName>
    <definedName name="BEx7G82CKM3NIY1PHNFK28M09PCH" localSheetId="6" hidden="1">#REF!</definedName>
    <definedName name="BEx7G82CKM3NIY1PHNFK28M09PCH" localSheetId="21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localSheetId="4" hidden="1">#REF!</definedName>
    <definedName name="BEx7GR3ENYWRXXS5IT0UMEGOLGUH" localSheetId="6" hidden="1">#REF!</definedName>
    <definedName name="BEx7GR3ENYWRXXS5IT0UMEGOLGUH" localSheetId="21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localSheetId="4" hidden="1">#REF!</definedName>
    <definedName name="BEx7GSAL6P7TASL8MB63RFST1LJL" localSheetId="6" hidden="1">#REF!</definedName>
    <definedName name="BEx7GSAL6P7TASL8MB63RFST1LJL" localSheetId="21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localSheetId="4" hidden="1">#REF!</definedName>
    <definedName name="BEx7H0JD6I5I8WQLLWOYWY5YWPQE" localSheetId="6" hidden="1">#REF!</definedName>
    <definedName name="BEx7H0JD6I5I8WQLLWOYWY5YWPQE" localSheetId="21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localSheetId="4" hidden="1">#REF!</definedName>
    <definedName name="BEx7H14XCXH7WEXEY1HVO53A6AGH" localSheetId="6" hidden="1">#REF!</definedName>
    <definedName name="BEx7H14XCXH7WEXEY1HVO53A6AGH" localSheetId="21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localSheetId="4" hidden="1">#REF!</definedName>
    <definedName name="BEx7HGVBEF4LEIF6RC14N3PSU461" localSheetId="6" hidden="1">#REF!</definedName>
    <definedName name="BEx7HGVBEF4LEIF6RC14N3PSU461" localSheetId="21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localSheetId="4" hidden="1">#REF!</definedName>
    <definedName name="BEx7HQ5T9FZ42QWS09UO4DT42Y0R" localSheetId="6" hidden="1">#REF!</definedName>
    <definedName name="BEx7HQ5T9FZ42QWS09UO4DT42Y0R" localSheetId="21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localSheetId="4" hidden="1">#REF!</definedName>
    <definedName name="BEx7HRCZE3CVGON1HV07MT5MNDZ3" localSheetId="6" hidden="1">#REF!</definedName>
    <definedName name="BEx7HRCZE3CVGON1HV07MT5MNDZ3" localSheetId="21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localSheetId="4" hidden="1">#REF!</definedName>
    <definedName name="BEx7HWGE2CANG5M17X4C8YNC3N8F" localSheetId="6" hidden="1">#REF!</definedName>
    <definedName name="BEx7HWGE2CANG5M17X4C8YNC3N8F" localSheetId="21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localSheetId="4" hidden="1">#REF!</definedName>
    <definedName name="BEx7IB54GU5UCTJS549UBDW43EJL" localSheetId="6" hidden="1">#REF!</definedName>
    <definedName name="BEx7IB54GU5UCTJS549UBDW43EJL" localSheetId="21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localSheetId="4" hidden="1">#REF!</definedName>
    <definedName name="BEx7IBVYN47SFZIA0K4MDKQZNN9V" localSheetId="6" hidden="1">#REF!</definedName>
    <definedName name="BEx7IBVYN47SFZIA0K4MDKQZNN9V" localSheetId="21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localSheetId="4" hidden="1">#REF!</definedName>
    <definedName name="BEx7IGOMJB39HUONENRXTK1MFHGE" localSheetId="6" hidden="1">#REF!</definedName>
    <definedName name="BEx7IGOMJB39HUONENRXTK1MFHGE" localSheetId="21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localSheetId="4" hidden="1">#REF!</definedName>
    <definedName name="BEx7ISO6LTCYYDK0J6IN4PG2P6SW" localSheetId="6" hidden="1">#REF!</definedName>
    <definedName name="BEx7ISO6LTCYYDK0J6IN4PG2P6SW" localSheetId="21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localSheetId="4" hidden="1">#REF!</definedName>
    <definedName name="BEx7IV2IJ5WT7UC0UG7WP0WF2JZI" localSheetId="6" hidden="1">#REF!</definedName>
    <definedName name="BEx7IV2IJ5WT7UC0UG7WP0WF2JZI" localSheetId="21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localSheetId="4" hidden="1">#REF!</definedName>
    <definedName name="BEx7IXGU74GE5E4S6W4Z13AR092Y" localSheetId="6" hidden="1">#REF!</definedName>
    <definedName name="BEx7IXGU74GE5E4S6W4Z13AR092Y" localSheetId="21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localSheetId="4" hidden="1">#REF!</definedName>
    <definedName name="BEx7J4YL8Q3BI1MLH16YYQ18IJRD" localSheetId="6" hidden="1">#REF!</definedName>
    <definedName name="BEx7J4YL8Q3BI1MLH16YYQ18IJRD" localSheetId="21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localSheetId="4" hidden="1">#REF!</definedName>
    <definedName name="BEx7J5K5QVUOXI6A663KUWL6PO3O" localSheetId="6" hidden="1">#REF!</definedName>
    <definedName name="BEx7J5K5QVUOXI6A663KUWL6PO3O" localSheetId="21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localSheetId="4" hidden="1">#REF!</definedName>
    <definedName name="BEx7JH3HGBPI07OHZ5LFYK0UFZQR" localSheetId="6" hidden="1">#REF!</definedName>
    <definedName name="BEx7JH3HGBPI07OHZ5LFYK0UFZQR" localSheetId="21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localSheetId="4" hidden="1">#REF!</definedName>
    <definedName name="BEx7JRL3MHRMVLQF3EN15MXRPN68" localSheetId="6" hidden="1">#REF!</definedName>
    <definedName name="BEx7JRL3MHRMVLQF3EN15MXRPN68" localSheetId="21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localSheetId="4" hidden="1">#REF!</definedName>
    <definedName name="BEx7JV194190CNM6WWGQ3UBJ3CHH" localSheetId="6" hidden="1">#REF!</definedName>
    <definedName name="BEx7JV194190CNM6WWGQ3UBJ3CHH" localSheetId="21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localSheetId="4" hidden="1">#REF!</definedName>
    <definedName name="BEx7JZJ4AE8AGMWPK3XPBTBUBZ48" localSheetId="6" hidden="1">#REF!</definedName>
    <definedName name="BEx7JZJ4AE8AGMWPK3XPBTBUBZ48" localSheetId="21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localSheetId="4" hidden="1">#REF!</definedName>
    <definedName name="BEx7K7GZ607XQOGB81A1HINBTGOZ" localSheetId="6" hidden="1">#REF!</definedName>
    <definedName name="BEx7K7GZ607XQOGB81A1HINBTGOZ" localSheetId="21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localSheetId="4" hidden="1">#REF!</definedName>
    <definedName name="BEx7KEYPBDXSNROH8M6CDCBN6B50" localSheetId="6" hidden="1">#REF!</definedName>
    <definedName name="BEx7KEYPBDXSNROH8M6CDCBN6B50" localSheetId="21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localSheetId="4" hidden="1">#REF!</definedName>
    <definedName name="BEx7KH7PZ0A6FSWA4LAN2CMZ0WSF" localSheetId="6" hidden="1">#REF!</definedName>
    <definedName name="BEx7KH7PZ0A6FSWA4LAN2CMZ0WSF" localSheetId="21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localSheetId="4" hidden="1">#REF!</definedName>
    <definedName name="BEx7KNCTL6VMNQP4MFMHOMV1WI1Y" localSheetId="6" hidden="1">#REF!</definedName>
    <definedName name="BEx7KNCTL6VMNQP4MFMHOMV1WI1Y" localSheetId="21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localSheetId="4" hidden="1">#REF!</definedName>
    <definedName name="BEx7KSAS8BZT6H8OQCZ5DNSTMO07" localSheetId="6" hidden="1">#REF!</definedName>
    <definedName name="BEx7KSAS8BZT6H8OQCZ5DNSTMO07" localSheetId="21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localSheetId="4" hidden="1">#REF!</definedName>
    <definedName name="BEx7KWHTBD21COXVI4HNEQH0Z3L8" localSheetId="6" hidden="1">#REF!</definedName>
    <definedName name="BEx7KWHTBD21COXVI4HNEQH0Z3L8" localSheetId="21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localSheetId="4" hidden="1">#REF!</definedName>
    <definedName name="BEx7KXUGRMRSUXCM97Z7VRZQ9JH2" localSheetId="6" hidden="1">#REF!</definedName>
    <definedName name="BEx7KXUGRMRSUXCM97Z7VRZQ9JH2" localSheetId="21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localSheetId="4" hidden="1">#REF!</definedName>
    <definedName name="BEx7L5C6U8MP6IZ67BD649WQYJEK" localSheetId="6" hidden="1">#REF!</definedName>
    <definedName name="BEx7L5C6U8MP6IZ67BD649WQYJEK" localSheetId="21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localSheetId="4" hidden="1">#REF!</definedName>
    <definedName name="BEx7L8HEYEVTATR0OG5JJO647KNI" localSheetId="6" hidden="1">#REF!</definedName>
    <definedName name="BEx7L8HEYEVTATR0OG5JJO647KNI" localSheetId="21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localSheetId="4" hidden="1">#REF!</definedName>
    <definedName name="BEx7L8XOV64OMS15ZFURFEUXLMWF" localSheetId="6" hidden="1">#REF!</definedName>
    <definedName name="BEx7L8XOV64OMS15ZFURFEUXLMWF" localSheetId="21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localSheetId="4" hidden="1">#REF!</definedName>
    <definedName name="BEx7LPF478MRAYB9TQ6LDML6O3BY" localSheetId="6" hidden="1">#REF!</definedName>
    <definedName name="BEx7LPF478MRAYB9TQ6LDML6O3BY" localSheetId="21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localSheetId="4" hidden="1">#REF!</definedName>
    <definedName name="BEx7LPV780NFCG1VX4EKJ29YXOLZ" localSheetId="6" hidden="1">#REF!</definedName>
    <definedName name="BEx7LPV780NFCG1VX4EKJ29YXOLZ" localSheetId="21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localSheetId="4" hidden="1">#REF!</definedName>
    <definedName name="BEx7LQ0PD30NJWOAYKPEYHM9J83B" localSheetId="6" hidden="1">#REF!</definedName>
    <definedName name="BEx7LQ0PD30NJWOAYKPEYHM9J83B" localSheetId="21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localSheetId="4" hidden="1">#REF!</definedName>
    <definedName name="BEx7M4EKEDHZ1ZZ91NDLSUNPUFPZ" localSheetId="6" hidden="1">#REF!</definedName>
    <definedName name="BEx7M4EKEDHZ1ZZ91NDLSUNPUFPZ" localSheetId="21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localSheetId="4" hidden="1">#REF!</definedName>
    <definedName name="BEx7MAUI1JJFDIJGDW4RWY5384LY" localSheetId="6" hidden="1">#REF!</definedName>
    <definedName name="BEx7MAUI1JJFDIJGDW4RWY5384LY" localSheetId="21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localSheetId="4" hidden="1">#REF!</definedName>
    <definedName name="BEx7MI1EW6N7FOBHWJLYC02TZSKR" localSheetId="6" hidden="1">#REF!</definedName>
    <definedName name="BEx7MI1EW6N7FOBHWJLYC02TZSKR" localSheetId="21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localSheetId="4" hidden="1">#REF!</definedName>
    <definedName name="BEx7MJZO3UKAMJ53UWOJ5ZD4GGMQ" localSheetId="6" hidden="1">#REF!</definedName>
    <definedName name="BEx7MJZO3UKAMJ53UWOJ5ZD4GGMQ" localSheetId="21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localSheetId="4" hidden="1">#REF!</definedName>
    <definedName name="BEx7MO17TZ6L4457Q12FYYLUUZAZ" localSheetId="6" hidden="1">#REF!</definedName>
    <definedName name="BEx7MO17TZ6L4457Q12FYYLUUZAZ" localSheetId="21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localSheetId="4" hidden="1">#REF!</definedName>
    <definedName name="BEx7MT4MFNXIVQGAT6D971GZW7CA" localSheetId="6" hidden="1">#REF!</definedName>
    <definedName name="BEx7MT4MFNXIVQGAT6D971GZW7CA" localSheetId="21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localSheetId="4" hidden="1">#REF!</definedName>
    <definedName name="BEx7MUMLPPX92MX7SA8S1PLONDL8" localSheetId="6" hidden="1">#REF!</definedName>
    <definedName name="BEx7MUMLPPX92MX7SA8S1PLONDL8" localSheetId="21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localSheetId="4" hidden="1">#REF!</definedName>
    <definedName name="BEx7MX0W532Q7CB4V6KFVC9WAOUI" localSheetId="6" hidden="1">#REF!</definedName>
    <definedName name="BEx7MX0W532Q7CB4V6KFVC9WAOUI" localSheetId="21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localSheetId="4" hidden="1">#REF!</definedName>
    <definedName name="BEx7NB403NE748IF75RXMWOFQ986" localSheetId="6" hidden="1">#REF!</definedName>
    <definedName name="BEx7NB403NE748IF75RXMWOFQ986" localSheetId="21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localSheetId="4" hidden="1">#REF!</definedName>
    <definedName name="BEx7NI062THZAM6I8AJWTFJL91CS" localSheetId="6" hidden="1">#REF!</definedName>
    <definedName name="BEx7NI062THZAM6I8AJWTFJL91CS" localSheetId="21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localSheetId="4" hidden="1">#REF!</definedName>
    <definedName name="BEx904S75BPRYMHF0083JF7ES4NG" localSheetId="6" hidden="1">#REF!</definedName>
    <definedName name="BEx904S75BPRYMHF0083JF7ES4NG" localSheetId="21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localSheetId="4" hidden="1">#REF!</definedName>
    <definedName name="BEx90HDD4RWF7JZGA8GCGG7D63MG" localSheetId="6" hidden="1">#REF!</definedName>
    <definedName name="BEx90HDD4RWF7JZGA8GCGG7D63MG" localSheetId="21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localSheetId="4" hidden="1">#REF!</definedName>
    <definedName name="BEx90HO6UVMFVSV8U0YBZFHNCL38" localSheetId="6" hidden="1">#REF!</definedName>
    <definedName name="BEx90HO6UVMFVSV8U0YBZFHNCL38" localSheetId="21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localSheetId="4" hidden="1">#REF!</definedName>
    <definedName name="BEx90VGH5H09ON2QXYC9WIIEU98T" localSheetId="6" hidden="1">#REF!</definedName>
    <definedName name="BEx90VGH5H09ON2QXYC9WIIEU98T" localSheetId="21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localSheetId="4" hidden="1">#REF!</definedName>
    <definedName name="BEx9157279000SVN5XNWQ99JY0WU" localSheetId="6" hidden="1">#REF!</definedName>
    <definedName name="BEx9157279000SVN5XNWQ99JY0WU" localSheetId="21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localSheetId="4" hidden="1">#REF!</definedName>
    <definedName name="BEx9175B70QXYAU5A8DJPGZQ46L9" localSheetId="6" hidden="1">#REF!</definedName>
    <definedName name="BEx9175B70QXYAU5A8DJPGZQ46L9" localSheetId="21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localSheetId="4" hidden="1">#REF!</definedName>
    <definedName name="BEx91AQQRTV87AO27VWHSFZAD4ZR" localSheetId="6" hidden="1">#REF!</definedName>
    <definedName name="BEx91AQQRTV87AO27VWHSFZAD4ZR" localSheetId="21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localSheetId="4" hidden="1">#REF!</definedName>
    <definedName name="BEx91L8FLL5CWLA2CDHKCOMGVDZN" localSheetId="6" hidden="1">#REF!</definedName>
    <definedName name="BEx91L8FLL5CWLA2CDHKCOMGVDZN" localSheetId="21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localSheetId="4" hidden="1">#REF!</definedName>
    <definedName name="BEx91OTVH9ZDBC3QTORU8RZX4EOC" localSheetId="6" hidden="1">#REF!</definedName>
    <definedName name="BEx91OTVH9ZDBC3QTORU8RZX4EOC" localSheetId="21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localSheetId="4" hidden="1">#REF!</definedName>
    <definedName name="BEx91QH5JRZKQP1GPN2SQMR3CKAG" localSheetId="6" hidden="1">#REF!</definedName>
    <definedName name="BEx91QH5JRZKQP1GPN2SQMR3CKAG" localSheetId="21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localSheetId="4" hidden="1">#REF!</definedName>
    <definedName name="BEx91ROALDNHO7FI4X8L61RH4UJE" localSheetId="6" hidden="1">#REF!</definedName>
    <definedName name="BEx91ROALDNHO7FI4X8L61RH4UJE" localSheetId="21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localSheetId="4" hidden="1">#REF!</definedName>
    <definedName name="BEx91TMID71GVYH0U16QM1RV3PX0" localSheetId="6" hidden="1">#REF!</definedName>
    <definedName name="BEx91TMID71GVYH0U16QM1RV3PX0" localSheetId="21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localSheetId="4" hidden="1">#REF!</definedName>
    <definedName name="BEx91VF2D78PAF337E3L2L81K9W2" localSheetId="6" hidden="1">#REF!</definedName>
    <definedName name="BEx91VF2D78PAF337E3L2L81K9W2" localSheetId="21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localSheetId="4" hidden="1">#REF!</definedName>
    <definedName name="BEx921PNZ46VORG2VRMWREWIC0SE" localSheetId="6" hidden="1">#REF!</definedName>
    <definedName name="BEx921PNZ46VORG2VRMWREWIC0SE" localSheetId="21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localSheetId="4" hidden="1">#REF!</definedName>
    <definedName name="BEx929CVDCG5CFUQWNDLOSNRQ1FN" localSheetId="6" hidden="1">#REF!</definedName>
    <definedName name="BEx929CVDCG5CFUQWNDLOSNRQ1FN" localSheetId="21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localSheetId="4" hidden="1">#REF!</definedName>
    <definedName name="BEx92DPEKL5WM5A3CN8674JI0PR3" localSheetId="6" hidden="1">#REF!</definedName>
    <definedName name="BEx92DPEKL5WM5A3CN8674JI0PR3" localSheetId="21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localSheetId="4" hidden="1">#REF!</definedName>
    <definedName name="BEx92ER2RMY93TZK0D9L9T3H0GI5" localSheetId="6" hidden="1">#REF!</definedName>
    <definedName name="BEx92ER2RMY93TZK0D9L9T3H0GI5" localSheetId="21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localSheetId="4" hidden="1">#REF!</definedName>
    <definedName name="BEx92FI04PJT4LI23KKIHRXWJDTT" localSheetId="6" hidden="1">#REF!</definedName>
    <definedName name="BEx92FI04PJT4LI23KKIHRXWJDTT" localSheetId="21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localSheetId="4" hidden="1">#REF!</definedName>
    <definedName name="BEx92HR14HQ9D5JXCSPA4SS4RT62" localSheetId="6" hidden="1">#REF!</definedName>
    <definedName name="BEx92HR14HQ9D5JXCSPA4SS4RT62" localSheetId="21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localSheetId="4" hidden="1">#REF!</definedName>
    <definedName name="BEx92HWA2D6A5EX9MFG68G0NOMSN" localSheetId="6" hidden="1">#REF!</definedName>
    <definedName name="BEx92HWA2D6A5EX9MFG68G0NOMSN" localSheetId="21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localSheetId="4" hidden="1">#REF!</definedName>
    <definedName name="BEx92I1SQUKW2W7S22E82HLJXRGK" localSheetId="6" hidden="1">#REF!</definedName>
    <definedName name="BEx92I1SQUKW2W7S22E82HLJXRGK" localSheetId="21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localSheetId="4" hidden="1">#REF!</definedName>
    <definedName name="BEx92PUBDIXAU1FW5ZAXECMAU0LN" localSheetId="6" hidden="1">#REF!</definedName>
    <definedName name="BEx92PUBDIXAU1FW5ZAXECMAU0LN" localSheetId="21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localSheetId="4" hidden="1">#REF!</definedName>
    <definedName name="BEx92S8MHFFIVRQ2YSHZNQGOFUHD" localSheetId="6" hidden="1">#REF!</definedName>
    <definedName name="BEx92S8MHFFIVRQ2YSHZNQGOFUHD" localSheetId="21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localSheetId="4" hidden="1">#REF!</definedName>
    <definedName name="BEx92VJ5FJGXISSSMOUAESCSIWFV" localSheetId="6" hidden="1">#REF!</definedName>
    <definedName name="BEx92VJ5FJGXISSSMOUAESCSIWFV" localSheetId="21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localSheetId="4" hidden="1">#REF!</definedName>
    <definedName name="BEx93B9OULL2YGC896XXYAAJSTRK" localSheetId="6" hidden="1">#REF!</definedName>
    <definedName name="BEx93B9OULL2YGC896XXYAAJSTRK" localSheetId="21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localSheetId="4" hidden="1">#REF!</definedName>
    <definedName name="BEx93FRKF99NRT3LH99UTIH7AAYF" localSheetId="6" hidden="1">#REF!</definedName>
    <definedName name="BEx93FRKF99NRT3LH99UTIH7AAYF" localSheetId="21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localSheetId="4" hidden="1">#REF!</definedName>
    <definedName name="BEx93M7FSHP50OG34A4W8W8DF12U" localSheetId="6" hidden="1">#REF!</definedName>
    <definedName name="BEx93M7FSHP50OG34A4W8W8DF12U" localSheetId="21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localSheetId="4" hidden="1">#REF!</definedName>
    <definedName name="BEx93OLWY2O3PRA74U41VG5RXT4Q" localSheetId="6" hidden="1">#REF!</definedName>
    <definedName name="BEx93OLWY2O3PRA74U41VG5RXT4Q" localSheetId="21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localSheetId="4" hidden="1">#REF!</definedName>
    <definedName name="BEx93RWFAF6YJGYUTITVM445C02U" localSheetId="6" hidden="1">#REF!</definedName>
    <definedName name="BEx93RWFAF6YJGYUTITVM445C02U" localSheetId="21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localSheetId="4" hidden="1">#REF!</definedName>
    <definedName name="BEx93SY9RWG3HUV4YXQKXJH9FH14" localSheetId="6" hidden="1">#REF!</definedName>
    <definedName name="BEx93SY9RWG3HUV4YXQKXJH9FH14" localSheetId="21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localSheetId="4" hidden="1">#REF!</definedName>
    <definedName name="BEx93TJUX3U0FJDBG6DDSNQ91R5J" localSheetId="6" hidden="1">#REF!</definedName>
    <definedName name="BEx93TJUX3U0FJDBG6DDSNQ91R5J" localSheetId="21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localSheetId="4" hidden="1">#REF!</definedName>
    <definedName name="BEx942UCRHMI4B0US31HO95GSC2X" localSheetId="6" hidden="1">#REF!</definedName>
    <definedName name="BEx942UCRHMI4B0US31HO95GSC2X" localSheetId="21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localSheetId="4" hidden="1">#REF!</definedName>
    <definedName name="BEx942ZND3V7XSHKTD0UH9X85N5E" localSheetId="6" hidden="1">#REF!</definedName>
    <definedName name="BEx942ZND3V7XSHKTD0UH9X85N5E" localSheetId="21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localSheetId="4" hidden="1">#REF!</definedName>
    <definedName name="BEx947HHLR6UU6NYPNDZRF79V52K" localSheetId="6" hidden="1">#REF!</definedName>
    <definedName name="BEx947HHLR6UU6NYPNDZRF79V52K" localSheetId="21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localSheetId="4" hidden="1">#REF!</definedName>
    <definedName name="BEx948ZFFQWVIDNG4AZAUGGGEB5U" localSheetId="6" hidden="1">#REF!</definedName>
    <definedName name="BEx948ZFFQWVIDNG4AZAUGGGEB5U" localSheetId="21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localSheetId="4" hidden="1">#REF!</definedName>
    <definedName name="BEx94CKXG92OMURH41SNU6IOHK4J" localSheetId="6" hidden="1">#REF!</definedName>
    <definedName name="BEx94CKXG92OMURH41SNU6IOHK4J" localSheetId="21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localSheetId="4" hidden="1">#REF!</definedName>
    <definedName name="BEx94GXG30CIVB6ZQN3X3IK6BZXQ" localSheetId="6" hidden="1">#REF!</definedName>
    <definedName name="BEx94GXG30CIVB6ZQN3X3IK6BZXQ" localSheetId="21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localSheetId="4" hidden="1">#REF!</definedName>
    <definedName name="BEx94HJ0DWZHE39X4BLCQCJ3M1MC" localSheetId="6" hidden="1">#REF!</definedName>
    <definedName name="BEx94HJ0DWZHE39X4BLCQCJ3M1MC" localSheetId="21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localSheetId="4" hidden="1">#REF!</definedName>
    <definedName name="BEx94HZ5LURYM9ST744ALV6ZCKYP" localSheetId="6" hidden="1">#REF!</definedName>
    <definedName name="BEx94HZ5LURYM9ST744ALV6ZCKYP" localSheetId="21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localSheetId="4" hidden="1">#REF!</definedName>
    <definedName name="BEx94IQ75E90YUMWJ9N591LR7DQQ" localSheetId="6" hidden="1">#REF!</definedName>
    <definedName name="BEx94IQ75E90YUMWJ9N591LR7DQQ" localSheetId="21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localSheetId="4" hidden="1">#REF!</definedName>
    <definedName name="BEx94N7W5T3U7UOE97D6OVIBUCXS" localSheetId="6" hidden="1">#REF!</definedName>
    <definedName name="BEx94N7W5T3U7UOE97D6OVIBUCXS" localSheetId="21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localSheetId="4" hidden="1">#REF!</definedName>
    <definedName name="BEx955NIAWX5OLAHMTV6QFUZPR30" localSheetId="6" hidden="1">#REF!</definedName>
    <definedName name="BEx955NIAWX5OLAHMTV6QFUZPR30" localSheetId="21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localSheetId="4" hidden="1">#REF!</definedName>
    <definedName name="BEx9581TYVI2M5TT4ISDAJV4W7Z6" localSheetId="6" hidden="1">#REF!</definedName>
    <definedName name="BEx9581TYVI2M5TT4ISDAJV4W7Z6" localSheetId="21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localSheetId="4" hidden="1">#REF!</definedName>
    <definedName name="BEx95G55NR99FDSE95CXDI4DKWSV" localSheetId="6" hidden="1">#REF!</definedName>
    <definedName name="BEx95G55NR99FDSE95CXDI4DKWSV" localSheetId="21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localSheetId="4" hidden="1">#REF!</definedName>
    <definedName name="BEx95NHF4RVUE0YDOAFZEIVBYJXD" localSheetId="6" hidden="1">#REF!</definedName>
    <definedName name="BEx95NHF4RVUE0YDOAFZEIVBYJXD" localSheetId="21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localSheetId="4" hidden="1">#REF!</definedName>
    <definedName name="BEx95QBZMG0E2KQ9BERJ861QLYN3" localSheetId="6" hidden="1">#REF!</definedName>
    <definedName name="BEx95QBZMG0E2KQ9BERJ861QLYN3" localSheetId="21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localSheetId="4" hidden="1">#REF!</definedName>
    <definedName name="BEx95QHBVDN795UNQJLRXG3RDU49" localSheetId="6" hidden="1">#REF!</definedName>
    <definedName name="BEx95QHBVDN795UNQJLRXG3RDU49" localSheetId="21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localSheetId="4" hidden="1">#REF!</definedName>
    <definedName name="BEx95TBVUWV7L7OMFMZDQEXGVHU6" localSheetId="6" hidden="1">#REF!</definedName>
    <definedName name="BEx95TBVUWV7L7OMFMZDQEXGVHU6" localSheetId="21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localSheetId="4" hidden="1">#REF!</definedName>
    <definedName name="BEx95U89DZZSVO39TGS62CX8G9N4" localSheetId="6" hidden="1">#REF!</definedName>
    <definedName name="BEx95U89DZZSVO39TGS62CX8G9N4" localSheetId="21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localSheetId="4" hidden="1">#REF!</definedName>
    <definedName name="BEx95XTPKKKJG67C45LRX0T25I06" localSheetId="6" hidden="1">#REF!</definedName>
    <definedName name="BEx95XTPKKKJG67C45LRX0T25I06" localSheetId="21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localSheetId="4" hidden="1">#REF!</definedName>
    <definedName name="BEx9602K2GHNBUEUVT9ONRQU1GMD" localSheetId="6" hidden="1">#REF!</definedName>
    <definedName name="BEx9602K2GHNBUEUVT9ONRQU1GMD" localSheetId="21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localSheetId="4" hidden="1">#REF!</definedName>
    <definedName name="BEx9602LTEI8BPC79BGMRK6S0RP8" localSheetId="6" hidden="1">#REF!</definedName>
    <definedName name="BEx9602LTEI8BPC79BGMRK6S0RP8" localSheetId="21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localSheetId="4" hidden="1">#REF!</definedName>
    <definedName name="BEx962BL3Y4LA53EBYI64ZYMZE8U" localSheetId="6" hidden="1">#REF!</definedName>
    <definedName name="BEx962BL3Y4LA53EBYI64ZYMZE8U" localSheetId="21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localSheetId="4" hidden="1">#REF!</definedName>
    <definedName name="BEx96HAWZ2EMMI7VJ5NQXGK044OO" localSheetId="6" hidden="1">#REF!</definedName>
    <definedName name="BEx96HAWZ2EMMI7VJ5NQXGK044OO" localSheetId="21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localSheetId="4" hidden="1">#REF!</definedName>
    <definedName name="BEx96KR21O7H9R29TN0S45Y3QPUK" localSheetId="6" hidden="1">#REF!</definedName>
    <definedName name="BEx96KR21O7H9R29TN0S45Y3QPUK" localSheetId="21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localSheetId="4" hidden="1">#REF!</definedName>
    <definedName name="BEx96SUFKHHFE8XQ6UUO6ILDOXHO" localSheetId="6" hidden="1">#REF!</definedName>
    <definedName name="BEx96SUFKHHFE8XQ6UUO6ILDOXHO" localSheetId="21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localSheetId="4" hidden="1">#REF!</definedName>
    <definedName name="BEx96UN4YWXBDEZ1U1ZUIPP41Z7I" localSheetId="6" hidden="1">#REF!</definedName>
    <definedName name="BEx96UN4YWXBDEZ1U1ZUIPP41Z7I" localSheetId="21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localSheetId="4" hidden="1">#REF!</definedName>
    <definedName name="BEx978KSD61YJH3S9DGO050R2EHA" localSheetId="6" hidden="1">#REF!</definedName>
    <definedName name="BEx978KSD61YJH3S9DGO050R2EHA" localSheetId="21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localSheetId="4" hidden="1">#REF!</definedName>
    <definedName name="BEx97H9O1NAKAPK4MX4PKO34ICL5" localSheetId="6" hidden="1">#REF!</definedName>
    <definedName name="BEx97H9O1NAKAPK4MX4PKO34ICL5" localSheetId="21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localSheetId="4" hidden="1">#REF!</definedName>
    <definedName name="BEx97MNUZQ1Z0AO2FL7XQYVNCPR7" localSheetId="6" hidden="1">#REF!</definedName>
    <definedName name="BEx97MNUZQ1Z0AO2FL7XQYVNCPR7" localSheetId="21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localSheetId="4" hidden="1">#REF!</definedName>
    <definedName name="BEx97NPQBACJVD9K1YXI08RTW9E2" localSheetId="6" hidden="1">#REF!</definedName>
    <definedName name="BEx97NPQBACJVD9K1YXI08RTW9E2" localSheetId="21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localSheetId="4" hidden="1">#REF!</definedName>
    <definedName name="BEx97RWQLXS0OORDCN69IGA58CWU" localSheetId="6" hidden="1">#REF!</definedName>
    <definedName name="BEx97RWQLXS0OORDCN69IGA58CWU" localSheetId="21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localSheetId="4" hidden="1">#REF!</definedName>
    <definedName name="BEx97YNGGDFIXHTMGFL2IHAQX9MI" localSheetId="6" hidden="1">#REF!</definedName>
    <definedName name="BEx97YNGGDFIXHTMGFL2IHAQX9MI" localSheetId="21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localSheetId="4" hidden="1">#REF!</definedName>
    <definedName name="BEx9805E16VCDEWPM3404WTQS6ZK" localSheetId="6" hidden="1">#REF!</definedName>
    <definedName name="BEx9805E16VCDEWPM3404WTQS6ZK" localSheetId="21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localSheetId="4" hidden="1">#REF!</definedName>
    <definedName name="BEx981HW73BUZWT14TBTZHC0ZTJ4" localSheetId="6" hidden="1">#REF!</definedName>
    <definedName name="BEx981HW73BUZWT14TBTZHC0ZTJ4" localSheetId="21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localSheetId="4" hidden="1">#REF!</definedName>
    <definedName name="BEx9871KU0N99P0900EAK69VFYT2" localSheetId="6" hidden="1">#REF!</definedName>
    <definedName name="BEx9871KU0N99P0900EAK69VFYT2" localSheetId="21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localSheetId="4" hidden="1">#REF!</definedName>
    <definedName name="BEx98IFKNJFGZFLID1YTRFEG1SXY" localSheetId="6" hidden="1">#REF!</definedName>
    <definedName name="BEx98IFKNJFGZFLID1YTRFEG1SXY" localSheetId="21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localSheetId="4" hidden="1">#REF!</definedName>
    <definedName name="BEx98T7ZEF0HKRFLBVK3BNKCG3CJ" localSheetId="6" hidden="1">#REF!</definedName>
    <definedName name="BEx98T7ZEF0HKRFLBVK3BNKCG3CJ" localSheetId="21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localSheetId="4" hidden="1">#REF!</definedName>
    <definedName name="BEx98WYSAS39FWGYTMQ8QGIT81TF" localSheetId="6" hidden="1">#REF!</definedName>
    <definedName name="BEx98WYSAS39FWGYTMQ8QGIT81TF" localSheetId="21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localSheetId="4" hidden="1">#REF!</definedName>
    <definedName name="BEx990461P2YAJ7BRK25INFYZ7RQ" localSheetId="6" hidden="1">#REF!</definedName>
    <definedName name="BEx990461P2YAJ7BRK25INFYZ7RQ" localSheetId="21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localSheetId="4" hidden="1">#REF!</definedName>
    <definedName name="BEx9915UVD4G7RA3IMLFZ0LG3UA2" localSheetId="6" hidden="1">#REF!</definedName>
    <definedName name="BEx9915UVD4G7RA3IMLFZ0LG3UA2" localSheetId="21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localSheetId="4" hidden="1">#REF!</definedName>
    <definedName name="BEx991M410V3S2PKCJGQ30O6JT6H" localSheetId="6" hidden="1">#REF!</definedName>
    <definedName name="BEx991M410V3S2PKCJGQ30O6JT6H" localSheetId="21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localSheetId="4" hidden="1">#REF!</definedName>
    <definedName name="BEx992CZON8AO7U7V88VN1JBO0MG" localSheetId="6" hidden="1">#REF!</definedName>
    <definedName name="BEx992CZON8AO7U7V88VN1JBO0MG" localSheetId="21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localSheetId="4" hidden="1">#REF!</definedName>
    <definedName name="BEx9952469XMFGSPXL7CMXHPJF90" localSheetId="6" hidden="1">#REF!</definedName>
    <definedName name="BEx9952469XMFGSPXL7CMXHPJF90" localSheetId="21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localSheetId="4" hidden="1">#REF!</definedName>
    <definedName name="BEx99B77I7TUSHRR4HIZ9FU2EIUT" localSheetId="6" hidden="1">#REF!</definedName>
    <definedName name="BEx99B77I7TUSHRR4HIZ9FU2EIUT" localSheetId="21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localSheetId="4" hidden="1">#REF!</definedName>
    <definedName name="BEx99EHWKKHZB66Q30C7QIXU3BVM" localSheetId="6" hidden="1">#REF!</definedName>
    <definedName name="BEx99EHWKKHZB66Q30C7QIXU3BVM" localSheetId="21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localSheetId="4" hidden="1">#REF!</definedName>
    <definedName name="BEx99IE6TEODZ443HP0AYCXVTNOV" localSheetId="6" hidden="1">#REF!</definedName>
    <definedName name="BEx99IE6TEODZ443HP0AYCXVTNOV" localSheetId="21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localSheetId="4" hidden="1">#REF!</definedName>
    <definedName name="BEx99Q6PH5F3OQKCCAAO75PYDEFN" localSheetId="6" hidden="1">#REF!</definedName>
    <definedName name="BEx99Q6PH5F3OQKCCAAO75PYDEFN" localSheetId="21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localSheetId="4" hidden="1">#REF!</definedName>
    <definedName name="BEx99RU5I4O0109P2FW9DN4IU3QX" localSheetId="6" hidden="1">#REF!</definedName>
    <definedName name="BEx99RU5I4O0109P2FW9DN4IU3QX" localSheetId="21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localSheetId="4" hidden="1">#REF!</definedName>
    <definedName name="BEx99WBYT2D6UUC1PT7A40ENYID4" localSheetId="6" hidden="1">#REF!</definedName>
    <definedName name="BEx99WBYT2D6UUC1PT7A40ENYID4" localSheetId="21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localSheetId="4" hidden="1">#REF!</definedName>
    <definedName name="BEx99WS2X3RTQE9O764SS5G2FPE6" localSheetId="6" hidden="1">#REF!</definedName>
    <definedName name="BEx99WS2X3RTQE9O764SS5G2FPE6" localSheetId="21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localSheetId="4" hidden="1">#REF!</definedName>
    <definedName name="BEx99ZRZ4I7FHDPGRAT5VW7NVBPU" localSheetId="6" hidden="1">#REF!</definedName>
    <definedName name="BEx99ZRZ4I7FHDPGRAT5VW7NVBPU" localSheetId="21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localSheetId="4" hidden="1">#REF!</definedName>
    <definedName name="BEx9AT5E3ZSHKSOL35O38L8HF9TH" localSheetId="6" hidden="1">#REF!</definedName>
    <definedName name="BEx9AT5E3ZSHKSOL35O38L8HF9TH" localSheetId="21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localSheetId="4" hidden="1">#REF!</definedName>
    <definedName name="BEx9ATW9WB5CNKQR5HKK7Y2GHYGR" localSheetId="6" hidden="1">#REF!</definedName>
    <definedName name="BEx9ATW9WB5CNKQR5HKK7Y2GHYGR" localSheetId="21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localSheetId="4" hidden="1">#REF!</definedName>
    <definedName name="BEx9AV8W1FAWF5BHATYEN47X12JN" localSheetId="6" hidden="1">#REF!</definedName>
    <definedName name="BEx9AV8W1FAWF5BHATYEN47X12JN" localSheetId="21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localSheetId="4" hidden="1">#REF!</definedName>
    <definedName name="BEx9B8A5186FNTQQNLIO5LK02ABI" localSheetId="6" hidden="1">#REF!</definedName>
    <definedName name="BEx9B8A5186FNTQQNLIO5LK02ABI" localSheetId="21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localSheetId="4" hidden="1">#REF!</definedName>
    <definedName name="BEx9B8VR20E2CILU4CDQUQQ9ONXK" localSheetId="6" hidden="1">#REF!</definedName>
    <definedName name="BEx9B8VR20E2CILU4CDQUQQ9ONXK" localSheetId="21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localSheetId="4" hidden="1">#REF!</definedName>
    <definedName name="BEx9B917EUP13X6FQ3NPQL76XM5V" localSheetId="6" hidden="1">#REF!</definedName>
    <definedName name="BEx9B917EUP13X6FQ3NPQL76XM5V" localSheetId="21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localSheetId="4" hidden="1">#REF!</definedName>
    <definedName name="BEx9BAJ5WYEQ623HUT9NNCMP3RUG" localSheetId="6" hidden="1">#REF!</definedName>
    <definedName name="BEx9BAJ5WYEQ623HUT9NNCMP3RUG" localSheetId="21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localSheetId="4" hidden="1">#REF!</definedName>
    <definedName name="BEx9BE9Z7EFJCFDYJJOY5KFTGDF4" localSheetId="6" hidden="1">#REF!</definedName>
    <definedName name="BEx9BE9Z7EFJCFDYJJOY5KFTGDF4" localSheetId="21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localSheetId="4" hidden="1">#REF!</definedName>
    <definedName name="BEx9BSIJN2O0MG8CXAMCAOADEMTO" localSheetId="6" hidden="1">#REF!</definedName>
    <definedName name="BEx9BSIJN2O0MG8CXAMCAOADEMTO" localSheetId="21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localSheetId="4" hidden="1">#REF!</definedName>
    <definedName name="BEx9BU0BBJO3ITPCO4T9FIVEVJY7" localSheetId="6" hidden="1">#REF!</definedName>
    <definedName name="BEx9BU0BBJO3ITPCO4T9FIVEVJY7" localSheetId="21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localSheetId="4" hidden="1">#REF!</definedName>
    <definedName name="BEx9BYSYW7QCPXS2NAVLFAU5Y2Z2" localSheetId="6" hidden="1">#REF!</definedName>
    <definedName name="BEx9BYSYW7QCPXS2NAVLFAU5Y2Z2" localSheetId="21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localSheetId="4" hidden="1">#REF!</definedName>
    <definedName name="BEx9C590HJ2O31IWJB73C1HR74AI" localSheetId="6" hidden="1">#REF!</definedName>
    <definedName name="BEx9C590HJ2O31IWJB73C1HR74AI" localSheetId="21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localSheetId="4" hidden="1">#REF!</definedName>
    <definedName name="BEx9CCQRMYYOGIOYTOM73VKDIPS1" localSheetId="6" hidden="1">#REF!</definedName>
    <definedName name="BEx9CCQRMYYOGIOYTOM73VKDIPS1" localSheetId="21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localSheetId="4" hidden="1">#REF!</definedName>
    <definedName name="BEx9CM6JVXIG9S6EAZMR899UW190" localSheetId="6" hidden="1">#REF!</definedName>
    <definedName name="BEx9CM6JVXIG9S6EAZMR899UW190" localSheetId="21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localSheetId="4" hidden="1">#REF!</definedName>
    <definedName name="BEx9D160NRGTDVT2ML4H9A7UKR4T" localSheetId="6" hidden="1">#REF!</definedName>
    <definedName name="BEx9D160NRGTDVT2ML4H9A7UKR4T" localSheetId="21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localSheetId="4" hidden="1">#REF!</definedName>
    <definedName name="BEx9D1BC9FT19KY0INAABNDBAMR1" localSheetId="6" hidden="1">#REF!</definedName>
    <definedName name="BEx9D1BC9FT19KY0INAABNDBAMR1" localSheetId="21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localSheetId="4" hidden="1">#REF!</definedName>
    <definedName name="BEx9D1MB15VSARB7IKBMZYU0JJBI" localSheetId="6" hidden="1">#REF!</definedName>
    <definedName name="BEx9D1MB15VSARB7IKBMZYU0JJBI" localSheetId="21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localSheetId="4" hidden="1">#REF!</definedName>
    <definedName name="BEx9DN6ZMF18Q39MPMXSDJTZQNJ3" localSheetId="6" hidden="1">#REF!</definedName>
    <definedName name="BEx9DN6ZMF18Q39MPMXSDJTZQNJ3" localSheetId="21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localSheetId="4" hidden="1">#REF!</definedName>
    <definedName name="BEx9DZXN85O544CD9O60K126YYAU" localSheetId="6" hidden="1">#REF!</definedName>
    <definedName name="BEx9DZXN85O544CD9O60K126YYAU" localSheetId="21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localSheetId="4" hidden="1">#REF!</definedName>
    <definedName name="BEx9E14TDNSEMI784W0OTIEQMWN6" localSheetId="6" hidden="1">#REF!</definedName>
    <definedName name="BEx9E14TDNSEMI784W0OTIEQMWN6" localSheetId="21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localSheetId="4" hidden="1">#REF!</definedName>
    <definedName name="BEx9E14TGNBYGMDDG9NETDK4SYAW" localSheetId="6" hidden="1">#REF!</definedName>
    <definedName name="BEx9E14TGNBYGMDDG9NETDK4SYAW" localSheetId="21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localSheetId="4" hidden="1">#REF!</definedName>
    <definedName name="BEx9E2BZ2B1R41FMGJCJ7JLGLUAJ" localSheetId="6" hidden="1">#REF!</definedName>
    <definedName name="BEx9E2BZ2B1R41FMGJCJ7JLGLUAJ" localSheetId="21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localSheetId="4" hidden="1">#REF!</definedName>
    <definedName name="BEx9EG9KBJ77M8LEOR9ITOKN5KXY" localSheetId="6" hidden="1">#REF!</definedName>
    <definedName name="BEx9EG9KBJ77M8LEOR9ITOKN5KXY" localSheetId="21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localSheetId="4" hidden="1">#REF!</definedName>
    <definedName name="BEx9EMK6HAJJMVYZTN5AUIV7O1E6" localSheetId="6" hidden="1">#REF!</definedName>
    <definedName name="BEx9EMK6HAJJMVYZTN5AUIV7O1E6" localSheetId="21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localSheetId="4" hidden="1">#REF!</definedName>
    <definedName name="BEx9ENB8RPU9FA3QW16IGB6LK1CH" localSheetId="6" hidden="1">#REF!</definedName>
    <definedName name="BEx9ENB8RPU9FA3QW16IGB6LK1CH" localSheetId="21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localSheetId="4" hidden="1">#REF!</definedName>
    <definedName name="BEx9EQLVZHYQ1TPX7WH3SOWXCZLE" localSheetId="6" hidden="1">#REF!</definedName>
    <definedName name="BEx9EQLVZHYQ1TPX7WH3SOWXCZLE" localSheetId="21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localSheetId="4" hidden="1">#REF!</definedName>
    <definedName name="BEx9ETLU0EK5LGEM1QCNYN2S8O5F" localSheetId="6" hidden="1">#REF!</definedName>
    <definedName name="BEx9ETLU0EK5LGEM1QCNYN2S8O5F" localSheetId="21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localSheetId="4" hidden="1">#REF!</definedName>
    <definedName name="BEx9F0710LGLAU3161O0O346N58H" localSheetId="6" hidden="1">#REF!</definedName>
    <definedName name="BEx9F0710LGLAU3161O0O346N58H" localSheetId="21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localSheetId="4" hidden="1">#REF!</definedName>
    <definedName name="BEx9F0Y2ESUNE3U7TQDLMPE9BO67" localSheetId="6" hidden="1">#REF!</definedName>
    <definedName name="BEx9F0Y2ESUNE3U7TQDLMPE9BO67" localSheetId="21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localSheetId="4" hidden="1">#REF!</definedName>
    <definedName name="BEx9F439L1R726MJFX2EP39XIBPY" localSheetId="6" hidden="1">#REF!</definedName>
    <definedName name="BEx9F439L1R726MJFX2EP39XIBPY" localSheetId="21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localSheetId="4" hidden="1">#REF!</definedName>
    <definedName name="BEx9F5W18ZGFOKGRE8PR6T1MO6GT" localSheetId="6" hidden="1">#REF!</definedName>
    <definedName name="BEx9F5W18ZGFOKGRE8PR6T1MO6GT" localSheetId="21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localSheetId="4" hidden="1">#REF!</definedName>
    <definedName name="BEx9F78N4HY0XFGBQ4UJRD52L1EI" localSheetId="6" hidden="1">#REF!</definedName>
    <definedName name="BEx9F78N4HY0XFGBQ4UJRD52L1EI" localSheetId="21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localSheetId="4" hidden="1">#REF!</definedName>
    <definedName name="BEx9FF16LOQP5QIR4UHW5EIFGQB8" localSheetId="6" hidden="1">#REF!</definedName>
    <definedName name="BEx9FF16LOQP5QIR4UHW5EIFGQB8" localSheetId="21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localSheetId="4" hidden="1">#REF!</definedName>
    <definedName name="BEx9FJTSRCZ3ZXT3QVBJT5NF8T7V" localSheetId="6" hidden="1">#REF!</definedName>
    <definedName name="BEx9FJTSRCZ3ZXT3QVBJT5NF8T7V" localSheetId="21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localSheetId="4" hidden="1">#REF!</definedName>
    <definedName name="BEx9FRBEEYPS5HLS3XT34AKZN94G" localSheetId="6" hidden="1">#REF!</definedName>
    <definedName name="BEx9FRBEEYPS5HLS3XT34AKZN94G" localSheetId="21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localSheetId="4" hidden="1">#REF!</definedName>
    <definedName name="BEx9G5USBCNYNA7HGVW92D800SKX" localSheetId="6" hidden="1">#REF!</definedName>
    <definedName name="BEx9G5USBCNYNA7HGVW92D800SKX" localSheetId="21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localSheetId="4" hidden="1">#REF!</definedName>
    <definedName name="BEx9G7CPXG7HR6N6FHPU2DBBUIKG" localSheetId="6" hidden="1">#REF!</definedName>
    <definedName name="BEx9G7CPXG7HR6N6FHPU2DBBUIKG" localSheetId="21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localSheetId="4" hidden="1">#REF!</definedName>
    <definedName name="BEx9GDY4D8ZPQJCYFIMYM0V0C51Y" localSheetId="6" hidden="1">#REF!</definedName>
    <definedName name="BEx9GDY4D8ZPQJCYFIMYM0V0C51Y" localSheetId="21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localSheetId="4" hidden="1">#REF!</definedName>
    <definedName name="BEx9GGY04V0ZWI6O9KZH4KSBB389" localSheetId="6" hidden="1">#REF!</definedName>
    <definedName name="BEx9GGY04V0ZWI6O9KZH4KSBB389" localSheetId="21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localSheetId="4" hidden="1">#REF!</definedName>
    <definedName name="BEx9GMC7TE8SDTCO5PHODBUF4SM1" localSheetId="6" hidden="1">#REF!</definedName>
    <definedName name="BEx9GMC7TE8SDTCO5PHODBUF4SM1" localSheetId="21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localSheetId="4" hidden="1">#REF!</definedName>
    <definedName name="BEx9GMN0B495HEAOG6JQK9D7HUPC" localSheetId="6" hidden="1">#REF!</definedName>
    <definedName name="BEx9GMN0B495HEAOG6JQK9D7HUPC" localSheetId="21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localSheetId="4" hidden="1">#REF!</definedName>
    <definedName name="BEx9GNOPB6OZ2RH3FCDNJR38RJOS" localSheetId="6" hidden="1">#REF!</definedName>
    <definedName name="BEx9GNOPB6OZ2RH3FCDNJR38RJOS" localSheetId="21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localSheetId="4" hidden="1">#REF!</definedName>
    <definedName name="BEx9GUQALUWCD30UKUQGSWW8KBQ7" localSheetId="6" hidden="1">#REF!</definedName>
    <definedName name="BEx9GUQALUWCD30UKUQGSWW8KBQ7" localSheetId="21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localSheetId="4" hidden="1">#REF!</definedName>
    <definedName name="BEx9GY6BVFQGCLMOWVT6PIC9WP5X" localSheetId="6" hidden="1">#REF!</definedName>
    <definedName name="BEx9GY6BVFQGCLMOWVT6PIC9WP5X" localSheetId="21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localSheetId="4" hidden="1">#REF!</definedName>
    <definedName name="BEx9GZ2P3FDHKXEBXX2VS0BG2NP2" localSheetId="6" hidden="1">#REF!</definedName>
    <definedName name="BEx9GZ2P3FDHKXEBXX2VS0BG2NP2" localSheetId="21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localSheetId="4" hidden="1">#REF!</definedName>
    <definedName name="BEx9H04IB14E1437FF2OIRRWBSD7" localSheetId="6" hidden="1">#REF!</definedName>
    <definedName name="BEx9H04IB14E1437FF2OIRRWBSD7" localSheetId="21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localSheetId="4" hidden="1">#REF!</definedName>
    <definedName name="BEx9H5O1KDZJCW91Q29VRPY5YS6P" localSheetId="6" hidden="1">#REF!</definedName>
    <definedName name="BEx9H5O1KDZJCW91Q29VRPY5YS6P" localSheetId="21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localSheetId="4" hidden="1">#REF!</definedName>
    <definedName name="BEx9H8YR0E906F1JXZMBX3LNT004" localSheetId="6" hidden="1">#REF!</definedName>
    <definedName name="BEx9H8YR0E906F1JXZMBX3LNT004" localSheetId="21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localSheetId="4" hidden="1">#REF!</definedName>
    <definedName name="BEx9I1QKLI6OOUPQLUQ0EF0355X6" localSheetId="6" hidden="1">#REF!</definedName>
    <definedName name="BEx9I1QKLI6OOUPQLUQ0EF0355X6" localSheetId="21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localSheetId="4" hidden="1">#REF!</definedName>
    <definedName name="BEx9I8XIG7E5NB48QQHXP23FIN60" localSheetId="6" hidden="1">#REF!</definedName>
    <definedName name="BEx9I8XIG7E5NB48QQHXP23FIN60" localSheetId="21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localSheetId="4" hidden="1">#REF!</definedName>
    <definedName name="BEx9IQRF01ATLVK0YE60ARKQJ68L" localSheetId="6" hidden="1">#REF!</definedName>
    <definedName name="BEx9IQRF01ATLVK0YE60ARKQJ68L" localSheetId="21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localSheetId="4" hidden="1">#REF!</definedName>
    <definedName name="BEx9IT5QNZWKM6YQ5WER0DC2PMMU" localSheetId="6" hidden="1">#REF!</definedName>
    <definedName name="BEx9IT5QNZWKM6YQ5WER0DC2PMMU" localSheetId="21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localSheetId="4" hidden="1">#REF!</definedName>
    <definedName name="BEx9IUICG3HZWG57MG3NXCEX4LQI" localSheetId="6" hidden="1">#REF!</definedName>
    <definedName name="BEx9IUICG3HZWG57MG3NXCEX4LQI" localSheetId="21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localSheetId="4" hidden="1">#REF!</definedName>
    <definedName name="BEx9IW5LYJF40GS78FJNXO9O667A" localSheetId="6" hidden="1">#REF!</definedName>
    <definedName name="BEx9IW5LYJF40GS78FJNXO9O667A" localSheetId="21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localSheetId="4" hidden="1">#REF!</definedName>
    <definedName name="BEx9IW5MFLXTVCJHVUZTUH93AXOS" localSheetId="6" hidden="1">#REF!</definedName>
    <definedName name="BEx9IW5MFLXTVCJHVUZTUH93AXOS" localSheetId="21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localSheetId="4" hidden="1">#REF!</definedName>
    <definedName name="BEx9IXCSPSZC80YZUPRCYTG326KV" localSheetId="6" hidden="1">#REF!</definedName>
    <definedName name="BEx9IXCSPSZC80YZUPRCYTG326KV" localSheetId="21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localSheetId="4" hidden="1">#REF!</definedName>
    <definedName name="BEx9IYUQSBZ0GG9ZT1QKX83F42F1" localSheetId="6" hidden="1">#REF!</definedName>
    <definedName name="BEx9IYUQSBZ0GG9ZT1QKX83F42F1" localSheetId="21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localSheetId="4" hidden="1">#REF!</definedName>
    <definedName name="BEx9IZR39NHDGOM97H4E6F81RTQW" localSheetId="6" hidden="1">#REF!</definedName>
    <definedName name="BEx9IZR39NHDGOM97H4E6F81RTQW" localSheetId="21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localSheetId="4" hidden="1">#REF!</definedName>
    <definedName name="BEx9J6CH5E7YZPER7HXEIOIKGPCA" localSheetId="6" hidden="1">#REF!</definedName>
    <definedName name="BEx9J6CH5E7YZPER7HXEIOIKGPCA" localSheetId="21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localSheetId="4" hidden="1">#REF!</definedName>
    <definedName name="BEx9JJTZKVUJAVPTRE0RAVTEH41G" localSheetId="6" hidden="1">#REF!</definedName>
    <definedName name="BEx9JJTZKVUJAVPTRE0RAVTEH41G" localSheetId="21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localSheetId="4" hidden="1">#REF!</definedName>
    <definedName name="BEx9JLBYK239B3F841C7YG1GT7ST" localSheetId="6" hidden="1">#REF!</definedName>
    <definedName name="BEx9JLBYK239B3F841C7YG1GT7ST" localSheetId="21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localSheetId="4" hidden="1">#REF!</definedName>
    <definedName name="BExAW4IIW5D0MDY6TJ3G4FOLPYIR" localSheetId="6" hidden="1">#REF!</definedName>
    <definedName name="BExAW4IIW5D0MDY6TJ3G4FOLPYIR" localSheetId="21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localSheetId="4" hidden="1">#REF!</definedName>
    <definedName name="BExAWNP1B2E9Q88TW48NH41C0FTZ" localSheetId="6" hidden="1">#REF!</definedName>
    <definedName name="BExAWNP1B2E9Q88TW48NH41C0FTZ" localSheetId="21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localSheetId="4" hidden="1">#REF!</definedName>
    <definedName name="BExAWUFQXTIPQ308ERZPSVPTUMYN" localSheetId="6" hidden="1">#REF!</definedName>
    <definedName name="BExAWUFQXTIPQ308ERZPSVPTUMYN" localSheetId="21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localSheetId="4" hidden="1">#REF!</definedName>
    <definedName name="BExAWY6O96OQO2R036QK2DI37EKV" localSheetId="6" hidden="1">#REF!</definedName>
    <definedName name="BExAWY6O96OQO2R036QK2DI37EKV" localSheetId="21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localSheetId="4" hidden="1">#REF!</definedName>
    <definedName name="BExAX410NB4F2XOB84OR2197H8M5" localSheetId="6" hidden="1">#REF!</definedName>
    <definedName name="BExAX410NB4F2XOB84OR2197H8M5" localSheetId="21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localSheetId="4" hidden="1">#REF!</definedName>
    <definedName name="BExAX8TNG8LQ5Q4904SAYQIPGBSV" localSheetId="6" hidden="1">#REF!</definedName>
    <definedName name="BExAX8TNG8LQ5Q4904SAYQIPGBSV" localSheetId="21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localSheetId="4" hidden="1">#REF!</definedName>
    <definedName name="BExAX9KPAVIVUVU3XREDCV1BIYZL" localSheetId="6" hidden="1">#REF!</definedName>
    <definedName name="BExAX9KPAVIVUVU3XREDCV1BIYZL" localSheetId="21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localSheetId="4" hidden="1">#REF!</definedName>
    <definedName name="BExAXPB35BNVXZYF2XS6UP3LP0QH" localSheetId="6" hidden="1">#REF!</definedName>
    <definedName name="BExAXPB35BNVXZYF2XS6UP3LP0QH" localSheetId="21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localSheetId="4" hidden="1">#REF!</definedName>
    <definedName name="BExAXWSRVPK0GCZ2UFU10UOP01IY" localSheetId="6" hidden="1">#REF!</definedName>
    <definedName name="BExAXWSRVPK0GCZ2UFU10UOP01IY" localSheetId="21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localSheetId="4" hidden="1">#REF!</definedName>
    <definedName name="BExAY0EAT2LXR5MFGM0DLIB45PLO" localSheetId="6" hidden="1">#REF!</definedName>
    <definedName name="BExAY0EAT2LXR5MFGM0DLIB45PLO" localSheetId="21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localSheetId="4" hidden="1">#REF!</definedName>
    <definedName name="BExAY6JK0AK9EBIJSPEJNOIDE40W" localSheetId="6" hidden="1">#REF!</definedName>
    <definedName name="BExAY6JK0AK9EBIJSPEJNOIDE40W" localSheetId="21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localSheetId="4" hidden="1">#REF!</definedName>
    <definedName name="BExAYE6LNIEBR9DSNI5JGNITGKIT" localSheetId="6" hidden="1">#REF!</definedName>
    <definedName name="BExAYE6LNIEBR9DSNI5JGNITGKIT" localSheetId="21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localSheetId="4" hidden="1">#REF!</definedName>
    <definedName name="BExAYHMLXGGO25P8HYB2S75DEB4F" localSheetId="6" hidden="1">#REF!</definedName>
    <definedName name="BExAYHMLXGGO25P8HYB2S75DEB4F" localSheetId="21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localSheetId="4" hidden="1">#REF!</definedName>
    <definedName name="BExAYKXAUWGDOPG952TEJ2UKZKWN" localSheetId="6" hidden="1">#REF!</definedName>
    <definedName name="BExAYKXAUWGDOPG952TEJ2UKZKWN" localSheetId="21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localSheetId="4" hidden="1">#REF!</definedName>
    <definedName name="BExAYP9TDTI2MBP6EYE0H39CPMXN" localSheetId="6" hidden="1">#REF!</definedName>
    <definedName name="BExAYP9TDTI2MBP6EYE0H39CPMXN" localSheetId="21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localSheetId="4" hidden="1">#REF!</definedName>
    <definedName name="BExAYPPWJPWDKU59O051WMGB7O0J" localSheetId="6" hidden="1">#REF!</definedName>
    <definedName name="BExAYPPWJPWDKU59O051WMGB7O0J" localSheetId="21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localSheetId="4" hidden="1">#REF!</definedName>
    <definedName name="BExAYR2JZCJBUH6F1LZC2A7JIVRJ" localSheetId="6" hidden="1">#REF!</definedName>
    <definedName name="BExAYR2JZCJBUH6F1LZC2A7JIVRJ" localSheetId="21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localSheetId="4" hidden="1">#REF!</definedName>
    <definedName name="BExAYTGVRD3DLKO75RFPMBKCIWB8" localSheetId="6" hidden="1">#REF!</definedName>
    <definedName name="BExAYTGVRD3DLKO75RFPMBKCIWB8" localSheetId="21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localSheetId="4" hidden="1">#REF!</definedName>
    <definedName name="BExAYY9H9COOT46HJLPVDLTO12UL" localSheetId="6" hidden="1">#REF!</definedName>
    <definedName name="BExAYY9H9COOT46HJLPVDLTO12UL" localSheetId="21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localSheetId="4" hidden="1">#REF!</definedName>
    <definedName name="BExAYYKAQA3KDMQ890FIE5M9SPBL" localSheetId="6" hidden="1">#REF!</definedName>
    <definedName name="BExAYYKAQA3KDMQ890FIE5M9SPBL" localSheetId="21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localSheetId="4" hidden="1">#REF!</definedName>
    <definedName name="BExAZ6SY0EU69GC3CWI5EOO0YLFG" localSheetId="6" hidden="1">#REF!</definedName>
    <definedName name="BExAZ6SY0EU69GC3CWI5EOO0YLFG" localSheetId="21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localSheetId="4" hidden="1">#REF!</definedName>
    <definedName name="BExAZ6YEEBJV0PCKFE137K2Y3A8M" localSheetId="6" hidden="1">#REF!</definedName>
    <definedName name="BExAZ6YEEBJV0PCKFE137K2Y3A8M" localSheetId="21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localSheetId="4" hidden="1">#REF!</definedName>
    <definedName name="BExAZAP844MJ4GSAIYNYHQ7FECC3" localSheetId="6" hidden="1">#REF!</definedName>
    <definedName name="BExAZAP844MJ4GSAIYNYHQ7FECC3" localSheetId="21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localSheetId="4" hidden="1">#REF!</definedName>
    <definedName name="BExAZCNEGB4JYHC8CZ51KTN890US" localSheetId="6" hidden="1">#REF!</definedName>
    <definedName name="BExAZCNEGB4JYHC8CZ51KTN890US" localSheetId="21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localSheetId="4" hidden="1">#REF!</definedName>
    <definedName name="BExAZFCI302YFYRDJYQDWQQL0Q0O" localSheetId="6" hidden="1">#REF!</definedName>
    <definedName name="BExAZFCI302YFYRDJYQDWQQL0Q0O" localSheetId="21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localSheetId="4" hidden="1">#REF!</definedName>
    <definedName name="BExAZJE2UOL40XUAU2RB53X5K20P" localSheetId="6" hidden="1">#REF!</definedName>
    <definedName name="BExAZJE2UOL40XUAU2RB53X5K20P" localSheetId="21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localSheetId="4" hidden="1">#REF!</definedName>
    <definedName name="BExAZLHLST9OP89R1HJMC1POQG8H" localSheetId="6" hidden="1">#REF!</definedName>
    <definedName name="BExAZLHLST9OP89R1HJMC1POQG8H" localSheetId="21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localSheetId="4" hidden="1">#REF!</definedName>
    <definedName name="BExAZMDYMIAA7RX1BMCKU1VLBRGY" localSheetId="6" hidden="1">#REF!</definedName>
    <definedName name="BExAZMDYMIAA7RX1BMCKU1VLBRGY" localSheetId="21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localSheetId="4" hidden="1">#REF!</definedName>
    <definedName name="BExAZNL6BHI8DCQWXOX4I2P839UX" localSheetId="6" hidden="1">#REF!</definedName>
    <definedName name="BExAZNL6BHI8DCQWXOX4I2P839UX" localSheetId="21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localSheetId="4" hidden="1">#REF!</definedName>
    <definedName name="BExAZRMWSONMCG9KDUM4KAQ7BONM" localSheetId="6" hidden="1">#REF!</definedName>
    <definedName name="BExAZRMWSONMCG9KDUM4KAQ7BONM" localSheetId="21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localSheetId="4" hidden="1">#REF!</definedName>
    <definedName name="BExAZSOJNQ5N3LM4XA17IH7NIY7G" localSheetId="6" hidden="1">#REF!</definedName>
    <definedName name="BExAZSOJNQ5N3LM4XA17IH7NIY7G" localSheetId="21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localSheetId="4" hidden="1">#REF!</definedName>
    <definedName name="BExAZTFG4SJRG4TW6JXRF7N08JFI" localSheetId="6" hidden="1">#REF!</definedName>
    <definedName name="BExAZTFG4SJRG4TW6JXRF7N08JFI" localSheetId="21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localSheetId="4" hidden="1">#REF!</definedName>
    <definedName name="BExAZUS4A8OHDZK0MWAOCCCKTH73" localSheetId="6" hidden="1">#REF!</definedName>
    <definedName name="BExAZUS4A8OHDZK0MWAOCCCKTH73" localSheetId="21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localSheetId="4" hidden="1">#REF!</definedName>
    <definedName name="BExAZX6FECVK3E07KXM2XPYKGM6U" localSheetId="6" hidden="1">#REF!</definedName>
    <definedName name="BExAZX6FECVK3E07KXM2XPYKGM6U" localSheetId="21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localSheetId="4" hidden="1">#REF!</definedName>
    <definedName name="BExB012NJ8GASTNNPBRRFTLHIOC9" localSheetId="6" hidden="1">#REF!</definedName>
    <definedName name="BExB012NJ8GASTNNPBRRFTLHIOC9" localSheetId="21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localSheetId="4" hidden="1">#REF!</definedName>
    <definedName name="BExB072HHXVMUC0VYNGG48GRSH5Q" localSheetId="6" hidden="1">#REF!</definedName>
    <definedName name="BExB072HHXVMUC0VYNGG48GRSH5Q" localSheetId="21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localSheetId="4" hidden="1">#REF!</definedName>
    <definedName name="BExB0FRDEYDEUEAB1W8KD6D965XA" localSheetId="6" hidden="1">#REF!</definedName>
    <definedName name="BExB0FRDEYDEUEAB1W8KD6D965XA" localSheetId="21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localSheetId="4" hidden="1">#REF!</definedName>
    <definedName name="BExB0GIGLDV7P55ZR51C0HG15PA2" localSheetId="6" hidden="1">#REF!</definedName>
    <definedName name="BExB0GIGLDV7P55ZR51C0HG15PA2" localSheetId="21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localSheetId="4" hidden="1">#REF!</definedName>
    <definedName name="BExB0KPCN7YJORQAYUCF4YKIKPMC" localSheetId="6" hidden="1">#REF!</definedName>
    <definedName name="BExB0KPCN7YJORQAYUCF4YKIKPMC" localSheetId="21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localSheetId="4" hidden="1">#REF!</definedName>
    <definedName name="BExB0VHQD6ORZS0MIC86QWHCE4UC" localSheetId="6" hidden="1">#REF!</definedName>
    <definedName name="BExB0VHQD6ORZS0MIC86QWHCE4UC" localSheetId="21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localSheetId="4" hidden="1">#REF!</definedName>
    <definedName name="BExB0WE4PI3NOBXXVO9CTEN4DIU2" localSheetId="6" hidden="1">#REF!</definedName>
    <definedName name="BExB0WE4PI3NOBXXVO9CTEN4DIU2" localSheetId="21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localSheetId="4" hidden="1">#REF!</definedName>
    <definedName name="BExB0Z8O1CQF2CWFBBHE8SNISDAO" localSheetId="6" hidden="1">#REF!</definedName>
    <definedName name="BExB0Z8O1CQF2CWFBBHE8SNISDAO" localSheetId="21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localSheetId="4" hidden="1">#REF!</definedName>
    <definedName name="BExB10QNIVITUYS55OAEKK3VLJFE" localSheetId="6" hidden="1">#REF!</definedName>
    <definedName name="BExB10QNIVITUYS55OAEKK3VLJFE" localSheetId="21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localSheetId="4" hidden="1">#REF!</definedName>
    <definedName name="BExB15ZDRY4CIJ911DONP0KCY9KU" localSheetId="6" hidden="1">#REF!</definedName>
    <definedName name="BExB15ZDRY4CIJ911DONP0KCY9KU" localSheetId="21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localSheetId="4" hidden="1">#REF!</definedName>
    <definedName name="BExB16VQY0O0RLZYJFU3OFEONVTE" localSheetId="6" hidden="1">#REF!</definedName>
    <definedName name="BExB16VQY0O0RLZYJFU3OFEONVTE" localSheetId="21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localSheetId="4" hidden="1">#REF!</definedName>
    <definedName name="BExB1FKNY2UO4W5FUGFHJOA2WFGG" localSheetId="6" hidden="1">#REF!</definedName>
    <definedName name="BExB1FKNY2UO4W5FUGFHJOA2WFGG" localSheetId="21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localSheetId="4" hidden="1">#REF!</definedName>
    <definedName name="BExB1GMD0PIDGTFBGQOPRWQSP9I4" localSheetId="6" hidden="1">#REF!</definedName>
    <definedName name="BExB1GMD0PIDGTFBGQOPRWQSP9I4" localSheetId="21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localSheetId="4" hidden="1">#REF!</definedName>
    <definedName name="BExB1HZ0FHGNOS2URJWFD5G55OMO" localSheetId="6" hidden="1">#REF!</definedName>
    <definedName name="BExB1HZ0FHGNOS2URJWFD5G55OMO" localSheetId="21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localSheetId="4" hidden="1">#REF!</definedName>
    <definedName name="BExB1Q29OO6LNFNT1EQLA3KYE7MX" localSheetId="6" hidden="1">#REF!</definedName>
    <definedName name="BExB1Q29OO6LNFNT1EQLA3KYE7MX" localSheetId="21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localSheetId="4" hidden="1">#REF!</definedName>
    <definedName name="BExB1TNRV5EBWZEHYLHI76T0FVA7" localSheetId="6" hidden="1">#REF!</definedName>
    <definedName name="BExB1TNRV5EBWZEHYLHI76T0FVA7" localSheetId="21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localSheetId="4" hidden="1">#REF!</definedName>
    <definedName name="BExB1WI6M8I0EEP1ANUQZCFY24EV" localSheetId="6" hidden="1">#REF!</definedName>
    <definedName name="BExB1WI6M8I0EEP1ANUQZCFY24EV" localSheetId="21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localSheetId="4" hidden="1">#REF!</definedName>
    <definedName name="BExB203OWC9QZA3BYOKQ18L4FUJE" localSheetId="6" hidden="1">#REF!</definedName>
    <definedName name="BExB203OWC9QZA3BYOKQ18L4FUJE" localSheetId="21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localSheetId="4" hidden="1">#REF!</definedName>
    <definedName name="BExB2CJHTU7C591BR4WRL5L2F2K6" localSheetId="6" hidden="1">#REF!</definedName>
    <definedName name="BExB2CJHTU7C591BR4WRL5L2F2K6" localSheetId="21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localSheetId="4" hidden="1">#REF!</definedName>
    <definedName name="BExB2K1AV4PGNS1O6C7D7AO411AX" localSheetId="6" hidden="1">#REF!</definedName>
    <definedName name="BExB2K1AV4PGNS1O6C7D7AO411AX" localSheetId="21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localSheetId="4" hidden="1">#REF!</definedName>
    <definedName name="BExB2O2UYHKI324YE324E1N7FVIB" localSheetId="6" hidden="1">#REF!</definedName>
    <definedName name="BExB2O2UYHKI324YE324E1N7FVIB" localSheetId="21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localSheetId="4" hidden="1">#REF!</definedName>
    <definedName name="BExB2Q0VJ0MU2URO3JOVUAVHEI3V" localSheetId="6" hidden="1">#REF!</definedName>
    <definedName name="BExB2Q0VJ0MU2URO3JOVUAVHEI3V" localSheetId="21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localSheetId="4" hidden="1">#REF!</definedName>
    <definedName name="BExB30IP1DNKNQ6PZ5ERUGR5MK4Z" localSheetId="6" hidden="1">#REF!</definedName>
    <definedName name="BExB30IP1DNKNQ6PZ5ERUGR5MK4Z" localSheetId="21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localSheetId="4" hidden="1">#REF!</definedName>
    <definedName name="BExB385QW2BSSBXS953SSQN2ISSW" localSheetId="6" hidden="1">#REF!</definedName>
    <definedName name="BExB385QW2BSSBXS953SSQN2ISSW" localSheetId="21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localSheetId="4" hidden="1">#REF!</definedName>
    <definedName name="BExB3DEMEV5D9G8FDHD4NQ9X2YNT" localSheetId="6" hidden="1">#REF!</definedName>
    <definedName name="BExB3DEMEV5D9G8FDHD4NQ9X2YNT" localSheetId="21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localSheetId="4" hidden="1">#REF!</definedName>
    <definedName name="BExB3RXU8AJQ86I5RXEWLGGR7R7C" localSheetId="6" hidden="1">#REF!</definedName>
    <definedName name="BExB3RXU8AJQ86I5RXEWLGGR7R7C" localSheetId="21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localSheetId="4" hidden="1">#REF!</definedName>
    <definedName name="BExB442RX0T3L6HUL6X5T21CENW6" localSheetId="6" hidden="1">#REF!</definedName>
    <definedName name="BExB442RX0T3L6HUL6X5T21CENW6" localSheetId="21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localSheetId="4" hidden="1">#REF!</definedName>
    <definedName name="BExB4ADD0L7417CII901XTFKXD1J" localSheetId="6" hidden="1">#REF!</definedName>
    <definedName name="BExB4ADD0L7417CII901XTFKXD1J" localSheetId="21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localSheetId="4" hidden="1">#REF!</definedName>
    <definedName name="BExB4DYU06HCGRIPBSWRCXK804UM" localSheetId="6" hidden="1">#REF!</definedName>
    <definedName name="BExB4DYU06HCGRIPBSWRCXK804UM" localSheetId="21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localSheetId="4" hidden="1">#REF!</definedName>
    <definedName name="BExB4HEZO4E597Q5M4M10LT8TLY3" localSheetId="6" hidden="1">#REF!</definedName>
    <definedName name="BExB4HEZO4E597Q5M4M10LT8TLY3" localSheetId="21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localSheetId="4" hidden="1">#REF!</definedName>
    <definedName name="BExB4X01APD3Z8ZW6MVX1P8NAO7G" localSheetId="6" hidden="1">#REF!</definedName>
    <definedName name="BExB4X01APD3Z8ZW6MVX1P8NAO7G" localSheetId="21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localSheetId="4" hidden="1">#REF!</definedName>
    <definedName name="BExB4Z3EZBGYYI33U0KQ8NEIH8PY" localSheetId="6" hidden="1">#REF!</definedName>
    <definedName name="BExB4Z3EZBGYYI33U0KQ8NEIH8PY" localSheetId="21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localSheetId="4" hidden="1">#REF!</definedName>
    <definedName name="BExB4ZJOLU1PXBMG4TPCCLTRMNRE" localSheetId="6" hidden="1">#REF!</definedName>
    <definedName name="BExB4ZJOLU1PXBMG4TPCCLTRMNRE" localSheetId="21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localSheetId="4" hidden="1">#REF!</definedName>
    <definedName name="BExB4ZZSDPL4Q05BMVT5TUN0IGKT" localSheetId="6" hidden="1">#REF!</definedName>
    <definedName name="BExB4ZZSDPL4Q05BMVT5TUN0IGKT" localSheetId="21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localSheetId="4" hidden="1">#REF!</definedName>
    <definedName name="BExB55368XW7UX657ZSPC6BFE92S" localSheetId="6" hidden="1">#REF!</definedName>
    <definedName name="BExB55368XW7UX657ZSPC6BFE92S" localSheetId="21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localSheetId="4" hidden="1">#REF!</definedName>
    <definedName name="BExB57MZEPL2SA2ONPK66YFLZWJU" localSheetId="6" hidden="1">#REF!</definedName>
    <definedName name="BExB57MZEPL2SA2ONPK66YFLZWJU" localSheetId="21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localSheetId="4" hidden="1">#REF!</definedName>
    <definedName name="BExB5833OAOJ22VK1YK47FHUSVK2" localSheetId="6" hidden="1">#REF!</definedName>
    <definedName name="BExB5833OAOJ22VK1YK47FHUSVK2" localSheetId="21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localSheetId="4" hidden="1">#REF!</definedName>
    <definedName name="BExB58JDIHS42JZT9DJJMKA8QFCO" localSheetId="6" hidden="1">#REF!</definedName>
    <definedName name="BExB58JDIHS42JZT9DJJMKA8QFCO" localSheetId="21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localSheetId="4" hidden="1">#REF!</definedName>
    <definedName name="BExB58U5FQC5JWV9CGC83HLLZUZI" localSheetId="6" hidden="1">#REF!</definedName>
    <definedName name="BExB58U5FQC5JWV9CGC83HLLZUZI" localSheetId="21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localSheetId="4" hidden="1">#REF!</definedName>
    <definedName name="BExB5EDO9XUKHF74X3HAU2WPPHZH" localSheetId="6" hidden="1">#REF!</definedName>
    <definedName name="BExB5EDO9XUKHF74X3HAU2WPPHZH" localSheetId="21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localSheetId="4" hidden="1">#REF!</definedName>
    <definedName name="BExB5EDOQKZIQXT13IG1KLCZ474G" localSheetId="6" hidden="1">#REF!</definedName>
    <definedName name="BExB5EDOQKZIQXT13IG1KLCZ474G" localSheetId="21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localSheetId="4" hidden="1">#REF!</definedName>
    <definedName name="BExB5G6EH68AYEP1UT0GHUEL3SLN" localSheetId="6" hidden="1">#REF!</definedName>
    <definedName name="BExB5G6EH68AYEP1UT0GHUEL3SLN" localSheetId="21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localSheetId="4" hidden="1">#REF!</definedName>
    <definedName name="BExB5LVGGXMNUN3D3452G3J62MKF" localSheetId="6" hidden="1">#REF!</definedName>
    <definedName name="BExB5LVGGXMNUN3D3452G3J62MKF" localSheetId="21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localSheetId="4" hidden="1">#REF!</definedName>
    <definedName name="BExB5QYVEZWFE5DQVHAM760EV05X" localSheetId="6" hidden="1">#REF!</definedName>
    <definedName name="BExB5QYVEZWFE5DQVHAM760EV05X" localSheetId="21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localSheetId="4" hidden="1">#REF!</definedName>
    <definedName name="BExB5U9IRH14EMOE0YGIE3WIVLFS" localSheetId="6" hidden="1">#REF!</definedName>
    <definedName name="BExB5U9IRH14EMOE0YGIE3WIVLFS" localSheetId="21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localSheetId="4" hidden="1">#REF!</definedName>
    <definedName name="BExB5V5WWQYPK4GCSYZQALJYGC94" localSheetId="6" hidden="1">#REF!</definedName>
    <definedName name="BExB5V5WWQYPK4GCSYZQALJYGC94" localSheetId="21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localSheetId="4" hidden="1">#REF!</definedName>
    <definedName name="BExB5VWYMOV6BAIH7XUBBVPU7MMD" localSheetId="6" hidden="1">#REF!</definedName>
    <definedName name="BExB5VWYMOV6BAIH7XUBBVPU7MMD" localSheetId="21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localSheetId="4" hidden="1">#REF!</definedName>
    <definedName name="BExB610DZWIJP1B72U9QM42COH2B" localSheetId="6" hidden="1">#REF!</definedName>
    <definedName name="BExB610DZWIJP1B72U9QM42COH2B" localSheetId="21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localSheetId="4" hidden="1">#REF!</definedName>
    <definedName name="BExB64AX81KEVMGZDXB25NB459SW" localSheetId="6" hidden="1">#REF!</definedName>
    <definedName name="BExB64AX81KEVMGZDXB25NB459SW" localSheetId="21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localSheetId="4" hidden="1">#REF!</definedName>
    <definedName name="BExB6C3FUAKK9ML5T767NMWGA9YB" localSheetId="6" hidden="1">#REF!</definedName>
    <definedName name="BExB6C3FUAKK9ML5T767NMWGA9YB" localSheetId="21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localSheetId="4" hidden="1">#REF!</definedName>
    <definedName name="BExB6C8X6JYRLKZKK17VE3QUNL3D" localSheetId="6" hidden="1">#REF!</definedName>
    <definedName name="BExB6C8X6JYRLKZKK17VE3QUNL3D" localSheetId="21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localSheetId="4" hidden="1">#REF!</definedName>
    <definedName name="BExB6HN3QRFPXM71MDUK21BKM7PF" localSheetId="6" hidden="1">#REF!</definedName>
    <definedName name="BExB6HN3QRFPXM71MDUK21BKM7PF" localSheetId="21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localSheetId="4" hidden="1">#REF!</definedName>
    <definedName name="BExB6I39SKL5BMHHDD9EED7FQD9Z" localSheetId="6" hidden="1">#REF!</definedName>
    <definedName name="BExB6I39SKL5BMHHDD9EED7FQD9Z" localSheetId="21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localSheetId="4" hidden="1">#REF!</definedName>
    <definedName name="BExB6IZMHCZ3LB7N73KD90YB1HBZ" localSheetId="6" hidden="1">#REF!</definedName>
    <definedName name="BExB6IZMHCZ3LB7N73KD90YB1HBZ" localSheetId="21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localSheetId="4" hidden="1">#REF!</definedName>
    <definedName name="BExB719SGNX4Y8NE6JEXC555K596" localSheetId="6" hidden="1">#REF!</definedName>
    <definedName name="BExB719SGNX4Y8NE6JEXC555K596" localSheetId="21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localSheetId="4" hidden="1">#REF!</definedName>
    <definedName name="BExB7265DCHKS7V2OWRBXCZTEIW9" localSheetId="6" hidden="1">#REF!</definedName>
    <definedName name="BExB7265DCHKS7V2OWRBXCZTEIW9" localSheetId="21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localSheetId="4" hidden="1">#REF!</definedName>
    <definedName name="BExB74PS5P9G0P09Y6DZSCX0FLTJ" localSheetId="6" hidden="1">#REF!</definedName>
    <definedName name="BExB74PS5P9G0P09Y6DZSCX0FLTJ" localSheetId="21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localSheetId="4" hidden="1">#REF!</definedName>
    <definedName name="BExB78RH79J0MIF7H8CAZ0CFE88Q" localSheetId="6" hidden="1">#REF!</definedName>
    <definedName name="BExB78RH79J0MIF7H8CAZ0CFE88Q" localSheetId="21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localSheetId="4" hidden="1">#REF!</definedName>
    <definedName name="BExB7ELT09HGDVO5BJC1ZY9D09GZ" localSheetId="6" hidden="1">#REF!</definedName>
    <definedName name="BExB7ELT09HGDVO5BJC1ZY9D09GZ" localSheetId="21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localSheetId="4" hidden="1">#REF!</definedName>
    <definedName name="BExB7F7EIHG0MYMQYUVG9HIZPHMZ" localSheetId="6" hidden="1">#REF!</definedName>
    <definedName name="BExB7F7EIHG0MYMQYUVG9HIZPHMZ" localSheetId="21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localSheetId="4" hidden="1">#REF!</definedName>
    <definedName name="BExB806PAXX70XUTA3ZI7OORD78R" localSheetId="6" hidden="1">#REF!</definedName>
    <definedName name="BExB806PAXX70XUTA3ZI7OORD78R" localSheetId="21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localSheetId="4" hidden="1">#REF!</definedName>
    <definedName name="BExB83199EQQS6I5HE7WADNCK8OE" localSheetId="6" hidden="1">#REF!</definedName>
    <definedName name="BExB83199EQQS6I5HE7WADNCK8OE" localSheetId="21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localSheetId="4" hidden="1">#REF!</definedName>
    <definedName name="BExB8HF4UBVZKQCSRFRUQL2EE6VL" localSheetId="6" hidden="1">#REF!</definedName>
    <definedName name="BExB8HF4UBVZKQCSRFRUQL2EE6VL" localSheetId="21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localSheetId="4" hidden="1">#REF!</definedName>
    <definedName name="BExB8HKHKZ1ORJZUYGG2M4VSCC39" localSheetId="6" hidden="1">#REF!</definedName>
    <definedName name="BExB8HKHKZ1ORJZUYGG2M4VSCC39" localSheetId="21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localSheetId="4" hidden="1">#REF!</definedName>
    <definedName name="BExB8HV9YUS1Q77M9SNFRKDLU5HS" localSheetId="6" hidden="1">#REF!</definedName>
    <definedName name="BExB8HV9YUS1Q77M9SNFRKDLU5HS" localSheetId="21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localSheetId="4" hidden="1">#REF!</definedName>
    <definedName name="BExB8QPH8DC5BESEVPSMBCWVN6PO" localSheetId="6" hidden="1">#REF!</definedName>
    <definedName name="BExB8QPH8DC5BESEVPSMBCWVN6PO" localSheetId="21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localSheetId="4" hidden="1">#REF!</definedName>
    <definedName name="BExB8U5N0D85YR8APKN3PPKG0FWP" localSheetId="6" hidden="1">#REF!</definedName>
    <definedName name="BExB8U5N0D85YR8APKN3PPKG0FWP" localSheetId="21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localSheetId="4" hidden="1">#REF!</definedName>
    <definedName name="BExB93G413CK5DKO7925ZHSOBGIN" localSheetId="6" hidden="1">#REF!</definedName>
    <definedName name="BExB93G413CK5DKO7925ZHSOBGIN" localSheetId="21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localSheetId="4" hidden="1">#REF!</definedName>
    <definedName name="BExB96LBXL1JW5A4PP93UJ9UDLKZ" localSheetId="6" hidden="1">#REF!</definedName>
    <definedName name="BExB96LBXL1JW5A4PP93UJ9UDLKZ" localSheetId="21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localSheetId="4" hidden="1">#REF!</definedName>
    <definedName name="BExB9DHI5I2TJ2LXYPM98EE81L27" localSheetId="6" hidden="1">#REF!</definedName>
    <definedName name="BExB9DHI5I2TJ2LXYPM98EE81L27" localSheetId="21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localSheetId="4" hidden="1">#REF!</definedName>
    <definedName name="BExB9G6LZG5OQUY0GZLHX066V3D4" localSheetId="6" hidden="1">#REF!</definedName>
    <definedName name="BExB9G6LZG5OQUY0GZLHX066V3D4" localSheetId="21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localSheetId="4" hidden="1">#REF!</definedName>
    <definedName name="BExB9IFG9FW3RQUDIMDFKIYDB4HE" localSheetId="6" hidden="1">#REF!</definedName>
    <definedName name="BExB9IFG9FW3RQUDIMDFKIYDB4HE" localSheetId="21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localSheetId="4" hidden="1">#REF!</definedName>
    <definedName name="BExB9NDIZ7LGMTL8351GRA6VK2K0" localSheetId="6" hidden="1">#REF!</definedName>
    <definedName name="BExB9NDIZ7LGMTL8351GRA6VK2K0" localSheetId="21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localSheetId="4" hidden="1">#REF!</definedName>
    <definedName name="BExB9Q2MZZHBGW8QQKVEYIMJBPIE" localSheetId="6" hidden="1">#REF!</definedName>
    <definedName name="BExB9Q2MZZHBGW8QQKVEYIMJBPIE" localSheetId="21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localSheetId="4" hidden="1">#REF!</definedName>
    <definedName name="BExBA1GON0EZRJ20UYPILAPLNQWM" localSheetId="6" hidden="1">#REF!</definedName>
    <definedName name="BExBA1GON0EZRJ20UYPILAPLNQWM" localSheetId="21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localSheetId="4" hidden="1">#REF!</definedName>
    <definedName name="BExBA525BALJ5HMTDMMSM5WWJ1YW" localSheetId="6" hidden="1">#REF!</definedName>
    <definedName name="BExBA525BALJ5HMTDMMSM5WWJ1YW" localSheetId="21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localSheetId="4" hidden="1">#REF!</definedName>
    <definedName name="BExBA69ASGYRZW1G1DYIS9QRRTBN" localSheetId="6" hidden="1">#REF!</definedName>
    <definedName name="BExBA69ASGYRZW1G1DYIS9QRRTBN" localSheetId="21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localSheetId="4" hidden="1">#REF!</definedName>
    <definedName name="BExBA6K42582A14WFFWQ3Q8QQWB6" localSheetId="6" hidden="1">#REF!</definedName>
    <definedName name="BExBA6K42582A14WFFWQ3Q8QQWB6" localSheetId="21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localSheetId="4" hidden="1">#REF!</definedName>
    <definedName name="BExBA8I5D4R8R2PYQ1K16TWGTOEP" localSheetId="6" hidden="1">#REF!</definedName>
    <definedName name="BExBA8I5D4R8R2PYQ1K16TWGTOEP" localSheetId="21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localSheetId="4" hidden="1">#REF!</definedName>
    <definedName name="BExBA93PE0DGUUTA7LLSIGBIXWE5" localSheetId="6" hidden="1">#REF!</definedName>
    <definedName name="BExBA93PE0DGUUTA7LLSIGBIXWE5" localSheetId="21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localSheetId="4" hidden="1">#REF!</definedName>
    <definedName name="BExBABCQMR685CQ1SC8CECO7GTGB" localSheetId="6" hidden="1">#REF!</definedName>
    <definedName name="BExBABCQMR685CQ1SC8CECO7GTGB" localSheetId="21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localSheetId="4" hidden="1">#REF!</definedName>
    <definedName name="BExBAI8X0FKDQJ6YZJQDTTG4ZCWY" localSheetId="6" hidden="1">#REF!</definedName>
    <definedName name="BExBAI8X0FKDQJ6YZJQDTTG4ZCWY" localSheetId="21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localSheetId="4" hidden="1">#REF!</definedName>
    <definedName name="BExBAKN7XIBAXCF9PCNVS038PCQO" localSheetId="6" hidden="1">#REF!</definedName>
    <definedName name="BExBAKN7XIBAXCF9PCNVS038PCQO" localSheetId="21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localSheetId="4" hidden="1">#REF!</definedName>
    <definedName name="BExBAKXZ7PBW3DDKKA5MWC1ZUC7O" localSheetId="6" hidden="1">#REF!</definedName>
    <definedName name="BExBAKXZ7PBW3DDKKA5MWC1ZUC7O" localSheetId="21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localSheetId="4" hidden="1">#REF!</definedName>
    <definedName name="BExBAO8NLXZXHO6KCIECSFCH3RR0" localSheetId="6" hidden="1">#REF!</definedName>
    <definedName name="BExBAO8NLXZXHO6KCIECSFCH3RR0" localSheetId="21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localSheetId="4" hidden="1">#REF!</definedName>
    <definedName name="BExBAOOT1KBSIEISN1ADL4RMY879" localSheetId="6" hidden="1">#REF!</definedName>
    <definedName name="BExBAOOT1KBSIEISN1ADL4RMY879" localSheetId="21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localSheetId="4" hidden="1">#REF!</definedName>
    <definedName name="BExBAVKX8Q09370X1GCZWJ4E91YJ" localSheetId="6" hidden="1">#REF!</definedName>
    <definedName name="BExBAVKX8Q09370X1GCZWJ4E91YJ" localSheetId="21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localSheetId="4" hidden="1">#REF!</definedName>
    <definedName name="BExBAX2X2ENJYO4QTR5VAIQ86L7B" localSheetId="6" hidden="1">#REF!</definedName>
    <definedName name="BExBAX2X2ENJYO4QTR5VAIQ86L7B" localSheetId="21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localSheetId="4" hidden="1">#REF!</definedName>
    <definedName name="BExBAZ13D3F1DVJQ6YJ8JGUYEYJE" localSheetId="6" hidden="1">#REF!</definedName>
    <definedName name="BExBAZ13D3F1DVJQ6YJ8JGUYEYJE" localSheetId="21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localSheetId="4" hidden="1">#REF!</definedName>
    <definedName name="BExBBMPCB1QOZY8WWEX4J21JDE6U" localSheetId="6" hidden="1">#REF!</definedName>
    <definedName name="BExBBMPCB1QOZY8WWEX4J21JDE6U" localSheetId="21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localSheetId="4" hidden="1">#REF!</definedName>
    <definedName name="BExBBU1QQWUE0YFG7O1TN0RFLSSG" localSheetId="6" hidden="1">#REF!</definedName>
    <definedName name="BExBBU1QQWUE0YFG7O1TN0RFLSSG" localSheetId="21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localSheetId="4" hidden="1">#REF!</definedName>
    <definedName name="BExBBUCJQRR74Q7GPWDEZXYK2KJL" localSheetId="6" hidden="1">#REF!</definedName>
    <definedName name="BExBBUCJQRR74Q7GPWDEZXYK2KJL" localSheetId="21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localSheetId="4" hidden="1">#REF!</definedName>
    <definedName name="BExBBV8XVMD9CKZY711T0BN7H3PM" localSheetId="6" hidden="1">#REF!</definedName>
    <definedName name="BExBBV8XVMD9CKZY711T0BN7H3PM" localSheetId="21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localSheetId="4" hidden="1">#REF!</definedName>
    <definedName name="BExBC78HXWXHO3XAB6E8NVTBGLJS" localSheetId="6" hidden="1">#REF!</definedName>
    <definedName name="BExBC78HXWXHO3XAB6E8NVTBGLJS" localSheetId="21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localSheetId="4" hidden="1">#REF!</definedName>
    <definedName name="BExBCFH3SMGZ2IPHFB6BCM9O3W0H" localSheetId="6" hidden="1">#REF!</definedName>
    <definedName name="BExBCFH3SMGZ2IPHFB6BCM9O3W0H" localSheetId="21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localSheetId="4" hidden="1">#REF!</definedName>
    <definedName name="BExBCK9SCAABKOT9IP6TEPRR7YDT" localSheetId="6" hidden="1">#REF!</definedName>
    <definedName name="BExBCK9SCAABKOT9IP6TEPRR7YDT" localSheetId="21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localSheetId="4" hidden="1">#REF!</definedName>
    <definedName name="BExBCKKJTIRKC1RZJRTK65HHLX4W" localSheetId="6" hidden="1">#REF!</definedName>
    <definedName name="BExBCKKJTIRKC1RZJRTK65HHLX4W" localSheetId="21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localSheetId="4" hidden="1">#REF!</definedName>
    <definedName name="BExBCLMEPAN3XXX174TU8SS0627Q" localSheetId="6" hidden="1">#REF!</definedName>
    <definedName name="BExBCLMEPAN3XXX174TU8SS0627Q" localSheetId="21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localSheetId="4" hidden="1">#REF!</definedName>
    <definedName name="BExBCRBEYR2KZ8FAQFZ2NHY13WIY" localSheetId="6" hidden="1">#REF!</definedName>
    <definedName name="BExBCRBEYR2KZ8FAQFZ2NHY13WIY" localSheetId="21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localSheetId="4" hidden="1">#REF!</definedName>
    <definedName name="BExBD4I559NXSV6J07Q343TKYMVJ" localSheetId="6" hidden="1">#REF!</definedName>
    <definedName name="BExBD4I559NXSV6J07Q343TKYMVJ" localSheetId="21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localSheetId="4" hidden="1">#REF!</definedName>
    <definedName name="BExBD9W8C0W9N6L1AFL18JP4H94W" localSheetId="6" hidden="1">#REF!</definedName>
    <definedName name="BExBD9W8C0W9N6L1AFL18JP4H94W" localSheetId="21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localSheetId="4" hidden="1">#REF!</definedName>
    <definedName name="BExBDBZQLTX3OGFYGULQFK5WEZU5" localSheetId="6" hidden="1">#REF!</definedName>
    <definedName name="BExBDBZQLTX3OGFYGULQFK5WEZU5" localSheetId="21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localSheetId="4" hidden="1">#REF!</definedName>
    <definedName name="BExBDJS9TUEU8Z84IV59E5V4T8K6" localSheetId="6" hidden="1">#REF!</definedName>
    <definedName name="BExBDJS9TUEU8Z84IV59E5V4T8K6" localSheetId="21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localSheetId="4" hidden="1">#REF!</definedName>
    <definedName name="BExBDKOMSVH4XMH52CFJ3F028I9R" localSheetId="6" hidden="1">#REF!</definedName>
    <definedName name="BExBDKOMSVH4XMH52CFJ3F028I9R" localSheetId="21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localSheetId="4" hidden="1">#REF!</definedName>
    <definedName name="BExBDSRXVZQ0W5WXQMP5XD00GRRL" localSheetId="6" hidden="1">#REF!</definedName>
    <definedName name="BExBDSRXVZQ0W5WXQMP5XD00GRRL" localSheetId="21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localSheetId="4" hidden="1">#REF!</definedName>
    <definedName name="BExBDTJ0J7XEHB9OATXFF5I8FZBJ" localSheetId="6" hidden="1">#REF!</definedName>
    <definedName name="BExBDTJ0J7XEHB9OATXFF5I8FZBJ" localSheetId="21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localSheetId="4" hidden="1">#REF!</definedName>
    <definedName name="BExBDUVGK3E1J4JY9ZYTS7V14BLY" localSheetId="6" hidden="1">#REF!</definedName>
    <definedName name="BExBDUVGK3E1J4JY9ZYTS7V14BLY" localSheetId="21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localSheetId="4" hidden="1">#REF!</definedName>
    <definedName name="BExBE0KGY14GSWOGPU4HSJRLD2UD" localSheetId="6" hidden="1">#REF!</definedName>
    <definedName name="BExBE0KGY14GSWOGPU4HSJRLD2UD" localSheetId="21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localSheetId="4" hidden="1">#REF!</definedName>
    <definedName name="BExBE162OSBKD30I7T1DKKPT3I9I" localSheetId="6" hidden="1">#REF!</definedName>
    <definedName name="BExBE162OSBKD30I7T1DKKPT3I9I" localSheetId="21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localSheetId="4" hidden="1">#REF!</definedName>
    <definedName name="BExBEC9ATLQZF86W1M3APSM4HEOH" localSheetId="6" hidden="1">#REF!</definedName>
    <definedName name="BExBEC9ATLQZF86W1M3APSM4HEOH" localSheetId="21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localSheetId="4" hidden="1">#REF!</definedName>
    <definedName name="BExBEXU4CFCM1P5CTZ4NE14PBGDA" localSheetId="6" hidden="1">#REF!</definedName>
    <definedName name="BExBEXU4CFCM1P5CTZ4NE14PBGDA" localSheetId="21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localSheetId="4" hidden="1">#REF!</definedName>
    <definedName name="BExBEYFQJE9YK12A6JBMRFKEC7RN" localSheetId="6" hidden="1">#REF!</definedName>
    <definedName name="BExBEYFQJE9YK12A6JBMRFKEC7RN" localSheetId="21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localSheetId="4" hidden="1">#REF!</definedName>
    <definedName name="BExBG1ED81J2O4A2S5F5Y3BPHMCR" localSheetId="6" hidden="1">#REF!</definedName>
    <definedName name="BExBG1ED81J2O4A2S5F5Y3BPHMCR" localSheetId="21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localSheetId="4" hidden="1">#REF!</definedName>
    <definedName name="BExCRK0K58VDM9V35DGI6VK8C92V" localSheetId="6" hidden="1">#REF!</definedName>
    <definedName name="BExCRK0K58VDM9V35DGI6VK8C92V" localSheetId="21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localSheetId="4" hidden="1">#REF!</definedName>
    <definedName name="BExCRLIHS7466WFJ3RPIUGGXYESZ" localSheetId="6" hidden="1">#REF!</definedName>
    <definedName name="BExCRLIHS7466WFJ3RPIUGGXYESZ" localSheetId="21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localSheetId="4" hidden="1">#REF!</definedName>
    <definedName name="BExCRXSXMF4LHAQZHN64FXJPMVZ7" localSheetId="6" hidden="1">#REF!</definedName>
    <definedName name="BExCRXSXMF4LHAQZHN64FXJPMVZ7" localSheetId="21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localSheetId="4" hidden="1">#REF!</definedName>
    <definedName name="BExCS1EDDUEAEWHVYXHIP9I1WCJH" localSheetId="6" hidden="1">#REF!</definedName>
    <definedName name="BExCS1EDDUEAEWHVYXHIP9I1WCJH" localSheetId="21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localSheetId="4" hidden="1">#REF!</definedName>
    <definedName name="BExCS1P5QG0X3OTHKX07RALOE5T5" localSheetId="6" hidden="1">#REF!</definedName>
    <definedName name="BExCS1P5QG0X3OTHKX07RALOE5T5" localSheetId="21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localSheetId="4" hidden="1">#REF!</definedName>
    <definedName name="BExCS7ZPMHFJ4UJDAL8CQOLSZ13B" localSheetId="6" hidden="1">#REF!</definedName>
    <definedName name="BExCS7ZPMHFJ4UJDAL8CQOLSZ13B" localSheetId="21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localSheetId="4" hidden="1">#REF!</definedName>
    <definedName name="BExCS8W4NJUZH9S1CYB6XSDLEPBW" localSheetId="6" hidden="1">#REF!</definedName>
    <definedName name="BExCS8W4NJUZH9S1CYB6XSDLEPBW" localSheetId="21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localSheetId="4" hidden="1">#REF!</definedName>
    <definedName name="BExCSAE1M6G20R41J0Y24YNN0YC1" localSheetId="6" hidden="1">#REF!</definedName>
    <definedName name="BExCSAE1M6G20R41J0Y24YNN0YC1" localSheetId="21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localSheetId="4" hidden="1">#REF!</definedName>
    <definedName name="BExCSAOUZOYKHN7HV511TO8VDJ02" localSheetId="6" hidden="1">#REF!</definedName>
    <definedName name="BExCSAOUZOYKHN7HV511TO8VDJ02" localSheetId="21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localSheetId="4" hidden="1">#REF!</definedName>
    <definedName name="BExCSJ2XVKHN6ULCF7JML0TCRKEO" localSheetId="6" hidden="1">#REF!</definedName>
    <definedName name="BExCSJ2XVKHN6ULCF7JML0TCRKEO" localSheetId="21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localSheetId="4" hidden="1">#REF!</definedName>
    <definedName name="BExCSMOFTXSUEC1T46LR1UPYRCX5" localSheetId="6" hidden="1">#REF!</definedName>
    <definedName name="BExCSMOFTXSUEC1T46LR1UPYRCX5" localSheetId="21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localSheetId="4" hidden="1">#REF!</definedName>
    <definedName name="BExCSSDG3TM6TPKS19E9QYJEELZ6" localSheetId="6" hidden="1">#REF!</definedName>
    <definedName name="BExCSSDG3TM6TPKS19E9QYJEELZ6" localSheetId="21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localSheetId="4" hidden="1">#REF!</definedName>
    <definedName name="BExCSZV7U67UWXL2HKJNM5W1E4OO" localSheetId="6" hidden="1">#REF!</definedName>
    <definedName name="BExCSZV7U67UWXL2HKJNM5W1E4OO" localSheetId="21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localSheetId="4" hidden="1">#REF!</definedName>
    <definedName name="BExCT4NSDT61OCH04Y2QIFIOP75H" localSheetId="6" hidden="1">#REF!</definedName>
    <definedName name="BExCT4NSDT61OCH04Y2QIFIOP75H" localSheetId="21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localSheetId="4" hidden="1">#REF!</definedName>
    <definedName name="BExCTHZWIPJVLE56GATEFKPIKLK2" localSheetId="6" hidden="1">#REF!</definedName>
    <definedName name="BExCTHZWIPJVLE56GATEFKPIKLK2" localSheetId="21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localSheetId="4" hidden="1">#REF!</definedName>
    <definedName name="BExCTW8G3VCZ55S09HTUGXKB1P2M" localSheetId="6" hidden="1">#REF!</definedName>
    <definedName name="BExCTW8G3VCZ55S09HTUGXKB1P2M" localSheetId="21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localSheetId="4" hidden="1">#REF!</definedName>
    <definedName name="BExCTYS2KX0QANOLT8LGZ9WV3S3T" localSheetId="6" hidden="1">#REF!</definedName>
    <definedName name="BExCTYS2KX0QANOLT8LGZ9WV3S3T" localSheetId="21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localSheetId="4" hidden="1">#REF!</definedName>
    <definedName name="BExCTZ2V6H9TT6LFGK3SADZ2TIGQ" localSheetId="6" hidden="1">#REF!</definedName>
    <definedName name="BExCTZ2V6H9TT6LFGK3SADZ2TIGQ" localSheetId="21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localSheetId="4" hidden="1">#REF!</definedName>
    <definedName name="BExCTZZ9JNES4EDHW97NP0EGQALX" localSheetId="6" hidden="1">#REF!</definedName>
    <definedName name="BExCTZZ9JNES4EDHW97NP0EGQALX" localSheetId="21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localSheetId="4" hidden="1">#REF!</definedName>
    <definedName name="BExCU0A1V6NMZQ9ASYJ8QIVQ5UR2" localSheetId="6" hidden="1">#REF!</definedName>
    <definedName name="BExCU0A1V6NMZQ9ASYJ8QIVQ5UR2" localSheetId="21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localSheetId="4" hidden="1">#REF!</definedName>
    <definedName name="BExCU2834920JBHSPCRC4UF80OLL" localSheetId="6" hidden="1">#REF!</definedName>
    <definedName name="BExCU2834920JBHSPCRC4UF80OLL" localSheetId="21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localSheetId="4" hidden="1">#REF!</definedName>
    <definedName name="BExCU8O54I3P3WRYWY1CRP3S78QY" localSheetId="6" hidden="1">#REF!</definedName>
    <definedName name="BExCU8O54I3P3WRYWY1CRP3S78QY" localSheetId="21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localSheetId="4" hidden="1">#REF!</definedName>
    <definedName name="BExCUDRJO23YOKT8GPWOVQ4XEHF5" localSheetId="6" hidden="1">#REF!</definedName>
    <definedName name="BExCUDRJO23YOKT8GPWOVQ4XEHF5" localSheetId="21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localSheetId="4" hidden="1">#REF!</definedName>
    <definedName name="BExCULEOALM7SEHVMQC4B4N25MRM" localSheetId="6" hidden="1">#REF!</definedName>
    <definedName name="BExCULEOALM7SEHVMQC4B4N25MRM" localSheetId="21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localSheetId="4" hidden="1">#REF!</definedName>
    <definedName name="BExCUPAXFR16YMWL30ME3F3BSRDZ" localSheetId="6" hidden="1">#REF!</definedName>
    <definedName name="BExCUPAXFR16YMWL30ME3F3BSRDZ" localSheetId="21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localSheetId="4" hidden="1">#REF!</definedName>
    <definedName name="BExCUR94DHCE47PUUWEMT5QZOYR2" localSheetId="6" hidden="1">#REF!</definedName>
    <definedName name="BExCUR94DHCE47PUUWEMT5QZOYR2" localSheetId="21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localSheetId="4" hidden="1">#REF!</definedName>
    <definedName name="BExCV5HJSTBNPQZVGYJY9AZ4IJ26" localSheetId="6" hidden="1">#REF!</definedName>
    <definedName name="BExCV5HJSTBNPQZVGYJY9AZ4IJ26" localSheetId="21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localSheetId="4" hidden="1">#REF!</definedName>
    <definedName name="BExCV634L7SVHGB0UDDTRRQ2Q72H" localSheetId="6" hidden="1">#REF!</definedName>
    <definedName name="BExCV634L7SVHGB0UDDTRRQ2Q72H" localSheetId="21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localSheetId="4" hidden="1">#REF!</definedName>
    <definedName name="BExCVBXGSXT9FWJRG62PX9S1RK83" localSheetId="6" hidden="1">#REF!</definedName>
    <definedName name="BExCVBXGSXT9FWJRG62PX9S1RK83" localSheetId="21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localSheetId="4" hidden="1">#REF!</definedName>
    <definedName name="BExCVHBNLOHNFS0JAV3I1XGPNH9W" localSheetId="6" hidden="1">#REF!</definedName>
    <definedName name="BExCVHBNLOHNFS0JAV3I1XGPNH9W" localSheetId="21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localSheetId="4" hidden="1">#REF!</definedName>
    <definedName name="BExCVI86R31A2IOZIEBY1FJLVILD" localSheetId="6" hidden="1">#REF!</definedName>
    <definedName name="BExCVI86R31A2IOZIEBY1FJLVILD" localSheetId="21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localSheetId="4" hidden="1">#REF!</definedName>
    <definedName name="BExCVKGZXE0I9EIXKBZVSGSEY2RR" localSheetId="6" hidden="1">#REF!</definedName>
    <definedName name="BExCVKGZXE0I9EIXKBZVSGSEY2RR" localSheetId="21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localSheetId="4" hidden="1">#REF!</definedName>
    <definedName name="BExCVNROVORCSNX9HKHKPHY0URS3" localSheetId="6" hidden="1">#REF!</definedName>
    <definedName name="BExCVNROVORCSNX9HKHKPHY0URS3" localSheetId="21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localSheetId="4" hidden="1">#REF!</definedName>
    <definedName name="BExCVPEZON7VV6NOWII8VZMONPCJ" localSheetId="6" hidden="1">#REF!</definedName>
    <definedName name="BExCVPEZON7VV6NOWII8VZMONPCJ" localSheetId="21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localSheetId="4" hidden="1">#REF!</definedName>
    <definedName name="BExCVV44WY5807WGMTGKPW0GT256" localSheetId="6" hidden="1">#REF!</definedName>
    <definedName name="BExCVV44WY5807WGMTGKPW0GT256" localSheetId="21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localSheetId="4" hidden="1">#REF!</definedName>
    <definedName name="BExCVZ5PN4V6MRBZ04PZJW3GEF8S" localSheetId="6" hidden="1">#REF!</definedName>
    <definedName name="BExCVZ5PN4V6MRBZ04PZJW3GEF8S" localSheetId="21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localSheetId="4" hidden="1">#REF!</definedName>
    <definedName name="BExCW13R0GWJYGXZBNCPAHQN4NR2" localSheetId="6" hidden="1">#REF!</definedName>
    <definedName name="BExCW13R0GWJYGXZBNCPAHQN4NR2" localSheetId="21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localSheetId="4" hidden="1">#REF!</definedName>
    <definedName name="BExCW9Y5HWU4RJTNX74O6L24VGCK" localSheetId="6" hidden="1">#REF!</definedName>
    <definedName name="BExCW9Y5HWU4RJTNX74O6L24VGCK" localSheetId="21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localSheetId="4" hidden="1">#REF!</definedName>
    <definedName name="BExCWHADQJRXWFDGV2KMANWIY1YN" localSheetId="6" hidden="1">#REF!</definedName>
    <definedName name="BExCWHADQJRXWFDGV2KMANWIY1YN" localSheetId="21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localSheetId="4" hidden="1">#REF!</definedName>
    <definedName name="BExCWPDPESGZS07QGBLSBWDNVJLZ" localSheetId="6" hidden="1">#REF!</definedName>
    <definedName name="BExCWPDPESGZS07QGBLSBWDNVJLZ" localSheetId="21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localSheetId="4" hidden="1">#REF!</definedName>
    <definedName name="BExCWTVKHIVCRHF8GC39KI58YM5K" localSheetId="6" hidden="1">#REF!</definedName>
    <definedName name="BExCWTVKHIVCRHF8GC39KI58YM5K" localSheetId="21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localSheetId="4" hidden="1">#REF!</definedName>
    <definedName name="BExCX2KGRZBRVLZNM8SUSIE6A0RL" localSheetId="6" hidden="1">#REF!</definedName>
    <definedName name="BExCX2KGRZBRVLZNM8SUSIE6A0RL" localSheetId="21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localSheetId="4" hidden="1">#REF!</definedName>
    <definedName name="BExCX3X451T70LZ1VF95L7W4Y4TM" localSheetId="6" hidden="1">#REF!</definedName>
    <definedName name="BExCX3X451T70LZ1VF95L7W4Y4TM" localSheetId="21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localSheetId="4" hidden="1">#REF!</definedName>
    <definedName name="BExCX4NZ2N1OUGXM7EV0U7VULJMM" localSheetId="6" hidden="1">#REF!</definedName>
    <definedName name="BExCX4NZ2N1OUGXM7EV0U7VULJMM" localSheetId="21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localSheetId="4" hidden="1">#REF!</definedName>
    <definedName name="BExCXILMURGYMAH6N5LF5DV6K3GM" localSheetId="6" hidden="1">#REF!</definedName>
    <definedName name="BExCXILMURGYMAH6N5LF5DV6K3GM" localSheetId="21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localSheetId="4" hidden="1">#REF!</definedName>
    <definedName name="BExCXQUFBMXQ1650735H48B1AZT3" localSheetId="6" hidden="1">#REF!</definedName>
    <definedName name="BExCXQUFBMXQ1650735H48B1AZT3" localSheetId="21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localSheetId="4" hidden="1">#REF!</definedName>
    <definedName name="BExCXYSBKJ9SZQD7XS2WUS6SVBJO" localSheetId="6" hidden="1">#REF!</definedName>
    <definedName name="BExCXYSBKJ9SZQD7XS2WUS6SVBJO" localSheetId="21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localSheetId="4" hidden="1">#REF!</definedName>
    <definedName name="BExCXZ8DGK5ZE8467LFEHX6JNQHJ" localSheetId="6" hidden="1">#REF!</definedName>
    <definedName name="BExCXZ8DGK5ZE8467LFEHX6JNQHJ" localSheetId="21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localSheetId="4" hidden="1">#REF!</definedName>
    <definedName name="BExCY2DQO9VLA77Q7EG3T0XNXX4F" localSheetId="6" hidden="1">#REF!</definedName>
    <definedName name="BExCY2DQO9VLA77Q7EG3T0XNXX4F" localSheetId="21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localSheetId="4" hidden="1">#REF!</definedName>
    <definedName name="BExCY5Z7X93Z8XUOEASK50W08S36" localSheetId="6" hidden="1">#REF!</definedName>
    <definedName name="BExCY5Z7X93Z8XUOEASK50W08S36" localSheetId="21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localSheetId="4" hidden="1">#REF!</definedName>
    <definedName name="BExCY6VMJ68MX3C981R5Q0BX5791" localSheetId="6" hidden="1">#REF!</definedName>
    <definedName name="BExCY6VMJ68MX3C981R5Q0BX5791" localSheetId="21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localSheetId="4" hidden="1">#REF!</definedName>
    <definedName name="BExCYAH2SAZCPW6XCB7V7PMMCAWO" localSheetId="6" hidden="1">#REF!</definedName>
    <definedName name="BExCYAH2SAZCPW6XCB7V7PMMCAWO" localSheetId="21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localSheetId="4" hidden="1">#REF!</definedName>
    <definedName name="BExCYDGYM1UGUNTB331L2E4L5F34" localSheetId="6" hidden="1">#REF!</definedName>
    <definedName name="BExCYDGYM1UGUNTB331L2E4L5F34" localSheetId="21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localSheetId="4" hidden="1">#REF!</definedName>
    <definedName name="BExCYN7KCKU1F6EXMNPQPTKNOT6A" localSheetId="6" hidden="1">#REF!</definedName>
    <definedName name="BExCYN7KCKU1F6EXMNPQPTKNOT6A" localSheetId="21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localSheetId="4" hidden="1">#REF!</definedName>
    <definedName name="BExCYPRC5HJE6N2XQTHCT6NXGP8N" localSheetId="6" hidden="1">#REF!</definedName>
    <definedName name="BExCYPRC5HJE6N2XQTHCT6NXGP8N" localSheetId="21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localSheetId="4" hidden="1">#REF!</definedName>
    <definedName name="BExCYQCX9ES8ZWW2L35B12WDNT73" localSheetId="6" hidden="1">#REF!</definedName>
    <definedName name="BExCYQCX9ES8ZWW2L35B12WDNT73" localSheetId="21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localSheetId="4" hidden="1">#REF!</definedName>
    <definedName name="BExCYSLQY2CYU7DQ3QI07UGGS6OW" localSheetId="6" hidden="1">#REF!</definedName>
    <definedName name="BExCYSLQY2CYU7DQ3QI07UGGS6OW" localSheetId="21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localSheetId="4" hidden="1">#REF!</definedName>
    <definedName name="BExCYUK0I3UEXZNFDW71G6Z6D8XR" localSheetId="6" hidden="1">#REF!</definedName>
    <definedName name="BExCYUK0I3UEXZNFDW71G6Z6D8XR" localSheetId="21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localSheetId="4" hidden="1">#REF!</definedName>
    <definedName name="BExCZFZCXMLY5DWESYJ9NGTJYQ8M" localSheetId="6" hidden="1">#REF!</definedName>
    <definedName name="BExCZFZCXMLY5DWESYJ9NGTJYQ8M" localSheetId="21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localSheetId="4" hidden="1">#REF!</definedName>
    <definedName name="BExCZJ4P8WS0BDT31WDXI0ROE7D6" localSheetId="6" hidden="1">#REF!</definedName>
    <definedName name="BExCZJ4P8WS0BDT31WDXI0ROE7D6" localSheetId="21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localSheetId="4" hidden="1">#REF!</definedName>
    <definedName name="BExCZKH6NI0EE02L995IFVBD1J59" localSheetId="6" hidden="1">#REF!</definedName>
    <definedName name="BExCZKH6NI0EE02L995IFVBD1J59" localSheetId="21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localSheetId="4" hidden="1">#REF!</definedName>
    <definedName name="BExCZNRWARGGHWLSC1PEDZFLF3JV" localSheetId="6" hidden="1">#REF!</definedName>
    <definedName name="BExCZNRWARGGHWLSC1PEDZFLF3JV" localSheetId="21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localSheetId="4" hidden="1">#REF!</definedName>
    <definedName name="BExCZP9TBB61HISZ2U5QMQSO2LBE" localSheetId="6" hidden="1">#REF!</definedName>
    <definedName name="BExCZP9TBB61HISZ2U5QMQSO2LBE" localSheetId="21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localSheetId="4" hidden="1">#REF!</definedName>
    <definedName name="BExCZUD9FEOJBKDJ51Z3JON9LKJ8" localSheetId="6" hidden="1">#REF!</definedName>
    <definedName name="BExCZUD9FEOJBKDJ51Z3JON9LKJ8" localSheetId="21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localSheetId="4" hidden="1">#REF!</definedName>
    <definedName name="BExD0AUOVQT3UL53T2KUVJNGD0QF" localSheetId="6" hidden="1">#REF!</definedName>
    <definedName name="BExD0AUOVQT3UL53T2KUVJNGD0QF" localSheetId="21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localSheetId="4" hidden="1">#REF!</definedName>
    <definedName name="BExD0HALIN0JR4JTPGDEVAEE5EX5" localSheetId="6" hidden="1">#REF!</definedName>
    <definedName name="BExD0HALIN0JR4JTPGDEVAEE5EX5" localSheetId="21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localSheetId="4" hidden="1">#REF!</definedName>
    <definedName name="BExD0LCCDPG16YLY5WQSZF1XI5DA" localSheetId="6" hidden="1">#REF!</definedName>
    <definedName name="BExD0LCCDPG16YLY5WQSZF1XI5DA" localSheetId="21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localSheetId="4" hidden="1">#REF!</definedName>
    <definedName name="BExD0RMWSB4TRECEHTH6NN4K9DFZ" localSheetId="6" hidden="1">#REF!</definedName>
    <definedName name="BExD0RMWSB4TRECEHTH6NN4K9DFZ" localSheetId="21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localSheetId="4" hidden="1">#REF!</definedName>
    <definedName name="BExD0U6KG10QGVDI1XSHK0J10A2V" localSheetId="6" hidden="1">#REF!</definedName>
    <definedName name="BExD0U6KG10QGVDI1XSHK0J10A2V" localSheetId="21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localSheetId="4" hidden="1">#REF!</definedName>
    <definedName name="BExD0WQ6EQ2G82IAJI3FDQKGZH18" localSheetId="6" hidden="1">#REF!</definedName>
    <definedName name="BExD0WQ6EQ2G82IAJI3FDQKGZH18" localSheetId="21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localSheetId="4" hidden="1">#REF!</definedName>
    <definedName name="BExD13RUIBGRXDL4QDZ305UKUR12" localSheetId="6" hidden="1">#REF!</definedName>
    <definedName name="BExD13RUIBGRXDL4QDZ305UKUR12" localSheetId="21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localSheetId="4" hidden="1">#REF!</definedName>
    <definedName name="BExD14DETV5R4OOTMAXD5NAKWRO3" localSheetId="6" hidden="1">#REF!</definedName>
    <definedName name="BExD14DETV5R4OOTMAXD5NAKWRO3" localSheetId="21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localSheetId="4" hidden="1">#REF!</definedName>
    <definedName name="BExD1MI40YRCBI7KT4S9YHQJUO06" localSheetId="6" hidden="1">#REF!</definedName>
    <definedName name="BExD1MI40YRCBI7KT4S9YHQJUO06" localSheetId="21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localSheetId="4" hidden="1">#REF!</definedName>
    <definedName name="BExD1OAU9OXQAZA4D70HP72CU6GB" localSheetId="6" hidden="1">#REF!</definedName>
    <definedName name="BExD1OAU9OXQAZA4D70HP72CU6GB" localSheetId="21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localSheetId="4" hidden="1">#REF!</definedName>
    <definedName name="BExD1T8WPV0G6YOX7WMAIZD8XNBK" localSheetId="6" hidden="1">#REF!</definedName>
    <definedName name="BExD1T8WPV0G6YOX7WMAIZD8XNBK" localSheetId="21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localSheetId="4" hidden="1">#REF!</definedName>
    <definedName name="BExD1Y1JV61416YA1XRQHKWPZIE7" localSheetId="6" hidden="1">#REF!</definedName>
    <definedName name="BExD1Y1JV61416YA1XRQHKWPZIE7" localSheetId="21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localSheetId="4" hidden="1">#REF!</definedName>
    <definedName name="BExD2CFHIRMBKN5KXE5QP4XXEWFS" localSheetId="6" hidden="1">#REF!</definedName>
    <definedName name="BExD2CFHIRMBKN5KXE5QP4XXEWFS" localSheetId="21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localSheetId="4" hidden="1">#REF!</definedName>
    <definedName name="BExD2DMHH1HWXQ9W0YYMDP8AAX8Q" localSheetId="6" hidden="1">#REF!</definedName>
    <definedName name="BExD2DMHH1HWXQ9W0YYMDP8AAX8Q" localSheetId="21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localSheetId="4" hidden="1">#REF!</definedName>
    <definedName name="BExD2HTPC7IWBAU6OSQ67MQA8BYZ" localSheetId="6" hidden="1">#REF!</definedName>
    <definedName name="BExD2HTPC7IWBAU6OSQ67MQA8BYZ" localSheetId="21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localSheetId="4" hidden="1">#REF!</definedName>
    <definedName name="BExD2PWTVQ2CXNG6B7UDL8FIMXBH" localSheetId="6" hidden="1">#REF!</definedName>
    <definedName name="BExD2PWTVQ2CXNG6B7UDL8FIMXBH" localSheetId="21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localSheetId="4" hidden="1">#REF!</definedName>
    <definedName name="BExD2X9AQ03EX1AVVX44CXLXRPTI" localSheetId="6" hidden="1">#REF!</definedName>
    <definedName name="BExD2X9AQ03EX1AVVX44CXLXRPTI" localSheetId="21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localSheetId="4" hidden="1">#REF!</definedName>
    <definedName name="BExD2ZNL9MWJOEL2575KJZBDP2A6" localSheetId="6" hidden="1">#REF!</definedName>
    <definedName name="BExD2ZNL9MWJOEL2575KJZBDP2A6" localSheetId="21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localSheetId="4" hidden="1">#REF!</definedName>
    <definedName name="BExD34G79JRMB8BZRVN81P1H9MSB" localSheetId="6" hidden="1">#REF!</definedName>
    <definedName name="BExD34G79JRMB8BZRVN81P1H9MSB" localSheetId="21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localSheetId="4" hidden="1">#REF!</definedName>
    <definedName name="BExD35CL2NULPPEHAM954ETQIJA2" localSheetId="6" hidden="1">#REF!</definedName>
    <definedName name="BExD35CL2NULPPEHAM954ETQIJA2" localSheetId="21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localSheetId="4" hidden="1">#REF!</definedName>
    <definedName name="BExD363H2VGFIQUCE6LS4AC5J0ZT" localSheetId="6" hidden="1">#REF!</definedName>
    <definedName name="BExD363H2VGFIQUCE6LS4AC5J0ZT" localSheetId="21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localSheetId="4" hidden="1">#REF!</definedName>
    <definedName name="BExD3A588E939V61P1XEW0FI5Q0S" localSheetId="6" hidden="1">#REF!</definedName>
    <definedName name="BExD3A588E939V61P1XEW0FI5Q0S" localSheetId="21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localSheetId="4" hidden="1">#REF!</definedName>
    <definedName name="BExD3CJJDKVR9M18XI3WDZH80WL6" localSheetId="6" hidden="1">#REF!</definedName>
    <definedName name="BExD3CJJDKVR9M18XI3WDZH80WL6" localSheetId="21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localSheetId="4" hidden="1">#REF!</definedName>
    <definedName name="BExD3ESD9WYJIB3TRDPJ1CKXRAVL" localSheetId="6" hidden="1">#REF!</definedName>
    <definedName name="BExD3ESD9WYJIB3TRDPJ1CKXRAVL" localSheetId="21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localSheetId="4" hidden="1">#REF!</definedName>
    <definedName name="BExD3F368X5S25MWSUNIV57RDB57" localSheetId="6" hidden="1">#REF!</definedName>
    <definedName name="BExD3F368X5S25MWSUNIV57RDB57" localSheetId="21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localSheetId="4" hidden="1">#REF!</definedName>
    <definedName name="BExD3I8JTNF4LTMFY6GRVDJ6VLGG" localSheetId="6" hidden="1">#REF!</definedName>
    <definedName name="BExD3I8JTNF4LTMFY6GRVDJ6VLGG" localSheetId="21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localSheetId="4" hidden="1">#REF!</definedName>
    <definedName name="BExD3IJ5IT335SOSNV9L85WKAOSI" localSheetId="6" hidden="1">#REF!</definedName>
    <definedName name="BExD3IJ5IT335SOSNV9L85WKAOSI" localSheetId="21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localSheetId="4" hidden="1">#REF!</definedName>
    <definedName name="BExD3KBVUY57GMMQTOFEU6S6G1AY" localSheetId="6" hidden="1">#REF!</definedName>
    <definedName name="BExD3KBVUY57GMMQTOFEU6S6G1AY" localSheetId="21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localSheetId="4" hidden="1">#REF!</definedName>
    <definedName name="BExD3NMR7AW2Z6V8SC79VQR37NA6" localSheetId="6" hidden="1">#REF!</definedName>
    <definedName name="BExD3NMR7AW2Z6V8SC79VQR37NA6" localSheetId="21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localSheetId="4" hidden="1">#REF!</definedName>
    <definedName name="BExD3QXA2UQ2W4N7NYLUEOG40BZB" localSheetId="6" hidden="1">#REF!</definedName>
    <definedName name="BExD3QXA2UQ2W4N7NYLUEOG40BZB" localSheetId="21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localSheetId="4" hidden="1">#REF!</definedName>
    <definedName name="BExD3U2N041TEJ7GCN005UTPHNXY" localSheetId="6" hidden="1">#REF!</definedName>
    <definedName name="BExD3U2N041TEJ7GCN005UTPHNXY" localSheetId="21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localSheetId="4" hidden="1">#REF!</definedName>
    <definedName name="BExD3VPY5VEI1LLQ4I16T16251DT" localSheetId="6" hidden="1">#REF!</definedName>
    <definedName name="BExD3VPY5VEI1LLQ4I16T16251DT" localSheetId="21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localSheetId="4" hidden="1">#REF!</definedName>
    <definedName name="BExD3XIUEZZ1KIHV7CPS7DKUGIN8" localSheetId="6" hidden="1">#REF!</definedName>
    <definedName name="BExD3XIUEZZ1KIHV7CPS7DKUGIN8" localSheetId="21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localSheetId="4" hidden="1">#REF!</definedName>
    <definedName name="BExD40O0CFTNJFOFMMM1KH0P7BUI" localSheetId="6" hidden="1">#REF!</definedName>
    <definedName name="BExD40O0CFTNJFOFMMM1KH0P7BUI" localSheetId="21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localSheetId="4" hidden="1">#REF!</definedName>
    <definedName name="BExD47UYINTJY1PDIW2S1FZ8ZMIO" localSheetId="6" hidden="1">#REF!</definedName>
    <definedName name="BExD47UYINTJY1PDIW2S1FZ8ZMIO" localSheetId="21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localSheetId="4" hidden="1">#REF!</definedName>
    <definedName name="BExD4BR9HJ3MWWZ5KLVZWX9FJAUS" localSheetId="6" hidden="1">#REF!</definedName>
    <definedName name="BExD4BR9HJ3MWWZ5KLVZWX9FJAUS" localSheetId="21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localSheetId="4" hidden="1">#REF!</definedName>
    <definedName name="BExD4F1WTKT3H0N9MF4H1LX7MBSY" localSheetId="6" hidden="1">#REF!</definedName>
    <definedName name="BExD4F1WTKT3H0N9MF4H1LX7MBSY" localSheetId="21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localSheetId="4" hidden="1">#REF!</definedName>
    <definedName name="BExD4H5GQWXBS6LUL3TSP36DVO38" localSheetId="6" hidden="1">#REF!</definedName>
    <definedName name="BExD4H5GQWXBS6LUL3TSP36DVO38" localSheetId="21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localSheetId="4" hidden="1">#REF!</definedName>
    <definedName name="BExD4JJSS3QDBLABCJCHD45SRNPI" localSheetId="6" hidden="1">#REF!</definedName>
    <definedName name="BExD4JJSS3QDBLABCJCHD45SRNPI" localSheetId="21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localSheetId="4" hidden="1">#REF!</definedName>
    <definedName name="BExD4QQQ7V9LH5WWBJA3HKJXLVP6" localSheetId="6" hidden="1">#REF!</definedName>
    <definedName name="BExD4QQQ7V9LH5WWBJA3HKJXLVP6" localSheetId="21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localSheetId="4" hidden="1">#REF!</definedName>
    <definedName name="BExD4R1I0MKF033I5LPUYIMTZ6E8" localSheetId="6" hidden="1">#REF!</definedName>
    <definedName name="BExD4R1I0MKF033I5LPUYIMTZ6E8" localSheetId="21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localSheetId="4" hidden="1">#REF!</definedName>
    <definedName name="BExD50MT3M6XZLNUP9JL93EG6D9R" localSheetId="6" hidden="1">#REF!</definedName>
    <definedName name="BExD50MT3M6XZLNUP9JL93EG6D9R" localSheetId="21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localSheetId="4" hidden="1">#REF!</definedName>
    <definedName name="BExD5EV7KDSVF1CJT38M4IBPFLPY" localSheetId="6" hidden="1">#REF!</definedName>
    <definedName name="BExD5EV7KDSVF1CJT38M4IBPFLPY" localSheetId="21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localSheetId="4" hidden="1">#REF!</definedName>
    <definedName name="BExD5FRK547OESJRYAW574DZEZ7J" localSheetId="6" hidden="1">#REF!</definedName>
    <definedName name="BExD5FRK547OESJRYAW574DZEZ7J" localSheetId="21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localSheetId="4" hidden="1">#REF!</definedName>
    <definedName name="BExD5I5X2YA2YNCTCDSMEL4CWF4N" localSheetId="6" hidden="1">#REF!</definedName>
    <definedName name="BExD5I5X2YA2YNCTCDSMEL4CWF4N" localSheetId="21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localSheetId="4" hidden="1">#REF!</definedName>
    <definedName name="BExD5QUSRFJWRQ1ZM50WYLCF74DF" localSheetId="6" hidden="1">#REF!</definedName>
    <definedName name="BExD5QUSRFJWRQ1ZM50WYLCF74DF" localSheetId="21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localSheetId="4" hidden="1">#REF!</definedName>
    <definedName name="BExD5SSUIF6AJQHBHK8PNMFBPRYB" localSheetId="6" hidden="1">#REF!</definedName>
    <definedName name="BExD5SSUIF6AJQHBHK8PNMFBPRYB" localSheetId="21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localSheetId="4" hidden="1">#REF!</definedName>
    <definedName name="BExD623C9LRX18BE0W2V6SZLQUXX" localSheetId="6" hidden="1">#REF!</definedName>
    <definedName name="BExD623C9LRX18BE0W2V6SZLQUXX" localSheetId="21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localSheetId="4" hidden="1">#REF!</definedName>
    <definedName name="BExD6CQA7UMJBXV7AIFAIHUF2ICX" localSheetId="6" hidden="1">#REF!</definedName>
    <definedName name="BExD6CQA7UMJBXV7AIFAIHUF2ICX" localSheetId="21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localSheetId="4" hidden="1">#REF!</definedName>
    <definedName name="BExD6D18MCF5R8YJMPG21WE3GPJQ" localSheetId="6" hidden="1">#REF!</definedName>
    <definedName name="BExD6D18MCF5R8YJMPG21WE3GPJQ" localSheetId="21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localSheetId="4" hidden="1">#REF!</definedName>
    <definedName name="BExD6FKVK8WJWNYPVENR7Q8Q30PK" localSheetId="6" hidden="1">#REF!</definedName>
    <definedName name="BExD6FKVK8WJWNYPVENR7Q8Q30PK" localSheetId="21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localSheetId="4" hidden="1">#REF!</definedName>
    <definedName name="BExD6GMP0LK8WKVWMIT1NNH8CHLF" localSheetId="6" hidden="1">#REF!</definedName>
    <definedName name="BExD6GMP0LK8WKVWMIT1NNH8CHLF" localSheetId="21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localSheetId="4" hidden="1">#REF!</definedName>
    <definedName name="BExD6H2TE0WWAUIWVSSCLPZ6B88N" localSheetId="6" hidden="1">#REF!</definedName>
    <definedName name="BExD6H2TE0WWAUIWVSSCLPZ6B88N" localSheetId="21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localSheetId="4" hidden="1">#REF!</definedName>
    <definedName name="BExD71LTOE015TV5RSAHM8NT8GVW" localSheetId="6" hidden="1">#REF!</definedName>
    <definedName name="BExD71LTOE015TV5RSAHM8NT8GVW" localSheetId="21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localSheetId="4" hidden="1">#REF!</definedName>
    <definedName name="BExD73USXVADC7EHGHVTQNCT06ZA" localSheetId="6" hidden="1">#REF!</definedName>
    <definedName name="BExD73USXVADC7EHGHVTQNCT06ZA" localSheetId="21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localSheetId="4" hidden="1">#REF!</definedName>
    <definedName name="BExD7GAIGULTB3YHM1OS9RBQOTEC" localSheetId="6" hidden="1">#REF!</definedName>
    <definedName name="BExD7GAIGULTB3YHM1OS9RBQOTEC" localSheetId="21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localSheetId="4" hidden="1">#REF!</definedName>
    <definedName name="BExD7IE1DHIS52UFDCTSKPJQNRD5" localSheetId="6" hidden="1">#REF!</definedName>
    <definedName name="BExD7IE1DHIS52UFDCTSKPJQNRD5" localSheetId="21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localSheetId="4" hidden="1">#REF!</definedName>
    <definedName name="BExD7IUBGUWHYC9UNZ1IY5XFYKQN" localSheetId="6" hidden="1">#REF!</definedName>
    <definedName name="BExD7IUBGUWHYC9UNZ1IY5XFYKQN" localSheetId="21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localSheetId="4" hidden="1">#REF!</definedName>
    <definedName name="BExD7JQOJ35HGL8U2OCEI2P2JT7I" localSheetId="6" hidden="1">#REF!</definedName>
    <definedName name="BExD7JQOJ35HGL8U2OCEI2P2JT7I" localSheetId="21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localSheetId="4" hidden="1">#REF!</definedName>
    <definedName name="BExD7KSDKNDNH95NDT3S7GM3MUU2" localSheetId="6" hidden="1">#REF!</definedName>
    <definedName name="BExD7KSDKNDNH95NDT3S7GM3MUU2" localSheetId="21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localSheetId="4" hidden="1">#REF!</definedName>
    <definedName name="BExD8H5O087KQVWIVPUUID5VMGMS" localSheetId="6" hidden="1">#REF!</definedName>
    <definedName name="BExD8H5O087KQVWIVPUUID5VMGMS" localSheetId="21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localSheetId="4" hidden="1">#REF!</definedName>
    <definedName name="BExD8HLWJHFK6566YQLGOAPIWD7G" localSheetId="6" hidden="1">#REF!</definedName>
    <definedName name="BExD8HLWJHFK6566YQLGOAPIWD7G" localSheetId="21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localSheetId="4" hidden="1">#REF!</definedName>
    <definedName name="BExD8OCLZMFN5K3VZYI4Q4ITVKUA" localSheetId="6" hidden="1">#REF!</definedName>
    <definedName name="BExD8OCLZMFN5K3VZYI4Q4ITVKUA" localSheetId="21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localSheetId="4" hidden="1">#REF!</definedName>
    <definedName name="BExD93C1R6LC0631ECHVFYH0R0PD" localSheetId="6" hidden="1">#REF!</definedName>
    <definedName name="BExD93C1R6LC0631ECHVFYH0R0PD" localSheetId="21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localSheetId="4" hidden="1">#REF!</definedName>
    <definedName name="BExD97TXIO0COVNN4OH3DEJ33YLM" localSheetId="6" hidden="1">#REF!</definedName>
    <definedName name="BExD97TXIO0COVNN4OH3DEJ33YLM" localSheetId="21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localSheetId="4" hidden="1">#REF!</definedName>
    <definedName name="BExD99RZ1RFIMK6O1ZHSPJ68X9Y5" localSheetId="6" hidden="1">#REF!</definedName>
    <definedName name="BExD99RZ1RFIMK6O1ZHSPJ68X9Y5" localSheetId="21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localSheetId="4" hidden="1">#REF!</definedName>
    <definedName name="BExD9ATSNNU6SJVYYUCUG2AFS57W" localSheetId="6" hidden="1">#REF!</definedName>
    <definedName name="BExD9ATSNNU6SJVYYUCUG2AFS57W" localSheetId="21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localSheetId="4" hidden="1">#REF!</definedName>
    <definedName name="BExD9JO1QOKHUKL6DOEKDLUBPPKZ" localSheetId="6" hidden="1">#REF!</definedName>
    <definedName name="BExD9JO1QOKHUKL6DOEKDLUBPPKZ" localSheetId="21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localSheetId="4" hidden="1">#REF!</definedName>
    <definedName name="BExD9L0ID3VSOU609GKWYTA5BFMA" localSheetId="6" hidden="1">#REF!</definedName>
    <definedName name="BExD9L0ID3VSOU609GKWYTA5BFMA" localSheetId="21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localSheetId="4" hidden="1">#REF!</definedName>
    <definedName name="BExD9M7SEMG0JK2FUTTZXWIEBTKB" localSheetId="6" hidden="1">#REF!</definedName>
    <definedName name="BExD9M7SEMG0JK2FUTTZXWIEBTKB" localSheetId="21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localSheetId="4" hidden="1">#REF!</definedName>
    <definedName name="BExD9MNYBYB1AICQL5165G472IE2" localSheetId="6" hidden="1">#REF!</definedName>
    <definedName name="BExD9MNYBYB1AICQL5165G472IE2" localSheetId="21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localSheetId="4" hidden="1">#REF!</definedName>
    <definedName name="BExD9PNSYT7GASEGUVL48MUQ02WO" localSheetId="6" hidden="1">#REF!</definedName>
    <definedName name="BExD9PNSYT7GASEGUVL48MUQ02WO" localSheetId="21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localSheetId="4" hidden="1">#REF!</definedName>
    <definedName name="BExD9TK2MIWFH5SKUYU9ZKF4NPHQ" localSheetId="6" hidden="1">#REF!</definedName>
    <definedName name="BExD9TK2MIWFH5SKUYU9ZKF4NPHQ" localSheetId="21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localSheetId="4" hidden="1">#REF!</definedName>
    <definedName name="BExDA23J1UL1EN1K0BLX2TKAX4U0" localSheetId="6" hidden="1">#REF!</definedName>
    <definedName name="BExDA23J1UL1EN1K0BLX2TKAX4U0" localSheetId="21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localSheetId="4" hidden="1">#REF!</definedName>
    <definedName name="BExDA6594R2INH5X2F55YRZSKRND" localSheetId="6" hidden="1">#REF!</definedName>
    <definedName name="BExDA6594R2INH5X2F55YRZSKRND" localSheetId="21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localSheetId="4" hidden="1">#REF!</definedName>
    <definedName name="BExDA6LD9061UULVKUUI4QP8SK13" localSheetId="6" hidden="1">#REF!</definedName>
    <definedName name="BExDA6LD9061UULVKUUI4QP8SK13" localSheetId="21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localSheetId="4" hidden="1">#REF!</definedName>
    <definedName name="BExDAGMVMNLQ6QXASB9R6D8DIT12" localSheetId="6" hidden="1">#REF!</definedName>
    <definedName name="BExDAGMVMNLQ6QXASB9R6D8DIT12" localSheetId="21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localSheetId="4" hidden="1">#REF!</definedName>
    <definedName name="BExDAYBHU9ADLXI8VRC7F608RVGM" localSheetId="6" hidden="1">#REF!</definedName>
    <definedName name="BExDAYBHU9ADLXI8VRC7F608RVGM" localSheetId="21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localSheetId="4" hidden="1">#REF!</definedName>
    <definedName name="BExDBDR1XR0FV0CYUCB2OJ7CJCZU" localSheetId="6" hidden="1">#REF!</definedName>
    <definedName name="BExDBDR1XR0FV0CYUCB2OJ7CJCZU" localSheetId="21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localSheetId="4" hidden="1">#REF!</definedName>
    <definedName name="BExDC7F818VN0S18ID7XRCRVYPJ4" localSheetId="6" hidden="1">#REF!</definedName>
    <definedName name="BExDC7F818VN0S18ID7XRCRVYPJ4" localSheetId="21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localSheetId="4" hidden="1">#REF!</definedName>
    <definedName name="BExDCL7K96PC9VZYB70ZW3QPVIJE" localSheetId="6" hidden="1">#REF!</definedName>
    <definedName name="BExDCL7K96PC9VZYB70ZW3QPVIJE" localSheetId="21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localSheetId="4" hidden="1">#REF!</definedName>
    <definedName name="BExDCP3UZ3C2O4C1F7KMU0Z9U32N" localSheetId="6" hidden="1">#REF!</definedName>
    <definedName name="BExDCP3UZ3C2O4C1F7KMU0Z9U32N" localSheetId="21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localSheetId="4" hidden="1">#REF!</definedName>
    <definedName name="BExEO14OTKLVDBTNB2ONGZ4YB20H" localSheetId="6" hidden="1">#REF!</definedName>
    <definedName name="BExEO14OTKLVDBTNB2ONGZ4YB20H" localSheetId="21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localSheetId="4" hidden="1">#REF!</definedName>
    <definedName name="BExEO80UUNTK4DX33Z5TYLM8NYZM" localSheetId="6" hidden="1">#REF!</definedName>
    <definedName name="BExEO80UUNTK4DX33Z5TYLM8NYZM" localSheetId="21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localSheetId="4" hidden="1">#REF!</definedName>
    <definedName name="BExEOBX3WECDMYCV9RLN49APTXMM" localSheetId="6" hidden="1">#REF!</definedName>
    <definedName name="BExEOBX3WECDMYCV9RLN49APTXMM" localSheetId="21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localSheetId="4" hidden="1">#REF!</definedName>
    <definedName name="BExEPN9VIYI0FVL0HLZQXJFO6TT0" localSheetId="6" hidden="1">#REF!</definedName>
    <definedName name="BExEPN9VIYI0FVL0HLZQXJFO6TT0" localSheetId="21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localSheetId="4" hidden="1">#REF!</definedName>
    <definedName name="BExEPQPUOD4B6H60DKEB9159F7DR" localSheetId="6" hidden="1">#REF!</definedName>
    <definedName name="BExEPQPUOD4B6H60DKEB9159F7DR" localSheetId="21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localSheetId="4" hidden="1">#REF!</definedName>
    <definedName name="BExEPYT6VDSMR8MU2341Q5GM2Y9V" localSheetId="6" hidden="1">#REF!</definedName>
    <definedName name="BExEPYT6VDSMR8MU2341Q5GM2Y9V" localSheetId="21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localSheetId="4" hidden="1">#REF!</definedName>
    <definedName name="BExEQ2ENYLMY8K1796XBB31CJHNN" localSheetId="6" hidden="1">#REF!</definedName>
    <definedName name="BExEQ2ENYLMY8K1796XBB31CJHNN" localSheetId="21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localSheetId="4" hidden="1">#REF!</definedName>
    <definedName name="BExEQ2PFE4N40LEPGDPS90WDL6BN" localSheetId="6" hidden="1">#REF!</definedName>
    <definedName name="BExEQ2PFE4N40LEPGDPS90WDL6BN" localSheetId="21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localSheetId="4" hidden="1">#REF!</definedName>
    <definedName name="BExEQ2PFURT24NQYGYVE8NKX1EGA" localSheetId="6" hidden="1">#REF!</definedName>
    <definedName name="BExEQ2PFURT24NQYGYVE8NKX1EGA" localSheetId="21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localSheetId="4" hidden="1">#REF!</definedName>
    <definedName name="BExEQB8ZWXO6IIGOEPWTLOJGE2NR" localSheetId="6" hidden="1">#REF!</definedName>
    <definedName name="BExEQB8ZWXO6IIGOEPWTLOJGE2NR" localSheetId="21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localSheetId="4" hidden="1">#REF!</definedName>
    <definedName name="BExEQBZX0EL6LIKPY01197ACK65H" localSheetId="6" hidden="1">#REF!</definedName>
    <definedName name="BExEQBZX0EL6LIKPY01197ACK65H" localSheetId="21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localSheetId="4" hidden="1">#REF!</definedName>
    <definedName name="BExEQDXZALJLD4OBF74IKZBR13SR" localSheetId="6" hidden="1">#REF!</definedName>
    <definedName name="BExEQDXZALJLD4OBF74IKZBR13SR" localSheetId="21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localSheetId="4" hidden="1">#REF!</definedName>
    <definedName name="BExEQFLE2RPWGMWQAI4JMKUEFRPT" localSheetId="6" hidden="1">#REF!</definedName>
    <definedName name="BExEQFLE2RPWGMWQAI4JMKUEFRPT" localSheetId="21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localSheetId="4" hidden="1">#REF!</definedName>
    <definedName name="BExEQJHNJV9U65F5VGIGX0VM02VF" localSheetId="6" hidden="1">#REF!</definedName>
    <definedName name="BExEQJHNJV9U65F5VGIGX0VM02VF" localSheetId="21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localSheetId="4" hidden="1">#REF!</definedName>
    <definedName name="BExEQTZAP8R69U31W4LKGTKKGKQE" localSheetId="6" hidden="1">#REF!</definedName>
    <definedName name="BExEQTZAP8R69U31W4LKGTKKGKQE" localSheetId="21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localSheetId="4" hidden="1">#REF!</definedName>
    <definedName name="BExER2O72H1F9WV6S1J04C15PXX7" localSheetId="6" hidden="1">#REF!</definedName>
    <definedName name="BExER2O72H1F9WV6S1J04C15PXX7" localSheetId="21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localSheetId="4" hidden="1">#REF!</definedName>
    <definedName name="BExERIPCI7N2NW7JRL59DVT0TTSU" localSheetId="6" hidden="1">#REF!</definedName>
    <definedName name="BExERIPCI7N2NW7JRL59DVT0TTSU" localSheetId="21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localSheetId="4" hidden="1">#REF!</definedName>
    <definedName name="BExERRUIKIOATPZ9U4HQ0V52RJAU" localSheetId="6" hidden="1">#REF!</definedName>
    <definedName name="BExERRUIKIOATPZ9U4HQ0V52RJAU" localSheetId="21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localSheetId="4" hidden="1">#REF!</definedName>
    <definedName name="BExERSANFNM1O7T65PC5MJ301YET" localSheetId="6" hidden="1">#REF!</definedName>
    <definedName name="BExERSANFNM1O7T65PC5MJ301YET" localSheetId="21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localSheetId="4" hidden="1">#REF!</definedName>
    <definedName name="BExERU8P606C6QQZZL55U0ZQYQF1" localSheetId="6" hidden="1">#REF!</definedName>
    <definedName name="BExERU8P606C6QQZZL55U0ZQYQF1" localSheetId="21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localSheetId="4" hidden="1">#REF!</definedName>
    <definedName name="BExERWCEBKQRYWRQLYJ4UCMMKTHG" localSheetId="6" hidden="1">#REF!</definedName>
    <definedName name="BExERWCEBKQRYWRQLYJ4UCMMKTHG" localSheetId="21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localSheetId="4" hidden="1">#REF!</definedName>
    <definedName name="BExERXE1QW042A2T25RI4DVUU59O" localSheetId="6" hidden="1">#REF!</definedName>
    <definedName name="BExERXE1QW042A2T25RI4DVUU59O" localSheetId="21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localSheetId="4" hidden="1">#REF!</definedName>
    <definedName name="BExES44RHHDL3V7FLV6M20834WF1" localSheetId="6" hidden="1">#REF!</definedName>
    <definedName name="BExES44RHHDL3V7FLV6M20834WF1" localSheetId="21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localSheetId="4" hidden="1">#REF!</definedName>
    <definedName name="BExES4A7VE2X3RYYTVRLKZD4I7WU" localSheetId="6" hidden="1">#REF!</definedName>
    <definedName name="BExES4A7VE2X3RYYTVRLKZD4I7WU" localSheetId="21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localSheetId="4" hidden="1">#REF!</definedName>
    <definedName name="BExESLYUFDACMPARVY264HKBCXLX" localSheetId="6" hidden="1">#REF!</definedName>
    <definedName name="BExESLYUFDACMPARVY264HKBCXLX" localSheetId="21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localSheetId="4" hidden="1">#REF!</definedName>
    <definedName name="BExESMKD95A649M0WRSG6CXXP326" localSheetId="6" hidden="1">#REF!</definedName>
    <definedName name="BExESMKD95A649M0WRSG6CXXP326" localSheetId="21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localSheetId="4" hidden="1">#REF!</definedName>
    <definedName name="BExESR27ZXJG5VMY4PR9D940VS7T" localSheetId="6" hidden="1">#REF!</definedName>
    <definedName name="BExESR27ZXJG5VMY4PR9D940VS7T" localSheetId="21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localSheetId="4" hidden="1">#REF!</definedName>
    <definedName name="BExESVK1YRJM6UG6FBYOF9CNX29X" localSheetId="6" hidden="1">#REF!</definedName>
    <definedName name="BExESVK1YRJM6UG6FBYOF9CNX29X" localSheetId="21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localSheetId="4" hidden="1">#REF!</definedName>
    <definedName name="BExESZ03KXL8DQ2591HLR56ZML94" localSheetId="6" hidden="1">#REF!</definedName>
    <definedName name="BExESZ03KXL8DQ2591HLR56ZML94" localSheetId="21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localSheetId="4" hidden="1">#REF!</definedName>
    <definedName name="BExESZAW5N443NRTKIP59OEI1CR6" localSheetId="6" hidden="1">#REF!</definedName>
    <definedName name="BExESZAW5N443NRTKIP59OEI1CR6" localSheetId="21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localSheetId="4" hidden="1">#REF!</definedName>
    <definedName name="BExET3HXQ60A4O2OLKX8QNXRI6LQ" localSheetId="6" hidden="1">#REF!</definedName>
    <definedName name="BExET3HXQ60A4O2OLKX8QNXRI6LQ" localSheetId="21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localSheetId="4" hidden="1">#REF!</definedName>
    <definedName name="BExET4EAH366GROMVVMDCSUI1018" localSheetId="6" hidden="1">#REF!</definedName>
    <definedName name="BExET4EAH366GROMVVMDCSUI1018" localSheetId="21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localSheetId="4" hidden="1">#REF!</definedName>
    <definedName name="BExETA3B1FCIOA80H94K90FWXQKE" localSheetId="6" hidden="1">#REF!</definedName>
    <definedName name="BExETA3B1FCIOA80H94K90FWXQKE" localSheetId="21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localSheetId="4" hidden="1">#REF!</definedName>
    <definedName name="BExETAZOYT4CJIT8RRKC9F2HJG1D" localSheetId="6" hidden="1">#REF!</definedName>
    <definedName name="BExETAZOYT4CJIT8RRKC9F2HJG1D" localSheetId="21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localSheetId="4" hidden="1">#REF!</definedName>
    <definedName name="BExETB55BNG40G9YOI2H6UHIR9WU" localSheetId="6" hidden="1">#REF!</definedName>
    <definedName name="BExETB55BNG40G9YOI2H6UHIR9WU" localSheetId="21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localSheetId="4" hidden="1">#REF!</definedName>
    <definedName name="BExETF6QD5A9GEINE1KZRRC2LXWM" localSheetId="6" hidden="1">#REF!</definedName>
    <definedName name="BExETF6QD5A9GEINE1KZRRC2LXWM" localSheetId="21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localSheetId="4" hidden="1">#REF!</definedName>
    <definedName name="BExETQ9XRXLUACN82805SPSPNKHI" localSheetId="6" hidden="1">#REF!</definedName>
    <definedName name="BExETQ9XRXLUACN82805SPSPNKHI" localSheetId="21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localSheetId="4" hidden="1">#REF!</definedName>
    <definedName name="BExETR0YRMOR63E6DHLEHV9QVVON" localSheetId="6" hidden="1">#REF!</definedName>
    <definedName name="BExETR0YRMOR63E6DHLEHV9QVVON" localSheetId="21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localSheetId="4" hidden="1">#REF!</definedName>
    <definedName name="BExETVO51BGF7GGNGB21UD7OIF15" localSheetId="6" hidden="1">#REF!</definedName>
    <definedName name="BExETVO51BGF7GGNGB21UD7OIF15" localSheetId="21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localSheetId="4" hidden="1">#REF!</definedName>
    <definedName name="BExETVTGY38YXYYF7N73OYN6FYY3" localSheetId="6" hidden="1">#REF!</definedName>
    <definedName name="BExETVTGY38YXYYF7N73OYN6FYY3" localSheetId="21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localSheetId="4" hidden="1">#REF!</definedName>
    <definedName name="BExETVTH8RADW05P2XUUV7V44TWW" localSheetId="6" hidden="1">#REF!</definedName>
    <definedName name="BExETVTH8RADW05P2XUUV7V44TWW" localSheetId="21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localSheetId="4" hidden="1">#REF!</definedName>
    <definedName name="BExETW9PYUAV5QY6A4VCYZRIOUX4" localSheetId="6" hidden="1">#REF!</definedName>
    <definedName name="BExETW9PYUAV5QY6A4VCYZRIOUX4" localSheetId="21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localSheetId="4" hidden="1">#REF!</definedName>
    <definedName name="BExEUGNELLVZ7K2PYWP2TG8T65XQ" localSheetId="6" hidden="1">#REF!</definedName>
    <definedName name="BExEUGNELLVZ7K2PYWP2TG8T65XQ" localSheetId="21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localSheetId="4" hidden="1">#REF!</definedName>
    <definedName name="BExEUHUG1NGJGB6F1UH5IKFZ9B9M" localSheetId="6" hidden="1">#REF!</definedName>
    <definedName name="BExEUHUG1NGJGB6F1UH5IKFZ9B9M" localSheetId="21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localSheetId="4" hidden="1">#REF!</definedName>
    <definedName name="BExEUNE4T242Y59C6MS28MXEUGCP" localSheetId="6" hidden="1">#REF!</definedName>
    <definedName name="BExEUNE4T242Y59C6MS28MXEUGCP" localSheetId="21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localSheetId="4" hidden="1">#REF!</definedName>
    <definedName name="BExEUNU7FYVTR4DD1D31SS7PNXX2" localSheetId="6" hidden="1">#REF!</definedName>
    <definedName name="BExEUNU7FYVTR4DD1D31SS7PNXX2" localSheetId="21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localSheetId="4" hidden="1">#REF!</definedName>
    <definedName name="BExEV2TP7NA3ZR6RJGH5ER370OUM" localSheetId="6" hidden="1">#REF!</definedName>
    <definedName name="BExEV2TP7NA3ZR6RJGH5ER370OUM" localSheetId="21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localSheetId="4" hidden="1">#REF!</definedName>
    <definedName name="BExEV3Q7M5YTX3CY3QCP1SUIEP2E" localSheetId="6" hidden="1">#REF!</definedName>
    <definedName name="BExEV3Q7M5YTX3CY3QCP1SUIEP2E" localSheetId="21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localSheetId="4" hidden="1">#REF!</definedName>
    <definedName name="BExEV69USLNYO2QRJRC0J92XUF00" localSheetId="6" hidden="1">#REF!</definedName>
    <definedName name="BExEV69USLNYO2QRJRC0J92XUF00" localSheetId="21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localSheetId="4" hidden="1">#REF!</definedName>
    <definedName name="BExEV6KNTQOCFD7GV726XQEVQ7R6" localSheetId="6" hidden="1">#REF!</definedName>
    <definedName name="BExEV6KNTQOCFD7GV726XQEVQ7R6" localSheetId="21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localSheetId="4" hidden="1">#REF!</definedName>
    <definedName name="BExEV6VGM4POO9QT9KH3QA3VYCWM" localSheetId="6" hidden="1">#REF!</definedName>
    <definedName name="BExEV6VGM4POO9QT9KH3QA3VYCWM" localSheetId="21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localSheetId="4" hidden="1">#REF!</definedName>
    <definedName name="BExEVCEYMOI0PGO7HAEOS9CVMU2O" localSheetId="6" hidden="1">#REF!</definedName>
    <definedName name="BExEVCEYMOI0PGO7HAEOS9CVMU2O" localSheetId="21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localSheetId="4" hidden="1">#REF!</definedName>
    <definedName name="BExEVET98G3FU6QBF9LHYWSAMV0O" localSheetId="6" hidden="1">#REF!</definedName>
    <definedName name="BExEVET98G3FU6QBF9LHYWSAMV0O" localSheetId="21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localSheetId="4" hidden="1">#REF!</definedName>
    <definedName name="BExEVNCUT0PDUYNJH7G6BSEWZOT2" localSheetId="6" hidden="1">#REF!</definedName>
    <definedName name="BExEVNCUT0PDUYNJH7G6BSEWZOT2" localSheetId="21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localSheetId="4" hidden="1">#REF!</definedName>
    <definedName name="BExEVPGF4V5J0WQRZKUM8F9TTKZJ" localSheetId="6" hidden="1">#REF!</definedName>
    <definedName name="BExEVPGF4V5J0WQRZKUM8F9TTKZJ" localSheetId="21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localSheetId="4" hidden="1">#REF!</definedName>
    <definedName name="BExEVVLIEVWYRF2UUC1H0H5QU1CP" localSheetId="6" hidden="1">#REF!</definedName>
    <definedName name="BExEVVLIEVWYRF2UUC1H0H5QU1CP" localSheetId="21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localSheetId="4" hidden="1">#REF!</definedName>
    <definedName name="BExEVWCKO8T84GW9Z3X47915XKSH" localSheetId="6" hidden="1">#REF!</definedName>
    <definedName name="BExEVWCKO8T84GW9Z3X47915XKSH" localSheetId="21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localSheetId="4" hidden="1">#REF!</definedName>
    <definedName name="BExEVZSJWMZ5L2ZE7AZC57CXKW6T" localSheetId="6" hidden="1">#REF!</definedName>
    <definedName name="BExEVZSJWMZ5L2ZE7AZC57CXKW6T" localSheetId="21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localSheetId="4" hidden="1">#REF!</definedName>
    <definedName name="BExEW0JL1GFFCXMDGW54CI7Y8FZN" localSheetId="6" hidden="1">#REF!</definedName>
    <definedName name="BExEW0JL1GFFCXMDGW54CI7Y8FZN" localSheetId="21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localSheetId="4" hidden="1">#REF!</definedName>
    <definedName name="BExEW68M9WL8214QH9C7VCK7BN08" localSheetId="6" hidden="1">#REF!</definedName>
    <definedName name="BExEW68M9WL8214QH9C7VCK7BN08" localSheetId="21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localSheetId="4" hidden="1">#REF!</definedName>
    <definedName name="BExEW8HFKH6F47KIHYBDRUEFZ2ZZ" localSheetId="6" hidden="1">#REF!</definedName>
    <definedName name="BExEW8HFKH6F47KIHYBDRUEFZ2ZZ" localSheetId="21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localSheetId="4" hidden="1">#REF!</definedName>
    <definedName name="BExEWB6JHMITZPXHB6JATOCLLKLJ" localSheetId="6" hidden="1">#REF!</definedName>
    <definedName name="BExEWB6JHMITZPXHB6JATOCLLKLJ" localSheetId="21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localSheetId="4" hidden="1">#REF!</definedName>
    <definedName name="BExEWNBGQS1U2LW3W84T4LSJ9K00" localSheetId="6" hidden="1">#REF!</definedName>
    <definedName name="BExEWNBGQS1U2LW3W84T4LSJ9K00" localSheetId="21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localSheetId="4" hidden="1">#REF!</definedName>
    <definedName name="BExEWO7STL7HNZSTY8VQBPTX1WK6" localSheetId="6" hidden="1">#REF!</definedName>
    <definedName name="BExEWO7STL7HNZSTY8VQBPTX1WK6" localSheetId="21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localSheetId="4" hidden="1">#REF!</definedName>
    <definedName name="BExEWQ0M1N3KMKTDJ73H10QSG4W1" localSheetId="6" hidden="1">#REF!</definedName>
    <definedName name="BExEWQ0M1N3KMKTDJ73H10QSG4W1" localSheetId="21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localSheetId="4" hidden="1">#REF!</definedName>
    <definedName name="BExEX43OR6NH8GF32YY2ZB6Y8WGP" localSheetId="6" hidden="1">#REF!</definedName>
    <definedName name="BExEX43OR6NH8GF32YY2ZB6Y8WGP" localSheetId="21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localSheetId="4" hidden="1">#REF!</definedName>
    <definedName name="BExEX85F3OSW8NSCYGYPS9372Z1Q" localSheetId="6" hidden="1">#REF!</definedName>
    <definedName name="BExEX85F3OSW8NSCYGYPS9372Z1Q" localSheetId="21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localSheetId="4" hidden="1">#REF!</definedName>
    <definedName name="BExEX9HWY2G6928ZVVVQF77QCM2C" localSheetId="6" hidden="1">#REF!</definedName>
    <definedName name="BExEX9HWY2G6928ZVVVQF77QCM2C" localSheetId="21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localSheetId="4" hidden="1">#REF!</definedName>
    <definedName name="BExEXBQWAYKMVBRJRHB8PFCSYFVN" localSheetId="6" hidden="1">#REF!</definedName>
    <definedName name="BExEXBQWAYKMVBRJRHB8PFCSYFVN" localSheetId="21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localSheetId="4" hidden="1">#REF!</definedName>
    <definedName name="BExEXGE2TE9MQWLQVHL7XGQWL102" localSheetId="6" hidden="1">#REF!</definedName>
    <definedName name="BExEXGE2TE9MQWLQVHL7XGQWL102" localSheetId="21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localSheetId="4" hidden="1">#REF!</definedName>
    <definedName name="BExEXRBZ0DI9E2UFLLKYWGN66B61" localSheetId="6" hidden="1">#REF!</definedName>
    <definedName name="BExEXRBZ0DI9E2UFLLKYWGN66B61" localSheetId="21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localSheetId="4" hidden="1">#REF!</definedName>
    <definedName name="BExEXW4FSOZ9C2SZSQIAA3W82I5K" localSheetId="6" hidden="1">#REF!</definedName>
    <definedName name="BExEXW4FSOZ9C2SZSQIAA3W82I5K" localSheetId="21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localSheetId="4" hidden="1">#REF!</definedName>
    <definedName name="BExEXZ4H2ZUNEW5I6I74GK08QAQC" localSheetId="6" hidden="1">#REF!</definedName>
    <definedName name="BExEXZ4H2ZUNEW5I6I74GK08QAQC" localSheetId="21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localSheetId="4" hidden="1">#REF!</definedName>
    <definedName name="BExEY42GK80HA9M84NTZ3NV9K2VI" localSheetId="6" hidden="1">#REF!</definedName>
    <definedName name="BExEY42GK80HA9M84NTZ3NV9K2VI" localSheetId="21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localSheetId="4" hidden="1">#REF!</definedName>
    <definedName name="BExEYLG9FL9V1JPPNZ3FUDNSEJ4V" localSheetId="6" hidden="1">#REF!</definedName>
    <definedName name="BExEYLG9FL9V1JPPNZ3FUDNSEJ4V" localSheetId="21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localSheetId="4" hidden="1">#REF!</definedName>
    <definedName name="BExEYOW8C1B3OUUCIGEC7L8OOW1Z" localSheetId="6" hidden="1">#REF!</definedName>
    <definedName name="BExEYOW8C1B3OUUCIGEC7L8OOW1Z" localSheetId="21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localSheetId="4" hidden="1">#REF!</definedName>
    <definedName name="BExEYPCI2LT224YS4M3T50V85FAG" localSheetId="6" hidden="1">#REF!</definedName>
    <definedName name="BExEYPCI2LT224YS4M3T50V85FAG" localSheetId="21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localSheetId="4" hidden="1">#REF!</definedName>
    <definedName name="BExEYUQJXZT6N5HJH8ACJF6SRWEE" localSheetId="6" hidden="1">#REF!</definedName>
    <definedName name="BExEYUQJXZT6N5HJH8ACJF6SRWEE" localSheetId="21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localSheetId="4" hidden="1">#REF!</definedName>
    <definedName name="BExEYYC7KLO4XJQW9GMGVVJQXF4C" localSheetId="6" hidden="1">#REF!</definedName>
    <definedName name="BExEYYC7KLO4XJQW9GMGVVJQXF4C" localSheetId="21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localSheetId="4" hidden="1">#REF!</definedName>
    <definedName name="BExEZ1S6VZCG01ZPLBSS9Z1SBOJ2" localSheetId="6" hidden="1">#REF!</definedName>
    <definedName name="BExEZ1S6VZCG01ZPLBSS9Z1SBOJ2" localSheetId="21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localSheetId="4" hidden="1">#REF!</definedName>
    <definedName name="BExEZ6KV8TDKOO0Y66LSH9DCFW5M" localSheetId="6" hidden="1">#REF!</definedName>
    <definedName name="BExEZ6KV8TDKOO0Y66LSH9DCFW5M" localSheetId="21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localSheetId="4" hidden="1">#REF!</definedName>
    <definedName name="BExEZGBFNJR8DLPN0V11AU22L6WY" localSheetId="6" hidden="1">#REF!</definedName>
    <definedName name="BExEZGBFNJR8DLPN0V11AU22L6WY" localSheetId="21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localSheetId="4" hidden="1">#REF!</definedName>
    <definedName name="BExEZVR61GWO1ZM3XHWUKRJJMQXV" localSheetId="6" hidden="1">#REF!</definedName>
    <definedName name="BExEZVR61GWO1ZM3XHWUKRJJMQXV" localSheetId="21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localSheetId="4" hidden="1">#REF!</definedName>
    <definedName name="BExF02Y3V3QEPO2XLDSK47APK9XJ" localSheetId="6" hidden="1">#REF!</definedName>
    <definedName name="BExF02Y3V3QEPO2XLDSK47APK9XJ" localSheetId="21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localSheetId="4" hidden="1">#REF!</definedName>
    <definedName name="BExF03E824NHBODFUZ3PZ5HLF85X" localSheetId="6" hidden="1">#REF!</definedName>
    <definedName name="BExF03E824NHBODFUZ3PZ5HLF85X" localSheetId="21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localSheetId="4" hidden="1">#REF!</definedName>
    <definedName name="BExF09OS91RT7N7IW8JLMZ121ZP3" localSheetId="6" hidden="1">#REF!</definedName>
    <definedName name="BExF09OS91RT7N7IW8JLMZ121ZP3" localSheetId="21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localSheetId="4" hidden="1">#REF!</definedName>
    <definedName name="BExF0D4SEQ7RRCAER8UQKUJ4HH0Q" localSheetId="6" hidden="1">#REF!</definedName>
    <definedName name="BExF0D4SEQ7RRCAER8UQKUJ4HH0Q" localSheetId="21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localSheetId="4" hidden="1">#REF!</definedName>
    <definedName name="BExF0D4Z97PCG5JI9CC2TFB553AX" localSheetId="6" hidden="1">#REF!</definedName>
    <definedName name="BExF0D4Z97PCG5JI9CC2TFB553AX" localSheetId="21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localSheetId="4" hidden="1">#REF!</definedName>
    <definedName name="BExF0DAB1PUE0V936NFEK68CCKTJ" localSheetId="6" hidden="1">#REF!</definedName>
    <definedName name="BExF0DAB1PUE0V936NFEK68CCKTJ" localSheetId="21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localSheetId="4" hidden="1">#REF!</definedName>
    <definedName name="BExF0LOEHV42P2DV7QL8O7HOQ3N9" localSheetId="6" hidden="1">#REF!</definedName>
    <definedName name="BExF0LOEHV42P2DV7QL8O7HOQ3N9" localSheetId="21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localSheetId="4" hidden="1">#REF!</definedName>
    <definedName name="BExF0QRT0ZP2578DKKC9SRW40F5L" localSheetId="6" hidden="1">#REF!</definedName>
    <definedName name="BExF0QRT0ZP2578DKKC9SRW40F5L" localSheetId="21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localSheetId="4" hidden="1">#REF!</definedName>
    <definedName name="BExF0WRM9VO25RLSO03ZOCE8H7K5" localSheetId="6" hidden="1">#REF!</definedName>
    <definedName name="BExF0WRM9VO25RLSO03ZOCE8H7K5" localSheetId="21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localSheetId="4" hidden="1">#REF!</definedName>
    <definedName name="BExF0ZRI7W4RSLIDLHTSM0AWXO3S" localSheetId="6" hidden="1">#REF!</definedName>
    <definedName name="BExF0ZRI7W4RSLIDLHTSM0AWXO3S" localSheetId="21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localSheetId="4" hidden="1">#REF!</definedName>
    <definedName name="BExF19CT3MMZZ2T5EWMDNG3UOJ01" localSheetId="6" hidden="1">#REF!</definedName>
    <definedName name="BExF19CT3MMZZ2T5EWMDNG3UOJ01" localSheetId="21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localSheetId="4" hidden="1">#REF!</definedName>
    <definedName name="BExF1C1VNHJBRW2XQKVSL1KSLFZ8" localSheetId="6" hidden="1">#REF!</definedName>
    <definedName name="BExF1C1VNHJBRW2XQKVSL1KSLFZ8" localSheetId="21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localSheetId="4" hidden="1">#REF!</definedName>
    <definedName name="BExF1M38U6NX17YJA8YU359B5Z4M" localSheetId="6" hidden="1">#REF!</definedName>
    <definedName name="BExF1M38U6NX17YJA8YU359B5Z4M" localSheetId="21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localSheetId="4" hidden="1">#REF!</definedName>
    <definedName name="BExF1MU4W3NPEY0OHRDWP5IANCBB" localSheetId="6" hidden="1">#REF!</definedName>
    <definedName name="BExF1MU4W3NPEY0OHRDWP5IANCBB" localSheetId="21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localSheetId="4" hidden="1">#REF!</definedName>
    <definedName name="BExF1MZN8MWMOKOARHJ1QAF9HPGT" localSheetId="6" hidden="1">#REF!</definedName>
    <definedName name="BExF1MZN8MWMOKOARHJ1QAF9HPGT" localSheetId="21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localSheetId="4" hidden="1">#REF!</definedName>
    <definedName name="BExF1US4ZIQYSU5LBFYNRA9N0K2O" localSheetId="6" hidden="1">#REF!</definedName>
    <definedName name="BExF1US4ZIQYSU5LBFYNRA9N0K2O" localSheetId="21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localSheetId="4" hidden="1">#REF!</definedName>
    <definedName name="BExF272JNPJCK1XLBG016XXBVFO8" localSheetId="6" hidden="1">#REF!</definedName>
    <definedName name="BExF272JNPJCK1XLBG016XXBVFO8" localSheetId="21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localSheetId="4" hidden="1">#REF!</definedName>
    <definedName name="BExF2CWZN6E87RGTBMD4YQI2QT7R" localSheetId="6" hidden="1">#REF!</definedName>
    <definedName name="BExF2CWZN6E87RGTBMD4YQI2QT7R" localSheetId="21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localSheetId="4" hidden="1">#REF!</definedName>
    <definedName name="BExF2DYO1WQ7GMXSTAQRDBW1NSFG" localSheetId="6" hidden="1">#REF!</definedName>
    <definedName name="BExF2DYO1WQ7GMXSTAQRDBW1NSFG" localSheetId="21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localSheetId="4" hidden="1">#REF!</definedName>
    <definedName name="BExF2H9D3MC9XKLPZ6VIP4F7G4YN" localSheetId="6" hidden="1">#REF!</definedName>
    <definedName name="BExF2H9D3MC9XKLPZ6VIP4F7G4YN" localSheetId="21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localSheetId="4" hidden="1">#REF!</definedName>
    <definedName name="BExF2MSWNUY9Z6BZJQZ538PPTION" localSheetId="6" hidden="1">#REF!</definedName>
    <definedName name="BExF2MSWNUY9Z6BZJQZ538PPTION" localSheetId="21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localSheetId="4" hidden="1">#REF!</definedName>
    <definedName name="BExF2QZYWHTYGUTTXR15CKCV3LS7" localSheetId="6" hidden="1">#REF!</definedName>
    <definedName name="BExF2QZYWHTYGUTTXR15CKCV3LS7" localSheetId="21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localSheetId="4" hidden="1">#REF!</definedName>
    <definedName name="BExF2T8Y6TSJ74RMSZOA9CEH4OZ6" localSheetId="6" hidden="1">#REF!</definedName>
    <definedName name="BExF2T8Y6TSJ74RMSZOA9CEH4OZ6" localSheetId="21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localSheetId="4" hidden="1">#REF!</definedName>
    <definedName name="BExF31N3YM4F37EOOY8M8VI1KXN8" localSheetId="6" hidden="1">#REF!</definedName>
    <definedName name="BExF31N3YM4F37EOOY8M8VI1KXN8" localSheetId="21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localSheetId="4" hidden="1">#REF!</definedName>
    <definedName name="BExF37C1YKBT79Z9SOJAG5MXQGTU" localSheetId="6" hidden="1">#REF!</definedName>
    <definedName name="BExF37C1YKBT79Z9SOJAG5MXQGTU" localSheetId="21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localSheetId="4" hidden="1">#REF!</definedName>
    <definedName name="BExF3A6HPA6DGYALZNHHJPMCUYZR" localSheetId="6" hidden="1">#REF!</definedName>
    <definedName name="BExF3A6HPA6DGYALZNHHJPMCUYZR" localSheetId="21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localSheetId="4" hidden="1">#REF!</definedName>
    <definedName name="BExF3GMJW5D7066GYKTMM3CVH1HE" localSheetId="6" hidden="1">#REF!</definedName>
    <definedName name="BExF3GMJW5D7066GYKTMM3CVH1HE" localSheetId="21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localSheetId="4" hidden="1">#REF!</definedName>
    <definedName name="BExF3I9T44X7DV9HHV51DVDDPPZG" localSheetId="6" hidden="1">#REF!</definedName>
    <definedName name="BExF3I9T44X7DV9HHV51DVDDPPZG" localSheetId="21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localSheetId="4" hidden="1">#REF!</definedName>
    <definedName name="BExF3IKLZ35F2D4DI7R7P7NZLVC3" localSheetId="6" hidden="1">#REF!</definedName>
    <definedName name="BExF3IKLZ35F2D4DI7R7P7NZLVC3" localSheetId="21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localSheetId="4" hidden="1">#REF!</definedName>
    <definedName name="BExF3JMFX5DILOIFUDIO1HZUK875" localSheetId="6" hidden="1">#REF!</definedName>
    <definedName name="BExF3JMFX5DILOIFUDIO1HZUK875" localSheetId="21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localSheetId="4" hidden="1">#REF!</definedName>
    <definedName name="BExF3KIO2G9LJYXZ61H8PJJ6OQXV" localSheetId="6" hidden="1">#REF!</definedName>
    <definedName name="BExF3KIO2G9LJYXZ61H8PJJ6OQXV" localSheetId="21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localSheetId="4" hidden="1">#REF!</definedName>
    <definedName name="BExF3MGVCZHXDAUDZAGUYESZ3RC8" localSheetId="6" hidden="1">#REF!</definedName>
    <definedName name="BExF3MGVCZHXDAUDZAGUYESZ3RC8" localSheetId="21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localSheetId="4" hidden="1">#REF!</definedName>
    <definedName name="BExF3NTC4BGZEM6B87TCFX277QCS" localSheetId="6" hidden="1">#REF!</definedName>
    <definedName name="BExF3NTC4BGZEM6B87TCFX277QCS" localSheetId="21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localSheetId="4" hidden="1">#REF!</definedName>
    <definedName name="BExF3Q2DOSQI9SIAXB522CN0WBZ7" localSheetId="6" hidden="1">#REF!</definedName>
    <definedName name="BExF3Q2DOSQI9SIAXB522CN0WBZ7" localSheetId="21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localSheetId="4" hidden="1">#REF!</definedName>
    <definedName name="BExF3Q7NI90WT31QHYSJDIG0LLLJ" localSheetId="6" hidden="1">#REF!</definedName>
    <definedName name="BExF3Q7NI90WT31QHYSJDIG0LLLJ" localSheetId="21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localSheetId="4" hidden="1">#REF!</definedName>
    <definedName name="BExF3QD55TIY1MSBSRK9TUJKBEWO" localSheetId="6" hidden="1">#REF!</definedName>
    <definedName name="BExF3QD55TIY1MSBSRK9TUJKBEWO" localSheetId="21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localSheetId="4" hidden="1">#REF!</definedName>
    <definedName name="BExF3QT8J6RIF1L3R700MBSKIOKW" localSheetId="6" hidden="1">#REF!</definedName>
    <definedName name="BExF3QT8J6RIF1L3R700MBSKIOKW" localSheetId="21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localSheetId="4" hidden="1">#REF!</definedName>
    <definedName name="BExF42SSBVPMLK2UB3B7FPEIY9TU" localSheetId="6" hidden="1">#REF!</definedName>
    <definedName name="BExF42SSBVPMLK2UB3B7FPEIY9TU" localSheetId="21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localSheetId="4" hidden="1">#REF!</definedName>
    <definedName name="BExF4HXSWB50BKYPWA0HTT8W56H6" localSheetId="6" hidden="1">#REF!</definedName>
    <definedName name="BExF4HXSWB50BKYPWA0HTT8W56H6" localSheetId="21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localSheetId="4" hidden="1">#REF!</definedName>
    <definedName name="BExF4J4Y60OUA8GY6YN8XVRUX80A" localSheetId="6" hidden="1">#REF!</definedName>
    <definedName name="BExF4J4Y60OUA8GY6YN8XVRUX80A" localSheetId="21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localSheetId="4" hidden="1">#REF!</definedName>
    <definedName name="BExF4KHF04IWW4LQ95FHQPFE4Y9K" localSheetId="6" hidden="1">#REF!</definedName>
    <definedName name="BExF4KHF04IWW4LQ95FHQPFE4Y9K" localSheetId="21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localSheetId="4" hidden="1">#REF!</definedName>
    <definedName name="BExF4MVQM5Y0QRDLDFSKWWTF709C" localSheetId="6" hidden="1">#REF!</definedName>
    <definedName name="BExF4MVQM5Y0QRDLDFSKWWTF709C" localSheetId="21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localSheetId="4" hidden="1">#REF!</definedName>
    <definedName name="BExF4PVMZYV36E8HOYY06J81AMBI" localSheetId="6" hidden="1">#REF!</definedName>
    <definedName name="BExF4PVMZYV36E8HOYY06J81AMBI" localSheetId="21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localSheetId="4" hidden="1">#REF!</definedName>
    <definedName name="BExF4SF9NEX1FZE9N8EXT89PM54D" localSheetId="6" hidden="1">#REF!</definedName>
    <definedName name="BExF4SF9NEX1FZE9N8EXT89PM54D" localSheetId="21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localSheetId="4" hidden="1">#REF!</definedName>
    <definedName name="BExF52GTGP8MHGII4KJ8TJGR8W8U" localSheetId="6" hidden="1">#REF!</definedName>
    <definedName name="BExF52GTGP8MHGII4KJ8TJGR8W8U" localSheetId="21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localSheetId="4" hidden="1">#REF!</definedName>
    <definedName name="BExF57K7L3UC1I2FSAWURR4SN0UN" localSheetId="6" hidden="1">#REF!</definedName>
    <definedName name="BExF57K7L3UC1I2FSAWURR4SN0UN" localSheetId="21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localSheetId="4" hidden="1">#REF!</definedName>
    <definedName name="BExF5HR2GFV7O8LKG9SJ4BY78LYA" localSheetId="6" hidden="1">#REF!</definedName>
    <definedName name="BExF5HR2GFV7O8LKG9SJ4BY78LYA" localSheetId="21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localSheetId="4" hidden="1">#REF!</definedName>
    <definedName name="BExF5ZFO2A29GHWR5ES64Z9OS16J" localSheetId="6" hidden="1">#REF!</definedName>
    <definedName name="BExF5ZFO2A29GHWR5ES64Z9OS16J" localSheetId="21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localSheetId="4" hidden="1">#REF!</definedName>
    <definedName name="BExF63S045JO7H2ZJCBTBVH3SUIF" localSheetId="6" hidden="1">#REF!</definedName>
    <definedName name="BExF63S045JO7H2ZJCBTBVH3SUIF" localSheetId="21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localSheetId="4" hidden="1">#REF!</definedName>
    <definedName name="BExF642TEGTXCI9A61ZOONJCB0U1" localSheetId="6" hidden="1">#REF!</definedName>
    <definedName name="BExF642TEGTXCI9A61ZOONJCB0U1" localSheetId="21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localSheetId="4" hidden="1">#REF!</definedName>
    <definedName name="BExF67O951CF8UJF3KBDNR0E83C1" localSheetId="6" hidden="1">#REF!</definedName>
    <definedName name="BExF67O951CF8UJF3KBDNR0E83C1" localSheetId="21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localSheetId="4" hidden="1">#REF!</definedName>
    <definedName name="BExF6EV7I35NVMIJGYTB6E24YVPA" localSheetId="6" hidden="1">#REF!</definedName>
    <definedName name="BExF6EV7I35NVMIJGYTB6E24YVPA" localSheetId="21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localSheetId="4" hidden="1">#REF!</definedName>
    <definedName name="BExF6FGUF393KTMBT40S5BYAFG00" localSheetId="6" hidden="1">#REF!</definedName>
    <definedName name="BExF6FGUF393KTMBT40S5BYAFG00" localSheetId="21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localSheetId="4" hidden="1">#REF!</definedName>
    <definedName name="BExF6GNYXWY8A0SY4PW1B6KJMMTM" localSheetId="6" hidden="1">#REF!</definedName>
    <definedName name="BExF6GNYXWY8A0SY4PW1B6KJMMTM" localSheetId="21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localSheetId="4" hidden="1">#REF!</definedName>
    <definedName name="BExF6IB8K74Z0AFT05GPOKKZW7C9" localSheetId="6" hidden="1">#REF!</definedName>
    <definedName name="BExF6IB8K74Z0AFT05GPOKKZW7C9" localSheetId="21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localSheetId="4" hidden="1">#REF!</definedName>
    <definedName name="BExF6NUXJI11W2IAZNAM1QWC0459" localSheetId="6" hidden="1">#REF!</definedName>
    <definedName name="BExF6NUXJI11W2IAZNAM1QWC0459" localSheetId="21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localSheetId="4" hidden="1">#REF!</definedName>
    <definedName name="BExF6RR76KNVIXGJOVFO8GDILKGZ" localSheetId="6" hidden="1">#REF!</definedName>
    <definedName name="BExF6RR76KNVIXGJOVFO8GDILKGZ" localSheetId="21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localSheetId="4" hidden="1">#REF!</definedName>
    <definedName name="BExF6ZE8D5CMPJPRWT6S4HM56LPF" localSheetId="6" hidden="1">#REF!</definedName>
    <definedName name="BExF6ZE8D5CMPJPRWT6S4HM56LPF" localSheetId="21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localSheetId="4" hidden="1">#REF!</definedName>
    <definedName name="BExF76FV8SF7AJK7B35AL7VTZF6D" localSheetId="6" hidden="1">#REF!</definedName>
    <definedName name="BExF76FV8SF7AJK7B35AL7VTZF6D" localSheetId="21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localSheetId="4" hidden="1">#REF!</definedName>
    <definedName name="BExF7EOIMC1OYL1N7835KGOI0FIZ" localSheetId="6" hidden="1">#REF!</definedName>
    <definedName name="BExF7EOIMC1OYL1N7835KGOI0FIZ" localSheetId="21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localSheetId="4" hidden="1">#REF!</definedName>
    <definedName name="BExF7K88K7ASGV6RAOAGH52G04VR" localSheetId="6" hidden="1">#REF!</definedName>
    <definedName name="BExF7K88K7ASGV6RAOAGH52G04VR" localSheetId="21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localSheetId="4" hidden="1">#REF!</definedName>
    <definedName name="BExF7OVDRP3LHNAF2CX4V84CKKIR" localSheetId="6" hidden="1">#REF!</definedName>
    <definedName name="BExF7OVDRP3LHNAF2CX4V84CKKIR" localSheetId="21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localSheetId="4" hidden="1">#REF!</definedName>
    <definedName name="BExF7QO41X2A2SL8UXDNP99GY7U9" localSheetId="6" hidden="1">#REF!</definedName>
    <definedName name="BExF7QO41X2A2SL8UXDNP99GY7U9" localSheetId="21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localSheetId="4" hidden="1">#REF!</definedName>
    <definedName name="BExF7QYWRJ8S4SID84VVXH3TN7X8" localSheetId="6" hidden="1">#REF!</definedName>
    <definedName name="BExF7QYWRJ8S4SID84VVXH3TN7X8" localSheetId="21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localSheetId="4" hidden="1">#REF!</definedName>
    <definedName name="BExF81GI8B8WBHXFTET68A9358BR" localSheetId="6" hidden="1">#REF!</definedName>
    <definedName name="BExF81GI8B8WBHXFTET68A9358BR" localSheetId="21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localSheetId="4" hidden="1">#REF!</definedName>
    <definedName name="BExGKN1EUJWHOYSSFY4XX6T9QVV5" localSheetId="6" hidden="1">#REF!</definedName>
    <definedName name="BExGKN1EUJWHOYSSFY4XX6T9QVV5" localSheetId="21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localSheetId="4" hidden="1">#REF!</definedName>
    <definedName name="BExGL97US0Y3KXXASUTVR26XLT70" localSheetId="6" hidden="1">#REF!</definedName>
    <definedName name="BExGL97US0Y3KXXASUTVR26XLT70" localSheetId="21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localSheetId="4" hidden="1">#REF!</definedName>
    <definedName name="BExGL9TEJAX73AMCXKXTMRO9T6QA" localSheetId="6" hidden="1">#REF!</definedName>
    <definedName name="BExGL9TEJAX73AMCXKXTMRO9T6QA" localSheetId="21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localSheetId="4" hidden="1">#REF!</definedName>
    <definedName name="BExGLBM5GKGBJDTZSMMBZBAVQ7N1" localSheetId="6" hidden="1">#REF!</definedName>
    <definedName name="BExGLBM5GKGBJDTZSMMBZBAVQ7N1" localSheetId="21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localSheetId="4" hidden="1">#REF!</definedName>
    <definedName name="BExGLC7R4C33RO0PID97ZPPVCW4M" localSheetId="6" hidden="1">#REF!</definedName>
    <definedName name="BExGLC7R4C33RO0PID97ZPPVCW4M" localSheetId="21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localSheetId="4" hidden="1">#REF!</definedName>
    <definedName name="BExGLFIF7HCFSHNQHKEV6RY0WCO3" localSheetId="6" hidden="1">#REF!</definedName>
    <definedName name="BExGLFIF7HCFSHNQHKEV6RY0WCO3" localSheetId="21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localSheetId="4" hidden="1">#REF!</definedName>
    <definedName name="BExGLPP9Z6SH15N8AV0F7H58S14K" localSheetId="6" hidden="1">#REF!</definedName>
    <definedName name="BExGLPP9Z6SH15N8AV0F7H58S14K" localSheetId="21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localSheetId="4" hidden="1">#REF!</definedName>
    <definedName name="BExGLQATG820J44V2O4JEICPUUTR" localSheetId="6" hidden="1">#REF!</definedName>
    <definedName name="BExGLQATG820J44V2O4JEICPUUTR" localSheetId="21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localSheetId="4" hidden="1">#REF!</definedName>
    <definedName name="BExGLTARRL0J772UD2TXEYAVPY6E" localSheetId="6" hidden="1">#REF!</definedName>
    <definedName name="BExGLTARRL0J772UD2TXEYAVPY6E" localSheetId="21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localSheetId="4" hidden="1">#REF!</definedName>
    <definedName name="BExGLYE6RZTAAWHJBG2QFJPTDS2Q" localSheetId="6" hidden="1">#REF!</definedName>
    <definedName name="BExGLYE6RZTAAWHJBG2QFJPTDS2Q" localSheetId="21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localSheetId="4" hidden="1">#REF!</definedName>
    <definedName name="BExGM4DZ65OAQP7MA4LN6QMYZOFF" localSheetId="6" hidden="1">#REF!</definedName>
    <definedName name="BExGM4DZ65OAQP7MA4LN6QMYZOFF" localSheetId="21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localSheetId="4" hidden="1">#REF!</definedName>
    <definedName name="BExGMCXCWEC9XNUOEMZ61TMI6CUO" localSheetId="6" hidden="1">#REF!</definedName>
    <definedName name="BExGMCXCWEC9XNUOEMZ61TMI6CUO" localSheetId="21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localSheetId="4" hidden="1">#REF!</definedName>
    <definedName name="BExGMJDGIH0MEPC2TUSFUCY2ROTB" localSheetId="6" hidden="1">#REF!</definedName>
    <definedName name="BExGMJDGIH0MEPC2TUSFUCY2ROTB" localSheetId="21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localSheetId="4" hidden="1">#REF!</definedName>
    <definedName name="BExGMKPW2HPKN0M0XKF3AZ8YP0D6" localSheetId="6" hidden="1">#REF!</definedName>
    <definedName name="BExGMKPW2HPKN0M0XKF3AZ8YP0D6" localSheetId="21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localSheetId="4" hidden="1">#REF!</definedName>
    <definedName name="BExGMOGUOL3NATNV0TIZH2J6DLLD" localSheetId="6" hidden="1">#REF!</definedName>
    <definedName name="BExGMOGUOL3NATNV0TIZH2J6DLLD" localSheetId="21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localSheetId="4" hidden="1">#REF!</definedName>
    <definedName name="BExGMP2F175LGL6QVSJGP6GKYHHA" localSheetId="6" hidden="1">#REF!</definedName>
    <definedName name="BExGMP2F175LGL6QVSJGP6GKYHHA" localSheetId="21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localSheetId="4" hidden="1">#REF!</definedName>
    <definedName name="BExGMPIIP8GKML2VVA8OEFL43NCS" localSheetId="6" hidden="1">#REF!</definedName>
    <definedName name="BExGMPIIP8GKML2VVA8OEFL43NCS" localSheetId="21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localSheetId="4" hidden="1">#REF!</definedName>
    <definedName name="BExGMZ3SRIXLXMWBVOXXV3M4U4YL" localSheetId="6" hidden="1">#REF!</definedName>
    <definedName name="BExGMZ3SRIXLXMWBVOXXV3M4U4YL" localSheetId="21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localSheetId="4" hidden="1">#REF!</definedName>
    <definedName name="BExGMZ3UBN48IXU1ZEFYECEMZ1IM" localSheetId="6" hidden="1">#REF!</definedName>
    <definedName name="BExGMZ3UBN48IXU1ZEFYECEMZ1IM" localSheetId="21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localSheetId="4" hidden="1">#REF!</definedName>
    <definedName name="BExGN4I0QATXNZCLZJM1KH1OIJQH" localSheetId="6" hidden="1">#REF!</definedName>
    <definedName name="BExGN4I0QATXNZCLZJM1KH1OIJQH" localSheetId="21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localSheetId="4" hidden="1">#REF!</definedName>
    <definedName name="BExGN9FZ2RWCMSY1YOBJKZMNIM9R" localSheetId="6" hidden="1">#REF!</definedName>
    <definedName name="BExGN9FZ2RWCMSY1YOBJKZMNIM9R" localSheetId="21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localSheetId="4" hidden="1">#REF!</definedName>
    <definedName name="BExGNDSIMTHOCXXG6QOGR6DA8SGG" localSheetId="6" hidden="1">#REF!</definedName>
    <definedName name="BExGNDSIMTHOCXXG6QOGR6DA8SGG" localSheetId="21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localSheetId="4" hidden="1">#REF!</definedName>
    <definedName name="BExGNHOS7RBERG1J2M2HVGSRZL5G" localSheetId="6" hidden="1">#REF!</definedName>
    <definedName name="BExGNHOS7RBERG1J2M2HVGSRZL5G" localSheetId="21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localSheetId="4" hidden="1">#REF!</definedName>
    <definedName name="BExGNJ18W3Q55XAXY8XTFB80IVMV" localSheetId="6" hidden="1">#REF!</definedName>
    <definedName name="BExGNJ18W3Q55XAXY8XTFB80IVMV" localSheetId="21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localSheetId="4" hidden="1">#REF!</definedName>
    <definedName name="BExGNN2YQ9BDAZXT2GLCSAPXKIM7" localSheetId="6" hidden="1">#REF!</definedName>
    <definedName name="BExGNN2YQ9BDAZXT2GLCSAPXKIM7" localSheetId="21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localSheetId="4" hidden="1">#REF!</definedName>
    <definedName name="BExGNP6INLF5NZFP5ME6K7C9Y0NH" localSheetId="6" hidden="1">#REF!</definedName>
    <definedName name="BExGNP6INLF5NZFP5ME6K7C9Y0NH" localSheetId="21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localSheetId="4" hidden="1">#REF!</definedName>
    <definedName name="BExGNSS0CKRPKHO25R3TDBEL2NHX" localSheetId="6" hidden="1">#REF!</definedName>
    <definedName name="BExGNSS0CKRPKHO25R3TDBEL2NHX" localSheetId="21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localSheetId="4" hidden="1">#REF!</definedName>
    <definedName name="BExGNYH0MO8NOVS85L15G0RWX4GW" localSheetId="6" hidden="1">#REF!</definedName>
    <definedName name="BExGNYH0MO8NOVS85L15G0RWX4GW" localSheetId="21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localSheetId="4" hidden="1">#REF!</definedName>
    <definedName name="BExGNZO44DEG8CGIDYSEGDUQ531R" localSheetId="6" hidden="1">#REF!</definedName>
    <definedName name="BExGNZO44DEG8CGIDYSEGDUQ531R" localSheetId="21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localSheetId="4" hidden="1">#REF!</definedName>
    <definedName name="BExGO22GMMPZVQY9RQ8MDKZDP5G3" localSheetId="6" hidden="1">#REF!</definedName>
    <definedName name="BExGO22GMMPZVQY9RQ8MDKZDP5G3" localSheetId="21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localSheetId="4" hidden="1">#REF!</definedName>
    <definedName name="BExGO2O0V6UYDY26AX8OSN72F77N" localSheetId="6" hidden="1">#REF!</definedName>
    <definedName name="BExGO2O0V6UYDY26AX8OSN72F77N" localSheetId="21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localSheetId="4" hidden="1">#REF!</definedName>
    <definedName name="BExGO2YUBOVLYHY1QSIHRE1KLAFV" localSheetId="6" hidden="1">#REF!</definedName>
    <definedName name="BExGO2YUBOVLYHY1QSIHRE1KLAFV" localSheetId="21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localSheetId="4" hidden="1">#REF!</definedName>
    <definedName name="BExGO70E2O70LF46V8T26YFPL4V8" localSheetId="6" hidden="1">#REF!</definedName>
    <definedName name="BExGO70E2O70LF46V8T26YFPL4V8" localSheetId="21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localSheetId="4" hidden="1">#REF!</definedName>
    <definedName name="BExGOB25QJMQCQE76MRW9X58OIOO" localSheetId="6" hidden="1">#REF!</definedName>
    <definedName name="BExGOB25QJMQCQE76MRW9X58OIOO" localSheetId="21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localSheetId="4" hidden="1">#REF!</definedName>
    <definedName name="BExGODAZKJ9EXMQZNQR5YDBSS525" localSheetId="6" hidden="1">#REF!</definedName>
    <definedName name="BExGODAZKJ9EXMQZNQR5YDBSS525" localSheetId="21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localSheetId="4" hidden="1">#REF!</definedName>
    <definedName name="BExGODR8ZSMUC11I56QHSZ686XV5" localSheetId="6" hidden="1">#REF!</definedName>
    <definedName name="BExGODR8ZSMUC11I56QHSZ686XV5" localSheetId="21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localSheetId="4" hidden="1">#REF!</definedName>
    <definedName name="BExGOXJDHUDPDT8I8IVGVW9J0R5Q" localSheetId="6" hidden="1">#REF!</definedName>
    <definedName name="BExGOXJDHUDPDT8I8IVGVW9J0R5Q" localSheetId="21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localSheetId="4" hidden="1">#REF!</definedName>
    <definedName name="BExGPAPYI1N5W3IH8H485BHSVOY3" localSheetId="6" hidden="1">#REF!</definedName>
    <definedName name="BExGPAPYI1N5W3IH8H485BHSVOY3" localSheetId="21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localSheetId="4" hidden="1">#REF!</definedName>
    <definedName name="BExGPFO3GOKYO2922Y91GMQRCMOA" localSheetId="6" hidden="1">#REF!</definedName>
    <definedName name="BExGPFO3GOKYO2922Y91GMQRCMOA" localSheetId="21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localSheetId="4" hidden="1">#REF!</definedName>
    <definedName name="BExGPHGT5KDOCMV2EFS4OVKTWBRD" localSheetId="6" hidden="1">#REF!</definedName>
    <definedName name="BExGPHGT5KDOCMV2EFS4OVKTWBRD" localSheetId="21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localSheetId="4" hidden="1">#REF!</definedName>
    <definedName name="BExGPID72Y4Y619LWASUQZKZHJNC" localSheetId="6" hidden="1">#REF!</definedName>
    <definedName name="BExGPID72Y4Y619LWASUQZKZHJNC" localSheetId="21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localSheetId="4" hidden="1">#REF!</definedName>
    <definedName name="BExGPPENQIANVGLVQJ77DK5JPRTB" localSheetId="6" hidden="1">#REF!</definedName>
    <definedName name="BExGPPENQIANVGLVQJ77DK5JPRTB" localSheetId="21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localSheetId="4" hidden="1">#REF!</definedName>
    <definedName name="BExGPSUUG7TL5F5PTYU6G4HPJV1B" localSheetId="6" hidden="1">#REF!</definedName>
    <definedName name="BExGPSUUG7TL5F5PTYU6G4HPJV1B" localSheetId="21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localSheetId="4" hidden="1">#REF!</definedName>
    <definedName name="BExGQ1E950UYXYWQ84EZEQPWHVYY" localSheetId="6" hidden="1">#REF!</definedName>
    <definedName name="BExGQ1E950UYXYWQ84EZEQPWHVYY" localSheetId="21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localSheetId="4" hidden="1">#REF!</definedName>
    <definedName name="BExGQ1ZU4967P72AHF4V1D0FOL5C" localSheetId="6" hidden="1">#REF!</definedName>
    <definedName name="BExGQ1ZU4967P72AHF4V1D0FOL5C" localSheetId="21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localSheetId="4" hidden="1">#REF!</definedName>
    <definedName name="BExGQ36ZOMR9GV8T05M605MMOY3Y" localSheetId="6" hidden="1">#REF!</definedName>
    <definedName name="BExGQ36ZOMR9GV8T05M605MMOY3Y" localSheetId="21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localSheetId="4" hidden="1">#REF!</definedName>
    <definedName name="BExGQ4ZP0PPMLDNVBUG12W9FFVI9" localSheetId="6" hidden="1">#REF!</definedName>
    <definedName name="BExGQ4ZP0PPMLDNVBUG12W9FFVI9" localSheetId="21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localSheetId="4" hidden="1">#REF!</definedName>
    <definedName name="BExGQ61DTJ0SBFMDFBAK3XZ9O0ZO" localSheetId="6" hidden="1">#REF!</definedName>
    <definedName name="BExGQ61DTJ0SBFMDFBAK3XZ9O0ZO" localSheetId="21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localSheetId="4" hidden="1">#REF!</definedName>
    <definedName name="BExGQ6SG9XEOD0VMBAR22YPZWSTA" localSheetId="6" hidden="1">#REF!</definedName>
    <definedName name="BExGQ6SG9XEOD0VMBAR22YPZWSTA" localSheetId="21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localSheetId="4" hidden="1">#REF!</definedName>
    <definedName name="BExGQ8FQN3FRAGH5H2V74848P5JX" localSheetId="6" hidden="1">#REF!</definedName>
    <definedName name="BExGQ8FQN3FRAGH5H2V74848P5JX" localSheetId="21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localSheetId="4" hidden="1">#REF!</definedName>
    <definedName name="BExGQGJ1A7LNZUS8QSMOG8UNGLMK" localSheetId="6" hidden="1">#REF!</definedName>
    <definedName name="BExGQGJ1A7LNZUS8QSMOG8UNGLMK" localSheetId="21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localSheetId="4" hidden="1">#REF!</definedName>
    <definedName name="BExGQLBNZ35IK2VK33HJUAE4ADX2" localSheetId="6" hidden="1">#REF!</definedName>
    <definedName name="BExGQLBNZ35IK2VK33HJUAE4ADX2" localSheetId="21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localSheetId="4" hidden="1">#REF!</definedName>
    <definedName name="BExGQPO7ENFEQC0NC6MC9OZR2LHY" localSheetId="6" hidden="1">#REF!</definedName>
    <definedName name="BExGQPO7ENFEQC0NC6MC9OZR2LHY" localSheetId="21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localSheetId="4" hidden="1">#REF!</definedName>
    <definedName name="BExGQX0H4EZMXBJTKJJE4ICJWN5O" localSheetId="6" hidden="1">#REF!</definedName>
    <definedName name="BExGQX0H4EZMXBJTKJJE4ICJWN5O" localSheetId="21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localSheetId="4" hidden="1">#REF!</definedName>
    <definedName name="BExGR4CW3WRIID17GGX4MI9ZDHFE" localSheetId="6" hidden="1">#REF!</definedName>
    <definedName name="BExGR4CW3WRIID17GGX4MI9ZDHFE" localSheetId="21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localSheetId="4" hidden="1">#REF!</definedName>
    <definedName name="BExGR65GJX27MU2OL6NI5PB8XVB4" localSheetId="6" hidden="1">#REF!</definedName>
    <definedName name="BExGR65GJX27MU2OL6NI5PB8XVB4" localSheetId="21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localSheetId="4" hidden="1">#REF!</definedName>
    <definedName name="BExGR6LQ97HETGS3CT96L4IK0JSH" localSheetId="6" hidden="1">#REF!</definedName>
    <definedName name="BExGR6LQ97HETGS3CT96L4IK0JSH" localSheetId="21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localSheetId="4" hidden="1">#REF!</definedName>
    <definedName name="BExGR9ATP2LVT7B9OCPSLJ11H9SX" localSheetId="6" hidden="1">#REF!</definedName>
    <definedName name="BExGR9ATP2LVT7B9OCPSLJ11H9SX" localSheetId="21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localSheetId="4" hidden="1">#REF!</definedName>
    <definedName name="BExGRILCZ3BMTGDY72B1Q9BUGW0J" localSheetId="6" hidden="1">#REF!</definedName>
    <definedName name="BExGRILCZ3BMTGDY72B1Q9BUGW0J" localSheetId="21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localSheetId="4" hidden="1">#REF!</definedName>
    <definedName name="BExGRNZJ74Y6OYJB9F9Y9T3CAHOS" localSheetId="6" hidden="1">#REF!</definedName>
    <definedName name="BExGRNZJ74Y6OYJB9F9Y9T3CAHOS" localSheetId="21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localSheetId="4" hidden="1">#REF!</definedName>
    <definedName name="BExGRPC5QJQ7UGQ4P7CFWVGRQGFW" localSheetId="6" hidden="1">#REF!</definedName>
    <definedName name="BExGRPC5QJQ7UGQ4P7CFWVGRQGFW" localSheetId="21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localSheetId="4" hidden="1">#REF!</definedName>
    <definedName name="BExGRSMULUXOBEN8G0TK90PRKQ9O" localSheetId="6" hidden="1">#REF!</definedName>
    <definedName name="BExGRSMULUXOBEN8G0TK90PRKQ9O" localSheetId="21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localSheetId="4" hidden="1">#REF!</definedName>
    <definedName name="BExGRUKVVKDL8483WI70VN2QZDGD" localSheetId="6" hidden="1">#REF!</definedName>
    <definedName name="BExGRUKVVKDL8483WI70VN2QZDGD" localSheetId="21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localSheetId="4" hidden="1">#REF!</definedName>
    <definedName name="BExGS2IWR5DUNJ1U9PAKIV8CMBNI" localSheetId="6" hidden="1">#REF!</definedName>
    <definedName name="BExGS2IWR5DUNJ1U9PAKIV8CMBNI" localSheetId="21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localSheetId="4" hidden="1">#REF!</definedName>
    <definedName name="BExGS69P9FFTEOPDS0MWFKF45G47" localSheetId="6" hidden="1">#REF!</definedName>
    <definedName name="BExGS69P9FFTEOPDS0MWFKF45G47" localSheetId="21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localSheetId="4" hidden="1">#REF!</definedName>
    <definedName name="BExGS6F1JFHM5MUJ1RFO50WP6D05" localSheetId="6" hidden="1">#REF!</definedName>
    <definedName name="BExGS6F1JFHM5MUJ1RFO50WP6D05" localSheetId="21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localSheetId="4" hidden="1">#REF!</definedName>
    <definedName name="BExGSA5YB5ZGE4NHDVCZ55TQAJTL" localSheetId="6" hidden="1">#REF!</definedName>
    <definedName name="BExGSA5YB5ZGE4NHDVCZ55TQAJTL" localSheetId="21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localSheetId="4" hidden="1">#REF!</definedName>
    <definedName name="BExGSBYPYOBOB218ABCIM2X63GJ8" localSheetId="6" hidden="1">#REF!</definedName>
    <definedName name="BExGSBYPYOBOB218ABCIM2X63GJ8" localSheetId="21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localSheetId="4" hidden="1">#REF!</definedName>
    <definedName name="BExGSCEUCQQVDEEKWJ677QTGUVTE" localSheetId="6" hidden="1">#REF!</definedName>
    <definedName name="BExGSCEUCQQVDEEKWJ677QTGUVTE" localSheetId="21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localSheetId="4" hidden="1">#REF!</definedName>
    <definedName name="BExGSQY65LH1PCKKM5WHDW83F35O" localSheetId="6" hidden="1">#REF!</definedName>
    <definedName name="BExGSQY65LH1PCKKM5WHDW83F35O" localSheetId="21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localSheetId="4" hidden="1">#REF!</definedName>
    <definedName name="BExGSYW1GKISF0PMUAK3XJK9PEW9" localSheetId="6" hidden="1">#REF!</definedName>
    <definedName name="BExGSYW1GKISF0PMUAK3XJK9PEW9" localSheetId="21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localSheetId="4" hidden="1">#REF!</definedName>
    <definedName name="BExGT0DZJB6LSF6L693UUB9EY1VQ" localSheetId="6" hidden="1">#REF!</definedName>
    <definedName name="BExGT0DZJB6LSF6L693UUB9EY1VQ" localSheetId="21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localSheetId="4" hidden="1">#REF!</definedName>
    <definedName name="BExGTEMKIEF46KBIDWCAOAN5U718" localSheetId="6" hidden="1">#REF!</definedName>
    <definedName name="BExGTEMKIEF46KBIDWCAOAN5U718" localSheetId="21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localSheetId="4" hidden="1">#REF!</definedName>
    <definedName name="BExGTGVFIF8HOQXR54SK065A8M4K" localSheetId="6" hidden="1">#REF!</definedName>
    <definedName name="BExGTGVFIF8HOQXR54SK065A8M4K" localSheetId="21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localSheetId="4" hidden="1">#REF!</definedName>
    <definedName name="BExGTIYX3OWPIINOGY1E4QQYSKHP" localSheetId="6" hidden="1">#REF!</definedName>
    <definedName name="BExGTIYX3OWPIINOGY1E4QQYSKHP" localSheetId="21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localSheetId="4" hidden="1">#REF!</definedName>
    <definedName name="BExGTKGUN0KUU3C0RL2LK98D8MEK" localSheetId="6" hidden="1">#REF!</definedName>
    <definedName name="BExGTKGUN0KUU3C0RL2LK98D8MEK" localSheetId="21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localSheetId="4" hidden="1">#REF!</definedName>
    <definedName name="BExGTV3U5SZUPLTWEMEY3IIN1L4L" localSheetId="6" hidden="1">#REF!</definedName>
    <definedName name="BExGTV3U5SZUPLTWEMEY3IIN1L4L" localSheetId="21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localSheetId="4" hidden="1">#REF!</definedName>
    <definedName name="BExGTZ046J7VMUG4YPKFN2K8TWB7" localSheetId="6" hidden="1">#REF!</definedName>
    <definedName name="BExGTZ046J7VMUG4YPKFN2K8TWB7" localSheetId="21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localSheetId="4" hidden="1">#REF!</definedName>
    <definedName name="BExGTZ04EFFQ3Z3JMM0G35JYWUK3" localSheetId="6" hidden="1">#REF!</definedName>
    <definedName name="BExGTZ04EFFQ3Z3JMM0G35JYWUK3" localSheetId="21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localSheetId="4" hidden="1">#REF!</definedName>
    <definedName name="BExGU2G9OPRZRIU9YGF6NX9FUW0J" localSheetId="6" hidden="1">#REF!</definedName>
    <definedName name="BExGU2G9OPRZRIU9YGF6NX9FUW0J" localSheetId="21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localSheetId="4" hidden="1">#REF!</definedName>
    <definedName name="BExGU6HTKLRZO8UOI3DTAM5RFDBA" localSheetId="6" hidden="1">#REF!</definedName>
    <definedName name="BExGU6HTKLRZO8UOI3DTAM5RFDBA" localSheetId="21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localSheetId="4" hidden="1">#REF!</definedName>
    <definedName name="BExGUDDZXFFQHAF4UZF8ZB1HO7H6" localSheetId="6" hidden="1">#REF!</definedName>
    <definedName name="BExGUDDZXFFQHAF4UZF8ZB1HO7H6" localSheetId="21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localSheetId="4" hidden="1">#REF!</definedName>
    <definedName name="BExGUI6NCRHY7EAB6SK6EPPMWFG1" localSheetId="6" hidden="1">#REF!</definedName>
    <definedName name="BExGUI6NCRHY7EAB6SK6EPPMWFG1" localSheetId="21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localSheetId="4" hidden="1">#REF!</definedName>
    <definedName name="BExGUIBXBRHGM97ZX6GBA4ZDQ79C" localSheetId="6" hidden="1">#REF!</definedName>
    <definedName name="BExGUIBXBRHGM97ZX6GBA4ZDQ79C" localSheetId="21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localSheetId="4" hidden="1">#REF!</definedName>
    <definedName name="BExGUM8D91UNPCOO4TKP9FGX85TF" localSheetId="6" hidden="1">#REF!</definedName>
    <definedName name="BExGUM8D91UNPCOO4TKP9FGX85TF" localSheetId="21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localSheetId="4" hidden="1">#REF!</definedName>
    <definedName name="BExGUMDP0WYFBZL2MCB36WWJIC04" localSheetId="6" hidden="1">#REF!</definedName>
    <definedName name="BExGUMDP0WYFBZL2MCB36WWJIC04" localSheetId="21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localSheetId="4" hidden="1">#REF!</definedName>
    <definedName name="BExGUQF9N9FKI7S0H30WUAEB5LPD" localSheetId="6" hidden="1">#REF!</definedName>
    <definedName name="BExGUQF9N9FKI7S0H30WUAEB5LPD" localSheetId="21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localSheetId="4" hidden="1">#REF!</definedName>
    <definedName name="BExGUR6BA03XPBK60SQUW197GJ5X" localSheetId="6" hidden="1">#REF!</definedName>
    <definedName name="BExGUR6BA03XPBK60SQUW197GJ5X" localSheetId="21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localSheetId="4" hidden="1">#REF!</definedName>
    <definedName name="BExGUVIP60TA4B7X2PFGMBFUSKGX" localSheetId="6" hidden="1">#REF!</definedName>
    <definedName name="BExGUVIP60TA4B7X2PFGMBFUSKGX" localSheetId="21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localSheetId="4" hidden="1">#REF!</definedName>
    <definedName name="BExGUVTIIWAK5T0F5FD428QDO46W" localSheetId="6" hidden="1">#REF!</definedName>
    <definedName name="BExGUVTIIWAK5T0F5FD428QDO46W" localSheetId="21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localSheetId="4" hidden="1">#REF!</definedName>
    <definedName name="BExGUZKF06F209XL1IZWVJEQ82EE" localSheetId="6" hidden="1">#REF!</definedName>
    <definedName name="BExGUZKF06F209XL1IZWVJEQ82EE" localSheetId="21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localSheetId="4" hidden="1">#REF!</definedName>
    <definedName name="BExGUZPWM950OZ8P1A3N86LXK97U" localSheetId="6" hidden="1">#REF!</definedName>
    <definedName name="BExGUZPWM950OZ8P1A3N86LXK97U" localSheetId="21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localSheetId="4" hidden="1">#REF!</definedName>
    <definedName name="BExGV2EVT380QHD4AP2RL9MR8L5L" localSheetId="6" hidden="1">#REF!</definedName>
    <definedName name="BExGV2EVT380QHD4AP2RL9MR8L5L" localSheetId="21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localSheetId="4" hidden="1">#REF!</definedName>
    <definedName name="BExGVBUSKOI7KB24K40PTXJE6MER" localSheetId="6" hidden="1">#REF!</definedName>
    <definedName name="BExGVBUSKOI7KB24K40PTXJE6MER" localSheetId="21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localSheetId="4" hidden="1">#REF!</definedName>
    <definedName name="BExGVGSQSVWTL2MNI6TT8Y92W3KA" localSheetId="6" hidden="1">#REF!</definedName>
    <definedName name="BExGVGSQSVWTL2MNI6TT8Y92W3KA" localSheetId="21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localSheetId="4" hidden="1">#REF!</definedName>
    <definedName name="BExGVHP63K0GSYU17R73XGX6W2U6" localSheetId="6" hidden="1">#REF!</definedName>
    <definedName name="BExGVHP63K0GSYU17R73XGX6W2U6" localSheetId="21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localSheetId="4" hidden="1">#REF!</definedName>
    <definedName name="BExGVN3DDSLKWSP9MVJS9QMNEUIK" localSheetId="6" hidden="1">#REF!</definedName>
    <definedName name="BExGVN3DDSLKWSP9MVJS9QMNEUIK" localSheetId="21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localSheetId="4" hidden="1">#REF!</definedName>
    <definedName name="BExGVUVVMLOCR9DPVUZSQ141EE4J" localSheetId="6" hidden="1">#REF!</definedName>
    <definedName name="BExGVUVVMLOCR9DPVUZSQ141EE4J" localSheetId="21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localSheetId="4" hidden="1">#REF!</definedName>
    <definedName name="BExGVV6OOLDQ3TXZK51TTF3YX0WN" localSheetId="6" hidden="1">#REF!</definedName>
    <definedName name="BExGVV6OOLDQ3TXZK51TTF3YX0WN" localSheetId="21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localSheetId="4" hidden="1">#REF!</definedName>
    <definedName name="BExGW0KVS7U0C87XFZ78QW991IEV" localSheetId="6" hidden="1">#REF!</definedName>
    <definedName name="BExGW0KVS7U0C87XFZ78QW991IEV" localSheetId="21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localSheetId="4" hidden="1">#REF!</definedName>
    <definedName name="BExGW0Q7QHE29TGNWAWQ6GR0V6TQ" localSheetId="6" hidden="1">#REF!</definedName>
    <definedName name="BExGW0Q7QHE29TGNWAWQ6GR0V6TQ" localSheetId="21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localSheetId="4" hidden="1">#REF!</definedName>
    <definedName name="BExGW2Z7AMPG6H9EXA9ML6EZVGGA" localSheetId="6" hidden="1">#REF!</definedName>
    <definedName name="BExGW2Z7AMPG6H9EXA9ML6EZVGGA" localSheetId="21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localSheetId="4" hidden="1">#REF!</definedName>
    <definedName name="BExGWABG5VT5XO1A196RK61AXA8C" localSheetId="6" hidden="1">#REF!</definedName>
    <definedName name="BExGWABG5VT5XO1A196RK61AXA8C" localSheetId="21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localSheetId="4" hidden="1">#REF!</definedName>
    <definedName name="BExGWEO0JDG84NYLEAV5NSOAGMJZ" localSheetId="6" hidden="1">#REF!</definedName>
    <definedName name="BExGWEO0JDG84NYLEAV5NSOAGMJZ" localSheetId="21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localSheetId="4" hidden="1">#REF!</definedName>
    <definedName name="BExGWLEOC70Z8QAJTPT2PDHTNM4L" localSheetId="6" hidden="1">#REF!</definedName>
    <definedName name="BExGWLEOC70Z8QAJTPT2PDHTNM4L" localSheetId="21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localSheetId="4" hidden="1">#REF!</definedName>
    <definedName name="BExGWNCXLCRTLBVMTXYJ5PHQI6SS" localSheetId="6" hidden="1">#REF!</definedName>
    <definedName name="BExGWNCXLCRTLBVMTXYJ5PHQI6SS" localSheetId="21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localSheetId="4" hidden="1">#REF!</definedName>
    <definedName name="BExGX4L8N6ERT0Q4EVVNA97EGD80" localSheetId="6" hidden="1">#REF!</definedName>
    <definedName name="BExGX4L8N6ERT0Q4EVVNA97EGD80" localSheetId="21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localSheetId="4" hidden="1">#REF!</definedName>
    <definedName name="BExGX5MWTL78XM0QCP4NT564ML39" localSheetId="6" hidden="1">#REF!</definedName>
    <definedName name="BExGX5MWTL78XM0QCP4NT564ML39" localSheetId="21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localSheetId="4" hidden="1">#REF!</definedName>
    <definedName name="BExGX6U988MCFIGDA1282F92U9AA" localSheetId="6" hidden="1">#REF!</definedName>
    <definedName name="BExGX6U988MCFIGDA1282F92U9AA" localSheetId="21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localSheetId="4" hidden="1">#REF!</definedName>
    <definedName name="BExGX7FTB1CKAT5HUW6H531FIY6I" localSheetId="6" hidden="1">#REF!</definedName>
    <definedName name="BExGX7FTB1CKAT5HUW6H531FIY6I" localSheetId="21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localSheetId="4" hidden="1">#REF!</definedName>
    <definedName name="BExGX9DVACJQIZ4GH6YAD2A7F70O" localSheetId="6" hidden="1">#REF!</definedName>
    <definedName name="BExGX9DVACJQIZ4GH6YAD2A7F70O" localSheetId="21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localSheetId="4" hidden="1">#REF!</definedName>
    <definedName name="BExGXCZBQISQ3IMF6DJH1OXNAQP8" localSheetId="6" hidden="1">#REF!</definedName>
    <definedName name="BExGXCZBQISQ3IMF6DJH1OXNAQP8" localSheetId="21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localSheetId="4" hidden="1">#REF!</definedName>
    <definedName name="BExGXDVP2S2Y8Z8Q43I78RCIK3DD" localSheetId="6" hidden="1">#REF!</definedName>
    <definedName name="BExGXDVP2S2Y8Z8Q43I78RCIK3DD" localSheetId="21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localSheetId="4" hidden="1">#REF!</definedName>
    <definedName name="BExGXJ9W5JU7TT9S0BKL5Y6VVB39" localSheetId="6" hidden="1">#REF!</definedName>
    <definedName name="BExGXJ9W5JU7TT9S0BKL5Y6VVB39" localSheetId="21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localSheetId="4" hidden="1">#REF!</definedName>
    <definedName name="BExGXWB73RJ4BASBQTQ8EY0EC1EB" localSheetId="6" hidden="1">#REF!</definedName>
    <definedName name="BExGXWB73RJ4BASBQTQ8EY0EC1EB" localSheetId="21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localSheetId="4" hidden="1">#REF!</definedName>
    <definedName name="BExGXZ0ABB43C7SMRKZHWOSU9EQX" localSheetId="6" hidden="1">#REF!</definedName>
    <definedName name="BExGXZ0ABB43C7SMRKZHWOSU9EQX" localSheetId="21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localSheetId="4" hidden="1">#REF!</definedName>
    <definedName name="BExGY6SU3SYVCJ3AG2ITY59SAZ5A" localSheetId="6" hidden="1">#REF!</definedName>
    <definedName name="BExGY6SU3SYVCJ3AG2ITY59SAZ5A" localSheetId="21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localSheetId="4" hidden="1">#REF!</definedName>
    <definedName name="BExGY6YA4P5KMY2VHT0DYK3YTFAX" localSheetId="6" hidden="1">#REF!</definedName>
    <definedName name="BExGY6YA4P5KMY2VHT0DYK3YTFAX" localSheetId="21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localSheetId="4" hidden="1">#REF!</definedName>
    <definedName name="BExGY8G88PVVRYHPHRPJZFSX6HSC" localSheetId="6" hidden="1">#REF!</definedName>
    <definedName name="BExGY8G88PVVRYHPHRPJZFSX6HSC" localSheetId="21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localSheetId="4" hidden="1">#REF!</definedName>
    <definedName name="BExGYC718HTZ80PNKYPVIYGRJVF6" localSheetId="6" hidden="1">#REF!</definedName>
    <definedName name="BExGYC718HTZ80PNKYPVIYGRJVF6" localSheetId="21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localSheetId="4" hidden="1">#REF!</definedName>
    <definedName name="BExGYCNATXZY2FID93B17YWIPPRD" localSheetId="6" hidden="1">#REF!</definedName>
    <definedName name="BExGYCNATXZY2FID93B17YWIPPRD" localSheetId="21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localSheetId="4" hidden="1">#REF!</definedName>
    <definedName name="BExGYGJJJ3BBCQAOA51WHP01HN73" localSheetId="6" hidden="1">#REF!</definedName>
    <definedName name="BExGYGJJJ3BBCQAOA51WHP01HN73" localSheetId="21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localSheetId="4" hidden="1">#REF!</definedName>
    <definedName name="BExGYOS6TV2C72PLRFU8RP1I58GY" localSheetId="6" hidden="1">#REF!</definedName>
    <definedName name="BExGYOS6TV2C72PLRFU8RP1I58GY" localSheetId="21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localSheetId="4" hidden="1">#REF!</definedName>
    <definedName name="BExGYXBM828PX0KPDVAZBWDL6MJZ" localSheetId="6" hidden="1">#REF!</definedName>
    <definedName name="BExGYXBM828PX0KPDVAZBWDL6MJZ" localSheetId="21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localSheetId="4" hidden="1">#REF!</definedName>
    <definedName name="BExGZJ78ZWZCVHZ3BKEKFJZ6MAEO" localSheetId="6" hidden="1">#REF!</definedName>
    <definedName name="BExGZJ78ZWZCVHZ3BKEKFJZ6MAEO" localSheetId="21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localSheetId="4" hidden="1">#REF!</definedName>
    <definedName name="BExGZOLH2QV73J3M9IWDDPA62TP4" localSheetId="6" hidden="1">#REF!</definedName>
    <definedName name="BExGZOLH2QV73J3M9IWDDPA62TP4" localSheetId="21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localSheetId="4" hidden="1">#REF!</definedName>
    <definedName name="BExGZP1PWGFKVVVN4YDIS22DZPCR" localSheetId="6" hidden="1">#REF!</definedName>
    <definedName name="BExGZP1PWGFKVVVN4YDIS22DZPCR" localSheetId="21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localSheetId="4" hidden="1">#REF!</definedName>
    <definedName name="BExGZQUHCPM6G5U9OM8JU339JAG6" localSheetId="6" hidden="1">#REF!</definedName>
    <definedName name="BExGZQUHCPM6G5U9OM8JU339JAG6" localSheetId="21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localSheetId="4" hidden="1">#REF!</definedName>
    <definedName name="BExH00FQKX09BD5WU4DB5KPXAUYA" localSheetId="6" hidden="1">#REF!</definedName>
    <definedName name="BExH00FQKX09BD5WU4DB5KPXAUYA" localSheetId="21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localSheetId="4" hidden="1">#REF!</definedName>
    <definedName name="BExH00L21GZX5YJJGVMOAWBERLP5" localSheetId="6" hidden="1">#REF!</definedName>
    <definedName name="BExH00L21GZX5YJJGVMOAWBERLP5" localSheetId="21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localSheetId="4" hidden="1">#REF!</definedName>
    <definedName name="BExH02ZD6VAY1KQLAQYBBI6WWIZB" localSheetId="6" hidden="1">#REF!</definedName>
    <definedName name="BExH02ZD6VAY1KQLAQYBBI6WWIZB" localSheetId="21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localSheetId="4" hidden="1">#REF!</definedName>
    <definedName name="BExH08Z6LQCGGSGSAILMHX4X7JMD" localSheetId="6" hidden="1">#REF!</definedName>
    <definedName name="BExH08Z6LQCGGSGSAILMHX4X7JMD" localSheetId="21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localSheetId="4" hidden="1">#REF!</definedName>
    <definedName name="BExH0KT9Z8HEVRRQRGQ8YHXRLIJA" localSheetId="6" hidden="1">#REF!</definedName>
    <definedName name="BExH0KT9Z8HEVRRQRGQ8YHXRLIJA" localSheetId="21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localSheetId="4" hidden="1">#REF!</definedName>
    <definedName name="BExH0M0FDN12YBOCKL3XL2Z7T7Y8" localSheetId="6" hidden="1">#REF!</definedName>
    <definedName name="BExH0M0FDN12YBOCKL3XL2Z7T7Y8" localSheetId="21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localSheetId="4" hidden="1">#REF!</definedName>
    <definedName name="BExH0O9G06YPZ5TN9RYT326I1CP2" localSheetId="6" hidden="1">#REF!</definedName>
    <definedName name="BExH0O9G06YPZ5TN9RYT326I1CP2" localSheetId="21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localSheetId="4" hidden="1">#REF!</definedName>
    <definedName name="BExH0PGM6RG0F3AAGULBIGOH91C2" localSheetId="6" hidden="1">#REF!</definedName>
    <definedName name="BExH0PGM6RG0F3AAGULBIGOH91C2" localSheetId="21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localSheetId="4" hidden="1">#REF!</definedName>
    <definedName name="BExH0QIB3F0YZLM5XYHBCU5F0OVR" localSheetId="6" hidden="1">#REF!</definedName>
    <definedName name="BExH0QIB3F0YZLM5XYHBCU5F0OVR" localSheetId="21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localSheetId="4" hidden="1">#REF!</definedName>
    <definedName name="BExH0RK5LJAAP7O67ZFB4RG6WPPL" localSheetId="6" hidden="1">#REF!</definedName>
    <definedName name="BExH0RK5LJAAP7O67ZFB4RG6WPPL" localSheetId="21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localSheetId="4" hidden="1">#REF!</definedName>
    <definedName name="BExH0WNJAKTJRCKMTX8O4KNMIIJM" localSheetId="6" hidden="1">#REF!</definedName>
    <definedName name="BExH0WNJAKTJRCKMTX8O4KNMIIJM" localSheetId="21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localSheetId="4" hidden="1">#REF!</definedName>
    <definedName name="BExH12Y4WX542WI3ZEM15AK4UM9J" localSheetId="6" hidden="1">#REF!</definedName>
    <definedName name="BExH12Y4WX542WI3ZEM15AK4UM9J" localSheetId="21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localSheetId="4" hidden="1">#REF!</definedName>
    <definedName name="BExH18CCU7B8JWO8AWGEQRLWZG6J" localSheetId="6" hidden="1">#REF!</definedName>
    <definedName name="BExH18CCU7B8JWO8AWGEQRLWZG6J" localSheetId="21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localSheetId="4" hidden="1">#REF!</definedName>
    <definedName name="BExH1BN2H92IQKKP5IREFSS9FBF2" localSheetId="6" hidden="1">#REF!</definedName>
    <definedName name="BExH1BN2H92IQKKP5IREFSS9FBF2" localSheetId="21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localSheetId="4" hidden="1">#REF!</definedName>
    <definedName name="BExH1FDTQXR9QQ31WDB7OPXU7MPT" localSheetId="6" hidden="1">#REF!</definedName>
    <definedName name="BExH1FDTQXR9QQ31WDB7OPXU7MPT" localSheetId="21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localSheetId="4" hidden="1">#REF!</definedName>
    <definedName name="BExH1FOMEUIJNIDJAUY0ZQFBJSY9" localSheetId="6" hidden="1">#REF!</definedName>
    <definedName name="BExH1FOMEUIJNIDJAUY0ZQFBJSY9" localSheetId="21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localSheetId="4" hidden="1">#REF!</definedName>
    <definedName name="BExH1GA6TT290OTIZ8C3N610CYZ1" localSheetId="6" hidden="1">#REF!</definedName>
    <definedName name="BExH1GA6TT290OTIZ8C3N610CYZ1" localSheetId="21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localSheetId="4" hidden="1">#REF!</definedName>
    <definedName name="BExH1I8E3HJSZLFRZZ1ZKX7TBJEP" localSheetId="6" hidden="1">#REF!</definedName>
    <definedName name="BExH1I8E3HJSZLFRZZ1ZKX7TBJEP" localSheetId="21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localSheetId="4" hidden="1">#REF!</definedName>
    <definedName name="BExH1JFFHEBFX9BWJMNIA3N66R3Z" localSheetId="6" hidden="1">#REF!</definedName>
    <definedName name="BExH1JFFHEBFX9BWJMNIA3N66R3Z" localSheetId="21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localSheetId="4" hidden="1">#REF!</definedName>
    <definedName name="BExH1XYRKX51T571O1SRBP9J1D98" localSheetId="6" hidden="1">#REF!</definedName>
    <definedName name="BExH1XYRKX51T571O1SRBP9J1D98" localSheetId="21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localSheetId="4" hidden="1">#REF!</definedName>
    <definedName name="BExH1Z0GIUSVTF2H1G1I3PDGBNK2" localSheetId="6" hidden="1">#REF!</definedName>
    <definedName name="BExH1Z0GIUSVTF2H1G1I3PDGBNK2" localSheetId="21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localSheetId="4" hidden="1">#REF!</definedName>
    <definedName name="BExH225UTM6S9FW4MUDZS7F1PQSH" localSheetId="6" hidden="1">#REF!</definedName>
    <definedName name="BExH225UTM6S9FW4MUDZS7F1PQSH" localSheetId="21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localSheetId="4" hidden="1">#REF!</definedName>
    <definedName name="BExH23271RF7AYZ542KHQTH68GQ7" localSheetId="6" hidden="1">#REF!</definedName>
    <definedName name="BExH23271RF7AYZ542KHQTH68GQ7" localSheetId="21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localSheetId="4" hidden="1">#REF!</definedName>
    <definedName name="BExH2DP58R7D1BGUFBM2FHESVRF0" localSheetId="6" hidden="1">#REF!</definedName>
    <definedName name="BExH2DP58R7D1BGUFBM2FHESVRF0" localSheetId="21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localSheetId="4" hidden="1">#REF!</definedName>
    <definedName name="BExH2GJQR4JALNB314RY0LDI49VH" localSheetId="6" hidden="1">#REF!</definedName>
    <definedName name="BExH2GJQR4JALNB314RY0LDI49VH" localSheetId="21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localSheetId="4" hidden="1">#REF!</definedName>
    <definedName name="BExH2JZR49T7644JFVE7B3N7RZM9" localSheetId="6" hidden="1">#REF!</definedName>
    <definedName name="BExH2JZR49T7644JFVE7B3N7RZM9" localSheetId="21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localSheetId="4" hidden="1">#REF!</definedName>
    <definedName name="BExH2QVWL3AXHSB9EK2GQRD0DBRH" localSheetId="6" hidden="1">#REF!</definedName>
    <definedName name="BExH2QVWL3AXHSB9EK2GQRD0DBRH" localSheetId="21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localSheetId="4" hidden="1">#REF!</definedName>
    <definedName name="BExH2WKXV8X5S2GSBBTWGI0NLNAH" localSheetId="6" hidden="1">#REF!</definedName>
    <definedName name="BExH2WKXV8X5S2GSBBTWGI0NLNAH" localSheetId="21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localSheetId="4" hidden="1">#REF!</definedName>
    <definedName name="BExH2XS1UFYFGU0S0EBXX90W2WE8" localSheetId="6" hidden="1">#REF!</definedName>
    <definedName name="BExH2XS1UFYFGU0S0EBXX90W2WE8" localSheetId="21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localSheetId="4" hidden="1">#REF!</definedName>
    <definedName name="BExH2XS1X04DMUN544K5RU4XPDCI" localSheetId="6" hidden="1">#REF!</definedName>
    <definedName name="BExH2XS1X04DMUN544K5RU4XPDCI" localSheetId="21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localSheetId="4" hidden="1">#REF!</definedName>
    <definedName name="BExH2XS2TND9SB0GC295R4FP6K5Y" localSheetId="6" hidden="1">#REF!</definedName>
    <definedName name="BExH2XS2TND9SB0GC295R4FP6K5Y" localSheetId="21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localSheetId="4" hidden="1">#REF!</definedName>
    <definedName name="BExH2ZA0SZ4SSITL50NA8LZ3OEX6" localSheetId="6" hidden="1">#REF!</definedName>
    <definedName name="BExH2ZA0SZ4SSITL50NA8LZ3OEX6" localSheetId="21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localSheetId="4" hidden="1">#REF!</definedName>
    <definedName name="BExH31Z3JNVJPESWKXHILGXZHP2M" localSheetId="6" hidden="1">#REF!</definedName>
    <definedName name="BExH31Z3JNVJPESWKXHILGXZHP2M" localSheetId="21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localSheetId="4" hidden="1">#REF!</definedName>
    <definedName name="BExH3E9HZ3QJCDZW7WI7YACFQCHE" localSheetId="6" hidden="1">#REF!</definedName>
    <definedName name="BExH3E9HZ3QJCDZW7WI7YACFQCHE" localSheetId="21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localSheetId="4" hidden="1">#REF!</definedName>
    <definedName name="BExH3IRB6764RQ5HBYRLH6XCT29X" localSheetId="6" hidden="1">#REF!</definedName>
    <definedName name="BExH3IRB6764RQ5HBYRLH6XCT29X" localSheetId="21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localSheetId="4" hidden="1">#REF!</definedName>
    <definedName name="BExIG2U8V6RSB47SXLCQG3Q68YRO" localSheetId="6" hidden="1">#REF!</definedName>
    <definedName name="BExIG2U8V6RSB47SXLCQG3Q68YRO" localSheetId="21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localSheetId="4" hidden="1">#REF!</definedName>
    <definedName name="BExIGJBO8R13LV7CZ7C1YCP974NN" localSheetId="6" hidden="1">#REF!</definedName>
    <definedName name="BExIGJBO8R13LV7CZ7C1YCP974NN" localSheetId="21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localSheetId="4" hidden="1">#REF!</definedName>
    <definedName name="BExIGWT86FPOEYTI8GXCGU5Y3KGK" localSheetId="6" hidden="1">#REF!</definedName>
    <definedName name="BExIGWT86FPOEYTI8GXCGU5Y3KGK" localSheetId="21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localSheetId="4" hidden="1">#REF!</definedName>
    <definedName name="BExIHBHXA7E7VUTBVHXXXCH3A5CL" localSheetId="6" hidden="1">#REF!</definedName>
    <definedName name="BExIHBHXA7E7VUTBVHXXXCH3A5CL" localSheetId="21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localSheetId="4" hidden="1">#REF!</definedName>
    <definedName name="BExIHBSOGRSH1GKS6GKBRAJ7GXFQ" localSheetId="6" hidden="1">#REF!</definedName>
    <definedName name="BExIHBSOGRSH1GKS6GKBRAJ7GXFQ" localSheetId="21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localSheetId="4" hidden="1">#REF!</definedName>
    <definedName name="BExIHDFY73YM0AHAR2Z5OJTFKSL2" localSheetId="6" hidden="1">#REF!</definedName>
    <definedName name="BExIHDFY73YM0AHAR2Z5OJTFKSL2" localSheetId="21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localSheetId="4" hidden="1">#REF!</definedName>
    <definedName name="BExIHPQCQTGEW8QOJVIQ4VX0P6DX" localSheetId="6" hidden="1">#REF!</definedName>
    <definedName name="BExIHPQCQTGEW8QOJVIQ4VX0P6DX" localSheetId="21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localSheetId="4" hidden="1">#REF!</definedName>
    <definedName name="BExII1KN91Q7DLW0UB7W2TJ5ACT9" localSheetId="6" hidden="1">#REF!</definedName>
    <definedName name="BExII1KN91Q7DLW0UB7W2TJ5ACT9" localSheetId="21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localSheetId="4" hidden="1">#REF!</definedName>
    <definedName name="BExII50LI8I0CDOOZEMIVHVA2V95" localSheetId="6" hidden="1">#REF!</definedName>
    <definedName name="BExII50LI8I0CDOOZEMIVHVA2V95" localSheetId="21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localSheetId="4" hidden="1">#REF!</definedName>
    <definedName name="BExIINQWABWRGYDT02DOJQ5L7BQF" localSheetId="6" hidden="1">#REF!</definedName>
    <definedName name="BExIINQWABWRGYDT02DOJQ5L7BQF" localSheetId="21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localSheetId="4" hidden="1">#REF!</definedName>
    <definedName name="BExIIXMY38TQD12CVV4S57L3I809" localSheetId="6" hidden="1">#REF!</definedName>
    <definedName name="BExIIXMY38TQD12CVV4S57L3I809" localSheetId="21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localSheetId="4" hidden="1">#REF!</definedName>
    <definedName name="BExIIY37NEVU2LGS1JE4VR9AN6W4" localSheetId="6" hidden="1">#REF!</definedName>
    <definedName name="BExIIY37NEVU2LGS1JE4VR9AN6W4" localSheetId="21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localSheetId="4" hidden="1">#REF!</definedName>
    <definedName name="BExIIYJAGXR8TPZ1KCYM7EGJ79UW" localSheetId="6" hidden="1">#REF!</definedName>
    <definedName name="BExIIYJAGXR8TPZ1KCYM7EGJ79UW" localSheetId="21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localSheetId="4" hidden="1">#REF!</definedName>
    <definedName name="BExIJ3160YCWGAVEU0208ZGXXG3P" localSheetId="6" hidden="1">#REF!</definedName>
    <definedName name="BExIJ3160YCWGAVEU0208ZGXXG3P" localSheetId="21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localSheetId="4" hidden="1">#REF!</definedName>
    <definedName name="BExIJFGZJ5ED9D6KAY4PGQYLELAX" localSheetId="6" hidden="1">#REF!</definedName>
    <definedName name="BExIJFGZJ5ED9D6KAY4PGQYLELAX" localSheetId="21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localSheetId="4" hidden="1">#REF!</definedName>
    <definedName name="BExIJQK80ZEKSTV62E59AYJYUNLI" localSheetId="6" hidden="1">#REF!</definedName>
    <definedName name="BExIJQK80ZEKSTV62E59AYJYUNLI" localSheetId="21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localSheetId="4" hidden="1">#REF!</definedName>
    <definedName name="BExIJRLX3M0YQLU1D5Y9V7HM5QNM" localSheetId="6" hidden="1">#REF!</definedName>
    <definedName name="BExIJRLX3M0YQLU1D5Y9V7HM5QNM" localSheetId="21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localSheetId="4" hidden="1">#REF!</definedName>
    <definedName name="BExIJV22J0QA7286KNPMHO1ZUCB3" localSheetId="6" hidden="1">#REF!</definedName>
    <definedName name="BExIJV22J0QA7286KNPMHO1ZUCB3" localSheetId="21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localSheetId="4" hidden="1">#REF!</definedName>
    <definedName name="BExIJVI6OC7B6ZE9V4PAOYZXKNER" localSheetId="6" hidden="1">#REF!</definedName>
    <definedName name="BExIJVI6OC7B6ZE9V4PAOYZXKNER" localSheetId="21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localSheetId="4" hidden="1">#REF!</definedName>
    <definedName name="BExIJWK0NGTGQ4X7D5VIVXD14JHI" localSheetId="6" hidden="1">#REF!</definedName>
    <definedName name="BExIJWK0NGTGQ4X7D5VIVXD14JHI" localSheetId="21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localSheetId="4" hidden="1">#REF!</definedName>
    <definedName name="BExIJWPCIYINEJUTXU74VK7WG031" localSheetId="6" hidden="1">#REF!</definedName>
    <definedName name="BExIJWPCIYINEJUTXU74VK7WG031" localSheetId="21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localSheetId="4" hidden="1">#REF!</definedName>
    <definedName name="BExIKHTXPZR5A8OHB6HDP6QWDHAD" localSheetId="6" hidden="1">#REF!</definedName>
    <definedName name="BExIKHTXPZR5A8OHB6HDP6QWDHAD" localSheetId="21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localSheetId="4" hidden="1">#REF!</definedName>
    <definedName name="BExIKMMJOETSAXJYY1SIKM58LMA2" localSheetId="6" hidden="1">#REF!</definedName>
    <definedName name="BExIKMMJOETSAXJYY1SIKM58LMA2" localSheetId="21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localSheetId="4" hidden="1">#REF!</definedName>
    <definedName name="BExIKRF6AQ6VOO9KCIWSM6FY8M7D" localSheetId="6" hidden="1">#REF!</definedName>
    <definedName name="BExIKRF6AQ6VOO9KCIWSM6FY8M7D" localSheetId="21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localSheetId="4" hidden="1">#REF!</definedName>
    <definedName name="BExIKTYZESFT3LC0ASFMFKSE0D1X" localSheetId="6" hidden="1">#REF!</definedName>
    <definedName name="BExIKTYZESFT3LC0ASFMFKSE0D1X" localSheetId="21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localSheetId="4" hidden="1">#REF!</definedName>
    <definedName name="BExIKXVA6M8K0PTRYAGXS666L335" localSheetId="6" hidden="1">#REF!</definedName>
    <definedName name="BExIKXVA6M8K0PTRYAGXS666L335" localSheetId="21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localSheetId="4" hidden="1">#REF!</definedName>
    <definedName name="BExIL0PMZ2SXK9R6MLP43KBU1J2P" localSheetId="6" hidden="1">#REF!</definedName>
    <definedName name="BExIL0PMZ2SXK9R6MLP43KBU1J2P" localSheetId="21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localSheetId="4" hidden="1">#REF!</definedName>
    <definedName name="BExIL1WSMNNQQK98YHWHV5HVONIZ" localSheetId="6" hidden="1">#REF!</definedName>
    <definedName name="BExIL1WSMNNQQK98YHWHV5HVONIZ" localSheetId="21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localSheetId="4" hidden="1">#REF!</definedName>
    <definedName name="BExILAAXRTRAD18K74M6MGUEEPUM" localSheetId="6" hidden="1">#REF!</definedName>
    <definedName name="BExILAAXRTRAD18K74M6MGUEEPUM" localSheetId="21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localSheetId="4" hidden="1">#REF!</definedName>
    <definedName name="BExILG5F338C0FFLMVOKMKF8X5ZP" localSheetId="6" hidden="1">#REF!</definedName>
    <definedName name="BExILG5F338C0FFLMVOKMKF8X5ZP" localSheetId="21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localSheetId="4" hidden="1">#REF!</definedName>
    <definedName name="BExILGQTQM0HOD0BJI90YO7GOIN3" localSheetId="6" hidden="1">#REF!</definedName>
    <definedName name="BExILGQTQM0HOD0BJI90YO7GOIN3" localSheetId="21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localSheetId="4" hidden="1">#REF!</definedName>
    <definedName name="BExILPL7P2BNCD7MYCGTQ9F0R5JX" localSheetId="6" hidden="1">#REF!</definedName>
    <definedName name="BExILPL7P2BNCD7MYCGTQ9F0R5JX" localSheetId="21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localSheetId="4" hidden="1">#REF!</definedName>
    <definedName name="BExILVVS4B1B4G7IO0LPUDWY9K8W" localSheetId="6" hidden="1">#REF!</definedName>
    <definedName name="BExILVVS4B1B4G7IO0LPUDWY9K8W" localSheetId="21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localSheetId="4" hidden="1">#REF!</definedName>
    <definedName name="BExIM9DBUB7ZGF4B20FVUO9QGOX2" localSheetId="6" hidden="1">#REF!</definedName>
    <definedName name="BExIM9DBUB7ZGF4B20FVUO9QGOX2" localSheetId="21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localSheetId="4" hidden="1">#REF!</definedName>
    <definedName name="BExIMCTBZ4WAESGCDWJ64SB4F0L1" localSheetId="6" hidden="1">#REF!</definedName>
    <definedName name="BExIMCTBZ4WAESGCDWJ64SB4F0L1" localSheetId="21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localSheetId="4" hidden="1">#REF!</definedName>
    <definedName name="BExIMGK9Z94TFPWWZFMD10HV0IF6" localSheetId="6" hidden="1">#REF!</definedName>
    <definedName name="BExIMGK9Z94TFPWWZFMD10HV0IF6" localSheetId="21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localSheetId="4" hidden="1">#REF!</definedName>
    <definedName name="BExIMPEGKG18TELVC33T4OQTNBWC" localSheetId="6" hidden="1">#REF!</definedName>
    <definedName name="BExIMPEGKG18TELVC33T4OQTNBWC" localSheetId="21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localSheetId="4" hidden="1">#REF!</definedName>
    <definedName name="BExIN4OR435DL1US13JQPOQK8GD5" localSheetId="6" hidden="1">#REF!</definedName>
    <definedName name="BExIN4OR435DL1US13JQPOQK8GD5" localSheetId="21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localSheetId="4" hidden="1">#REF!</definedName>
    <definedName name="BExINI6A7H3KSFRFA6UBBDPKW37F" localSheetId="6" hidden="1">#REF!</definedName>
    <definedName name="BExINI6A7H3KSFRFA6UBBDPKW37F" localSheetId="21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localSheetId="4" hidden="1">#REF!</definedName>
    <definedName name="BExINIMK8XC3JOBT2EXYFHHH52H0" localSheetId="6" hidden="1">#REF!</definedName>
    <definedName name="BExINIMK8XC3JOBT2EXYFHHH52H0" localSheetId="21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localSheetId="4" hidden="1">#REF!</definedName>
    <definedName name="BExINLX401ZKEGWU168DS4JUM2J6" localSheetId="6" hidden="1">#REF!</definedName>
    <definedName name="BExINLX401ZKEGWU168DS4JUM2J6" localSheetId="21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localSheetId="4" hidden="1">#REF!</definedName>
    <definedName name="BExINMYYJO1FTV1CZF6O5XCFAMQX" localSheetId="6" hidden="1">#REF!</definedName>
    <definedName name="BExINMYYJO1FTV1CZF6O5XCFAMQX" localSheetId="21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localSheetId="4" hidden="1">#REF!</definedName>
    <definedName name="BExINP2H4KI05FRFV5PKZFE00HKO" localSheetId="6" hidden="1">#REF!</definedName>
    <definedName name="BExINP2H4KI05FRFV5PKZFE00HKO" localSheetId="21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localSheetId="4" hidden="1">#REF!</definedName>
    <definedName name="BExINPTCEJ9RPDEBJEJH80NATGUQ" localSheetId="6" hidden="1">#REF!</definedName>
    <definedName name="BExINPTCEJ9RPDEBJEJH80NATGUQ" localSheetId="21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localSheetId="4" hidden="1">#REF!</definedName>
    <definedName name="BExINWEQMNJ70A6JRXC2LACBX1GX" localSheetId="6" hidden="1">#REF!</definedName>
    <definedName name="BExINWEQMNJ70A6JRXC2LACBX1GX" localSheetId="21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localSheetId="4" hidden="1">#REF!</definedName>
    <definedName name="BExINZELVWYGU876QUUZCIMXPBQC" localSheetId="6" hidden="1">#REF!</definedName>
    <definedName name="BExINZELVWYGU876QUUZCIMXPBQC" localSheetId="21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localSheetId="4" hidden="1">#REF!</definedName>
    <definedName name="BExIO9QZ59ZHRA8SX6QICH2AY8A2" localSheetId="6" hidden="1">#REF!</definedName>
    <definedName name="BExIO9QZ59ZHRA8SX6QICH2AY8A2" localSheetId="21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localSheetId="4" hidden="1">#REF!</definedName>
    <definedName name="BExIOAHV525SMMGFDJFE7456JPBD" localSheetId="6" hidden="1">#REF!</definedName>
    <definedName name="BExIOAHV525SMMGFDJFE7456JPBD" localSheetId="21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localSheetId="4" hidden="1">#REF!</definedName>
    <definedName name="BExIOCQUQHKUU1KONGSDOLQTQEIC" localSheetId="6" hidden="1">#REF!</definedName>
    <definedName name="BExIOCQUQHKUU1KONGSDOLQTQEIC" localSheetId="21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localSheetId="4" hidden="1">#REF!</definedName>
    <definedName name="BExIOFAGCDQQKALMX3V0KU94KUQO" localSheetId="6" hidden="1">#REF!</definedName>
    <definedName name="BExIOFAGCDQQKALMX3V0KU94KUQO" localSheetId="21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localSheetId="4" hidden="1">#REF!</definedName>
    <definedName name="BExIOFL8Y5O61VLKTB4H20IJNWS1" localSheetId="6" hidden="1">#REF!</definedName>
    <definedName name="BExIOFL8Y5O61VLKTB4H20IJNWS1" localSheetId="21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localSheetId="4" hidden="1">#REF!</definedName>
    <definedName name="BExIOMBXRW5NS4ZPYX9G5QREZ5J6" localSheetId="6" hidden="1">#REF!</definedName>
    <definedName name="BExIOMBXRW5NS4ZPYX9G5QREZ5J6" localSheetId="21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localSheetId="4" hidden="1">#REF!</definedName>
    <definedName name="BExIORA3GK78T7C7SNBJJUONJ0LS" localSheetId="6" hidden="1">#REF!</definedName>
    <definedName name="BExIORA3GK78T7C7SNBJJUONJ0LS" localSheetId="21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localSheetId="4" hidden="1">#REF!</definedName>
    <definedName name="BExIORFDXP4AVIEBLSTZ8ETSXMNM" localSheetId="6" hidden="1">#REF!</definedName>
    <definedName name="BExIORFDXP4AVIEBLSTZ8ETSXMNM" localSheetId="21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localSheetId="4" hidden="1">#REF!</definedName>
    <definedName name="BExIOTZ5EFZ2NASVQ05RH15HRSW6" localSheetId="6" hidden="1">#REF!</definedName>
    <definedName name="BExIOTZ5EFZ2NASVQ05RH15HRSW6" localSheetId="21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localSheetId="4" hidden="1">#REF!</definedName>
    <definedName name="BExIP8YNN6UUE1GZ223SWH7DLGKO" localSheetId="6" hidden="1">#REF!</definedName>
    <definedName name="BExIP8YNN6UUE1GZ223SWH7DLGKO" localSheetId="21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localSheetId="4" hidden="1">#REF!</definedName>
    <definedName name="BExIPAB4AOL592OJCC1CFAXTLF1A" localSheetId="6" hidden="1">#REF!</definedName>
    <definedName name="BExIPAB4AOL592OJCC1CFAXTLF1A" localSheetId="21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localSheetId="4" hidden="1">#REF!</definedName>
    <definedName name="BExIPB25DKX4S2ZCKQN7KWSC3JBF" localSheetId="6" hidden="1">#REF!</definedName>
    <definedName name="BExIPB25DKX4S2ZCKQN7KWSC3JBF" localSheetId="21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localSheetId="4" hidden="1">#REF!</definedName>
    <definedName name="BExIPCUX4I4S2N50TLMMLALYLH9S" localSheetId="6" hidden="1">#REF!</definedName>
    <definedName name="BExIPCUX4I4S2N50TLMMLALYLH9S" localSheetId="21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localSheetId="4" hidden="1">#REF!</definedName>
    <definedName name="BExIPDLT8JYAMGE5HTN4D1YHZF3V" localSheetId="6" hidden="1">#REF!</definedName>
    <definedName name="BExIPDLT8JYAMGE5HTN4D1YHZF3V" localSheetId="21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localSheetId="4" hidden="1">#REF!</definedName>
    <definedName name="BExIPG040Q08EWIWL6CAVR3GRI43" localSheetId="6" hidden="1">#REF!</definedName>
    <definedName name="BExIPG040Q08EWIWL6CAVR3GRI43" localSheetId="21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localSheetId="4" hidden="1">#REF!</definedName>
    <definedName name="BExIPKNFUDPDKOSH5GHDVNA8D66S" localSheetId="6" hidden="1">#REF!</definedName>
    <definedName name="BExIPKNFUDPDKOSH5GHDVNA8D66S" localSheetId="21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localSheetId="4" hidden="1">#REF!</definedName>
    <definedName name="BExIQ1VS9A2FHVD9TUHKG9K8EVVP" localSheetId="6" hidden="1">#REF!</definedName>
    <definedName name="BExIQ1VS9A2FHVD9TUHKG9K8EVVP" localSheetId="21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localSheetId="4" hidden="1">#REF!</definedName>
    <definedName name="BExIQ3J19L30PSQ2CXNT6IHW0I7V" localSheetId="6" hidden="1">#REF!</definedName>
    <definedName name="BExIQ3J19L30PSQ2CXNT6IHW0I7V" localSheetId="21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localSheetId="4" hidden="1">#REF!</definedName>
    <definedName name="BExIQ3OJ7M04XCY276IO0LJA5XUK" localSheetId="6" hidden="1">#REF!</definedName>
    <definedName name="BExIQ3OJ7M04XCY276IO0LJA5XUK" localSheetId="21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localSheetId="4" hidden="1">#REF!</definedName>
    <definedName name="BExIQ5S19ITB0NDRUN4XV7B905ED" localSheetId="6" hidden="1">#REF!</definedName>
    <definedName name="BExIQ5S19ITB0NDRUN4XV7B905ED" localSheetId="21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localSheetId="4" hidden="1">#REF!</definedName>
    <definedName name="BExIQ810MMN2UN0EQ9CRQAFWA19X" localSheetId="6" hidden="1">#REF!</definedName>
    <definedName name="BExIQ810MMN2UN0EQ9CRQAFWA19X" localSheetId="21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localSheetId="4" hidden="1">#REF!</definedName>
    <definedName name="BExIQ9TMQT2EIXSVQW7GVSOAW2VJ" localSheetId="6" hidden="1">#REF!</definedName>
    <definedName name="BExIQ9TMQT2EIXSVQW7GVSOAW2VJ" localSheetId="21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localSheetId="4" hidden="1">#REF!</definedName>
    <definedName name="BExIQBMDE1L6J4H27K1FMSHQKDSE" localSheetId="6" hidden="1">#REF!</definedName>
    <definedName name="BExIQBMDE1L6J4H27K1FMSHQKDSE" localSheetId="21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localSheetId="4" hidden="1">#REF!</definedName>
    <definedName name="BExIQE65LVXUOF3UZFO7SDHFJH22" localSheetId="6" hidden="1">#REF!</definedName>
    <definedName name="BExIQE65LVXUOF3UZFO7SDHFJH22" localSheetId="21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localSheetId="4" hidden="1">#REF!</definedName>
    <definedName name="BExIQG9OO2KKBOWTMD1OXY36TEGA" localSheetId="6" hidden="1">#REF!</definedName>
    <definedName name="BExIQG9OO2KKBOWTMD1OXY36TEGA" localSheetId="21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localSheetId="4" hidden="1">#REF!</definedName>
    <definedName name="BExIQHWZ65ALA9VAFCJEGIL1145G" localSheetId="6" hidden="1">#REF!</definedName>
    <definedName name="BExIQHWZ65ALA9VAFCJEGIL1145G" localSheetId="21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localSheetId="4" hidden="1">#REF!</definedName>
    <definedName name="BExIQX1XBB31HZTYEEVOBSE3C5A6" localSheetId="6" hidden="1">#REF!</definedName>
    <definedName name="BExIQX1XBB31HZTYEEVOBSE3C5A6" localSheetId="21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localSheetId="4" hidden="1">#REF!</definedName>
    <definedName name="BExIR2ALYRP9FW99DK2084J7IIDC" localSheetId="6" hidden="1">#REF!</definedName>
    <definedName name="BExIR2ALYRP9FW99DK2084J7IIDC" localSheetId="21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localSheetId="4" hidden="1">#REF!</definedName>
    <definedName name="BExIR8FQETPTQYW37DBVDWG3J4JW" localSheetId="6" hidden="1">#REF!</definedName>
    <definedName name="BExIR8FQETPTQYW37DBVDWG3J4JW" localSheetId="21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localSheetId="4" hidden="1">#REF!</definedName>
    <definedName name="BExIRHKWQB1PP4ZLB0C3AVUBAFMD" localSheetId="6" hidden="1">#REF!</definedName>
    <definedName name="BExIRHKWQB1PP4ZLB0C3AVUBAFMD" localSheetId="21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localSheetId="4" hidden="1">#REF!</definedName>
    <definedName name="BExIRJTRJPQR3OTAGAV7JTA4VMPS" localSheetId="6" hidden="1">#REF!</definedName>
    <definedName name="BExIRJTRJPQR3OTAGAV7JTA4VMPS" localSheetId="21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localSheetId="4" hidden="1">#REF!</definedName>
    <definedName name="BExIROH27RJOG6VI7ZHR0RZGAZZ4" localSheetId="6" hidden="1">#REF!</definedName>
    <definedName name="BExIROH27RJOG6VI7ZHR0RZGAZZ4" localSheetId="21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localSheetId="4" hidden="1">#REF!</definedName>
    <definedName name="BExIRRBGTY01OQOI3U5SW59RFDFI" localSheetId="6" hidden="1">#REF!</definedName>
    <definedName name="BExIRRBGTY01OQOI3U5SW59RFDFI" localSheetId="21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localSheetId="4" hidden="1">#REF!</definedName>
    <definedName name="BExIS4T0DRF57HYO7OGG72KBOFOI" localSheetId="6" hidden="1">#REF!</definedName>
    <definedName name="BExIS4T0DRF57HYO7OGG72KBOFOI" localSheetId="21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localSheetId="4" hidden="1">#REF!</definedName>
    <definedName name="BExIS77BJDDK18PGI9DSEYZPIL7P" localSheetId="6" hidden="1">#REF!</definedName>
    <definedName name="BExIS77BJDDK18PGI9DSEYZPIL7P" localSheetId="21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localSheetId="4" hidden="1">#REF!</definedName>
    <definedName name="BExIS8USL1T3Z97CZ30HJ98E2GXQ" localSheetId="6" hidden="1">#REF!</definedName>
    <definedName name="BExIS8USL1T3Z97CZ30HJ98E2GXQ" localSheetId="21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localSheetId="4" hidden="1">#REF!</definedName>
    <definedName name="BExISC5B700MZUBFTQ9K4IKTF7HR" localSheetId="6" hidden="1">#REF!</definedName>
    <definedName name="BExISC5B700MZUBFTQ9K4IKTF7HR" localSheetId="21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localSheetId="4" hidden="1">#REF!</definedName>
    <definedName name="BExISDHXS49S1H56ENBPRF1NLD5C" localSheetId="6" hidden="1">#REF!</definedName>
    <definedName name="BExISDHXS49S1H56ENBPRF1NLD5C" localSheetId="21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localSheetId="4" hidden="1">#REF!</definedName>
    <definedName name="BExISM1JLV54A21A164IURMPGUMU" localSheetId="6" hidden="1">#REF!</definedName>
    <definedName name="BExISM1JLV54A21A164IURMPGUMU" localSheetId="21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localSheetId="4" hidden="1">#REF!</definedName>
    <definedName name="BExISRFKJYUZ4AKW44IJF7RF9Y90" localSheetId="6" hidden="1">#REF!</definedName>
    <definedName name="BExISRFKJYUZ4AKW44IJF7RF9Y90" localSheetId="21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localSheetId="4" hidden="1">#REF!</definedName>
    <definedName name="BExISSMVV57JAUB6CSGBMBFVNGWK" localSheetId="6" hidden="1">#REF!</definedName>
    <definedName name="BExISSMVV57JAUB6CSGBMBFVNGWK" localSheetId="21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localSheetId="4" hidden="1">#REF!</definedName>
    <definedName name="BExIT16AD4HCD0WQCCA72AKLQHK1" localSheetId="6" hidden="1">#REF!</definedName>
    <definedName name="BExIT16AD4HCD0WQCCA72AKLQHK1" localSheetId="21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localSheetId="4" hidden="1">#REF!</definedName>
    <definedName name="BExIT1MK8TBAK3SNP36A8FKDQSOK" localSheetId="6" hidden="1">#REF!</definedName>
    <definedName name="BExIT1MK8TBAK3SNP36A8FKDQSOK" localSheetId="21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localSheetId="4" hidden="1">#REF!</definedName>
    <definedName name="BExIT9PPVL7XGGIZS7G6QI6L7H9U" localSheetId="6" hidden="1">#REF!</definedName>
    <definedName name="BExIT9PPVL7XGGIZS7G6QI6L7H9U" localSheetId="21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localSheetId="4" hidden="1">#REF!</definedName>
    <definedName name="BExITBNYANV2S8KD56GOGCKW393R" localSheetId="6" hidden="1">#REF!</definedName>
    <definedName name="BExITBNYANV2S8KD56GOGCKW393R" localSheetId="21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localSheetId="4" hidden="1">#REF!</definedName>
    <definedName name="BExITGB4FVAV0LE88D7JMX7FBYXI" localSheetId="6" hidden="1">#REF!</definedName>
    <definedName name="BExITGB4FVAV0LE88D7JMX7FBYXI" localSheetId="21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localSheetId="4" hidden="1">#REF!</definedName>
    <definedName name="BExITI3TQ14K842P38QF0PNWSWNO" localSheetId="6" hidden="1">#REF!</definedName>
    <definedName name="BExITI3TQ14K842P38QF0PNWSWNO" localSheetId="21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localSheetId="4" hidden="1">#REF!</definedName>
    <definedName name="BExIU9OGER4TPMETACWUEP1UENK0" localSheetId="6" hidden="1">#REF!</definedName>
    <definedName name="BExIU9OGER4TPMETACWUEP1UENK0" localSheetId="21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localSheetId="4" hidden="1">#REF!</definedName>
    <definedName name="BExIUD4OJGH65NFNQ4VMCE3R4J1X" localSheetId="6" hidden="1">#REF!</definedName>
    <definedName name="BExIUD4OJGH65NFNQ4VMCE3R4J1X" localSheetId="21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localSheetId="4" hidden="1">#REF!</definedName>
    <definedName name="BExIUQM0XWNNW3MJD26EOVIT7FSU" localSheetId="6" hidden="1">#REF!</definedName>
    <definedName name="BExIUQM0XWNNW3MJD26EOVIT7FSU" localSheetId="21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localSheetId="4" hidden="1">#REF!</definedName>
    <definedName name="BExIUTB5OAAXYW0OFMP0PS40SPOB" localSheetId="6" hidden="1">#REF!</definedName>
    <definedName name="BExIUTB5OAAXYW0OFMP0PS40SPOB" localSheetId="21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localSheetId="4" hidden="1">#REF!</definedName>
    <definedName name="BExIUUT2MHIOV6R3WHA0DPM1KBKY" localSheetId="6" hidden="1">#REF!</definedName>
    <definedName name="BExIUUT2MHIOV6R3WHA0DPM1KBKY" localSheetId="21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localSheetId="4" hidden="1">#REF!</definedName>
    <definedName name="BExIUYPDT1AM6MWGWQS646PIZIWC" localSheetId="6" hidden="1">#REF!</definedName>
    <definedName name="BExIUYPDT1AM6MWGWQS646PIZIWC" localSheetId="21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localSheetId="4" hidden="1">#REF!</definedName>
    <definedName name="BExIV0I2O9F8D1UK1SI8AEYR6U0A" localSheetId="6" hidden="1">#REF!</definedName>
    <definedName name="BExIV0I2O9F8D1UK1SI8AEYR6U0A" localSheetId="21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localSheetId="4" hidden="1">#REF!</definedName>
    <definedName name="BExIV2LM38XPLRTWT0R44TMQ59E5" localSheetId="6" hidden="1">#REF!</definedName>
    <definedName name="BExIV2LM38XPLRTWT0R44TMQ59E5" localSheetId="21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localSheetId="4" hidden="1">#REF!</definedName>
    <definedName name="BExIV3HY4S0YRV1F7XEMF2YHAR2I" localSheetId="6" hidden="1">#REF!</definedName>
    <definedName name="BExIV3HY4S0YRV1F7XEMF2YHAR2I" localSheetId="21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localSheetId="4" hidden="1">#REF!</definedName>
    <definedName name="BExIV6HUZFRIFLXW2SICKGTAH1PV" localSheetId="6" hidden="1">#REF!</definedName>
    <definedName name="BExIV6HUZFRIFLXW2SICKGTAH1PV" localSheetId="21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localSheetId="4" hidden="1">#REF!</definedName>
    <definedName name="BExIVCXWL6H5LD9DHDIA4F5U9TQL" localSheetId="6" hidden="1">#REF!</definedName>
    <definedName name="BExIVCXWL6H5LD9DHDIA4F5U9TQL" localSheetId="21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localSheetId="4" hidden="1">#REF!</definedName>
    <definedName name="BExIVEVYJ7KL8QNR5ZTOSD11I5A6" localSheetId="6" hidden="1">#REF!</definedName>
    <definedName name="BExIVEVYJ7KL8QNR5ZTOSD11I5A6" localSheetId="21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localSheetId="4" hidden="1">#REF!</definedName>
    <definedName name="BExIVJ30S9U8MA1TUBRND8DGF96D" localSheetId="6" hidden="1">#REF!</definedName>
    <definedName name="BExIVJ30S9U8MA1TUBRND8DGF96D" localSheetId="21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localSheetId="4" hidden="1">#REF!</definedName>
    <definedName name="BExIVMOIPSEWSIHIDDLOXESQ28A0" localSheetId="6" hidden="1">#REF!</definedName>
    <definedName name="BExIVMOIPSEWSIHIDDLOXESQ28A0" localSheetId="21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localSheetId="4" hidden="1">#REF!</definedName>
    <definedName name="BExIVNVNJX9BYDLC88NG09YF5XQ6" localSheetId="6" hidden="1">#REF!</definedName>
    <definedName name="BExIVNVNJX9BYDLC88NG09YF5XQ6" localSheetId="21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localSheetId="4" hidden="1">#REF!</definedName>
    <definedName name="BExIVQVKLMGSRYT1LFZH0KUIA4OR" localSheetId="6" hidden="1">#REF!</definedName>
    <definedName name="BExIVQVKLMGSRYT1LFZH0KUIA4OR" localSheetId="21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localSheetId="4" hidden="1">#REF!</definedName>
    <definedName name="BExIVYTFI35KNR2XSA6N8OJYUTUR" localSheetId="6" hidden="1">#REF!</definedName>
    <definedName name="BExIVYTFI35KNR2XSA6N8OJYUTUR" localSheetId="21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localSheetId="4" hidden="1">#REF!</definedName>
    <definedName name="BExIVZF05SNB8DE7VLQOFG9S41HS" localSheetId="6" hidden="1">#REF!</definedName>
    <definedName name="BExIVZF05SNB8DE7VLQOFG9S41HS" localSheetId="21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localSheetId="4" hidden="1">#REF!</definedName>
    <definedName name="BExIWB3SY3WRIVIOF988DNNODBOA" localSheetId="6" hidden="1">#REF!</definedName>
    <definedName name="BExIWB3SY3WRIVIOF988DNNODBOA" localSheetId="21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localSheetId="4" hidden="1">#REF!</definedName>
    <definedName name="BExIWB99CG0H52LRD6QWPN4L6DV2" localSheetId="6" hidden="1">#REF!</definedName>
    <definedName name="BExIWB99CG0H52LRD6QWPN4L6DV2" localSheetId="21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localSheetId="4" hidden="1">#REF!</definedName>
    <definedName name="BExIWG1W7XP9DFYYSZAIOSHM0QLQ" localSheetId="6" hidden="1">#REF!</definedName>
    <definedName name="BExIWG1W7XP9DFYYSZAIOSHM0QLQ" localSheetId="21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localSheetId="4" hidden="1">#REF!</definedName>
    <definedName name="BExIWH3KUK94B7833DD4TB0Y6KP9" localSheetId="6" hidden="1">#REF!</definedName>
    <definedName name="BExIWH3KUK94B7833DD4TB0Y6KP9" localSheetId="21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localSheetId="4" hidden="1">#REF!</definedName>
    <definedName name="BExIWHZXYAALPLS8CSHZHJ82LBOH" localSheetId="6" hidden="1">#REF!</definedName>
    <definedName name="BExIWHZXYAALPLS8CSHZHJ82LBOH" localSheetId="21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localSheetId="4" hidden="1">#REF!</definedName>
    <definedName name="BExIWJY6FHR6KOO0P8U4IZ7VD42D" localSheetId="6" hidden="1">#REF!</definedName>
    <definedName name="BExIWJY6FHR6KOO0P8U4IZ7VD42D" localSheetId="21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localSheetId="4" hidden="1">#REF!</definedName>
    <definedName name="BExIWKE9MGIDWORBI43AWTUNYFAN" localSheetId="6" hidden="1">#REF!</definedName>
    <definedName name="BExIWKE9MGIDWORBI43AWTUNYFAN" localSheetId="21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localSheetId="4" hidden="1">#REF!</definedName>
    <definedName name="BExIWPHOYLSNGZKVD3RRKOEALEUG" localSheetId="6" hidden="1">#REF!</definedName>
    <definedName name="BExIWPHOYLSNGZKVD3RRKOEALEUG" localSheetId="21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localSheetId="4" hidden="1">#REF!</definedName>
    <definedName name="BExIWSHLD1QIZPL5ARLXOJ9Y2CAA" localSheetId="6" hidden="1">#REF!</definedName>
    <definedName name="BExIWSHLD1QIZPL5ARLXOJ9Y2CAA" localSheetId="21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localSheetId="4" hidden="1">#REF!</definedName>
    <definedName name="BExIX34PM5DBTRHRQWP6PL6WIX88" localSheetId="6" hidden="1">#REF!</definedName>
    <definedName name="BExIX34PM5DBTRHRQWP6PL6WIX88" localSheetId="21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localSheetId="4" hidden="1">#REF!</definedName>
    <definedName name="BExIX5OAP9KSUE5SIZCW9P39Q4WE" localSheetId="6" hidden="1">#REF!</definedName>
    <definedName name="BExIX5OAP9KSUE5SIZCW9P39Q4WE" localSheetId="21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localSheetId="4" hidden="1">#REF!</definedName>
    <definedName name="BExIXGRJPVJMUDGSG7IHPXPNO69B" localSheetId="6" hidden="1">#REF!</definedName>
    <definedName name="BExIXGRJPVJMUDGSG7IHPXPNO69B" localSheetId="21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localSheetId="4" hidden="1">#REF!</definedName>
    <definedName name="BExIXGWVQ9WOO0NCJLXAU4PJPOPM" localSheetId="6" hidden="1">#REF!</definedName>
    <definedName name="BExIXGWVQ9WOO0NCJLXAU4PJPOPM" localSheetId="21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localSheetId="4" hidden="1">#REF!</definedName>
    <definedName name="BExIXLK6SEOTUWQVNLCH4SAKTVGQ" localSheetId="6" hidden="1">#REF!</definedName>
    <definedName name="BExIXLK6SEOTUWQVNLCH4SAKTVGQ" localSheetId="21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localSheetId="4" hidden="1">#REF!</definedName>
    <definedName name="BExIXM5R87ZL3FHALWZXYCPHGX3E" localSheetId="6" hidden="1">#REF!</definedName>
    <definedName name="BExIXM5R87ZL3FHALWZXYCPHGX3E" localSheetId="21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localSheetId="4" hidden="1">#REF!</definedName>
    <definedName name="BExIXN24YK8MIB3OZ905DHU9CDH1" localSheetId="6" hidden="1">#REF!</definedName>
    <definedName name="BExIXN24YK8MIB3OZ905DHU9CDH1" localSheetId="21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localSheetId="4" hidden="1">#REF!</definedName>
    <definedName name="BExIXS036ZCKT2Z8XZKLZ8PFWQGL" localSheetId="6" hidden="1">#REF!</definedName>
    <definedName name="BExIXS036ZCKT2Z8XZKLZ8PFWQGL" localSheetId="21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localSheetId="4" hidden="1">#REF!</definedName>
    <definedName name="BExIXY5CF9PFM0P40AZ4U51TMWV0" localSheetId="6" hidden="1">#REF!</definedName>
    <definedName name="BExIXY5CF9PFM0P40AZ4U51TMWV0" localSheetId="21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localSheetId="4" hidden="1">#REF!</definedName>
    <definedName name="BExIYEXJBK8JDWIRSVV4RJSKZVV1" localSheetId="6" hidden="1">#REF!</definedName>
    <definedName name="BExIYEXJBK8JDWIRSVV4RJSKZVV1" localSheetId="21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localSheetId="4" hidden="1">#REF!</definedName>
    <definedName name="BExIYFJ59KLIPRTGIHX9X07UVGT3" localSheetId="6" hidden="1">#REF!</definedName>
    <definedName name="BExIYFJ59KLIPRTGIHX9X07UVGT3" localSheetId="21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localSheetId="4" hidden="1">#REF!</definedName>
    <definedName name="BExIYHH7GZO6BU3DC4GRLH3FD3ZS" localSheetId="6" hidden="1">#REF!</definedName>
    <definedName name="BExIYHH7GZO6BU3DC4GRLH3FD3ZS" localSheetId="21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localSheetId="4" hidden="1">#REF!</definedName>
    <definedName name="BExIYHMPBTD67ZNUL9O76FZQHYPT" localSheetId="6" hidden="1">#REF!</definedName>
    <definedName name="BExIYHMPBTD67ZNUL9O76FZQHYPT" localSheetId="21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localSheetId="4" hidden="1">#REF!</definedName>
    <definedName name="BExIYI2RH0K4225XO970K2IQ1E79" localSheetId="6" hidden="1">#REF!</definedName>
    <definedName name="BExIYI2RH0K4225XO970K2IQ1E79" localSheetId="21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localSheetId="4" hidden="1">#REF!</definedName>
    <definedName name="BExIYMPZ0KS2KOJFQAUQJ77L7701" localSheetId="6" hidden="1">#REF!</definedName>
    <definedName name="BExIYMPZ0KS2KOJFQAUQJ77L7701" localSheetId="21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localSheetId="4" hidden="1">#REF!</definedName>
    <definedName name="BExIYP9Q6FV9T0R9G3UDKLS4TTYX" localSheetId="6" hidden="1">#REF!</definedName>
    <definedName name="BExIYP9Q6FV9T0R9G3UDKLS4TTYX" localSheetId="21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localSheetId="4" hidden="1">#REF!</definedName>
    <definedName name="BExIYZGLDQ1TN7BIIN4RLDP31GIM" localSheetId="6" hidden="1">#REF!</definedName>
    <definedName name="BExIYZGLDQ1TN7BIIN4RLDP31GIM" localSheetId="21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localSheetId="4" hidden="1">#REF!</definedName>
    <definedName name="BExIZ4K0EZJK6PW3L8SVKTJFSWW9" localSheetId="6" hidden="1">#REF!</definedName>
    <definedName name="BExIZ4K0EZJK6PW3L8SVKTJFSWW9" localSheetId="21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localSheetId="4" hidden="1">#REF!</definedName>
    <definedName name="BExIZAECOEZGBAO29QMV14E6XDIV" localSheetId="6" hidden="1">#REF!</definedName>
    <definedName name="BExIZAECOEZGBAO29QMV14E6XDIV" localSheetId="21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localSheetId="4" hidden="1">#REF!</definedName>
    <definedName name="BExIZHQR3N1546MQS83ZJ8I6SPZ3" localSheetId="6" hidden="1">#REF!</definedName>
    <definedName name="BExIZHQR3N1546MQS83ZJ8I6SPZ3" localSheetId="21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localSheetId="4" hidden="1">#REF!</definedName>
    <definedName name="BExIZKVXYD5O2JBU81F2UFJZLLSI" localSheetId="6" hidden="1">#REF!</definedName>
    <definedName name="BExIZKVXYD5O2JBU81F2UFJZLLSI" localSheetId="21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localSheetId="4" hidden="1">#REF!</definedName>
    <definedName name="BExIZPZDHC8HGER83WHCZAHOX7LK" localSheetId="6" hidden="1">#REF!</definedName>
    <definedName name="BExIZPZDHC8HGER83WHCZAHOX7LK" localSheetId="21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localSheetId="4" hidden="1">#REF!</definedName>
    <definedName name="BExIZQA5XCS39QKXMYR1MH2ZIGPS" localSheetId="6" hidden="1">#REF!</definedName>
    <definedName name="BExIZQA5XCS39QKXMYR1MH2ZIGPS" localSheetId="21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localSheetId="4" hidden="1">#REF!</definedName>
    <definedName name="BExIZVDLRUNAL32D9KO9X7Y4PB3O" localSheetId="6" hidden="1">#REF!</definedName>
    <definedName name="BExIZVDLRUNAL32D9KO9X7Y4PB3O" localSheetId="21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localSheetId="4" hidden="1">#REF!</definedName>
    <definedName name="BExIZY2PUZ0OF9YKK1B13IW0VS6G" localSheetId="6" hidden="1">#REF!</definedName>
    <definedName name="BExIZY2PUZ0OF9YKK1B13IW0VS6G" localSheetId="21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localSheetId="4" hidden="1">#REF!</definedName>
    <definedName name="BExJ08KBRR2XMWW3VZMPSQKXHZUH" localSheetId="6" hidden="1">#REF!</definedName>
    <definedName name="BExJ08KBRR2XMWW3VZMPSQKXHZUH" localSheetId="21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localSheetId="4" hidden="1">#REF!</definedName>
    <definedName name="BExJ0DYJWXGE7DA39PYL3WM05U9O" localSheetId="6" hidden="1">#REF!</definedName>
    <definedName name="BExJ0DYJWXGE7DA39PYL3WM05U9O" localSheetId="21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localSheetId="4" hidden="1">#REF!</definedName>
    <definedName name="BExJ0JYDEZPM2303TRBXOZ74M7N6" localSheetId="6" hidden="1">#REF!</definedName>
    <definedName name="BExJ0JYDEZPM2303TRBXOZ74M7N6" localSheetId="21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localSheetId="4" hidden="1">#REF!</definedName>
    <definedName name="BExJ0MY8SY5J5V50H3UKE78ODTVB" localSheetId="6" hidden="1">#REF!</definedName>
    <definedName name="BExJ0MY8SY5J5V50H3UKE78ODTVB" localSheetId="21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localSheetId="4" hidden="1">#REF!</definedName>
    <definedName name="BExJ0YC98G37ML4N8FLP8D95EFRF" localSheetId="6" hidden="1">#REF!</definedName>
    <definedName name="BExJ0YC98G37ML4N8FLP8D95EFRF" localSheetId="21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localSheetId="4" hidden="1">#REF!</definedName>
    <definedName name="BExKCDYKAEV45AFXHVHZZ62E5BM3" localSheetId="6" hidden="1">#REF!</definedName>
    <definedName name="BExKCDYKAEV45AFXHVHZZ62E5BM3" localSheetId="21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localSheetId="4" hidden="1">#REF!</definedName>
    <definedName name="BExKCYXU0W2VQVDI3N3N37K2598P" localSheetId="6" hidden="1">#REF!</definedName>
    <definedName name="BExKCYXU0W2VQVDI3N3N37K2598P" localSheetId="21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localSheetId="4" hidden="1">#REF!</definedName>
    <definedName name="BExKDJX3Z1TS0WFDD9EAO42JHL9G" localSheetId="6" hidden="1">#REF!</definedName>
    <definedName name="BExKDJX3Z1TS0WFDD9EAO42JHL9G" localSheetId="21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localSheetId="4" hidden="1">#REF!</definedName>
    <definedName name="BExKDK7WVA5I2WBACAZHAHN35D0I" localSheetId="6" hidden="1">#REF!</definedName>
    <definedName name="BExKDK7WVA5I2WBACAZHAHN35D0I" localSheetId="21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localSheetId="4" hidden="1">#REF!</definedName>
    <definedName name="BExKDKO0W4AGQO1V7K6Q4VM750FT" localSheetId="6" hidden="1">#REF!</definedName>
    <definedName name="BExKDKO0W4AGQO1V7K6Q4VM750FT" localSheetId="21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localSheetId="4" hidden="1">#REF!</definedName>
    <definedName name="BExKDLF10G7W77J87QWH3ZGLUCLW" localSheetId="6" hidden="1">#REF!</definedName>
    <definedName name="BExKDLF10G7W77J87QWH3ZGLUCLW" localSheetId="21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localSheetId="4" hidden="1">#REF!</definedName>
    <definedName name="BExKE2NDBQ14HOJH945N4W9ZZFJO" localSheetId="6" hidden="1">#REF!</definedName>
    <definedName name="BExKE2NDBQ14HOJH945N4W9ZZFJO" localSheetId="21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localSheetId="4" hidden="1">#REF!</definedName>
    <definedName name="BExKEFE0I3MT6ZLC4T1L9465HKTN" localSheetId="6" hidden="1">#REF!</definedName>
    <definedName name="BExKEFE0I3MT6ZLC4T1L9465HKTN" localSheetId="21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localSheetId="4" hidden="1">#REF!</definedName>
    <definedName name="BExKEK6O5BVJP4VY02FY7JNAZ6BT" localSheetId="6" hidden="1">#REF!</definedName>
    <definedName name="BExKEK6O5BVJP4VY02FY7JNAZ6BT" localSheetId="21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localSheetId="4" hidden="1">#REF!</definedName>
    <definedName name="BExKEKXK6E6QX339ELPXDIRZSJE0" localSheetId="6" hidden="1">#REF!</definedName>
    <definedName name="BExKEKXK6E6QX339ELPXDIRZSJE0" localSheetId="21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localSheetId="4" hidden="1">#REF!</definedName>
    <definedName name="BExKEMFI35R0D4WN4A59V9QH7I5S" localSheetId="6" hidden="1">#REF!</definedName>
    <definedName name="BExKEMFI35R0D4WN4A59V9QH7I5S" localSheetId="21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localSheetId="4" hidden="1">#REF!</definedName>
    <definedName name="BExKEOOIBMP7N8033EY2CJYCBX6H" localSheetId="6" hidden="1">#REF!</definedName>
    <definedName name="BExKEOOIBMP7N8033EY2CJYCBX6H" localSheetId="21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localSheetId="4" hidden="1">#REF!</definedName>
    <definedName name="BExKEW0RR5LA3VC46A2BEOOMQE56" localSheetId="6" hidden="1">#REF!</definedName>
    <definedName name="BExKEW0RR5LA3VC46A2BEOOMQE56" localSheetId="21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localSheetId="4" hidden="1">#REF!</definedName>
    <definedName name="BExKF37PTJB4PE1PUQWG20ASBX4E" localSheetId="6" hidden="1">#REF!</definedName>
    <definedName name="BExKF37PTJB4PE1PUQWG20ASBX4E" localSheetId="21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localSheetId="4" hidden="1">#REF!</definedName>
    <definedName name="BExKFA3VI1CZK21SM0N3LZWT9LA1" localSheetId="6" hidden="1">#REF!</definedName>
    <definedName name="BExKFA3VI1CZK21SM0N3LZWT9LA1" localSheetId="21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localSheetId="4" hidden="1">#REF!</definedName>
    <definedName name="BExKFBB29XXT9A2LVUXYSIVKPWGB" localSheetId="6" hidden="1">#REF!</definedName>
    <definedName name="BExKFBB29XXT9A2LVUXYSIVKPWGB" localSheetId="21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localSheetId="4" hidden="1">#REF!</definedName>
    <definedName name="BExKFINBFV5J2NFRCL4YUO3YF0ZE" localSheetId="6" hidden="1">#REF!</definedName>
    <definedName name="BExKFINBFV5J2NFRCL4YUO3YF0ZE" localSheetId="21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localSheetId="4" hidden="1">#REF!</definedName>
    <definedName name="BExKFISRBFACTAMJSALEYMY66F6X" localSheetId="6" hidden="1">#REF!</definedName>
    <definedName name="BExKFISRBFACTAMJSALEYMY66F6X" localSheetId="21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localSheetId="4" hidden="1">#REF!</definedName>
    <definedName name="BExKFOSK5DJ151C4E8544UWMYTOC" localSheetId="6" hidden="1">#REF!</definedName>
    <definedName name="BExKFOSK5DJ151C4E8544UWMYTOC" localSheetId="21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localSheetId="4" hidden="1">#REF!</definedName>
    <definedName name="BExKFWL3DE1V1VOVHAFYBE85QUB7" localSheetId="6" hidden="1">#REF!</definedName>
    <definedName name="BExKFWL3DE1V1VOVHAFYBE85QUB7" localSheetId="21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localSheetId="4" hidden="1">#REF!</definedName>
    <definedName name="BExKFXS9NDEWPZDVGLTMOM3CFO7N" localSheetId="6" hidden="1">#REF!</definedName>
    <definedName name="BExKFXS9NDEWPZDVGLTMOM3CFO7N" localSheetId="21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localSheetId="4" hidden="1">#REF!</definedName>
    <definedName name="BExKFYJC4EVEV54F82K6VKP7Q3OU" localSheetId="6" hidden="1">#REF!</definedName>
    <definedName name="BExKFYJC4EVEV54F82K6VKP7Q3OU" localSheetId="21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localSheetId="4" hidden="1">#REF!</definedName>
    <definedName name="BExKG4IYHBKQQ8J8FN10GB2IKO33" localSheetId="6" hidden="1">#REF!</definedName>
    <definedName name="BExKG4IYHBKQQ8J8FN10GB2IKO33" localSheetId="21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localSheetId="4" hidden="1">#REF!</definedName>
    <definedName name="BExKGBVDO2JNJUFOFQMF0RJG03ZK" localSheetId="6" hidden="1">#REF!</definedName>
    <definedName name="BExKGBVDO2JNJUFOFQMF0RJG03ZK" localSheetId="21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localSheetId="4" hidden="1">#REF!</definedName>
    <definedName name="BExKGF0L44S78D33WMQ1A75TRKB9" localSheetId="6" hidden="1">#REF!</definedName>
    <definedName name="BExKGF0L44S78D33WMQ1A75TRKB9" localSheetId="21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localSheetId="4" hidden="1">#REF!</definedName>
    <definedName name="BExKGFRN31B3G20LMQ4LRF879J68" localSheetId="6" hidden="1">#REF!</definedName>
    <definedName name="BExKGFRN31B3G20LMQ4LRF879J68" localSheetId="21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localSheetId="4" hidden="1">#REF!</definedName>
    <definedName name="BExKGJD3U3ADZILP20U3EURP0UQP" localSheetId="6" hidden="1">#REF!</definedName>
    <definedName name="BExKGJD3U3ADZILP20U3EURP0UQP" localSheetId="21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localSheetId="4" hidden="1">#REF!</definedName>
    <definedName name="BExKGNK5YGKP0YHHTAAOV17Z9EIM" localSheetId="6" hidden="1">#REF!</definedName>
    <definedName name="BExKGNK5YGKP0YHHTAAOV17Z9EIM" localSheetId="21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localSheetId="4" hidden="1">#REF!</definedName>
    <definedName name="BExKGV77YH9YXIQTRKK2331QGYKF" localSheetId="6" hidden="1">#REF!</definedName>
    <definedName name="BExKGV77YH9YXIQTRKK2331QGYKF" localSheetId="21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localSheetId="4" hidden="1">#REF!</definedName>
    <definedName name="BExKH3FTZ5VGTB86W9M4AB39R0G8" localSheetId="6" hidden="1">#REF!</definedName>
    <definedName name="BExKH3FTZ5VGTB86W9M4AB39R0G8" localSheetId="21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localSheetId="4" hidden="1">#REF!</definedName>
    <definedName name="BExKH3FV5U5O6XZM7STS3NZKQFGJ" localSheetId="6" hidden="1">#REF!</definedName>
    <definedName name="BExKH3FV5U5O6XZM7STS3NZKQFGJ" localSheetId="21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localSheetId="4" hidden="1">#REF!</definedName>
    <definedName name="BExKH3W5435VN8DZ68OCKI93SEO4" localSheetId="6" hidden="1">#REF!</definedName>
    <definedName name="BExKH3W5435VN8DZ68OCKI93SEO4" localSheetId="21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localSheetId="4" hidden="1">#REF!</definedName>
    <definedName name="BExKH9L4L5ZUAA98QAZ7DB7YH4QE" localSheetId="6" hidden="1">#REF!</definedName>
    <definedName name="BExKH9L4L5ZUAA98QAZ7DB7YH4QE" localSheetId="21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localSheetId="4" hidden="1">#REF!</definedName>
    <definedName name="BExKHAMUH8NR3HRV0V6FHJE3ROLN" localSheetId="6" hidden="1">#REF!</definedName>
    <definedName name="BExKHAMUH8NR3HRV0V6FHJE3ROLN" localSheetId="21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localSheetId="4" hidden="1">#REF!</definedName>
    <definedName name="BExKHCFKOWFHO2WW0N7Y5XDXEWAO" localSheetId="6" hidden="1">#REF!</definedName>
    <definedName name="BExKHCFKOWFHO2WW0N7Y5XDXEWAO" localSheetId="21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localSheetId="4" hidden="1">#REF!</definedName>
    <definedName name="BExKHIVLONZ46HLMR50DEXKEUNEP" localSheetId="6" hidden="1">#REF!</definedName>
    <definedName name="BExKHIVLONZ46HLMR50DEXKEUNEP" localSheetId="21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localSheetId="4" hidden="1">#REF!</definedName>
    <definedName name="BExKHPM9XA0ADDK7TUR0N38EXWEP" localSheetId="6" hidden="1">#REF!</definedName>
    <definedName name="BExKHPM9XA0ADDK7TUR0N38EXWEP" localSheetId="21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localSheetId="4" hidden="1">#REF!</definedName>
    <definedName name="BExKHQYXEM47TMIQRQVHE4T5LT8K" localSheetId="6" hidden="1">#REF!</definedName>
    <definedName name="BExKHQYXEM47TMIQRQVHE4T5LT8K" localSheetId="21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localSheetId="4" hidden="1">#REF!</definedName>
    <definedName name="BExKI4076KXCDE5KXL79KT36OKLO" localSheetId="6" hidden="1">#REF!</definedName>
    <definedName name="BExKI4076KXCDE5KXL79KT36OKLO" localSheetId="21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localSheetId="4" hidden="1">#REF!</definedName>
    <definedName name="BExKI7AUWXBP1WBLFRIYSNQZDWCY" localSheetId="6" hidden="1">#REF!</definedName>
    <definedName name="BExKI7AUWXBP1WBLFRIYSNQZDWCY" localSheetId="21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localSheetId="4" hidden="1">#REF!</definedName>
    <definedName name="BExKI7LO70WYISR7Q0Y1ZDWO9M3B" localSheetId="6" hidden="1">#REF!</definedName>
    <definedName name="BExKI7LO70WYISR7Q0Y1ZDWO9M3B" localSheetId="21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localSheetId="4" hidden="1">#REF!</definedName>
    <definedName name="BExKIF3EIT434ZQKMDXUBJCRLMK8" localSheetId="6" hidden="1">#REF!</definedName>
    <definedName name="BExKIF3EIT434ZQKMDXUBJCRLMK8" localSheetId="21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localSheetId="4" hidden="1">#REF!</definedName>
    <definedName name="BExKIGQV6TXIZG039HBOJU62WP2U" localSheetId="6" hidden="1">#REF!</definedName>
    <definedName name="BExKIGQV6TXIZG039HBOJU62WP2U" localSheetId="21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localSheetId="4" hidden="1">#REF!</definedName>
    <definedName name="BExKILE008SF3KTAN8WML3XKI1NZ" localSheetId="6" hidden="1">#REF!</definedName>
    <definedName name="BExKILE008SF3KTAN8WML3XKI1NZ" localSheetId="21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localSheetId="4" hidden="1">#REF!</definedName>
    <definedName name="BExKINSBB6RS7I489QHMCOMU4Z2X" localSheetId="6" hidden="1">#REF!</definedName>
    <definedName name="BExKINSBB6RS7I489QHMCOMU4Z2X" localSheetId="21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localSheetId="4" hidden="1">#REF!</definedName>
    <definedName name="BExKINXMPEA03CETGL1VOW1XRJIR" localSheetId="6" hidden="1">#REF!</definedName>
    <definedName name="BExKINXMPEA03CETGL1VOW1XRJIR" localSheetId="21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localSheetId="4" hidden="1">#REF!</definedName>
    <definedName name="BExKITBU5LXLZYDJS3D3BAVWEY3U" localSheetId="6" hidden="1">#REF!</definedName>
    <definedName name="BExKITBU5LXLZYDJS3D3BAVWEY3U" localSheetId="21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localSheetId="4" hidden="1">#REF!</definedName>
    <definedName name="BExKIU87ZKSOC2DYZWFK6SAK9I8E" localSheetId="6" hidden="1">#REF!</definedName>
    <definedName name="BExKIU87ZKSOC2DYZWFK6SAK9I8E" localSheetId="21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localSheetId="4" hidden="1">#REF!</definedName>
    <definedName name="BExKJ449HLYX2DJ9UF0H9GTPSQ73" localSheetId="6" hidden="1">#REF!</definedName>
    <definedName name="BExKJ449HLYX2DJ9UF0H9GTPSQ73" localSheetId="21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localSheetId="4" hidden="1">#REF!</definedName>
    <definedName name="BExKJ5649R9IC0GKQD6QI2G7C99Q" localSheetId="6" hidden="1">#REF!</definedName>
    <definedName name="BExKJ5649R9IC0GKQD6QI2G7C99Q" localSheetId="21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localSheetId="4" hidden="1">#REF!</definedName>
    <definedName name="BExKJEB4FXIMV2AAE9S3FCGRK1R0" localSheetId="6" hidden="1">#REF!</definedName>
    <definedName name="BExKJEB4FXIMV2AAE9S3FCGRK1R0" localSheetId="21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localSheetId="4" hidden="1">#REF!</definedName>
    <definedName name="BExKJELX2RUC8UEC56IZPYYZXHA7" localSheetId="6" hidden="1">#REF!</definedName>
    <definedName name="BExKJELX2RUC8UEC56IZPYYZXHA7" localSheetId="21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localSheetId="4" hidden="1">#REF!</definedName>
    <definedName name="BExKJI7CV9I6ILFIZ3SVO4DGK64J" localSheetId="6" hidden="1">#REF!</definedName>
    <definedName name="BExKJI7CV9I6ILFIZ3SVO4DGK64J" localSheetId="21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localSheetId="4" hidden="1">#REF!</definedName>
    <definedName name="BExKJINMXS61G2TZEXCJAWVV4F57" localSheetId="6" hidden="1">#REF!</definedName>
    <definedName name="BExKJINMXS61G2TZEXCJAWVV4F57" localSheetId="21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localSheetId="4" hidden="1">#REF!</definedName>
    <definedName name="BExKJK5ME8KB7HA0180L7OUZDDGV" localSheetId="6" hidden="1">#REF!</definedName>
    <definedName name="BExKJK5ME8KB7HA0180L7OUZDDGV" localSheetId="21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localSheetId="4" hidden="1">#REF!</definedName>
    <definedName name="BExKJLY652HI5GNEEWQXOB08K2C1" localSheetId="6" hidden="1">#REF!</definedName>
    <definedName name="BExKJLY652HI5GNEEWQXOB08K2C1" localSheetId="21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localSheetId="4" hidden="1">#REF!</definedName>
    <definedName name="BExKJN5IF0VMDILJ5K8ZENF2QYV1" localSheetId="6" hidden="1">#REF!</definedName>
    <definedName name="BExKJN5IF0VMDILJ5K8ZENF2QYV1" localSheetId="21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localSheetId="4" hidden="1">#REF!</definedName>
    <definedName name="BExKJUSJPFUIK20FTVAFJWR2OUYX" localSheetId="6" hidden="1">#REF!</definedName>
    <definedName name="BExKJUSJPFUIK20FTVAFJWR2OUYX" localSheetId="21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localSheetId="4" hidden="1">#REF!</definedName>
    <definedName name="BExKJXHNZTE5OMRQ1KTVM1DIQE9I" localSheetId="6" hidden="1">#REF!</definedName>
    <definedName name="BExKJXHNZTE5OMRQ1KTVM1DIQE9I" localSheetId="21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localSheetId="4" hidden="1">#REF!</definedName>
    <definedName name="BExKK8VP5RS3D0UXZVKA37C4SYBP" localSheetId="6" hidden="1">#REF!</definedName>
    <definedName name="BExKK8VP5RS3D0UXZVKA37C4SYBP" localSheetId="21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localSheetId="4" hidden="1">#REF!</definedName>
    <definedName name="BExKKIM9NPF6B3SPMPIQB27HQME4" localSheetId="6" hidden="1">#REF!</definedName>
    <definedName name="BExKKIM9NPF6B3SPMPIQB27HQME4" localSheetId="21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localSheetId="4" hidden="1">#REF!</definedName>
    <definedName name="BExKKIX1BCBQ4R3K41QD8NTV0OV0" localSheetId="6" hidden="1">#REF!</definedName>
    <definedName name="BExKKIX1BCBQ4R3K41QD8NTV0OV0" localSheetId="21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localSheetId="4" hidden="1">#REF!</definedName>
    <definedName name="BExKKJ2IHMOO66DQ0V2YABR4GV05" localSheetId="6" hidden="1">#REF!</definedName>
    <definedName name="BExKKJ2IHMOO66DQ0V2YABR4GV05" localSheetId="21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localSheetId="4" hidden="1">#REF!</definedName>
    <definedName name="BExKKQ3ZWADYV03YHMXDOAMU90EB" localSheetId="6" hidden="1">#REF!</definedName>
    <definedName name="BExKKQ3ZWADYV03YHMXDOAMU90EB" localSheetId="21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localSheetId="4" hidden="1">#REF!</definedName>
    <definedName name="BExKKUGD2HMJWQEYZ8H3X1BMXFS9" localSheetId="6" hidden="1">#REF!</definedName>
    <definedName name="BExKKUGD2HMJWQEYZ8H3X1BMXFS9" localSheetId="21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localSheetId="4" hidden="1">#REF!</definedName>
    <definedName name="BExKKX05KCZZZPKOR1NE5A8RGVT4" localSheetId="6" hidden="1">#REF!</definedName>
    <definedName name="BExKKX05KCZZZPKOR1NE5A8RGVT4" localSheetId="21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localSheetId="4" hidden="1">#REF!</definedName>
    <definedName name="BExKL3QUCLQLECGZM555PRF8EN56" localSheetId="6" hidden="1">#REF!</definedName>
    <definedName name="BExKL3QUCLQLECGZM555PRF8EN56" localSheetId="21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localSheetId="4" hidden="1">#REF!</definedName>
    <definedName name="BExKL7CGLA62V9UQH9ZDEHIK8W4O" localSheetId="6" hidden="1">#REF!</definedName>
    <definedName name="BExKL7CGLA62V9UQH9ZDEHIK8W4O" localSheetId="21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localSheetId="4" hidden="1">#REF!</definedName>
    <definedName name="BExKLD6S9L66QYREYHBE5J44OK7X" localSheetId="6" hidden="1">#REF!</definedName>
    <definedName name="BExKLD6S9L66QYREYHBE5J44OK7X" localSheetId="21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localSheetId="4" hidden="1">#REF!</definedName>
    <definedName name="BExKLEZK32L28GYJWVO63BZ5E1JD" localSheetId="6" hidden="1">#REF!</definedName>
    <definedName name="BExKLEZK32L28GYJWVO63BZ5E1JD" localSheetId="21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localSheetId="4" hidden="1">#REF!</definedName>
    <definedName name="BExKLLKVVHT06LA55JB2FC871DC5" localSheetId="6" hidden="1">#REF!</definedName>
    <definedName name="BExKLLKVVHT06LA55JB2FC871DC5" localSheetId="21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localSheetId="4" hidden="1">#REF!</definedName>
    <definedName name="BExKMKNALVJRCZS69GFJA4M1J08O" localSheetId="6" hidden="1">#REF!</definedName>
    <definedName name="BExKMKNALVJRCZS69GFJA4M1J08O" localSheetId="21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localSheetId="4" hidden="1">#REF!</definedName>
    <definedName name="BExKMMFZIDRFNSBCWVADJ4S2JE52" localSheetId="6" hidden="1">#REF!</definedName>
    <definedName name="BExKMMFZIDRFNSBCWVADJ4S2JE52" localSheetId="21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localSheetId="4" hidden="1">#REF!</definedName>
    <definedName name="BExKMRZJS845FERFW6HUXLFAOMYD" localSheetId="6" hidden="1">#REF!</definedName>
    <definedName name="BExKMRZJS845FERFW6HUXLFAOMYD" localSheetId="21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localSheetId="4" hidden="1">#REF!</definedName>
    <definedName name="BExKMS514WWPGUGRYGTH6XU97T8B" localSheetId="6" hidden="1">#REF!</definedName>
    <definedName name="BExKMS514WWPGUGRYGTH6XU97T8B" localSheetId="21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localSheetId="4" hidden="1">#REF!</definedName>
    <definedName name="BExKMUDV8AH8HQAD5HJVUW7GFDWU" localSheetId="6" hidden="1">#REF!</definedName>
    <definedName name="BExKMUDV8AH8HQAD5HJVUW7GFDWU" localSheetId="21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localSheetId="4" hidden="1">#REF!</definedName>
    <definedName name="BExKMWBX4EH3EYJ07UFEM08NB40Z" localSheetId="6" hidden="1">#REF!</definedName>
    <definedName name="BExKMWBX4EH3EYJ07UFEM08NB40Z" localSheetId="21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localSheetId="4" hidden="1">#REF!</definedName>
    <definedName name="BExKN4Q70IU9OY91QRUSK3044MQD" localSheetId="6" hidden="1">#REF!</definedName>
    <definedName name="BExKN4Q70IU9OY91QRUSK3044MQD" localSheetId="21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localSheetId="4" hidden="1">#REF!</definedName>
    <definedName name="BExKNBGV2IR3S7M0BX4810KZB4V3" localSheetId="6" hidden="1">#REF!</definedName>
    <definedName name="BExKNBGV2IR3S7M0BX4810KZB4V3" localSheetId="21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localSheetId="4" hidden="1">#REF!</definedName>
    <definedName name="BExKNCTBZTSY3MO42VU5PLV6YUHZ" localSheetId="6" hidden="1">#REF!</definedName>
    <definedName name="BExKNCTBZTSY3MO42VU5PLV6YUHZ" localSheetId="21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localSheetId="4" hidden="1">#REF!</definedName>
    <definedName name="BExKNGV2YY749C42AQ2T9QNIE5C3" localSheetId="6" hidden="1">#REF!</definedName>
    <definedName name="BExKNGV2YY749C42AQ2T9QNIE5C3" localSheetId="21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localSheetId="4" hidden="1">#REF!</definedName>
    <definedName name="BExKNH0F1WPNUEQITIUN5T4NDX9H" localSheetId="6" hidden="1">#REF!</definedName>
    <definedName name="BExKNH0F1WPNUEQITIUN5T4NDX9H" localSheetId="21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localSheetId="4" hidden="1">#REF!</definedName>
    <definedName name="BExKNV8UOHVWEHDJWI2WMJ9X6QHZ" localSheetId="6" hidden="1">#REF!</definedName>
    <definedName name="BExKNV8UOHVWEHDJWI2WMJ9X6QHZ" localSheetId="21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localSheetId="4" hidden="1">#REF!</definedName>
    <definedName name="BExKNZLD7UATC1MYRNJD8H2NH4KU" localSheetId="6" hidden="1">#REF!</definedName>
    <definedName name="BExKNZLD7UATC1MYRNJD8H2NH4KU" localSheetId="21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localSheetId="4" hidden="1">#REF!</definedName>
    <definedName name="BExKNZQUKQQG2Y97R74G4O4BJP1L" localSheetId="6" hidden="1">#REF!</definedName>
    <definedName name="BExKNZQUKQQG2Y97R74G4O4BJP1L" localSheetId="21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localSheetId="4" hidden="1">#REF!</definedName>
    <definedName name="BExKO06X0EAD3ABEG1E8PWLDWHBA" localSheetId="6" hidden="1">#REF!</definedName>
    <definedName name="BExKO06X0EAD3ABEG1E8PWLDWHBA" localSheetId="21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localSheetId="4" hidden="1">#REF!</definedName>
    <definedName name="BExKO2AHHSGNI1AZOIOW21KPXKPE" localSheetId="6" hidden="1">#REF!</definedName>
    <definedName name="BExKO2AHHSGNI1AZOIOW21KPXKPE" localSheetId="21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localSheetId="4" hidden="1">#REF!</definedName>
    <definedName name="BExKO2FXWJWC5IZLDN8JHYILQJ2N" localSheetId="6" hidden="1">#REF!</definedName>
    <definedName name="BExKO2FXWJWC5IZLDN8JHYILQJ2N" localSheetId="21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localSheetId="4" hidden="1">#REF!</definedName>
    <definedName name="BExKO438WZ8FKOU00NURGFMOYXWN" localSheetId="6" hidden="1">#REF!</definedName>
    <definedName name="BExKO438WZ8FKOU00NURGFMOYXWN" localSheetId="21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localSheetId="4" hidden="1">#REF!</definedName>
    <definedName name="BExKO551EZ73M80UFHBQE7BQVU4L" localSheetId="6" hidden="1">#REF!</definedName>
    <definedName name="BExKO551EZ73M80UFHBQE7BQVU4L" localSheetId="21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localSheetId="4" hidden="1">#REF!</definedName>
    <definedName name="BExKOBA4VTRV9YG31IM1PDDO3J9M" localSheetId="6" hidden="1">#REF!</definedName>
    <definedName name="BExKOBA4VTRV9YG31IM1PDDO3J9M" localSheetId="21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localSheetId="4" hidden="1">#REF!</definedName>
    <definedName name="BExKODIZGWW2EQD0FEYW6WK6XLCM" localSheetId="6" hidden="1">#REF!</definedName>
    <definedName name="BExKODIZGWW2EQD0FEYW6WK6XLCM" localSheetId="21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localSheetId="4" hidden="1">#REF!</definedName>
    <definedName name="BExKOPO2HPWVQGAKW8LOZMPIDEFG" localSheetId="6" hidden="1">#REF!</definedName>
    <definedName name="BExKOPO2HPWVQGAKW8LOZMPIDEFG" localSheetId="21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localSheetId="4" hidden="1">#REF!</definedName>
    <definedName name="BExKP7SRQ3MN5BDYXV2XMBQNUH23" localSheetId="6" hidden="1">#REF!</definedName>
    <definedName name="BExKP7SRQ3MN5BDYXV2XMBQNUH23" localSheetId="21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localSheetId="4" hidden="1">#REF!</definedName>
    <definedName name="BExKPEZP0QTKOTLIMMIFSVTHQEEK" localSheetId="6" hidden="1">#REF!</definedName>
    <definedName name="BExKPEZP0QTKOTLIMMIFSVTHQEEK" localSheetId="21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localSheetId="4" hidden="1">#REF!</definedName>
    <definedName name="BExKPFFSVTL757PNITV8R9RN4452" localSheetId="6" hidden="1">#REF!</definedName>
    <definedName name="BExKPFFSVTL757PNITV8R9RN4452" localSheetId="21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localSheetId="4" hidden="1">#REF!</definedName>
    <definedName name="BExKPJHKPVROP9QX9BMBZMU2HEZ1" localSheetId="6" hidden="1">#REF!</definedName>
    <definedName name="BExKPJHKPVROP9QX9BMBZMU2HEZ1" localSheetId="21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localSheetId="4" hidden="1">#REF!</definedName>
    <definedName name="BExKPLQJX0HJ8OTXBXH9IC9J2V0W" localSheetId="6" hidden="1">#REF!</definedName>
    <definedName name="BExKPLQJX0HJ8OTXBXH9IC9J2V0W" localSheetId="21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localSheetId="4" hidden="1">#REF!</definedName>
    <definedName name="BExKPN8C7GN36ZJZHLOB74LU6KT0" localSheetId="6" hidden="1">#REF!</definedName>
    <definedName name="BExKPN8C7GN36ZJZHLOB74LU6KT0" localSheetId="21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localSheetId="4" hidden="1">#REF!</definedName>
    <definedName name="BExKPX9VZ1J5021Q98K60HMPJU58" localSheetId="6" hidden="1">#REF!</definedName>
    <definedName name="BExKPX9VZ1J5021Q98K60HMPJU58" localSheetId="21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localSheetId="4" hidden="1">#REF!</definedName>
    <definedName name="BExKQGGEP203MUWSJVORTY7RFOFT" localSheetId="6" hidden="1">#REF!</definedName>
    <definedName name="BExKQGGEP203MUWSJVORTY7RFOFT" localSheetId="21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localSheetId="4" hidden="1">#REF!</definedName>
    <definedName name="BExKQJGAAWNM3NT19E9I0CQDBTU0" localSheetId="6" hidden="1">#REF!</definedName>
    <definedName name="BExKQJGAAWNM3NT19E9I0CQDBTU0" localSheetId="21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localSheetId="4" hidden="1">#REF!</definedName>
    <definedName name="BExKQM5GJ1ZN5REKFE7YVBQ0KXWF" localSheetId="6" hidden="1">#REF!</definedName>
    <definedName name="BExKQM5GJ1ZN5REKFE7YVBQ0KXWF" localSheetId="21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localSheetId="4" hidden="1">#REF!</definedName>
    <definedName name="BExKQQ71278061G7ZFYGPWOMOMY2" localSheetId="6" hidden="1">#REF!</definedName>
    <definedName name="BExKQQ71278061G7ZFYGPWOMOMY2" localSheetId="21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localSheetId="4" hidden="1">#REF!</definedName>
    <definedName name="BExKQTXRG3ECU8NT47UR7643LO5G" localSheetId="6" hidden="1">#REF!</definedName>
    <definedName name="BExKQTXRG3ECU8NT47UR7643LO5G" localSheetId="21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localSheetId="4" hidden="1">#REF!</definedName>
    <definedName name="BExKQVL7HPOIZ4FHANDFMVOJLEPR" localSheetId="6" hidden="1">#REF!</definedName>
    <definedName name="BExKQVL7HPOIZ4FHANDFMVOJLEPR" localSheetId="21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localSheetId="4" hidden="1">#REF!</definedName>
    <definedName name="BExKR3ZAJRYXZB4M7XZPK0I7E55W" localSheetId="6" hidden="1">#REF!</definedName>
    <definedName name="BExKR3ZAJRYXZB4M7XZPK0I7E55W" localSheetId="21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localSheetId="4" hidden="1">#REF!</definedName>
    <definedName name="BExKR8RZSEHW184G0Z56B4EGNU72" localSheetId="6" hidden="1">#REF!</definedName>
    <definedName name="BExKR8RZSEHW184G0Z56B4EGNU72" localSheetId="21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localSheetId="4" hidden="1">#REF!</definedName>
    <definedName name="BExKRHM60KUPM7RGAAFRSKX4TMS5" localSheetId="6" hidden="1">#REF!</definedName>
    <definedName name="BExKRHM60KUPM7RGAAFRSKX4TMS5" localSheetId="21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localSheetId="4" hidden="1">#REF!</definedName>
    <definedName name="BExKRQB2LX164R610N3VXJPD3C1W" localSheetId="6" hidden="1">#REF!</definedName>
    <definedName name="BExKRQB2LX164R610N3VXJPD3C1W" localSheetId="21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localSheetId="4" hidden="1">#REF!</definedName>
    <definedName name="BExKRVUSQ6PA7ZYQSTEQL3X7PB9P" localSheetId="6" hidden="1">#REF!</definedName>
    <definedName name="BExKRVUSQ6PA7ZYQSTEQL3X7PB9P" localSheetId="21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localSheetId="4" hidden="1">#REF!</definedName>
    <definedName name="BExKRY3KZ7F7RB2KH8HXSQ85IEQO" localSheetId="6" hidden="1">#REF!</definedName>
    <definedName name="BExKRY3KZ7F7RB2KH8HXSQ85IEQO" localSheetId="21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localSheetId="4" hidden="1">#REF!</definedName>
    <definedName name="BExKS91CCVW1YKNE1EQ4MCE1E9JX" localSheetId="6" hidden="1">#REF!</definedName>
    <definedName name="BExKS91CCVW1YKNE1EQ4MCE1E9JX" localSheetId="21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localSheetId="4" hidden="1">#REF!</definedName>
    <definedName name="BExKSA37DZTCK6H13HPIKR0ZFVL8" localSheetId="6" hidden="1">#REF!</definedName>
    <definedName name="BExKSA37DZTCK6H13HPIKR0ZFVL8" localSheetId="21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localSheetId="4" hidden="1">#REF!</definedName>
    <definedName name="BExKSB51O073JLM4PEU353GBBSMI" localSheetId="6" hidden="1">#REF!</definedName>
    <definedName name="BExKSB51O073JLM4PEU353GBBSMI" localSheetId="21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localSheetId="4" hidden="1">#REF!</definedName>
    <definedName name="BExKSC1EDUXA6RM44LZV6HMMHKLX" localSheetId="6" hidden="1">#REF!</definedName>
    <definedName name="BExKSC1EDUXA6RM44LZV6HMMHKLX" localSheetId="21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localSheetId="4" hidden="1">#REF!</definedName>
    <definedName name="BExKSFMOMSZYDE0WNC94F40S6636" localSheetId="6" hidden="1">#REF!</definedName>
    <definedName name="BExKSFMOMSZYDE0WNC94F40S6636" localSheetId="21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localSheetId="4" hidden="1">#REF!</definedName>
    <definedName name="BExKSHQ9K79S8KYUWIV5M5LAHHF1" localSheetId="6" hidden="1">#REF!</definedName>
    <definedName name="BExKSHQ9K79S8KYUWIV5M5LAHHF1" localSheetId="21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localSheetId="4" hidden="1">#REF!</definedName>
    <definedName name="BExKSJTWG9L3FCX8FLK4EMUJMF27" localSheetId="6" hidden="1">#REF!</definedName>
    <definedName name="BExKSJTWG9L3FCX8FLK4EMUJMF27" localSheetId="21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localSheetId="4" hidden="1">#REF!</definedName>
    <definedName name="BExKSU0MKNAVZYYPKCYTZDWQX4R8" localSheetId="6" hidden="1">#REF!</definedName>
    <definedName name="BExKSU0MKNAVZYYPKCYTZDWQX4R8" localSheetId="21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localSheetId="4" hidden="1">#REF!</definedName>
    <definedName name="BExKSX60G1MUS689FXIGYP2F7C62" localSheetId="6" hidden="1">#REF!</definedName>
    <definedName name="BExKSX60G1MUS689FXIGYP2F7C62" localSheetId="21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localSheetId="4" hidden="1">#REF!</definedName>
    <definedName name="BExKT2UZ7Y2VWF5NQE18SJRLD2RN" localSheetId="6" hidden="1">#REF!</definedName>
    <definedName name="BExKT2UZ7Y2VWF5NQE18SJRLD2RN" localSheetId="21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localSheetId="4" hidden="1">#REF!</definedName>
    <definedName name="BExKT3GJFNGAM09H5F615E36A38C" localSheetId="6" hidden="1">#REF!</definedName>
    <definedName name="BExKT3GJFNGAM09H5F615E36A38C" localSheetId="21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localSheetId="4" hidden="1">#REF!</definedName>
    <definedName name="BExKTD1UM9PTLYETG1RM502XDNC0" localSheetId="6" hidden="1">#REF!</definedName>
    <definedName name="BExKTD1UM9PTLYETG1RM502XDNC0" localSheetId="21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localSheetId="4" hidden="1">#REF!</definedName>
    <definedName name="BExKTJN26AY45CE6JUAX3OIL48F7" localSheetId="6" hidden="1">#REF!</definedName>
    <definedName name="BExKTJN26AY45CE6JUAX3OIL48F7" localSheetId="21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localSheetId="4" hidden="1">#REF!</definedName>
    <definedName name="BExKTQZGN8GI3XGSEXMPCCA3S19H" localSheetId="6" hidden="1">#REF!</definedName>
    <definedName name="BExKTQZGN8GI3XGSEXMPCCA3S19H" localSheetId="21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localSheetId="4" hidden="1">#REF!</definedName>
    <definedName name="BExKTUKYYU0F6TUW1RXV24LRAZFE" localSheetId="6" hidden="1">#REF!</definedName>
    <definedName name="BExKTUKYYU0F6TUW1RXV24LRAZFE" localSheetId="21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localSheetId="4" hidden="1">#REF!</definedName>
    <definedName name="BExKU3FBLHQBIUTN6XEZW5GC9OG1" localSheetId="6" hidden="1">#REF!</definedName>
    <definedName name="BExKU3FBLHQBIUTN6XEZW5GC9OG1" localSheetId="21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localSheetId="4" hidden="1">#REF!</definedName>
    <definedName name="BExKU82I99FEUIZLODXJDOJC96CQ" localSheetId="6" hidden="1">#REF!</definedName>
    <definedName name="BExKU82I99FEUIZLODXJDOJC96CQ" localSheetId="21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localSheetId="4" hidden="1">#REF!</definedName>
    <definedName name="BExKUDM0DFSCM3D91SH0XLXJSL18" localSheetId="6" hidden="1">#REF!</definedName>
    <definedName name="BExKUDM0DFSCM3D91SH0XLXJSL18" localSheetId="21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localSheetId="4" hidden="1">#REF!</definedName>
    <definedName name="BExKUHYKD9TJTMQOOBS4EX04FCEZ" localSheetId="6" hidden="1">#REF!</definedName>
    <definedName name="BExKUHYKD9TJTMQOOBS4EX04FCEZ" localSheetId="21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localSheetId="4" hidden="1">#REF!</definedName>
    <definedName name="BExKULEKJLA77AUQPDUHSM94Y76Z" localSheetId="6" hidden="1">#REF!</definedName>
    <definedName name="BExKULEKJLA77AUQPDUHSM94Y76Z" localSheetId="21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localSheetId="4" hidden="1">#REF!</definedName>
    <definedName name="BExKUXE506JSYMR4CV866RHRDYR9" localSheetId="6" hidden="1">#REF!</definedName>
    <definedName name="BExKUXE506JSYMR4CV866RHRDYR9" localSheetId="21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localSheetId="4" hidden="1">#REF!</definedName>
    <definedName name="BExKV08R85MKI3MAX9E2HERNQUNL" localSheetId="6" hidden="1">#REF!</definedName>
    <definedName name="BExKV08R85MKI3MAX9E2HERNQUNL" localSheetId="21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localSheetId="4" hidden="1">#REF!</definedName>
    <definedName name="BExKV4AAUNNJL5JWD7PX6BFKVS6O" localSheetId="6" hidden="1">#REF!</definedName>
    <definedName name="BExKV4AAUNNJL5JWD7PX6BFKVS6O" localSheetId="21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localSheetId="4" hidden="1">#REF!</definedName>
    <definedName name="BExKVDVK6HN74GQPTXICP9BFC8CF" localSheetId="6" hidden="1">#REF!</definedName>
    <definedName name="BExKVDVK6HN74GQPTXICP9BFC8CF" localSheetId="21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localSheetId="4" hidden="1">#REF!</definedName>
    <definedName name="BExKVFZ3ZZGIC1QI8XN6BYFWN0ZY" localSheetId="6" hidden="1">#REF!</definedName>
    <definedName name="BExKVFZ3ZZGIC1QI8XN6BYFWN0ZY" localSheetId="21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localSheetId="4" hidden="1">#REF!</definedName>
    <definedName name="BExKVG4KGO28KPGTAFL1R8TTZ10N" localSheetId="6" hidden="1">#REF!</definedName>
    <definedName name="BExKVG4KGO28KPGTAFL1R8TTZ10N" localSheetId="21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localSheetId="4" hidden="1">#REF!</definedName>
    <definedName name="BExKW0CSH7DA02YSNV64PSEIXB2P" localSheetId="6" hidden="1">#REF!</definedName>
    <definedName name="BExKW0CSH7DA02YSNV64PSEIXB2P" localSheetId="21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localSheetId="4" hidden="1">#REF!</definedName>
    <definedName name="BExM9NUG3Q31X01AI9ZJCZIX25CS" localSheetId="6" hidden="1">#REF!</definedName>
    <definedName name="BExM9NUG3Q31X01AI9ZJCZIX25CS" localSheetId="21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localSheetId="4" hidden="1">#REF!</definedName>
    <definedName name="BExM9OG182RP30MY23PG49LVPZ1C" localSheetId="6" hidden="1">#REF!</definedName>
    <definedName name="BExM9OG182RP30MY23PG49LVPZ1C" localSheetId="21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localSheetId="4" hidden="1">#REF!</definedName>
    <definedName name="BExMA64MW1S18NH8DCKPCCEI5KCB" localSheetId="6" hidden="1">#REF!</definedName>
    <definedName name="BExMA64MW1S18NH8DCKPCCEI5KCB" localSheetId="21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localSheetId="4" hidden="1">#REF!</definedName>
    <definedName name="BExMALEWFUEM8Y686IT03ECURUBR" localSheetId="6" hidden="1">#REF!</definedName>
    <definedName name="BExMALEWFUEM8Y686IT03ECURUBR" localSheetId="21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localSheetId="4" hidden="1">#REF!</definedName>
    <definedName name="BExMAS0AQY7KMMTBTBPK0SWWDITB" localSheetId="6" hidden="1">#REF!</definedName>
    <definedName name="BExMAS0AQY7KMMTBTBPK0SWWDITB" localSheetId="21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localSheetId="4" hidden="1">#REF!</definedName>
    <definedName name="BExMAXJS82ZJ8RS22VLE0V0LDUII" localSheetId="6" hidden="1">#REF!</definedName>
    <definedName name="BExMAXJS82ZJ8RS22VLE0V0LDUII" localSheetId="21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localSheetId="4" hidden="1">#REF!</definedName>
    <definedName name="BExMB4QRS0R3MTB4CMUHFZ84LNZQ" localSheetId="6" hidden="1">#REF!</definedName>
    <definedName name="BExMB4QRS0R3MTB4CMUHFZ84LNZQ" localSheetId="21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localSheetId="4" hidden="1">#REF!</definedName>
    <definedName name="BExMB7AICZ233JKSCEUSR9RQXRS0" localSheetId="6" hidden="1">#REF!</definedName>
    <definedName name="BExMB7AICZ233JKSCEUSR9RQXRS0" localSheetId="21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localSheetId="4" hidden="1">#REF!</definedName>
    <definedName name="BExMBC35WKQY5CWQJLV4D05O6971" localSheetId="6" hidden="1">#REF!</definedName>
    <definedName name="BExMBC35WKQY5CWQJLV4D05O6971" localSheetId="21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localSheetId="4" hidden="1">#REF!</definedName>
    <definedName name="BExMBFTZV4Q1A5KG25C1N9PHQNSW" localSheetId="6" hidden="1">#REF!</definedName>
    <definedName name="BExMBFTZV4Q1A5KG25C1N9PHQNSW" localSheetId="21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localSheetId="4" hidden="1">#REF!</definedName>
    <definedName name="BExMBFZFXQDH3H55R89930TFTU36" localSheetId="6" hidden="1">#REF!</definedName>
    <definedName name="BExMBFZFXQDH3H55R89930TFTU36" localSheetId="21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localSheetId="4" hidden="1">#REF!</definedName>
    <definedName name="BExMBK6ISK3U7KHZKUJXIDKGF6VW" localSheetId="6" hidden="1">#REF!</definedName>
    <definedName name="BExMBK6ISK3U7KHZKUJXIDKGF6VW" localSheetId="21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localSheetId="4" hidden="1">#REF!</definedName>
    <definedName name="BExMBYPQDG9AYDQ5E8IECVFREPO6" localSheetId="6" hidden="1">#REF!</definedName>
    <definedName name="BExMBYPQDG9AYDQ5E8IECVFREPO6" localSheetId="21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localSheetId="4" hidden="1">#REF!</definedName>
    <definedName name="BExMC7PESEESXVMDCGGIP5LPMUGY" hidden="1">#REF!</definedName>
    <definedName name="BExMC8AZUTX8LG89K2JJR7ZG62XX" localSheetId="6" hidden="1">#REF!</definedName>
    <definedName name="BExMC8AZUTX8LG89K2JJR7ZG62XX" localSheetId="21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localSheetId="4" hidden="1">#REF!</definedName>
    <definedName name="BExMCA96YR10V72G2R0SCIKPZLIZ" localSheetId="6" hidden="1">#REF!</definedName>
    <definedName name="BExMCA96YR10V72G2R0SCIKPZLIZ" localSheetId="21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localSheetId="4" hidden="1">#REF!</definedName>
    <definedName name="BExMCB5JU5I2VQDUBS4O42BTEVKI" localSheetId="6" hidden="1">#REF!</definedName>
    <definedName name="BExMCB5JU5I2VQDUBS4O42BTEVKI" localSheetId="21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localSheetId="4" hidden="1">#REF!</definedName>
    <definedName name="BExMCFSQFSEMPY5IXDIRKZDASDBR" localSheetId="6" hidden="1">#REF!</definedName>
    <definedName name="BExMCFSQFSEMPY5IXDIRKZDASDBR" localSheetId="21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localSheetId="4" hidden="1">#REF!</definedName>
    <definedName name="BExMCH58I9XOLK7WEE6VSJGYPJGL" localSheetId="6" hidden="1">#REF!</definedName>
    <definedName name="BExMCH58I9XOLK7WEE6VSJGYPJGL" localSheetId="21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localSheetId="4" hidden="1">#REF!</definedName>
    <definedName name="BExMCMZOEYWVOOJ98TBHTTCS7XB8" localSheetId="6" hidden="1">#REF!</definedName>
    <definedName name="BExMCMZOEYWVOOJ98TBHTTCS7XB8" localSheetId="21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localSheetId="4" hidden="1">#REF!</definedName>
    <definedName name="BExMCS8EF2W3FS9QADNKREYSI8P0" localSheetId="6" hidden="1">#REF!</definedName>
    <definedName name="BExMCS8EF2W3FS9QADNKREYSI8P0" localSheetId="21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localSheetId="4" hidden="1">#REF!</definedName>
    <definedName name="BExMCSU0KZGHALEL7N5DJBVL94K7" localSheetId="6" hidden="1">#REF!</definedName>
    <definedName name="BExMCSU0KZGHALEL7N5DJBVL94K7" localSheetId="21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localSheetId="4" hidden="1">#REF!</definedName>
    <definedName name="BExMCUS7GSOM96J0HJ7EH0FFM2AC" localSheetId="6" hidden="1">#REF!</definedName>
    <definedName name="BExMCUS7GSOM96J0HJ7EH0FFM2AC" localSheetId="21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localSheetId="4" hidden="1">#REF!</definedName>
    <definedName name="BExMCYTT6TVDWMJXO1NZANRTVNAN" localSheetId="6" hidden="1">#REF!</definedName>
    <definedName name="BExMCYTT6TVDWMJXO1NZANRTVNAN" localSheetId="21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localSheetId="4" hidden="1">#REF!</definedName>
    <definedName name="BExMD54CT1VTE5YGBM90H90NF28M" localSheetId="6" hidden="1">#REF!</definedName>
    <definedName name="BExMD54CT1VTE5YGBM90H90NF28M" localSheetId="21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localSheetId="4" hidden="1">#REF!</definedName>
    <definedName name="BExMD5F6IAV108XYJLXUO9HD0IT6" localSheetId="6" hidden="1">#REF!</definedName>
    <definedName name="BExMD5F6IAV108XYJLXUO9HD0IT6" localSheetId="21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localSheetId="4" hidden="1">#REF!</definedName>
    <definedName name="BExMDANV66W9T3XAXID40XFJ0J93" localSheetId="6" hidden="1">#REF!</definedName>
    <definedName name="BExMDANV66W9T3XAXID40XFJ0J93" localSheetId="21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localSheetId="4" hidden="1">#REF!</definedName>
    <definedName name="BExMDGD1KQP7NNR78X2ZX4FCBQ1S" localSheetId="6" hidden="1">#REF!</definedName>
    <definedName name="BExMDGD1KQP7NNR78X2ZX4FCBQ1S" localSheetId="21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localSheetId="4" hidden="1">#REF!</definedName>
    <definedName name="BExMDIRDK0DI8P86HB7WPH8QWLSQ" localSheetId="6" hidden="1">#REF!</definedName>
    <definedName name="BExMDIRDK0DI8P86HB7WPH8QWLSQ" localSheetId="21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localSheetId="4" hidden="1">#REF!</definedName>
    <definedName name="BExMDOWGDLP3BZZB4ZPI31VS10FP" localSheetId="6" hidden="1">#REF!</definedName>
    <definedName name="BExMDOWGDLP3BZZB4ZPI31VS10FP" localSheetId="21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localSheetId="4" hidden="1">#REF!</definedName>
    <definedName name="BExMDPI2FVMORSWDDCVAJ85WYAYO" localSheetId="6" hidden="1">#REF!</definedName>
    <definedName name="BExMDPI2FVMORSWDDCVAJ85WYAYO" localSheetId="21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localSheetId="4" hidden="1">#REF!</definedName>
    <definedName name="BExMDUWB7VWHFFR266QXO46BNV2S" localSheetId="6" hidden="1">#REF!</definedName>
    <definedName name="BExMDUWB7VWHFFR266QXO46BNV2S" localSheetId="21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localSheetId="4" hidden="1">#REF!</definedName>
    <definedName name="BExME2U47N8LZG0BPJ49ANY5QVV2" localSheetId="6" hidden="1">#REF!</definedName>
    <definedName name="BExME2U47N8LZG0BPJ49ANY5QVV2" localSheetId="21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localSheetId="4" hidden="1">#REF!</definedName>
    <definedName name="BExME88DH5DUKMUFI9FNVECXFD2E" localSheetId="6" hidden="1">#REF!</definedName>
    <definedName name="BExME88DH5DUKMUFI9FNVECXFD2E" localSheetId="21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localSheetId="4" hidden="1">#REF!</definedName>
    <definedName name="BExME9A7MOGAK7YTTQYXP5DL6VYA" localSheetId="6" hidden="1">#REF!</definedName>
    <definedName name="BExME9A7MOGAK7YTTQYXP5DL6VYA" localSheetId="21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localSheetId="4" hidden="1">#REF!</definedName>
    <definedName name="BExMEOV9YFRY5C3GDLU60GIX10BY" localSheetId="6" hidden="1">#REF!</definedName>
    <definedName name="BExMEOV9YFRY5C3GDLU60GIX10BY" localSheetId="21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localSheetId="4" hidden="1">#REF!</definedName>
    <definedName name="BExMEUK2Q5GZGZFZ77Z2IYUKOOYW" localSheetId="6" hidden="1">#REF!</definedName>
    <definedName name="BExMEUK2Q5GZGZFZ77Z2IYUKOOYW" localSheetId="21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localSheetId="4" hidden="1">#REF!</definedName>
    <definedName name="BExMEWT36INWIP0VNS94NEP3WZ4U" localSheetId="6" hidden="1">#REF!</definedName>
    <definedName name="BExMEWT36INWIP0VNS94NEP3WZ4U" localSheetId="21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localSheetId="4" hidden="1">#REF!</definedName>
    <definedName name="BExMEY09ESM4H2YGKEQQRYUD114R" localSheetId="6" hidden="1">#REF!</definedName>
    <definedName name="BExMEY09ESM4H2YGKEQQRYUD114R" localSheetId="21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localSheetId="4" hidden="1">#REF!</definedName>
    <definedName name="BExMF0UU4SBJHOJ4SG09QMF1TC7H" localSheetId="6" hidden="1">#REF!</definedName>
    <definedName name="BExMF0UU4SBJHOJ4SG09QMF1TC7H" localSheetId="21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localSheetId="4" hidden="1">#REF!</definedName>
    <definedName name="BExMF2YDPQWGK3CSN8LJG16MLFQZ" localSheetId="6" hidden="1">#REF!</definedName>
    <definedName name="BExMF2YDPQWGK3CSN8LJG16MLFQZ" localSheetId="21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localSheetId="4" hidden="1">#REF!</definedName>
    <definedName name="BExMF4G4IUPQY1Y5GEY5N3E04CL6" localSheetId="6" hidden="1">#REF!</definedName>
    <definedName name="BExMF4G4IUPQY1Y5GEY5N3E04CL6" localSheetId="21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localSheetId="4" hidden="1">#REF!</definedName>
    <definedName name="BExMF9UIGYMOAQK0ELUWP0S0HZZY" localSheetId="6" hidden="1">#REF!</definedName>
    <definedName name="BExMF9UIGYMOAQK0ELUWP0S0HZZY" localSheetId="21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localSheetId="4" hidden="1">#REF!</definedName>
    <definedName name="BExMFDLBSWFMRDYJ2DZETI3EXKN2" localSheetId="6" hidden="1">#REF!</definedName>
    <definedName name="BExMFDLBSWFMRDYJ2DZETI3EXKN2" localSheetId="21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localSheetId="4" hidden="1">#REF!</definedName>
    <definedName name="BExMFLDTMRTCHKA37LQW67BG8D5C" localSheetId="6" hidden="1">#REF!</definedName>
    <definedName name="BExMFLDTMRTCHKA37LQW67BG8D5C" localSheetId="21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localSheetId="4" hidden="1">#REF!</definedName>
    <definedName name="BExMFTH63LTWA2JYJTJYMT5K2OF2" localSheetId="6" hidden="1">#REF!</definedName>
    <definedName name="BExMFTH63LTWA2JYJTJYMT5K2OF2" localSheetId="21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localSheetId="4" hidden="1">#REF!</definedName>
    <definedName name="BExMFY4AG5T27EVMCCNE00GOAR66" localSheetId="6" hidden="1">#REF!</definedName>
    <definedName name="BExMFY4AG5T27EVMCCNE00GOAR66" localSheetId="21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localSheetId="4" hidden="1">#REF!</definedName>
    <definedName name="BExMGQQNOFER1MEVQ961XARTRIOB" localSheetId="6" hidden="1">#REF!</definedName>
    <definedName name="BExMGQQNOFER1MEVQ961XARTRIOB" localSheetId="21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localSheetId="4" hidden="1">#REF!</definedName>
    <definedName name="BExMH189E60TZBQFN2UWVA1UZA7X" localSheetId="6" hidden="1">#REF!</definedName>
    <definedName name="BExMH189E60TZBQFN2UWVA1UZA7X" localSheetId="21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localSheetId="4" hidden="1">#REF!</definedName>
    <definedName name="BExMH3H9TW5TJCNU5Z1EWXP3BAEP" localSheetId="6" hidden="1">#REF!</definedName>
    <definedName name="BExMH3H9TW5TJCNU5Z1EWXP3BAEP" localSheetId="21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localSheetId="4" hidden="1">#REF!</definedName>
    <definedName name="BExMH5A1B01SYXROP70DOKTQ5D6Z" localSheetId="6" hidden="1">#REF!</definedName>
    <definedName name="BExMH5A1B01SYXROP70DOKTQ5D6Z" localSheetId="21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localSheetId="4" hidden="1">#REF!</definedName>
    <definedName name="BExMHCGUJ8A3L31NU0XU0FGXE4P3" localSheetId="6" hidden="1">#REF!</definedName>
    <definedName name="BExMHCGUJ8A3L31NU0XU0FGXE4P3" localSheetId="21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localSheetId="4" hidden="1">#REF!</definedName>
    <definedName name="BExMHOWPB34KPZ76M2KIX2C9R2VB" localSheetId="6" hidden="1">#REF!</definedName>
    <definedName name="BExMHOWPB34KPZ76M2KIX2C9R2VB" localSheetId="21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localSheetId="4" hidden="1">#REF!</definedName>
    <definedName name="BExMHSSYC6KVHA3QDTSYPN92TWMI" localSheetId="6" hidden="1">#REF!</definedName>
    <definedName name="BExMHSSYC6KVHA3QDTSYPN92TWMI" localSheetId="21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localSheetId="4" hidden="1">#REF!</definedName>
    <definedName name="BExMI3AJ9477KDL4T9DHET4LJJTW" localSheetId="6" hidden="1">#REF!</definedName>
    <definedName name="BExMI3AJ9477KDL4T9DHET4LJJTW" localSheetId="21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localSheetId="4" hidden="1">#REF!</definedName>
    <definedName name="BExMI6QQ20XHD0NWJUN741B37182" localSheetId="6" hidden="1">#REF!</definedName>
    <definedName name="BExMI6QQ20XHD0NWJUN741B37182" localSheetId="21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localSheetId="4" hidden="1">#REF!</definedName>
    <definedName name="BExMI7MYDIMC9K16SBAFUY33RHK6" localSheetId="6" hidden="1">#REF!</definedName>
    <definedName name="BExMI7MYDIMC9K16SBAFUY33RHK6" localSheetId="21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localSheetId="4" hidden="1">#REF!</definedName>
    <definedName name="BExMI8JB94SBD9EMNJEK7Y2T6GYU" localSheetId="6" hidden="1">#REF!</definedName>
    <definedName name="BExMI8JB94SBD9EMNJEK7Y2T6GYU" localSheetId="21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localSheetId="4" hidden="1">#REF!</definedName>
    <definedName name="BExMI8OS85YTW3KYVE4YD0R7Z6UV" localSheetId="6" hidden="1">#REF!</definedName>
    <definedName name="BExMI8OS85YTW3KYVE4YD0R7Z6UV" localSheetId="21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localSheetId="4" hidden="1">#REF!</definedName>
    <definedName name="BExMI9QNOMVZ44I3BFMGU1EL1RSY" localSheetId="6" hidden="1">#REF!</definedName>
    <definedName name="BExMI9QNOMVZ44I3BFMGU1EL1RSY" localSheetId="21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localSheetId="4" hidden="1">#REF!</definedName>
    <definedName name="BExMIBOOZU40JS3F89OMPSRCE9MM" localSheetId="6" hidden="1">#REF!</definedName>
    <definedName name="BExMIBOOZU40JS3F89OMPSRCE9MM" localSheetId="21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localSheetId="4" hidden="1">#REF!</definedName>
    <definedName name="BExMIIQ5MBWSIHTFWAQADXMZC22Q" localSheetId="6" hidden="1">#REF!</definedName>
    <definedName name="BExMIIQ5MBWSIHTFWAQADXMZC22Q" localSheetId="21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localSheetId="4" hidden="1">#REF!</definedName>
    <definedName name="BExMIL4I2GE866I25CR5JBLJWJ6A" localSheetId="6" hidden="1">#REF!</definedName>
    <definedName name="BExMIL4I2GE866I25CR5JBLJWJ6A" localSheetId="21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localSheetId="4" hidden="1">#REF!</definedName>
    <definedName name="BExMIRKIPF27SNO82SPFSB3T5U17" localSheetId="6" hidden="1">#REF!</definedName>
    <definedName name="BExMIRKIPF27SNO82SPFSB3T5U17" localSheetId="21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localSheetId="4" hidden="1">#REF!</definedName>
    <definedName name="BExMIV0KC8555D5E42ZGWG15Y0MO" localSheetId="6" hidden="1">#REF!</definedName>
    <definedName name="BExMIV0KC8555D5E42ZGWG15Y0MO" localSheetId="21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localSheetId="4" hidden="1">#REF!</definedName>
    <definedName name="BExMIZT6AN7E6YMW2S87CTCN2UXH" localSheetId="6" hidden="1">#REF!</definedName>
    <definedName name="BExMIZT6AN7E6YMW2S87CTCN2UXH" localSheetId="21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localSheetId="4" hidden="1">#REF!</definedName>
    <definedName name="BExMJB76UESLVRD81AJBOB78JDTT" localSheetId="6" hidden="1">#REF!</definedName>
    <definedName name="BExMJB76UESLVRD81AJBOB78JDTT" localSheetId="21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localSheetId="4" hidden="1">#REF!</definedName>
    <definedName name="BExMJI8OLFZQCGOW3F99ETW8A21E" localSheetId="6" hidden="1">#REF!</definedName>
    <definedName name="BExMJI8OLFZQCGOW3F99ETW8A21E" localSheetId="21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localSheetId="4" hidden="1">#REF!</definedName>
    <definedName name="BExMJNC8ZFB9DRFOJ961ZAJ8U3A8" localSheetId="6" hidden="1">#REF!</definedName>
    <definedName name="BExMJNC8ZFB9DRFOJ961ZAJ8U3A8" localSheetId="21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localSheetId="4" hidden="1">#REF!</definedName>
    <definedName name="BExMJTBV8A3D31W2IQHP9RDFPPHQ" localSheetId="6" hidden="1">#REF!</definedName>
    <definedName name="BExMJTBV8A3D31W2IQHP9RDFPPHQ" localSheetId="21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localSheetId="4" hidden="1">#REF!</definedName>
    <definedName name="BExMK2RTXN4QJWEUNX002XK8VQP8" localSheetId="6" hidden="1">#REF!</definedName>
    <definedName name="BExMK2RTXN4QJWEUNX002XK8VQP8" localSheetId="21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localSheetId="4" hidden="1">#REF!</definedName>
    <definedName name="BExMKBGQDUZ8AWXYHA3QVMSDVZ3D" localSheetId="6" hidden="1">#REF!</definedName>
    <definedName name="BExMKBGQDUZ8AWXYHA3QVMSDVZ3D" localSheetId="21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localSheetId="4" hidden="1">#REF!</definedName>
    <definedName name="BExMKBM1467553LDFZRRKVSHN374" localSheetId="6" hidden="1">#REF!</definedName>
    <definedName name="BExMKBM1467553LDFZRRKVSHN374" localSheetId="21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localSheetId="4" hidden="1">#REF!</definedName>
    <definedName name="BExMKGK5FJUC0AU8MABRGDC5ZM70" localSheetId="6" hidden="1">#REF!</definedName>
    <definedName name="BExMKGK5FJUC0AU8MABRGDC5ZM70" localSheetId="21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localSheetId="4" hidden="1">#REF!</definedName>
    <definedName name="BExMKP92JGBM5BJO174H9A4HQIB9" localSheetId="6" hidden="1">#REF!</definedName>
    <definedName name="BExMKP92JGBM5BJO174H9A4HQIB9" localSheetId="21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localSheetId="4" hidden="1">#REF!</definedName>
    <definedName name="BExMKTW7R5SOV4PHAFGHU3W73DYE" localSheetId="6" hidden="1">#REF!</definedName>
    <definedName name="BExMKTW7R5SOV4PHAFGHU3W73DYE" localSheetId="21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localSheetId="4" hidden="1">#REF!</definedName>
    <definedName name="BExMKU7051J2W1RQXGZGE62NBRUZ" localSheetId="6" hidden="1">#REF!</definedName>
    <definedName name="BExMKU7051J2W1RQXGZGE62NBRUZ" localSheetId="21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localSheetId="4" hidden="1">#REF!</definedName>
    <definedName name="BExMKUN3WPECJR2XRID2R7GZRGNX" localSheetId="6" hidden="1">#REF!</definedName>
    <definedName name="BExMKUN3WPECJR2XRID2R7GZRGNX" localSheetId="21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localSheetId="4" hidden="1">#REF!</definedName>
    <definedName name="BExMKZ535P011X4TNV16GCOH4H21" localSheetId="6" hidden="1">#REF!</definedName>
    <definedName name="BExMKZ535P011X4TNV16GCOH4H21" localSheetId="21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localSheetId="4" hidden="1">#REF!</definedName>
    <definedName name="BExML3XQNDIMX55ZCHHXKUV3D6E6" localSheetId="6" hidden="1">#REF!</definedName>
    <definedName name="BExML3XQNDIMX55ZCHHXKUV3D6E6" localSheetId="21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localSheetId="4" hidden="1">#REF!</definedName>
    <definedName name="BExML5QGSWHLI18BGY4CGOTD3UWH" localSheetId="6" hidden="1">#REF!</definedName>
    <definedName name="BExML5QGSWHLI18BGY4CGOTD3UWH" localSheetId="21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localSheetId="4" hidden="1">#REF!</definedName>
    <definedName name="BExML6BVFCV80776USR7X70HVRZT" localSheetId="6" hidden="1">#REF!</definedName>
    <definedName name="BExML6BVFCV80776USR7X70HVRZT" localSheetId="21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localSheetId="4" hidden="1">#REF!</definedName>
    <definedName name="BExMLO5Z61RE85X8HHX2G4IU3AZW" localSheetId="6" hidden="1">#REF!</definedName>
    <definedName name="BExMLO5Z61RE85X8HHX2G4IU3AZW" localSheetId="21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localSheetId="4" hidden="1">#REF!</definedName>
    <definedName name="BExMLVI7UORSHM9FMO8S2EI0TMTS" localSheetId="6" hidden="1">#REF!</definedName>
    <definedName name="BExMLVI7UORSHM9FMO8S2EI0TMTS" localSheetId="21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localSheetId="4" hidden="1">#REF!</definedName>
    <definedName name="BExMM5UCOT2HSSN0ZIPZW55GSOVO" localSheetId="6" hidden="1">#REF!</definedName>
    <definedName name="BExMM5UCOT2HSSN0ZIPZW55GSOVO" localSheetId="21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localSheetId="4" hidden="1">#REF!</definedName>
    <definedName name="BExMM8ZRS5RQ8H1H55RVPVTDL5NL" localSheetId="6" hidden="1">#REF!</definedName>
    <definedName name="BExMM8ZRS5RQ8H1H55RVPVTDL5NL" localSheetId="21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localSheetId="4" hidden="1">#REF!</definedName>
    <definedName name="BExMMH8EAZB09XXQ5X4LR0P4NHG9" localSheetId="6" hidden="1">#REF!</definedName>
    <definedName name="BExMMH8EAZB09XXQ5X4LR0P4NHG9" localSheetId="21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localSheetId="4" hidden="1">#REF!</definedName>
    <definedName name="BExMMIQH5BABNZVCIQ7TBCQ10AY5" localSheetId="6" hidden="1">#REF!</definedName>
    <definedName name="BExMMIQH5BABNZVCIQ7TBCQ10AY5" localSheetId="21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localSheetId="4" hidden="1">#REF!</definedName>
    <definedName name="BExMMNIZ2T7M22WECMUQXEF4NJ71" localSheetId="6" hidden="1">#REF!</definedName>
    <definedName name="BExMMNIZ2T7M22WECMUQXEF4NJ71" localSheetId="21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localSheetId="4" hidden="1">#REF!</definedName>
    <definedName name="BExMMPMIOU7BURTV0L1K6ACW9X73" localSheetId="6" hidden="1">#REF!</definedName>
    <definedName name="BExMMPMIOU7BURTV0L1K6ACW9X73" localSheetId="21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localSheetId="4" hidden="1">#REF!</definedName>
    <definedName name="BExMMQ835AJDHS4B419SS645P67Q" localSheetId="6" hidden="1">#REF!</definedName>
    <definedName name="BExMMQ835AJDHS4B419SS645P67Q" localSheetId="21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localSheetId="4" hidden="1">#REF!</definedName>
    <definedName name="BExMMQIUVPCOBISTEJJYNCCLUCPY" localSheetId="6" hidden="1">#REF!</definedName>
    <definedName name="BExMMQIUVPCOBISTEJJYNCCLUCPY" localSheetId="21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localSheetId="4" hidden="1">#REF!</definedName>
    <definedName name="BExMMTIXETA5VAKBSOFDD5SRU887" localSheetId="6" hidden="1">#REF!</definedName>
    <definedName name="BExMMTIXETA5VAKBSOFDD5SRU887" localSheetId="21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localSheetId="4" hidden="1">#REF!</definedName>
    <definedName name="BExMMV0P6P5YS3C35G0JYYHI7992" localSheetId="6" hidden="1">#REF!</definedName>
    <definedName name="BExMMV0P6P5YS3C35G0JYYHI7992" localSheetId="21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localSheetId="4" hidden="1">#REF!</definedName>
    <definedName name="BExMNJLFWZBRN9PZF1IO9CYWV1B2" localSheetId="6" hidden="1">#REF!</definedName>
    <definedName name="BExMNJLFWZBRN9PZF1IO9CYWV1B2" localSheetId="21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localSheetId="4" hidden="1">#REF!</definedName>
    <definedName name="BExMNKCJ0FA57YEUUAJE43U1QN5P" localSheetId="6" hidden="1">#REF!</definedName>
    <definedName name="BExMNKCJ0FA57YEUUAJE43U1QN5P" localSheetId="21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localSheetId="4" hidden="1">#REF!</definedName>
    <definedName name="BExMNKN5D1WEF2OOJVP6LZ6DLU3Y" localSheetId="6" hidden="1">#REF!</definedName>
    <definedName name="BExMNKN5D1WEF2OOJVP6LZ6DLU3Y" localSheetId="21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localSheetId="4" hidden="1">#REF!</definedName>
    <definedName name="BExMNR38HMPLWAJRQ9MMS3ZAZ9IU" localSheetId="6" hidden="1">#REF!</definedName>
    <definedName name="BExMNR38HMPLWAJRQ9MMS3ZAZ9IU" localSheetId="21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localSheetId="4" hidden="1">#REF!</definedName>
    <definedName name="BExMNRDZULKJMVY2VKIIRM2M5A1M" localSheetId="6" hidden="1">#REF!</definedName>
    <definedName name="BExMNRDZULKJMVY2VKIIRM2M5A1M" localSheetId="21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localSheetId="4" hidden="1">#REF!</definedName>
    <definedName name="BExMNVFKZIBQSCAH71DIF1CJG89T" localSheetId="6" hidden="1">#REF!</definedName>
    <definedName name="BExMNVFKZIBQSCAH71DIF1CJG89T" localSheetId="21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localSheetId="4" hidden="1">#REF!</definedName>
    <definedName name="BExMNVVUQAGQY9SA29FGI7D7R5MN" localSheetId="6" hidden="1">#REF!</definedName>
    <definedName name="BExMNVVUQAGQY9SA29FGI7D7R5MN" localSheetId="21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localSheetId="4" hidden="1">#REF!</definedName>
    <definedName name="BExMO9IOWKTWHO8LQJJQI5P3INWY" localSheetId="6" hidden="1">#REF!</definedName>
    <definedName name="BExMO9IOWKTWHO8LQJJQI5P3INWY" localSheetId="21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localSheetId="4" hidden="1">#REF!</definedName>
    <definedName name="BExMOI29DOEK5R1A5QZPUDKF7N6T" localSheetId="6" hidden="1">#REF!</definedName>
    <definedName name="BExMOI29DOEK5R1A5QZPUDKF7N6T" localSheetId="21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localSheetId="4" hidden="1">#REF!</definedName>
    <definedName name="BExMONRAU0S904NLJHPI47RVQDBH" localSheetId="6" hidden="1">#REF!</definedName>
    <definedName name="BExMONRAU0S904NLJHPI47RVQDBH" localSheetId="21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localSheetId="4" hidden="1">#REF!</definedName>
    <definedName name="BExMPAJ5AJAXGKGK3F6H3ODS6RF4" localSheetId="6" hidden="1">#REF!</definedName>
    <definedName name="BExMPAJ5AJAXGKGK3F6H3ODS6RF4" localSheetId="21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localSheetId="4" hidden="1">#REF!</definedName>
    <definedName name="BExMPD2X55FFBVJ6CBUKNPROIOEU" localSheetId="6" hidden="1">#REF!</definedName>
    <definedName name="BExMPD2X55FFBVJ6CBUKNPROIOEU" localSheetId="21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localSheetId="4" hidden="1">#REF!</definedName>
    <definedName name="BExMPGZ848E38FUH1JBQN97DGWAT" localSheetId="6" hidden="1">#REF!</definedName>
    <definedName name="BExMPGZ848E38FUH1JBQN97DGWAT" localSheetId="21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localSheetId="4" hidden="1">#REF!</definedName>
    <definedName name="BExMPMTICOSMQENOFKQ18K0ZT4S8" localSheetId="6" hidden="1">#REF!</definedName>
    <definedName name="BExMPMTICOSMQENOFKQ18K0ZT4S8" localSheetId="21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localSheetId="4" hidden="1">#REF!</definedName>
    <definedName name="BExMPMZ07II0R4KGWQQ7PGS3RZS4" localSheetId="6" hidden="1">#REF!</definedName>
    <definedName name="BExMPMZ07II0R4KGWQQ7PGS3RZS4" localSheetId="21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localSheetId="4" hidden="1">#REF!</definedName>
    <definedName name="BExMPOBH04JMDO6Z8DMSEJZM4ANN" localSheetId="6" hidden="1">#REF!</definedName>
    <definedName name="BExMPOBH04JMDO6Z8DMSEJZM4ANN" localSheetId="21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localSheetId="4" hidden="1">#REF!</definedName>
    <definedName name="BExMPSD77XQ3HA6A4FZOJK8G2JP3" localSheetId="6" hidden="1">#REF!</definedName>
    <definedName name="BExMPSD77XQ3HA6A4FZOJK8G2JP3" localSheetId="21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localSheetId="4" hidden="1">#REF!</definedName>
    <definedName name="BExMQ4I3Q7F0BMPHSFMFW9TZ87UD" localSheetId="6" hidden="1">#REF!</definedName>
    <definedName name="BExMQ4I3Q7F0BMPHSFMFW9TZ87UD" localSheetId="21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localSheetId="4" hidden="1">#REF!</definedName>
    <definedName name="BExMQ4SWDWI4N16AZ0T5CJ6HH8WC" localSheetId="6" hidden="1">#REF!</definedName>
    <definedName name="BExMQ4SWDWI4N16AZ0T5CJ6HH8WC" localSheetId="21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localSheetId="4" hidden="1">#REF!</definedName>
    <definedName name="BExMQ71WHW50GVX45JU951AGPLFQ" localSheetId="6" hidden="1">#REF!</definedName>
    <definedName name="BExMQ71WHW50GVX45JU951AGPLFQ" localSheetId="21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localSheetId="4" hidden="1">#REF!</definedName>
    <definedName name="BExMQGXSLPT4A6N47LE6FBVHWBOF" localSheetId="6" hidden="1">#REF!</definedName>
    <definedName name="BExMQGXSLPT4A6N47LE6FBVHWBOF" localSheetId="21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localSheetId="4" hidden="1">#REF!</definedName>
    <definedName name="BExMQNZGFHW75W9HWRCR0FEF0XF0" localSheetId="6" hidden="1">#REF!</definedName>
    <definedName name="BExMQNZGFHW75W9HWRCR0FEF0XF0" localSheetId="21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localSheetId="4" hidden="1">#REF!</definedName>
    <definedName name="BExMQRKVQPDFPD0WQUA9QND8OV7P" localSheetId="6" hidden="1">#REF!</definedName>
    <definedName name="BExMQRKVQPDFPD0WQUA9QND8OV7P" localSheetId="21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localSheetId="4" hidden="1">#REF!</definedName>
    <definedName name="BExMQSBR7PL4KLB1Q4961QO45Y4G" localSheetId="6" hidden="1">#REF!</definedName>
    <definedName name="BExMQSBR7PL4KLB1Q4961QO45Y4G" localSheetId="21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localSheetId="4" hidden="1">#REF!</definedName>
    <definedName name="BExMR1MA4I1X77714ZEPUVC8W398" localSheetId="6" hidden="1">#REF!</definedName>
    <definedName name="BExMR1MA4I1X77714ZEPUVC8W398" localSheetId="21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localSheetId="4" hidden="1">#REF!</definedName>
    <definedName name="BExMR8YQHA7N77HGHY4Y6R30I3XT" localSheetId="6" hidden="1">#REF!</definedName>
    <definedName name="BExMR8YQHA7N77HGHY4Y6R30I3XT" localSheetId="21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localSheetId="4" hidden="1">#REF!</definedName>
    <definedName name="BExMRENOIARWRYOIVPDIEBVNRDO7" localSheetId="6" hidden="1">#REF!</definedName>
    <definedName name="BExMRENOIARWRYOIVPDIEBVNRDO7" localSheetId="21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localSheetId="4" hidden="1">#REF!</definedName>
    <definedName name="BExMRF3SCIUZL945WMMDCT29MTLN" localSheetId="6" hidden="1">#REF!</definedName>
    <definedName name="BExMRF3SCIUZL945WMMDCT29MTLN" localSheetId="21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localSheetId="4" hidden="1">#REF!</definedName>
    <definedName name="BExMRRJNUMGRSDD5GGKKGEIZ6FTS" localSheetId="6" hidden="1">#REF!</definedName>
    <definedName name="BExMRRJNUMGRSDD5GGKKGEIZ6FTS" localSheetId="21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localSheetId="4" hidden="1">#REF!</definedName>
    <definedName name="BExMRU3ACIU0RD2BNWO55LH5U2BR" localSheetId="6" hidden="1">#REF!</definedName>
    <definedName name="BExMRU3ACIU0RD2BNWO55LH5U2BR" localSheetId="21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localSheetId="4" hidden="1">#REF!</definedName>
    <definedName name="BExMRWC9LD1LDAVIUQHQWIYMK129" localSheetId="6" hidden="1">#REF!</definedName>
    <definedName name="BExMRWC9LD1LDAVIUQHQWIYMK129" localSheetId="21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localSheetId="4" hidden="1">#REF!</definedName>
    <definedName name="BExMSBH3T898ERC4BT51ZURKDCH1" localSheetId="6" hidden="1">#REF!</definedName>
    <definedName name="BExMSBH3T898ERC4BT51ZURKDCH1" localSheetId="21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localSheetId="4" hidden="1">#REF!</definedName>
    <definedName name="BExMSQRCC40AP8BDUPL2I2DNC210" localSheetId="6" hidden="1">#REF!</definedName>
    <definedName name="BExMSQRCC40AP8BDUPL2I2DNC210" localSheetId="21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localSheetId="4" hidden="1">#REF!</definedName>
    <definedName name="BExO4J9LR712G00TVA82VNTG8O7H" localSheetId="6" hidden="1">#REF!</definedName>
    <definedName name="BExO4J9LR712G00TVA82VNTG8O7H" localSheetId="21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localSheetId="4" hidden="1">#REF!</definedName>
    <definedName name="BExO55G2KVZ7MIJ30N827CLH0I2A" localSheetId="6" hidden="1">#REF!</definedName>
    <definedName name="BExO55G2KVZ7MIJ30N827CLH0I2A" localSheetId="21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localSheetId="4" hidden="1">#REF!</definedName>
    <definedName name="BExO5A8PZD9EUHC5CMPU6N3SQ15L" localSheetId="6" hidden="1">#REF!</definedName>
    <definedName name="BExO5A8PZD9EUHC5CMPU6N3SQ15L" localSheetId="21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localSheetId="4" hidden="1">#REF!</definedName>
    <definedName name="BExO5XMAHL7CY3X0B1OPKZ28DCJ5" localSheetId="6" hidden="1">#REF!</definedName>
    <definedName name="BExO5XMAHL7CY3X0B1OPKZ28DCJ5" localSheetId="21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localSheetId="4" hidden="1">#REF!</definedName>
    <definedName name="BExO66LZJKY4PTQVREELI6POS4AY" localSheetId="6" hidden="1">#REF!</definedName>
    <definedName name="BExO66LZJKY4PTQVREELI6POS4AY" localSheetId="21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localSheetId="4" hidden="1">#REF!</definedName>
    <definedName name="BExO6LLHCYTF7CIVHKAO0NMET14Q" localSheetId="6" hidden="1">#REF!</definedName>
    <definedName name="BExO6LLHCYTF7CIVHKAO0NMET14Q" localSheetId="21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localSheetId="4" hidden="1">#REF!</definedName>
    <definedName name="BExO6NOZIPWELHV0XX25APL9UNOP" localSheetId="6" hidden="1">#REF!</definedName>
    <definedName name="BExO6NOZIPWELHV0XX25APL9UNOP" localSheetId="21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localSheetId="4" hidden="1">#REF!</definedName>
    <definedName name="BExO71MMHEBC11LG4HXDEQNHOII2" localSheetId="6" hidden="1">#REF!</definedName>
    <definedName name="BExO71MMHEBC11LG4HXDEQNHOII2" localSheetId="21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localSheetId="4" hidden="1">#REF!</definedName>
    <definedName name="BExO71S28H4XYOYYLAXOO93QV4TF" localSheetId="6" hidden="1">#REF!</definedName>
    <definedName name="BExO71S28H4XYOYYLAXOO93QV4TF" localSheetId="21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localSheetId="4" hidden="1">#REF!</definedName>
    <definedName name="BExO7BIP1737MIY7S6K4XYMTIO95" localSheetId="6" hidden="1">#REF!</definedName>
    <definedName name="BExO7BIP1737MIY7S6K4XYMTIO95" localSheetId="21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localSheetId="4" hidden="1">#REF!</definedName>
    <definedName name="BExO7OUQS3XTUQ2LDKGQ8AAQ3OJJ" localSheetId="6" hidden="1">#REF!</definedName>
    <definedName name="BExO7OUQS3XTUQ2LDKGQ8AAQ3OJJ" localSheetId="21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localSheetId="4" hidden="1">#REF!</definedName>
    <definedName name="BExO85HMYXZJ7SONWBKKIAXMCI3C" localSheetId="6" hidden="1">#REF!</definedName>
    <definedName name="BExO85HMYXZJ7SONWBKKIAXMCI3C" localSheetId="21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localSheetId="4" hidden="1">#REF!</definedName>
    <definedName name="BExO863922O4PBGQMUNEQKGN3K96" localSheetId="6" hidden="1">#REF!</definedName>
    <definedName name="BExO863922O4PBGQMUNEQKGN3K96" localSheetId="21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localSheetId="4" hidden="1">#REF!</definedName>
    <definedName name="BExO89ZIOXN0HOKHY24F7HDZ87UT" localSheetId="6" hidden="1">#REF!</definedName>
    <definedName name="BExO89ZIOXN0HOKHY24F7HDZ87UT" localSheetId="21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localSheetId="4" hidden="1">#REF!</definedName>
    <definedName name="BExO8A4SWOKD9WI5E6DITCL3LZZC" localSheetId="6" hidden="1">#REF!</definedName>
    <definedName name="BExO8A4SWOKD9WI5E6DITCL3LZZC" localSheetId="21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localSheetId="4" hidden="1">#REF!</definedName>
    <definedName name="BExO8CDTBCABLEUD6PE2UM2EZ6C4" localSheetId="6" hidden="1">#REF!</definedName>
    <definedName name="BExO8CDTBCABLEUD6PE2UM2EZ6C4" localSheetId="21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localSheetId="4" hidden="1">#REF!</definedName>
    <definedName name="BExO8UTAGQWDBQZEEF4HUNMLQCVU" localSheetId="6" hidden="1">#REF!</definedName>
    <definedName name="BExO8UTAGQWDBQZEEF4HUNMLQCVU" localSheetId="21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localSheetId="4" hidden="1">#REF!</definedName>
    <definedName name="BExO937E20IHMGQOZMECL3VZC7OX" localSheetId="6" hidden="1">#REF!</definedName>
    <definedName name="BExO937E20IHMGQOZMECL3VZC7OX" localSheetId="21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localSheetId="4" hidden="1">#REF!</definedName>
    <definedName name="BExO94UTJKQQ7TJTTJRTSR70YVJC" localSheetId="6" hidden="1">#REF!</definedName>
    <definedName name="BExO94UTJKQQ7TJTTJRTSR70YVJC" localSheetId="21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localSheetId="4" hidden="1">#REF!</definedName>
    <definedName name="BExO9EALFB2R8VULHML1AVRPHME0" localSheetId="6" hidden="1">#REF!</definedName>
    <definedName name="BExO9EALFB2R8VULHML1AVRPHME0" localSheetId="21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localSheetId="4" hidden="1">#REF!</definedName>
    <definedName name="BExO9J3A438976RXIUX5U9SU5T55" localSheetId="6" hidden="1">#REF!</definedName>
    <definedName name="BExO9J3A438976RXIUX5U9SU5T55" localSheetId="21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localSheetId="4" hidden="1">#REF!</definedName>
    <definedName name="BExO9RS5RXFJ1911HL3CCK6M74EP" localSheetId="6" hidden="1">#REF!</definedName>
    <definedName name="BExO9RS5RXFJ1911HL3CCK6M74EP" localSheetId="21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localSheetId="4" hidden="1">#REF!</definedName>
    <definedName name="BExO9SDRI1M6KMHXSG3AE5L0F2U3" localSheetId="6" hidden="1">#REF!</definedName>
    <definedName name="BExO9SDRI1M6KMHXSG3AE5L0F2U3" localSheetId="21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localSheetId="4" hidden="1">#REF!</definedName>
    <definedName name="BExO9US253B9UNAYT7DWLMK2BO44" localSheetId="6" hidden="1">#REF!</definedName>
    <definedName name="BExO9US253B9UNAYT7DWLMK2BO44" localSheetId="21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localSheetId="4" hidden="1">#REF!</definedName>
    <definedName name="BExO9V2U2YXAY904GYYGU6TD8Y7M" localSheetId="6" hidden="1">#REF!</definedName>
    <definedName name="BExO9V2U2YXAY904GYYGU6TD8Y7M" localSheetId="21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localSheetId="4" hidden="1">#REF!</definedName>
    <definedName name="BExOAAIG18X4V98C7122L5F65P5C" localSheetId="6" hidden="1">#REF!</definedName>
    <definedName name="BExOAAIG18X4V98C7122L5F65P5C" localSheetId="21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localSheetId="4" hidden="1">#REF!</definedName>
    <definedName name="BExOAQ3GKCT7YZW1EMVU3EILSZL2" localSheetId="6" hidden="1">#REF!</definedName>
    <definedName name="BExOAQ3GKCT7YZW1EMVU3EILSZL2" localSheetId="21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localSheetId="4" hidden="1">#REF!</definedName>
    <definedName name="BExOATZQ6SF8DASYLBQ0Z6D2WPSC" localSheetId="6" hidden="1">#REF!</definedName>
    <definedName name="BExOATZQ6SF8DASYLBQ0Z6D2WPSC" localSheetId="21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localSheetId="4" hidden="1">#REF!</definedName>
    <definedName name="BExOB9KT2THGV4SPLDVFTFXS4B14" localSheetId="6" hidden="1">#REF!</definedName>
    <definedName name="BExOB9KT2THGV4SPLDVFTFXS4B14" localSheetId="21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localSheetId="4" hidden="1">#REF!</definedName>
    <definedName name="BExOBEZ0IE2WBEYY3D3CMRI72N1K" localSheetId="6" hidden="1">#REF!</definedName>
    <definedName name="BExOBEZ0IE2WBEYY3D3CMRI72N1K" localSheetId="21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localSheetId="4" hidden="1">#REF!</definedName>
    <definedName name="BExOBF9TFH4NSBTR7JD2Q1165NIU" localSheetId="6" hidden="1">#REF!</definedName>
    <definedName name="BExOBF9TFH4NSBTR7JD2Q1165NIU" localSheetId="21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localSheetId="4" hidden="1">#REF!</definedName>
    <definedName name="BExOBIPU8760ITY0C8N27XZ3KWEF" localSheetId="6" hidden="1">#REF!</definedName>
    <definedName name="BExOBIPU8760ITY0C8N27XZ3KWEF" localSheetId="21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localSheetId="4" hidden="1">#REF!</definedName>
    <definedName name="BExOBM0I5L0MZ1G4H9MGMD87SBMZ" localSheetId="6" hidden="1">#REF!</definedName>
    <definedName name="BExOBM0I5L0MZ1G4H9MGMD87SBMZ" localSheetId="21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localSheetId="4" hidden="1">#REF!</definedName>
    <definedName name="BExOBOUXMP88KJY2BX2JLUJH5N0K" localSheetId="6" hidden="1">#REF!</definedName>
    <definedName name="BExOBOUXMP88KJY2BX2JLUJH5N0K" localSheetId="21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localSheetId="4" hidden="1">#REF!</definedName>
    <definedName name="BExOBP0FKQ4SVR59FB48UNLKCOR6" localSheetId="6" hidden="1">#REF!</definedName>
    <definedName name="BExOBP0FKQ4SVR59FB48UNLKCOR6" localSheetId="21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localSheetId="4" hidden="1">#REF!</definedName>
    <definedName name="BExOBTNR0XX9V82O76VVWUQABHT8" localSheetId="6" hidden="1">#REF!</definedName>
    <definedName name="BExOBTNR0XX9V82O76VVWUQABHT8" localSheetId="21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localSheetId="4" hidden="1">#REF!</definedName>
    <definedName name="BExOBYAVUCQ0IGM0Y6A75QHP0Q1A" localSheetId="6" hidden="1">#REF!</definedName>
    <definedName name="BExOBYAVUCQ0IGM0Y6A75QHP0Q1A" localSheetId="21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localSheetId="4" hidden="1">#REF!</definedName>
    <definedName name="BExOC3UEHB1CZNINSQHZANWJYKR8" localSheetId="6" hidden="1">#REF!</definedName>
    <definedName name="BExOC3UEHB1CZNINSQHZANWJYKR8" localSheetId="21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localSheetId="4" hidden="1">#REF!</definedName>
    <definedName name="BExOCBSF3XGO9YJ23LX2H78VOUR7" localSheetId="6" hidden="1">#REF!</definedName>
    <definedName name="BExOCBSF3XGO9YJ23LX2H78VOUR7" localSheetId="21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localSheetId="4" hidden="1">#REF!</definedName>
    <definedName name="BExOCEHJCLIUR23CB4TC9OEFJGFX" localSheetId="6" hidden="1">#REF!</definedName>
    <definedName name="BExOCEHJCLIUR23CB4TC9OEFJGFX" localSheetId="21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localSheetId="4" hidden="1">#REF!</definedName>
    <definedName name="BExOCKXFMOW6WPFEVX1I7R7FNDSS" localSheetId="6" hidden="1">#REF!</definedName>
    <definedName name="BExOCKXFMOW6WPFEVX1I7R7FNDSS" localSheetId="21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localSheetId="4" hidden="1">#REF!</definedName>
    <definedName name="BExOCM4L30L6FV3N2PR4O6X8WY2M" localSheetId="6" hidden="1">#REF!</definedName>
    <definedName name="BExOCM4L30L6FV3N2PR4O6X8WY2M" localSheetId="21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localSheetId="4" hidden="1">#REF!</definedName>
    <definedName name="BExOCYEXOB95DH5NOB0M5NOYX398" localSheetId="6" hidden="1">#REF!</definedName>
    <definedName name="BExOCYEXOB95DH5NOB0M5NOYX398" localSheetId="21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localSheetId="4" hidden="1">#REF!</definedName>
    <definedName name="BExOD4ERMDMFD8X1016N4EXOUR0S" localSheetId="6" hidden="1">#REF!</definedName>
    <definedName name="BExOD4ERMDMFD8X1016N4EXOUR0S" localSheetId="21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localSheetId="4" hidden="1">#REF!</definedName>
    <definedName name="BExOD55RS7BQUHRQ6H3USVGKR0P7" localSheetId="6" hidden="1">#REF!</definedName>
    <definedName name="BExOD55RS7BQUHRQ6H3USVGKR0P7" localSheetId="21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localSheetId="4" hidden="1">#REF!</definedName>
    <definedName name="BExODEWDDEABM4ZY3XREJIBZ8IVP" localSheetId="6" hidden="1">#REF!</definedName>
    <definedName name="BExODEWDDEABM4ZY3XREJIBZ8IVP" localSheetId="21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localSheetId="4" hidden="1">#REF!</definedName>
    <definedName name="BExODICDVVLFKWA22B3L0CKKTAZA" localSheetId="6" hidden="1">#REF!</definedName>
    <definedName name="BExODICDVVLFKWA22B3L0CKKTAZA" localSheetId="21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localSheetId="4" hidden="1">#REF!</definedName>
    <definedName name="BExODZFEIWV26E8RFU7XQYX1J458" localSheetId="6" hidden="1">#REF!</definedName>
    <definedName name="BExODZFEIWV26E8RFU7XQYX1J458" localSheetId="21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localSheetId="4" hidden="1">#REF!</definedName>
    <definedName name="BExOE0S111KPTELH26PPXE94J3GJ" localSheetId="6" hidden="1">#REF!</definedName>
    <definedName name="BExOE0S111KPTELH26PPXE94J3GJ" localSheetId="21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localSheetId="4" hidden="1">#REF!</definedName>
    <definedName name="BExOE5KH3JKKPZO401YAB3A11G1U" localSheetId="6" hidden="1">#REF!</definedName>
    <definedName name="BExOE5KH3JKKPZO401YAB3A11G1U" localSheetId="21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localSheetId="4" hidden="1">#REF!</definedName>
    <definedName name="BExOEBKG55EROA2VL360A06LKASE" localSheetId="6" hidden="1">#REF!</definedName>
    <definedName name="BExOEBKG55EROA2VL360A06LKASE" localSheetId="21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localSheetId="4" hidden="1">#REF!</definedName>
    <definedName name="BExOEFWUBETCPIYF89P9SBDOI3X5" localSheetId="6" hidden="1">#REF!</definedName>
    <definedName name="BExOEFWUBETCPIYF89P9SBDOI3X5" localSheetId="21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localSheetId="4" hidden="1">#REF!</definedName>
    <definedName name="BExOEL08MN74RQKVY0P43PFHPTVB" localSheetId="6" hidden="1">#REF!</definedName>
    <definedName name="BExOEL08MN74RQKVY0P43PFHPTVB" localSheetId="21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localSheetId="4" hidden="1">#REF!</definedName>
    <definedName name="BExOERG5LWXYYEN1DY1H2FWRJS9T" localSheetId="6" hidden="1">#REF!</definedName>
    <definedName name="BExOERG5LWXYYEN1DY1H2FWRJS9T" localSheetId="21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localSheetId="4" hidden="1">#REF!</definedName>
    <definedName name="BExOEV1S6JJVO5PP4BZ20SNGZR7D" localSheetId="6" hidden="1">#REF!</definedName>
    <definedName name="BExOEV1S6JJVO5PP4BZ20SNGZR7D" localSheetId="21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localSheetId="4" hidden="1">#REF!</definedName>
    <definedName name="BExOEVNDLRXW33RF3AMMCDLTLROJ" localSheetId="6" hidden="1">#REF!</definedName>
    <definedName name="BExOEVNDLRXW33RF3AMMCDLTLROJ" localSheetId="21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localSheetId="4" hidden="1">#REF!</definedName>
    <definedName name="BExOEZOXV3VXUB6VGSS85GXATYAC" localSheetId="6" hidden="1">#REF!</definedName>
    <definedName name="BExOEZOXV3VXUB6VGSS85GXATYAC" localSheetId="21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localSheetId="4" hidden="1">#REF!</definedName>
    <definedName name="BExOFDBSAZV60157PIDWCSSUN3MJ" localSheetId="6" hidden="1">#REF!</definedName>
    <definedName name="BExOFDBSAZV60157PIDWCSSUN3MJ" localSheetId="21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localSheetId="4" hidden="1">#REF!</definedName>
    <definedName name="BExOFEDNCYI2TPTMQ8SJN3AW4YMF" localSheetId="6" hidden="1">#REF!</definedName>
    <definedName name="BExOFEDNCYI2TPTMQ8SJN3AW4YMF" localSheetId="21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localSheetId="4" hidden="1">#REF!</definedName>
    <definedName name="BExOFVLXVD6RVHSQO8KZOOACSV24" localSheetId="6" hidden="1">#REF!</definedName>
    <definedName name="BExOFVLXVD6RVHSQO8KZOOACSV24" localSheetId="21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localSheetId="4" hidden="1">#REF!</definedName>
    <definedName name="BExOG2SW3XOGP9VAPQ3THV3VWV12" localSheetId="6" hidden="1">#REF!</definedName>
    <definedName name="BExOG2SW3XOGP9VAPQ3THV3VWV12" localSheetId="21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localSheetId="4" hidden="1">#REF!</definedName>
    <definedName name="BExOG45J81K4OPA40KW5VQU54KY3" localSheetId="6" hidden="1">#REF!</definedName>
    <definedName name="BExOG45J81K4OPA40KW5VQU54KY3" localSheetId="21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localSheetId="4" hidden="1">#REF!</definedName>
    <definedName name="BExOGFE2SCL8HHT4DFAXKLUTJZOG" localSheetId="6" hidden="1">#REF!</definedName>
    <definedName name="BExOGFE2SCL8HHT4DFAXKLUTJZOG" localSheetId="21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localSheetId="4" hidden="1">#REF!</definedName>
    <definedName name="BExOGH1IMADJCZMFDE6NMBBKO558" localSheetId="6" hidden="1">#REF!</definedName>
    <definedName name="BExOGH1IMADJCZMFDE6NMBBKO558" localSheetId="21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localSheetId="4" hidden="1">#REF!</definedName>
    <definedName name="BExOGT6D0LJ3C22RDW8COECKB1J5" localSheetId="6" hidden="1">#REF!</definedName>
    <definedName name="BExOGT6D0LJ3C22RDW8COECKB1J5" localSheetId="21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localSheetId="4" hidden="1">#REF!</definedName>
    <definedName name="BExOGTMI1HT31M1RGWVRAVHAK7DE" localSheetId="6" hidden="1">#REF!</definedName>
    <definedName name="BExOGTMI1HT31M1RGWVRAVHAK7DE" localSheetId="21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localSheetId="4" hidden="1">#REF!</definedName>
    <definedName name="BExOGXO9JE5XSE9GC3I6O21UEKAO" localSheetId="6" hidden="1">#REF!</definedName>
    <definedName name="BExOGXO9JE5XSE9GC3I6O21UEKAO" localSheetId="21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localSheetId="4" hidden="1">#REF!</definedName>
    <definedName name="BExOH9ICQA5WPLVJIKJVPWUPKSYO" localSheetId="6" hidden="1">#REF!</definedName>
    <definedName name="BExOH9ICQA5WPLVJIKJVPWUPKSYO" localSheetId="21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localSheetId="4" hidden="1">#REF!</definedName>
    <definedName name="BExOH9ICZ13C1LAW8OTYTR9S7ZP3" localSheetId="6" hidden="1">#REF!</definedName>
    <definedName name="BExOH9ICZ13C1LAW8OTYTR9S7ZP3" localSheetId="21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localSheetId="4" hidden="1">#REF!</definedName>
    <definedName name="BExOHGEJ8V8OXT32FSU173XLXBDH" localSheetId="6" hidden="1">#REF!</definedName>
    <definedName name="BExOHGEJ8V8OXT32FSU173XLXBDH" localSheetId="21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localSheetId="4" hidden="1">#REF!</definedName>
    <definedName name="BExOHL75H3OT4WAKKPUXIVXWFVDS" localSheetId="6" hidden="1">#REF!</definedName>
    <definedName name="BExOHL75H3OT4WAKKPUXIVXWFVDS" localSheetId="21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localSheetId="4" hidden="1">#REF!</definedName>
    <definedName name="BExOHLHXXJL6363CC082M9M5VVXQ" localSheetId="6" hidden="1">#REF!</definedName>
    <definedName name="BExOHLHXXJL6363CC082M9M5VVXQ" localSheetId="21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localSheetId="4" hidden="1">#REF!</definedName>
    <definedName name="BExOHNAO5UDXSO73BK2ARHWKS90Y" localSheetId="6" hidden="1">#REF!</definedName>
    <definedName name="BExOHNAO5UDXSO73BK2ARHWKS90Y" localSheetId="21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localSheetId="4" hidden="1">#REF!</definedName>
    <definedName name="BExOHR1G1I9A9CI1HG94EWBLWNM2" localSheetId="6" hidden="1">#REF!</definedName>
    <definedName name="BExOHR1G1I9A9CI1HG94EWBLWNM2" localSheetId="21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localSheetId="4" hidden="1">#REF!</definedName>
    <definedName name="BExOHTQPP8LQ98L6PYUI6QW08YID" localSheetId="6" hidden="1">#REF!</definedName>
    <definedName name="BExOHTQPP8LQ98L6PYUI6QW08YID" localSheetId="21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localSheetId="4" hidden="1">#REF!</definedName>
    <definedName name="BExOHUHN7UXHYAJFJJFU805UZ0NB" localSheetId="6" hidden="1">#REF!</definedName>
    <definedName name="BExOHUHN7UXHYAJFJJFU805UZ0NB" localSheetId="21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localSheetId="4" hidden="1">#REF!</definedName>
    <definedName name="BExOHX6Q6NJI793PGX59O5EKTP4G" localSheetId="6" hidden="1">#REF!</definedName>
    <definedName name="BExOHX6Q6NJI793PGX59O5EKTP4G" localSheetId="21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localSheetId="4" hidden="1">#REF!</definedName>
    <definedName name="BExOI5VMTHH7Y8MQQ1N635CHYI0P" localSheetId="6" hidden="1">#REF!</definedName>
    <definedName name="BExOI5VMTHH7Y8MQQ1N635CHYI0P" localSheetId="21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localSheetId="4" hidden="1">#REF!</definedName>
    <definedName name="BExOIEVCP4Y6VDS23AK84MCYYHRT" localSheetId="6" hidden="1">#REF!</definedName>
    <definedName name="BExOIEVCP4Y6VDS23AK84MCYYHRT" localSheetId="21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localSheetId="4" hidden="1">#REF!</definedName>
    <definedName name="BExOIFRP0HEHF5D7JSZ0X8ADJ79U" localSheetId="6" hidden="1">#REF!</definedName>
    <definedName name="BExOIFRP0HEHF5D7JSZ0X8ADJ79U" localSheetId="21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localSheetId="4" hidden="1">#REF!</definedName>
    <definedName name="BExOIHPQIXR0NDR5WD01BZKPKEO3" localSheetId="6" hidden="1">#REF!</definedName>
    <definedName name="BExOIHPQIXR0NDR5WD01BZKPKEO3" localSheetId="21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localSheetId="4" hidden="1">#REF!</definedName>
    <definedName name="BExOIM7L0Z3LSII9P7ZTV4KJ8RMA" localSheetId="6" hidden="1">#REF!</definedName>
    <definedName name="BExOIM7L0Z3LSII9P7ZTV4KJ8RMA" localSheetId="21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localSheetId="4" hidden="1">#REF!</definedName>
    <definedName name="BExOIWJVMJ6MG6JC4SPD1L00OHU1" localSheetId="6" hidden="1">#REF!</definedName>
    <definedName name="BExOIWJVMJ6MG6JC4SPD1L00OHU1" localSheetId="21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localSheetId="4" hidden="1">#REF!</definedName>
    <definedName name="BExOIYCN8Z4JK3OOG86KYUCV0ME8" localSheetId="6" hidden="1">#REF!</definedName>
    <definedName name="BExOIYCN8Z4JK3OOG86KYUCV0ME8" localSheetId="21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localSheetId="4" hidden="1">#REF!</definedName>
    <definedName name="BExOJ3AKZ9BCBZT3KD8WMSLK6MN2" localSheetId="6" hidden="1">#REF!</definedName>
    <definedName name="BExOJ3AKZ9BCBZT3KD8WMSLK6MN2" localSheetId="21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localSheetId="4" hidden="1">#REF!</definedName>
    <definedName name="BExOJ7XQK71I4YZDD29AKOOWZ47E" localSheetId="6" hidden="1">#REF!</definedName>
    <definedName name="BExOJ7XQK71I4YZDD29AKOOWZ47E" localSheetId="21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localSheetId="4" hidden="1">#REF!</definedName>
    <definedName name="BExOJAXS2THXXIJMV2F2LZKMI589" localSheetId="6" hidden="1">#REF!</definedName>
    <definedName name="BExOJAXS2THXXIJMV2F2LZKMI589" localSheetId="21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localSheetId="4" hidden="1">#REF!</definedName>
    <definedName name="BExOJDXKJ43BMD5CFWEMSU5R1BP9" localSheetId="6" hidden="1">#REF!</definedName>
    <definedName name="BExOJDXKJ43BMD5CFWEMSU5R1BP9" localSheetId="21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localSheetId="4" hidden="1">#REF!</definedName>
    <definedName name="BExOJHZ9KOD9LEP7ES426LHOCXEY" localSheetId="6" hidden="1">#REF!</definedName>
    <definedName name="BExOJHZ9KOD9LEP7ES426LHOCXEY" localSheetId="21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localSheetId="4" hidden="1">#REF!</definedName>
    <definedName name="BExOJM0W6XGSW5MXPTTX0GNF6SFT" localSheetId="6" hidden="1">#REF!</definedName>
    <definedName name="BExOJM0W6XGSW5MXPTTX0GNF6SFT" localSheetId="21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localSheetId="4" hidden="1">#REF!</definedName>
    <definedName name="BExOJQ7XL1X94G2GP88DSU6OTRKY" localSheetId="6" hidden="1">#REF!</definedName>
    <definedName name="BExOJQ7XL1X94G2GP88DSU6OTRKY" localSheetId="21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localSheetId="4" hidden="1">#REF!</definedName>
    <definedName name="BExOJXEUJJ9SYRJXKYYV2NCCDT2R" localSheetId="6" hidden="1">#REF!</definedName>
    <definedName name="BExOJXEUJJ9SYRJXKYYV2NCCDT2R" localSheetId="21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localSheetId="4" hidden="1">#REF!</definedName>
    <definedName name="BExOK0EQYM9JUMAGWOUN7QDH7VMZ" localSheetId="6" hidden="1">#REF!</definedName>
    <definedName name="BExOK0EQYM9JUMAGWOUN7QDH7VMZ" localSheetId="21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localSheetId="4" hidden="1">#REF!</definedName>
    <definedName name="BExOK10DBCM0O0CLRF8BB6EEWGB2" localSheetId="6" hidden="1">#REF!</definedName>
    <definedName name="BExOK10DBCM0O0CLRF8BB6EEWGB2" localSheetId="21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localSheetId="4" hidden="1">#REF!</definedName>
    <definedName name="BExOK45QZPFPJ08Z5BZOFLNGPHCZ" localSheetId="6" hidden="1">#REF!</definedName>
    <definedName name="BExOK45QZPFPJ08Z5BZOFLNGPHCZ" localSheetId="21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localSheetId="4" hidden="1">#REF!</definedName>
    <definedName name="BExOK4WM9O7QNG6O57FOASI5QSN1" localSheetId="6" hidden="1">#REF!</definedName>
    <definedName name="BExOK4WM9O7QNG6O57FOASI5QSN1" localSheetId="21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localSheetId="4" hidden="1">#REF!</definedName>
    <definedName name="BExOK57E3HXBUDOQB4M87JK9OPNE" localSheetId="6" hidden="1">#REF!</definedName>
    <definedName name="BExOK57E3HXBUDOQB4M87JK9OPNE" localSheetId="21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localSheetId="4" hidden="1">#REF!</definedName>
    <definedName name="BExOKJLBFD15HACQ01HQLY1U5SE2" localSheetId="6" hidden="1">#REF!</definedName>
    <definedName name="BExOKJLBFD15HACQ01HQLY1U5SE2" localSheetId="21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localSheetId="4" hidden="1">#REF!</definedName>
    <definedName name="BExOKTXMJP351VXKH8VT6SXUNIMF" localSheetId="6" hidden="1">#REF!</definedName>
    <definedName name="BExOKTXMJP351VXKH8VT6SXUNIMF" localSheetId="21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localSheetId="4" hidden="1">#REF!</definedName>
    <definedName name="BExOKU8GMLOCNVORDE329819XN67" localSheetId="6" hidden="1">#REF!</definedName>
    <definedName name="BExOKU8GMLOCNVORDE329819XN67" localSheetId="21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localSheetId="4" hidden="1">#REF!</definedName>
    <definedName name="BExOL0Z3Z7IAMHPB91EO2MF49U57" localSheetId="6" hidden="1">#REF!</definedName>
    <definedName name="BExOL0Z3Z7IAMHPB91EO2MF49U57" localSheetId="21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localSheetId="4" hidden="1">#REF!</definedName>
    <definedName name="BExOL7KH12VAR0LG741SIOJTLWFD" localSheetId="6" hidden="1">#REF!</definedName>
    <definedName name="BExOL7KH12VAR0LG741SIOJTLWFD" localSheetId="21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localSheetId="4" hidden="1">#REF!</definedName>
    <definedName name="BExOLGUYDBS2V3UOK4DVPUW5JZN7" localSheetId="6" hidden="1">#REF!</definedName>
    <definedName name="BExOLGUYDBS2V3UOK4DVPUW5JZN7" localSheetId="21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localSheetId="4" hidden="1">#REF!</definedName>
    <definedName name="BExOLICXFHJLILCJVFMJE5MGGWKR" localSheetId="6" hidden="1">#REF!</definedName>
    <definedName name="BExOLICXFHJLILCJVFMJE5MGGWKR" localSheetId="21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localSheetId="4" hidden="1">#REF!</definedName>
    <definedName name="BExOLOI0WJS3QC12I3ISL0D9AWOF" localSheetId="6" hidden="1">#REF!</definedName>
    <definedName name="BExOLOI0WJS3QC12I3ISL0D9AWOF" localSheetId="21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localSheetId="4" hidden="1">#REF!</definedName>
    <definedName name="BExOLQ5A7IWI0W12J7315E7LBI0O" localSheetId="6" hidden="1">#REF!</definedName>
    <definedName name="BExOLQ5A7IWI0W12J7315E7LBI0O" localSheetId="21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localSheetId="4" hidden="1">#REF!</definedName>
    <definedName name="BExOLYZNG5RBD0BTS1OEZJNU92Q5" localSheetId="6" hidden="1">#REF!</definedName>
    <definedName name="BExOLYZNG5RBD0BTS1OEZJNU92Q5" localSheetId="21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localSheetId="4" hidden="1">#REF!</definedName>
    <definedName name="BExOM136CSOYSV2NE3NAU04Z4414" localSheetId="6" hidden="1">#REF!</definedName>
    <definedName name="BExOM136CSOYSV2NE3NAU04Z4414" localSheetId="21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localSheetId="4" hidden="1">#REF!</definedName>
    <definedName name="BExOM3HIJ3UZPOKJI68KPBJAHPDC" localSheetId="6" hidden="1">#REF!</definedName>
    <definedName name="BExOM3HIJ3UZPOKJI68KPBJAHPDC" localSheetId="21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localSheetId="4" hidden="1">#REF!</definedName>
    <definedName name="BExOM5QC0I90GVJG1G7NFAIINKAQ" localSheetId="6" hidden="1">#REF!</definedName>
    <definedName name="BExOM5QC0I90GVJG1G7NFAIINKAQ" localSheetId="21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localSheetId="4" hidden="1">#REF!</definedName>
    <definedName name="BExOMKPURE33YQ3K1JG9NVQD4W49" localSheetId="6" hidden="1">#REF!</definedName>
    <definedName name="BExOMKPURE33YQ3K1JG9NVQD4W49" localSheetId="21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localSheetId="4" hidden="1">#REF!</definedName>
    <definedName name="BExOMP7NGCLUNFK50QD2LPKRG078" localSheetId="6" hidden="1">#REF!</definedName>
    <definedName name="BExOMP7NGCLUNFK50QD2LPKRG078" localSheetId="21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localSheetId="4" hidden="1">#REF!</definedName>
    <definedName name="BExOMPNX2853XA8AUM0BLA7CS86A" localSheetId="6" hidden="1">#REF!</definedName>
    <definedName name="BExOMPNX2853XA8AUM0BLA7CS86A" localSheetId="21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localSheetId="4" hidden="1">#REF!</definedName>
    <definedName name="BExOMU0A6XMY48SZRYL4WQZD13BI" localSheetId="6" hidden="1">#REF!</definedName>
    <definedName name="BExOMU0A6XMY48SZRYL4WQZD13BI" localSheetId="21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localSheetId="4" hidden="1">#REF!</definedName>
    <definedName name="BExOMVT0HSNC59DJP4CLISASGHKL" localSheetId="6" hidden="1">#REF!</definedName>
    <definedName name="BExOMVT0HSNC59DJP4CLISASGHKL" localSheetId="21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localSheetId="4" hidden="1">#REF!</definedName>
    <definedName name="BExON0AX35F2SI0UCVMGWGVIUNI3" localSheetId="6" hidden="1">#REF!</definedName>
    <definedName name="BExON0AX35F2SI0UCVMGWGVIUNI3" localSheetId="21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localSheetId="4" hidden="1">#REF!</definedName>
    <definedName name="BExON1I19LN0T10YIIYC5NE9UGMR" localSheetId="6" hidden="1">#REF!</definedName>
    <definedName name="BExON1I19LN0T10YIIYC5NE9UGMR" localSheetId="21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localSheetId="4" hidden="1">#REF!</definedName>
    <definedName name="BExON41U4296DV3DPG6I5EF3OEYF" localSheetId="6" hidden="1">#REF!</definedName>
    <definedName name="BExON41U4296DV3DPG6I5EF3OEYF" localSheetId="21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localSheetId="4" hidden="1">#REF!</definedName>
    <definedName name="BExONB3A7CO4YD8RB41PHC93BQ9M" localSheetId="6" hidden="1">#REF!</definedName>
    <definedName name="BExONB3A7CO4YD8RB41PHC93BQ9M" localSheetId="21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localSheetId="4" hidden="1">#REF!</definedName>
    <definedName name="BExONFQH6UUXF8V0GI4BRIST9RFO" localSheetId="6" hidden="1">#REF!</definedName>
    <definedName name="BExONFQH6UUXF8V0GI4BRIST9RFO" localSheetId="21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localSheetId="4" hidden="1">#REF!</definedName>
    <definedName name="BExONIL31DZWU7IFVN3VV0XTXJA1" localSheetId="6" hidden="1">#REF!</definedName>
    <definedName name="BExONIL31DZWU7IFVN3VV0XTXJA1" localSheetId="21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localSheetId="4" hidden="1">#REF!</definedName>
    <definedName name="BExONJ1BU17R0F5A2UP1UGJBOGKS" localSheetId="6" hidden="1">#REF!</definedName>
    <definedName name="BExONJ1BU17R0F5A2UP1UGJBOGKS" localSheetId="21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localSheetId="4" hidden="1">#REF!</definedName>
    <definedName name="BExONKZDHE8SS0P4YRLGEQR9KYHF" localSheetId="6" hidden="1">#REF!</definedName>
    <definedName name="BExONKZDHE8SS0P4YRLGEQR9KYHF" localSheetId="21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localSheetId="4" hidden="1">#REF!</definedName>
    <definedName name="BExONNZ9VMHVX3J6NLNJY7KZA61O" localSheetId="6" hidden="1">#REF!</definedName>
    <definedName name="BExONNZ9VMHVX3J6NLNJY7KZA61O" localSheetId="21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localSheetId="4" hidden="1">#REF!</definedName>
    <definedName name="BExONRQ1BAA4F3TXP2MYQ4YCZ09S" localSheetId="6" hidden="1">#REF!</definedName>
    <definedName name="BExONRQ1BAA4F3TXP2MYQ4YCZ09S" localSheetId="21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localSheetId="4" hidden="1">#REF!</definedName>
    <definedName name="BExONU4ENMND8RLZX0L5EHPYQQSB" localSheetId="6" hidden="1">#REF!</definedName>
    <definedName name="BExONU4ENMND8RLZX0L5EHPYQQSB" localSheetId="21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localSheetId="4" hidden="1">#REF!</definedName>
    <definedName name="BExONXPUEU6ZRSIX4PDJ1DXY679I" localSheetId="6" hidden="1">#REF!</definedName>
    <definedName name="BExONXPUEU6ZRSIX4PDJ1DXY679I" localSheetId="21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localSheetId="4" hidden="1">#REF!</definedName>
    <definedName name="BExOO0KEG2WL5WKKMHN0S2UTIUNG" localSheetId="6" hidden="1">#REF!</definedName>
    <definedName name="BExOO0KEG2WL5WKKMHN0S2UTIUNG" localSheetId="21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localSheetId="4" hidden="1">#REF!</definedName>
    <definedName name="BExOO1WWIZSGB0YTGKESB45TSVMZ" localSheetId="6" hidden="1">#REF!</definedName>
    <definedName name="BExOO1WWIZSGB0YTGKESB45TSVMZ" localSheetId="21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localSheetId="4" hidden="1">#REF!</definedName>
    <definedName name="BExOO4B8FPAFYPHCTYTX37P1TQM5" localSheetId="6" hidden="1">#REF!</definedName>
    <definedName name="BExOO4B8FPAFYPHCTYTX37P1TQM5" localSheetId="21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localSheetId="4" hidden="1">#REF!</definedName>
    <definedName name="BExOOIULUDOJRMYABWV5CCL906X6" localSheetId="6" hidden="1">#REF!</definedName>
    <definedName name="BExOOIULUDOJRMYABWV5CCL906X6" localSheetId="21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localSheetId="4" hidden="1">#REF!</definedName>
    <definedName name="BExOOJLIWKJW5S7XWJXD8TYV5HQ9" localSheetId="6" hidden="1">#REF!</definedName>
    <definedName name="BExOOJLIWKJW5S7XWJXD8TYV5HQ9" localSheetId="21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localSheetId="4" hidden="1">#REF!</definedName>
    <definedName name="BExOOQ1JVWQ9LYXD0V94BRXKTA1I" localSheetId="6" hidden="1">#REF!</definedName>
    <definedName name="BExOOQ1JVWQ9LYXD0V94BRXKTA1I" localSheetId="21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localSheetId="4" hidden="1">#REF!</definedName>
    <definedName name="BExOOTN0KTXJCL7E476XBN1CJ553" localSheetId="6" hidden="1">#REF!</definedName>
    <definedName name="BExOOTN0KTXJCL7E476XBN1CJ553" localSheetId="21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localSheetId="4" hidden="1">#REF!</definedName>
    <definedName name="BExOOVVUJIJNAYDICUUQQ9O7O3TW" localSheetId="6" hidden="1">#REF!</definedName>
    <definedName name="BExOOVVUJIJNAYDICUUQQ9O7O3TW" localSheetId="21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localSheetId="4" hidden="1">#REF!</definedName>
    <definedName name="BExOP9DDU5MZJKWGFT0MKL44YKIV" localSheetId="6" hidden="1">#REF!</definedName>
    <definedName name="BExOP9DDU5MZJKWGFT0MKL44YKIV" localSheetId="21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localSheetId="4" hidden="1">#REF!</definedName>
    <definedName name="BExOP9DEBV5W5P4Q25J3XCJBP5S9" localSheetId="6" hidden="1">#REF!</definedName>
    <definedName name="BExOP9DEBV5W5P4Q25J3XCJBP5S9" localSheetId="21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localSheetId="4" hidden="1">#REF!</definedName>
    <definedName name="BExOPFNYRBL0BFM23LZBJTADNOE4" localSheetId="6" hidden="1">#REF!</definedName>
    <definedName name="BExOPFNYRBL0BFM23LZBJTADNOE4" localSheetId="21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localSheetId="4" hidden="1">#REF!</definedName>
    <definedName name="BExOPINVFSIZMCVT9YGT2AODVCX3" localSheetId="6" hidden="1">#REF!</definedName>
    <definedName name="BExOPINVFSIZMCVT9YGT2AODVCX3" localSheetId="21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localSheetId="4" hidden="1">#REF!</definedName>
    <definedName name="BExOQ1JN4SAC44RTMZIGHSW023WA" localSheetId="6" hidden="1">#REF!</definedName>
    <definedName name="BExOQ1JN4SAC44RTMZIGHSW023WA" localSheetId="21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localSheetId="4" hidden="1">#REF!</definedName>
    <definedName name="BExOQ256YMF115DJL3KBPNKABJ90" localSheetId="6" hidden="1">#REF!</definedName>
    <definedName name="BExOQ256YMF115DJL3KBPNKABJ90" localSheetId="21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localSheetId="4" hidden="1">#REF!</definedName>
    <definedName name="BExQ19DEUOLC11IW32E2AMVZLFF1" localSheetId="6" hidden="1">#REF!</definedName>
    <definedName name="BExQ19DEUOLC11IW32E2AMVZLFF1" localSheetId="21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localSheetId="4" hidden="1">#REF!</definedName>
    <definedName name="BExQ1OCW3L24TN0BYVRE2NE3IK1O" localSheetId="6" hidden="1">#REF!</definedName>
    <definedName name="BExQ1OCW3L24TN0BYVRE2NE3IK1O" localSheetId="21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localSheetId="4" hidden="1">#REF!</definedName>
    <definedName name="BExQ29C73XR33S3668YYSYZAIHTG" localSheetId="6" hidden="1">#REF!</definedName>
    <definedName name="BExQ29C73XR33S3668YYSYZAIHTG" localSheetId="21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localSheetId="4" hidden="1">#REF!</definedName>
    <definedName name="BExQ2FS228IUDUP2023RA1D4AO4C" localSheetId="6" hidden="1">#REF!</definedName>
    <definedName name="BExQ2FS228IUDUP2023RA1D4AO4C" localSheetId="21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localSheetId="4" hidden="1">#REF!</definedName>
    <definedName name="BExQ2L0XYWLY9VPZWXYYFRIRQRJ1" localSheetId="6" hidden="1">#REF!</definedName>
    <definedName name="BExQ2L0XYWLY9VPZWXYYFRIRQRJ1" localSheetId="21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localSheetId="4" hidden="1">#REF!</definedName>
    <definedName name="BExQ2M841F5Z1BQYR8DG5FKK0LIU" localSheetId="6" hidden="1">#REF!</definedName>
    <definedName name="BExQ2M841F5Z1BQYR8DG5FKK0LIU" localSheetId="21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localSheetId="4" hidden="1">#REF!</definedName>
    <definedName name="BExQ2STHO7AXYTS1VPPHQMX1WT30" localSheetId="6" hidden="1">#REF!</definedName>
    <definedName name="BExQ2STHO7AXYTS1VPPHQMX1WT30" localSheetId="21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localSheetId="4" hidden="1">#REF!</definedName>
    <definedName name="BExQ2XWXHMQMQ99FF9293AEQHABB" localSheetId="6" hidden="1">#REF!</definedName>
    <definedName name="BExQ2XWXHMQMQ99FF9293AEQHABB" localSheetId="21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localSheetId="4" hidden="1">#REF!</definedName>
    <definedName name="BExQ300G8I8TK45A0MVHV15422EU" localSheetId="6" hidden="1">#REF!</definedName>
    <definedName name="BExQ300G8I8TK45A0MVHV15422EU" localSheetId="21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localSheetId="4" hidden="1">#REF!</definedName>
    <definedName name="BExQ305RBEODGNAETZ0EZQLLDZZD" localSheetId="6" hidden="1">#REF!</definedName>
    <definedName name="BExQ305RBEODGNAETZ0EZQLLDZZD" localSheetId="21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localSheetId="4" hidden="1">#REF!</definedName>
    <definedName name="BExQ37SZQJSC2C73FY2IJY852LVP" localSheetId="6" hidden="1">#REF!</definedName>
    <definedName name="BExQ37SZQJSC2C73FY2IJY852LVP" localSheetId="21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localSheetId="4" hidden="1">#REF!</definedName>
    <definedName name="BExQ39R28MXSG2SEV956F0KZ20AN" localSheetId="6" hidden="1">#REF!</definedName>
    <definedName name="BExQ39R28MXSG2SEV956F0KZ20AN" localSheetId="21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localSheetId="4" hidden="1">#REF!</definedName>
    <definedName name="BExQ3D1P3M5Z3HLMEZ17E0BLEE4U" localSheetId="6" hidden="1">#REF!</definedName>
    <definedName name="BExQ3D1P3M5Z3HLMEZ17E0BLEE4U" localSheetId="21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localSheetId="4" hidden="1">#REF!</definedName>
    <definedName name="BExQ3EZX6BA2WHKI84SG78UPRTSE" localSheetId="6" hidden="1">#REF!</definedName>
    <definedName name="BExQ3EZX6BA2WHKI84SG78UPRTSE" localSheetId="21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localSheetId="4" hidden="1">#REF!</definedName>
    <definedName name="BExQ3KOX6620WUSBG7PGACNC936P" localSheetId="6" hidden="1">#REF!</definedName>
    <definedName name="BExQ3KOX6620WUSBG7PGACNC936P" localSheetId="21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localSheetId="4" hidden="1">#REF!</definedName>
    <definedName name="BExQ3O4W7QF8BOXTUT4IOGF6YKUD" localSheetId="6" hidden="1">#REF!</definedName>
    <definedName name="BExQ3O4W7QF8BOXTUT4IOGF6YKUD" localSheetId="21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localSheetId="4" hidden="1">#REF!</definedName>
    <definedName name="BExQ3PXOWSN8561ZR8IEY8ZASI3B" localSheetId="6" hidden="1">#REF!</definedName>
    <definedName name="BExQ3PXOWSN8561ZR8IEY8ZASI3B" localSheetId="21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localSheetId="4" hidden="1">#REF!</definedName>
    <definedName name="BExQ3TZF04IPY0B0UG9CQQ5736UA" localSheetId="6" hidden="1">#REF!</definedName>
    <definedName name="BExQ3TZF04IPY0B0UG9CQQ5736UA" localSheetId="21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localSheetId="4" hidden="1">#REF!</definedName>
    <definedName name="BExQ42IU9MNDYLODP41DL6YTZMAR" localSheetId="6" hidden="1">#REF!</definedName>
    <definedName name="BExQ42IU9MNDYLODP41DL6YTZMAR" localSheetId="21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localSheetId="4" hidden="1">#REF!</definedName>
    <definedName name="BExQ42O4PHH156IHXSW0JAYAC0NJ" localSheetId="6" hidden="1">#REF!</definedName>
    <definedName name="BExQ42O4PHH156IHXSW0JAYAC0NJ" localSheetId="21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localSheetId="4" hidden="1">#REF!</definedName>
    <definedName name="BExQ452HF7N1HYPXJXQ8WD6SOWUV" localSheetId="6" hidden="1">#REF!</definedName>
    <definedName name="BExQ452HF7N1HYPXJXQ8WD6SOWUV" localSheetId="21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localSheetId="4" hidden="1">#REF!</definedName>
    <definedName name="BExQ4BTBSHPHVEDRCXC2ROW8PLFC" localSheetId="6" hidden="1">#REF!</definedName>
    <definedName name="BExQ4BTBSHPHVEDRCXC2ROW8PLFC" localSheetId="21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localSheetId="4" hidden="1">#REF!</definedName>
    <definedName name="BExQ4DGKF54SRKQUTUT4B1CZSS62" localSheetId="6" hidden="1">#REF!</definedName>
    <definedName name="BExQ4DGKF54SRKQUTUT4B1CZSS62" localSheetId="21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localSheetId="4" hidden="1">#REF!</definedName>
    <definedName name="BExQ4T74LQ5PYTV1MUQUW75A4BDY" localSheetId="6" hidden="1">#REF!</definedName>
    <definedName name="BExQ4T74LQ5PYTV1MUQUW75A4BDY" localSheetId="21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localSheetId="4" hidden="1">#REF!</definedName>
    <definedName name="BExQ4XJHD7EJCNH7S1MJDZJ2MNWG" localSheetId="6" hidden="1">#REF!</definedName>
    <definedName name="BExQ4XJHD7EJCNH7S1MJDZJ2MNWG" localSheetId="21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localSheetId="4" hidden="1">#REF!</definedName>
    <definedName name="BExQ5039ZCEWBUJHU682G4S89J03" localSheetId="6" hidden="1">#REF!</definedName>
    <definedName name="BExQ5039ZCEWBUJHU682G4S89J03" localSheetId="21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localSheetId="4" hidden="1">#REF!</definedName>
    <definedName name="BExQ56Z9W6YHZHRXOFFI8EFA7CDI" localSheetId="6" hidden="1">#REF!</definedName>
    <definedName name="BExQ56Z9W6YHZHRXOFFI8EFA7CDI" localSheetId="21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localSheetId="4" hidden="1">#REF!</definedName>
    <definedName name="BExQ58MP5FO5Q5CIXVMMYWWPEFW3" localSheetId="6" hidden="1">#REF!</definedName>
    <definedName name="BExQ58MP5FO5Q5CIXVMMYWWPEFW3" localSheetId="21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localSheetId="4" hidden="1">#REF!</definedName>
    <definedName name="BExQ5KX3Z668H1KUCKZ9J24HUQ1F" localSheetId="6" hidden="1">#REF!</definedName>
    <definedName name="BExQ5KX3Z668H1KUCKZ9J24HUQ1F" localSheetId="21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localSheetId="4" hidden="1">#REF!</definedName>
    <definedName name="BExQ5SPMSOCJYLAY20NB5A6O32RE" localSheetId="6" hidden="1">#REF!</definedName>
    <definedName name="BExQ5SPMSOCJYLAY20NB5A6O32RE" localSheetId="21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localSheetId="4" hidden="1">#REF!</definedName>
    <definedName name="BExQ5UICMGTMK790KTLK49MAGXRC" localSheetId="6" hidden="1">#REF!</definedName>
    <definedName name="BExQ5UICMGTMK790KTLK49MAGXRC" localSheetId="21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localSheetId="4" hidden="1">#REF!</definedName>
    <definedName name="BExQ5YUUK9FD0QGTY4WD0W90O7OL" localSheetId="6" hidden="1">#REF!</definedName>
    <definedName name="BExQ5YUUK9FD0QGTY4WD0W90O7OL" localSheetId="21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localSheetId="4" hidden="1">#REF!</definedName>
    <definedName name="BExQ62WGBSDPG7ZU34W0N8X45R3X" localSheetId="6" hidden="1">#REF!</definedName>
    <definedName name="BExQ62WGBSDPG7ZU34W0N8X45R3X" localSheetId="21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localSheetId="4" hidden="1">#REF!</definedName>
    <definedName name="BExQ63793YQ9BH7JLCNRIATIGTRG" localSheetId="6" hidden="1">#REF!</definedName>
    <definedName name="BExQ63793YQ9BH7JLCNRIATIGTRG" localSheetId="21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localSheetId="4" hidden="1">#REF!</definedName>
    <definedName name="BExQ6CN1EF2UPZ57ZYMGK8TUJQSS" localSheetId="6" hidden="1">#REF!</definedName>
    <definedName name="BExQ6CN1EF2UPZ57ZYMGK8TUJQSS" localSheetId="21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localSheetId="4" hidden="1">#REF!</definedName>
    <definedName name="BExQ6FSF8BMWVLJI7Y7MKPG9SU5O" localSheetId="6" hidden="1">#REF!</definedName>
    <definedName name="BExQ6FSF8BMWVLJI7Y7MKPG9SU5O" localSheetId="21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localSheetId="4" hidden="1">#REF!</definedName>
    <definedName name="BExQ6M2YXJ8AMRJF3QGHC40ADAHZ" localSheetId="6" hidden="1">#REF!</definedName>
    <definedName name="BExQ6M2YXJ8AMRJF3QGHC40ADAHZ" localSheetId="21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localSheetId="4" hidden="1">#REF!</definedName>
    <definedName name="BExQ6M8B0X44N9TV56ATUVHGDI00" localSheetId="6" hidden="1">#REF!</definedName>
    <definedName name="BExQ6M8B0X44N9TV56ATUVHGDI00" localSheetId="21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localSheetId="4" hidden="1">#REF!</definedName>
    <definedName name="BExQ6POH065GV0I74XXVD0VUPBJW" localSheetId="6" hidden="1">#REF!</definedName>
    <definedName name="BExQ6POH065GV0I74XXVD0VUPBJW" localSheetId="21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localSheetId="4" hidden="1">#REF!</definedName>
    <definedName name="BExQ6WV9KPSMXPPLGZ3KK4WNYTHU" localSheetId="6" hidden="1">#REF!</definedName>
    <definedName name="BExQ6WV9KPSMXPPLGZ3KK4WNYTHU" localSheetId="21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localSheetId="4" hidden="1">#REF!</definedName>
    <definedName name="BExQ7541G92R52ECOIYO6UXIWJJ4" localSheetId="6" hidden="1">#REF!</definedName>
    <definedName name="BExQ7541G92R52ECOIYO6UXIWJJ4" localSheetId="21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localSheetId="4" hidden="1">#REF!</definedName>
    <definedName name="BExQ783XTMM2A9I3UKCFWJH1PP2N" localSheetId="6" hidden="1">#REF!</definedName>
    <definedName name="BExQ783XTMM2A9I3UKCFWJH1PP2N" localSheetId="21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localSheetId="4" hidden="1">#REF!</definedName>
    <definedName name="BExQ79LX01ZPQB8EGD1ZHR2VK2H3" localSheetId="6" hidden="1">#REF!</definedName>
    <definedName name="BExQ79LX01ZPQB8EGD1ZHR2VK2H3" localSheetId="21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localSheetId="4" hidden="1">#REF!</definedName>
    <definedName name="BExQ7B3V9MGDK2OIJ61XXFBFLJFZ" localSheetId="6" hidden="1">#REF!</definedName>
    <definedName name="BExQ7B3V9MGDK2OIJ61XXFBFLJFZ" localSheetId="21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localSheetId="4" hidden="1">#REF!</definedName>
    <definedName name="BExQ7CB046NVPF9ZXDGA7OXOLSLX" localSheetId="6" hidden="1">#REF!</definedName>
    <definedName name="BExQ7CB046NVPF9ZXDGA7OXOLSLX" localSheetId="21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localSheetId="4" hidden="1">#REF!</definedName>
    <definedName name="BExQ7IWDCGGOO1HTJ97YGO1CK3R9" localSheetId="6" hidden="1">#REF!</definedName>
    <definedName name="BExQ7IWDCGGOO1HTJ97YGO1CK3R9" localSheetId="21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localSheetId="4" hidden="1">#REF!</definedName>
    <definedName name="BExQ7JNFIEGS2HKNBALH3Q2N5G7Z" localSheetId="6" hidden="1">#REF!</definedName>
    <definedName name="BExQ7JNFIEGS2HKNBALH3Q2N5G7Z" localSheetId="21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localSheetId="4" hidden="1">#REF!</definedName>
    <definedName name="BExQ7MY3U2Z1IZ71U5LJUD00VVB4" localSheetId="6" hidden="1">#REF!</definedName>
    <definedName name="BExQ7MY3U2Z1IZ71U5LJUD00VVB4" localSheetId="21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localSheetId="4" hidden="1">#REF!</definedName>
    <definedName name="BExQ7XL2Q1GVUFL1F9KK0K0EXMWG" localSheetId="6" hidden="1">#REF!</definedName>
    <definedName name="BExQ7XL2Q1GVUFL1F9KK0K0EXMWG" localSheetId="21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localSheetId="4" hidden="1">#REF!</definedName>
    <definedName name="BExQ8469L3ZRZ3KYZPYMSJIDL7Y5" localSheetId="6" hidden="1">#REF!</definedName>
    <definedName name="BExQ8469L3ZRZ3KYZPYMSJIDL7Y5" localSheetId="21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localSheetId="4" hidden="1">#REF!</definedName>
    <definedName name="BExQ84MJB94HL3BWRN50M4NCB6Z0" localSheetId="6" hidden="1">#REF!</definedName>
    <definedName name="BExQ84MJB94HL3BWRN50M4NCB6Z0" localSheetId="21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localSheetId="4" hidden="1">#REF!</definedName>
    <definedName name="BExQ8583ZE00NW7T9OF11OT9IA14" localSheetId="6" hidden="1">#REF!</definedName>
    <definedName name="BExQ8583ZE00NW7T9OF11OT9IA14" localSheetId="21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localSheetId="4" hidden="1">#REF!</definedName>
    <definedName name="BExQ8A0RPE3IMIFIZLUE7KD2N21W" localSheetId="6" hidden="1">#REF!</definedName>
    <definedName name="BExQ8A0RPE3IMIFIZLUE7KD2N21W" localSheetId="21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localSheetId="4" hidden="1">#REF!</definedName>
    <definedName name="BExQ8ABK6H1ADV2R2OYT8NFFYG2N" localSheetId="6" hidden="1">#REF!</definedName>
    <definedName name="BExQ8ABK6H1ADV2R2OYT8NFFYG2N" localSheetId="21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localSheetId="4" hidden="1">#REF!</definedName>
    <definedName name="BExQ8DM90XJ6GCJIK9LC5O82I2TJ" localSheetId="6" hidden="1">#REF!</definedName>
    <definedName name="BExQ8DM90XJ6GCJIK9LC5O82I2TJ" localSheetId="21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localSheetId="4" hidden="1">#REF!</definedName>
    <definedName name="BExQ8G0K46ZORA0QVQTDI7Z8LXGF" localSheetId="6" hidden="1">#REF!</definedName>
    <definedName name="BExQ8G0K46ZORA0QVQTDI7Z8LXGF" localSheetId="21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localSheetId="4" hidden="1">#REF!</definedName>
    <definedName name="BExQ8O3WEU8HNTTGKTW5T0QSKCLP" localSheetId="6" hidden="1">#REF!</definedName>
    <definedName name="BExQ8O3WEU8HNTTGKTW5T0QSKCLP" localSheetId="21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localSheetId="4" hidden="1">#REF!</definedName>
    <definedName name="BExQ8ZCEDBOBJA3D9LDP5TU2WYGR" localSheetId="6" hidden="1">#REF!</definedName>
    <definedName name="BExQ8ZCEDBOBJA3D9LDP5TU2WYGR" localSheetId="21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localSheetId="4" hidden="1">#REF!</definedName>
    <definedName name="BExQ94LAW6MAQBWY25WTBFV5PPZJ" localSheetId="6" hidden="1">#REF!</definedName>
    <definedName name="BExQ94LAW6MAQBWY25WTBFV5PPZJ" localSheetId="21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localSheetId="4" hidden="1">#REF!</definedName>
    <definedName name="BExQ968K8V66L55PCVI3B4VR4FW6" localSheetId="6" hidden="1">#REF!</definedName>
    <definedName name="BExQ968K8V66L55PCVI3B4VR4FW6" localSheetId="21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localSheetId="4" hidden="1">#REF!</definedName>
    <definedName name="BExQ97QIPOSSRK978N8P234Y1XA4" localSheetId="6" hidden="1">#REF!</definedName>
    <definedName name="BExQ97QIPOSSRK978N8P234Y1XA4" localSheetId="21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localSheetId="4" hidden="1">#REF!</definedName>
    <definedName name="BExQ9DFHXLBKBS9DWH05G83SL12Z" localSheetId="6" hidden="1">#REF!</definedName>
    <definedName name="BExQ9DFHXLBKBS9DWH05G83SL12Z" localSheetId="21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localSheetId="4" hidden="1">#REF!</definedName>
    <definedName name="BExQ9E6FBAXTHGF3RXANFIA77GXP" localSheetId="6" hidden="1">#REF!</definedName>
    <definedName name="BExQ9E6FBAXTHGF3RXANFIA77GXP" localSheetId="21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localSheetId="4" hidden="1">#REF!</definedName>
    <definedName name="BExQ9J4ID0TGFFFJSQ9PFAMXOYZ1" localSheetId="6" hidden="1">#REF!</definedName>
    <definedName name="BExQ9J4ID0TGFFFJSQ9PFAMXOYZ1" localSheetId="21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localSheetId="4" hidden="1">#REF!</definedName>
    <definedName name="BExQ9KX9734KIAK7IMRLHCPYDHO2" localSheetId="6" hidden="1">#REF!</definedName>
    <definedName name="BExQ9KX9734KIAK7IMRLHCPYDHO2" localSheetId="21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localSheetId="4" hidden="1">#REF!</definedName>
    <definedName name="BExQ9L81FF4I7816VTPFBDWVU4CW" localSheetId="6" hidden="1">#REF!</definedName>
    <definedName name="BExQ9L81FF4I7816VTPFBDWVU4CW" localSheetId="21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localSheetId="4" hidden="1">#REF!</definedName>
    <definedName name="BExQ9M4E2ACZOWWWP1JJIQO8AHUM" localSheetId="6" hidden="1">#REF!</definedName>
    <definedName name="BExQ9M4E2ACZOWWWP1JJIQO8AHUM" localSheetId="21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localSheetId="4" hidden="1">#REF!</definedName>
    <definedName name="BExQ9TBCP5IJKSQLYEBE6FQLF16I" localSheetId="6" hidden="1">#REF!</definedName>
    <definedName name="BExQ9TBCP5IJKSQLYEBE6FQLF16I" localSheetId="21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localSheetId="4" hidden="1">#REF!</definedName>
    <definedName name="BExQ9UTANMJCK7LJ4OQMD6F2Q01L" localSheetId="6" hidden="1">#REF!</definedName>
    <definedName name="BExQ9UTANMJCK7LJ4OQMD6F2Q01L" localSheetId="21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localSheetId="4" hidden="1">#REF!</definedName>
    <definedName name="BExQ9ZLYHWABXAA9NJDW8ZS0UQ9P" localSheetId="6" hidden="1">#REF!</definedName>
    <definedName name="BExQ9ZLYHWABXAA9NJDW8ZS0UQ9P" localSheetId="21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localSheetId="4" hidden="1">#REF!</definedName>
    <definedName name="BExQ9ZWQ19KSRZNZNPY6ZNWEST1J" localSheetId="6" hidden="1">#REF!</definedName>
    <definedName name="BExQ9ZWQ19KSRZNZNPY6ZNWEST1J" localSheetId="21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localSheetId="4" hidden="1">#REF!</definedName>
    <definedName name="BExQA324HSCK40ENJUT9CS9EC71B" localSheetId="6" hidden="1">#REF!</definedName>
    <definedName name="BExQA324HSCK40ENJUT9CS9EC71B" localSheetId="21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localSheetId="4" hidden="1">#REF!</definedName>
    <definedName name="BExQA55GY0STSNBWQCWN8E31ZXCS" localSheetId="6" hidden="1">#REF!</definedName>
    <definedName name="BExQA55GY0STSNBWQCWN8E31ZXCS" localSheetId="21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localSheetId="4" hidden="1">#REF!</definedName>
    <definedName name="BExQA7URC7M82I0T9RUF90GCS15S" localSheetId="6" hidden="1">#REF!</definedName>
    <definedName name="BExQA7URC7M82I0T9RUF90GCS15S" localSheetId="21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localSheetId="4" hidden="1">#REF!</definedName>
    <definedName name="BExQA9HZIN9XEMHEEVHT99UU9Z82" localSheetId="6" hidden="1">#REF!</definedName>
    <definedName name="BExQA9HZIN9XEMHEEVHT99UU9Z82" localSheetId="21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localSheetId="4" hidden="1">#REF!</definedName>
    <definedName name="BExQAELFYH92K8CJL155181UDORO" localSheetId="6" hidden="1">#REF!</definedName>
    <definedName name="BExQAELFYH92K8CJL155181UDORO" localSheetId="21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localSheetId="4" hidden="1">#REF!</definedName>
    <definedName name="BExQAG8PP8R5NJKNQD1U4QOSD6X5" localSheetId="6" hidden="1">#REF!</definedName>
    <definedName name="BExQAG8PP8R5NJKNQD1U4QOSD6X5" localSheetId="21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localSheetId="4" hidden="1">#REF!</definedName>
    <definedName name="BExQAVTR32SDHZQ69KNYF6UXXKS2" localSheetId="6" hidden="1">#REF!</definedName>
    <definedName name="BExQAVTR32SDHZQ69KNYF6UXXKS2" localSheetId="21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localSheetId="4" hidden="1">#REF!</definedName>
    <definedName name="BExQBBETZJ7LHJ9CLAL3GEKQFEGR" localSheetId="6" hidden="1">#REF!</definedName>
    <definedName name="BExQBBETZJ7LHJ9CLAL3GEKQFEGR" localSheetId="21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localSheetId="4" hidden="1">#REF!</definedName>
    <definedName name="BExQBDICMZTSA1X73TMHNO4JSFLN" localSheetId="6" hidden="1">#REF!</definedName>
    <definedName name="BExQBDICMZTSA1X73TMHNO4JSFLN" localSheetId="21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localSheetId="4" hidden="1">#REF!</definedName>
    <definedName name="BExQBEER6CRCRPSSL61S0OMH57ZA" localSheetId="6" hidden="1">#REF!</definedName>
    <definedName name="BExQBEER6CRCRPSSL61S0OMH57ZA" localSheetId="21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localSheetId="4" hidden="1">#REF!</definedName>
    <definedName name="BExQBFR753FNBMC27WEQJT8UKANJ" localSheetId="6" hidden="1">#REF!</definedName>
    <definedName name="BExQBFR753FNBMC27WEQJT8UKANJ" localSheetId="21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localSheetId="4" hidden="1">#REF!</definedName>
    <definedName name="BExQBIGGY5TXI2FJVVZSLZ0LTZYH" localSheetId="6" hidden="1">#REF!</definedName>
    <definedName name="BExQBIGGY5TXI2FJVVZSLZ0LTZYH" localSheetId="21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localSheetId="4" hidden="1">#REF!</definedName>
    <definedName name="BExQBM1RUSIQ85LLMM2159BYDPIP" localSheetId="6" hidden="1">#REF!</definedName>
    <definedName name="BExQBM1RUSIQ85LLMM2159BYDPIP" localSheetId="21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localSheetId="4" hidden="1">#REF!</definedName>
    <definedName name="BExQBOWE543K7PGA5S7SVU2QKPM3" localSheetId="6" hidden="1">#REF!</definedName>
    <definedName name="BExQBOWE543K7PGA5S7SVU2QKPM3" localSheetId="21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localSheetId="4" hidden="1">#REF!</definedName>
    <definedName name="BExQBPSOZ47V81YAEURP0NQJNTJH" localSheetId="6" hidden="1">#REF!</definedName>
    <definedName name="BExQBPSOZ47V81YAEURP0NQJNTJH" localSheetId="21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localSheetId="4" hidden="1">#REF!</definedName>
    <definedName name="BExQC5TWT21CGBKD0IHAXTIN2QB8" localSheetId="6" hidden="1">#REF!</definedName>
    <definedName name="BExQC5TWT21CGBKD0IHAXTIN2QB8" localSheetId="21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localSheetId="4" hidden="1">#REF!</definedName>
    <definedName name="BExQC94JL9F5GW4S8DQCAF4WB2DA" localSheetId="6" hidden="1">#REF!</definedName>
    <definedName name="BExQC94JL9F5GW4S8DQCAF4WB2DA" localSheetId="21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localSheetId="4" hidden="1">#REF!</definedName>
    <definedName name="BExQCKTD8AT0824LGWREXM1B5D1X" localSheetId="6" hidden="1">#REF!</definedName>
    <definedName name="BExQCKTD8AT0824LGWREXM1B5D1X" localSheetId="21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localSheetId="4" hidden="1">#REF!</definedName>
    <definedName name="BExQCQ7KF4HVXSD72FF3DJGNNO3M" localSheetId="6" hidden="1">#REF!</definedName>
    <definedName name="BExQCQ7KF4HVXSD72FF3DJGNNO3M" localSheetId="21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localSheetId="4" hidden="1">#REF!</definedName>
    <definedName name="BExQCRPJXI0WNJUFFAC39C0PFUFK" localSheetId="6" hidden="1">#REF!</definedName>
    <definedName name="BExQCRPJXI0WNJUFFAC39C0PFUFK" localSheetId="21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localSheetId="4" hidden="1">#REF!</definedName>
    <definedName name="BExQD571YWOXKR2SX85K5MKQ0AO2" localSheetId="6" hidden="1">#REF!</definedName>
    <definedName name="BExQD571YWOXKR2SX85K5MKQ0AO2" localSheetId="21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localSheetId="4" hidden="1">#REF!</definedName>
    <definedName name="BExQDB6VCHN8PNX8EA6JNIEQ2JC2" localSheetId="6" hidden="1">#REF!</definedName>
    <definedName name="BExQDB6VCHN8PNX8EA6JNIEQ2JC2" localSheetId="21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localSheetId="4" hidden="1">#REF!</definedName>
    <definedName name="BExQDE1B6U2Q9B73KBENABP71YM1" localSheetId="6" hidden="1">#REF!</definedName>
    <definedName name="BExQDE1B6U2Q9B73KBENABP71YM1" localSheetId="21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localSheetId="4" hidden="1">#REF!</definedName>
    <definedName name="BExQDGQCN7ZW41QDUHOBJUGQAX40" localSheetId="6" hidden="1">#REF!</definedName>
    <definedName name="BExQDGQCN7ZW41QDUHOBJUGQAX40" localSheetId="21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localSheetId="4" hidden="1">#REF!</definedName>
    <definedName name="BExQED8ZZUEH0WRNOHXI7V9TVC8K" localSheetId="6" hidden="1">#REF!</definedName>
    <definedName name="BExQED8ZZUEH0WRNOHXI7V9TVC8K" localSheetId="21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localSheetId="4" hidden="1">#REF!</definedName>
    <definedName name="BExQEF1PIJIB9J24OB0M4X1WLBB0" localSheetId="6" hidden="1">#REF!</definedName>
    <definedName name="BExQEF1PIJIB9J24OB0M4X1WLBB0" localSheetId="21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localSheetId="4" hidden="1">#REF!</definedName>
    <definedName name="BExQEMUA4HEFM4OVO8M8MA8PIAW1" localSheetId="6" hidden="1">#REF!</definedName>
    <definedName name="BExQEMUA4HEFM4OVO8M8MA8PIAW1" localSheetId="21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localSheetId="4" hidden="1">#REF!</definedName>
    <definedName name="BExQEP38QPDKB85WG2WOL17IMB5S" localSheetId="6" hidden="1">#REF!</definedName>
    <definedName name="BExQEP38QPDKB85WG2WOL17IMB5S" localSheetId="21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localSheetId="4" hidden="1">#REF!</definedName>
    <definedName name="BExQEQ4XZQFIKUXNU9H7WE7AMZ1U" localSheetId="6" hidden="1">#REF!</definedName>
    <definedName name="BExQEQ4XZQFIKUXNU9H7WE7AMZ1U" localSheetId="21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localSheetId="4" hidden="1">#REF!</definedName>
    <definedName name="BExQF1OEB07CRAP6ALNNMJNJ3P2D" localSheetId="6" hidden="1">#REF!</definedName>
    <definedName name="BExQF1OEB07CRAP6ALNNMJNJ3P2D" localSheetId="21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localSheetId="4" hidden="1">#REF!</definedName>
    <definedName name="BExQF8KKL224NYD20XYLLM2RE7EW" localSheetId="6" hidden="1">#REF!</definedName>
    <definedName name="BExQF8KKL224NYD20XYLLM2RE7EW" localSheetId="21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localSheetId="4" hidden="1">#REF!</definedName>
    <definedName name="BExQF9X2AQPFJZTCHTU5PTTR0JAH" localSheetId="6" hidden="1">#REF!</definedName>
    <definedName name="BExQF9X2AQPFJZTCHTU5PTTR0JAH" localSheetId="21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localSheetId="4" hidden="1">#REF!</definedName>
    <definedName name="BExQFAINO9ODQZX6NSM8EBTRD04E" localSheetId="6" hidden="1">#REF!</definedName>
    <definedName name="BExQFAINO9ODQZX6NSM8EBTRD04E" localSheetId="21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localSheetId="4" hidden="1">#REF!</definedName>
    <definedName name="BExQFC0M9KKFMQKPLPEO2RQDB7MM" localSheetId="6" hidden="1">#REF!</definedName>
    <definedName name="BExQFC0M9KKFMQKPLPEO2RQDB7MM" localSheetId="21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localSheetId="4" hidden="1">#REF!</definedName>
    <definedName name="BExQFEEV7627R8TYZCM28C6V6WHE" localSheetId="6" hidden="1">#REF!</definedName>
    <definedName name="BExQFEEV7627R8TYZCM28C6V6WHE" localSheetId="21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localSheetId="4" hidden="1">#REF!</definedName>
    <definedName name="BExQFEK8NUD04X2OBRA275ADPSDL" localSheetId="6" hidden="1">#REF!</definedName>
    <definedName name="BExQFEK8NUD04X2OBRA275ADPSDL" localSheetId="21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localSheetId="4" hidden="1">#REF!</definedName>
    <definedName name="BExQFGYIWDR4W0YF7XR6E4EWWJ02" localSheetId="6" hidden="1">#REF!</definedName>
    <definedName name="BExQFGYIWDR4W0YF7XR6E4EWWJ02" localSheetId="21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localSheetId="4" hidden="1">#REF!</definedName>
    <definedName name="BExQFPNFKA36IAPS22LAUMBDI4KE" localSheetId="6" hidden="1">#REF!</definedName>
    <definedName name="BExQFPNFKA36IAPS22LAUMBDI4KE" localSheetId="21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localSheetId="4" hidden="1">#REF!</definedName>
    <definedName name="BExQFPSWEMA8WBUZ4WK20LR13VSU" localSheetId="6" hidden="1">#REF!</definedName>
    <definedName name="BExQFPSWEMA8WBUZ4WK20LR13VSU" localSheetId="21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localSheetId="4" hidden="1">#REF!</definedName>
    <definedName name="BExQFVSPOSCCPF1TLJPIWYWYB8A9" localSheetId="6" hidden="1">#REF!</definedName>
    <definedName name="BExQFVSPOSCCPF1TLJPIWYWYB8A9" localSheetId="21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localSheetId="4" hidden="1">#REF!</definedName>
    <definedName name="BExQFWJQXNQAW6LUMOEDS6KMJMYL" localSheetId="6" hidden="1">#REF!</definedName>
    <definedName name="BExQFWJQXNQAW6LUMOEDS6KMJMYL" localSheetId="21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localSheetId="4" hidden="1">#REF!</definedName>
    <definedName name="BExQG8TYRD2G42UA5ZPCRLNKUDMX" localSheetId="6" hidden="1">#REF!</definedName>
    <definedName name="BExQG8TYRD2G42UA5ZPCRLNKUDMX" localSheetId="21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localSheetId="4" hidden="1">#REF!</definedName>
    <definedName name="BExQGGBQ2CMSPV4NV4RA7NMBQER6" localSheetId="6" hidden="1">#REF!</definedName>
    <definedName name="BExQGGBQ2CMSPV4NV4RA7NMBQER6" localSheetId="21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localSheetId="4" hidden="1">#REF!</definedName>
    <definedName name="BExQGO48J9MPCDQ96RBB9UN9AIGT" localSheetId="6" hidden="1">#REF!</definedName>
    <definedName name="BExQGO48J9MPCDQ96RBB9UN9AIGT" localSheetId="21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localSheetId="4" hidden="1">#REF!</definedName>
    <definedName name="BExQGSBB6MJWDW7AYWA0MSFTXKRR" localSheetId="6" hidden="1">#REF!</definedName>
    <definedName name="BExQGSBB6MJWDW7AYWA0MSFTXKRR" localSheetId="21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localSheetId="4" hidden="1">#REF!</definedName>
    <definedName name="BExQH0UURAJ13AVO5UI04HSRGVYW" localSheetId="6" hidden="1">#REF!</definedName>
    <definedName name="BExQH0UURAJ13AVO5UI04HSRGVYW" localSheetId="21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localSheetId="4" hidden="1">#REF!</definedName>
    <definedName name="BExQH5I0FUT0822E2ITR6M5724UF" localSheetId="6" hidden="1">#REF!</definedName>
    <definedName name="BExQH5I0FUT0822E2ITR6M5724UF" localSheetId="21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localSheetId="4" hidden="1">#REF!</definedName>
    <definedName name="BExQH6ZZY0NR8SE48PSI9D0CU1TC" localSheetId="6" hidden="1">#REF!</definedName>
    <definedName name="BExQH6ZZY0NR8SE48PSI9D0CU1TC" localSheetId="21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localSheetId="4" hidden="1">#REF!</definedName>
    <definedName name="BExQH9P2MCXAJOVEO4GFQT6MNW22" localSheetId="6" hidden="1">#REF!</definedName>
    <definedName name="BExQH9P2MCXAJOVEO4GFQT6MNW22" localSheetId="21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localSheetId="4" hidden="1">#REF!</definedName>
    <definedName name="BExQHCZSBYUY8OKKJXFYWKBBM6AH" localSheetId="6" hidden="1">#REF!</definedName>
    <definedName name="BExQHCZSBYUY8OKKJXFYWKBBM6AH" localSheetId="21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localSheetId="4" hidden="1">#REF!</definedName>
    <definedName name="BExQHML1J3V7M9VZ3S2S198637RP" localSheetId="6" hidden="1">#REF!</definedName>
    <definedName name="BExQHML1J3V7M9VZ3S2S198637RP" localSheetId="21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localSheetId="4" hidden="1">#REF!</definedName>
    <definedName name="BExQHPKXZ1K33V2F90NZIQRZYIAW" localSheetId="6" hidden="1">#REF!</definedName>
    <definedName name="BExQHPKXZ1K33V2F90NZIQRZYIAW" localSheetId="21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localSheetId="4" hidden="1">#REF!</definedName>
    <definedName name="BExQHRDNW8YFGT2B35K9CYSS1VAI" localSheetId="6" hidden="1">#REF!</definedName>
    <definedName name="BExQHRDNW8YFGT2B35K9CYSS1VAI" localSheetId="21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localSheetId="4" hidden="1">#REF!</definedName>
    <definedName name="BExQHRZ9FBLUG6G6CC88UZA6V39L" localSheetId="6" hidden="1">#REF!</definedName>
    <definedName name="BExQHRZ9FBLUG6G6CC88UZA6V39L" localSheetId="21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localSheetId="4" hidden="1">#REF!</definedName>
    <definedName name="BExQHVF9KD06AG2RXUQJ9X4PVGX4" localSheetId="6" hidden="1">#REF!</definedName>
    <definedName name="BExQHVF9KD06AG2RXUQJ9X4PVGX4" localSheetId="21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localSheetId="4" hidden="1">#REF!</definedName>
    <definedName name="BExQHZBHVN2L4HC7ACTR73T5OCV0" localSheetId="6" hidden="1">#REF!</definedName>
    <definedName name="BExQHZBHVN2L4HC7ACTR73T5OCV0" localSheetId="21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localSheetId="4" hidden="1">#REF!</definedName>
    <definedName name="BExQI3O3BBL6MXZNJD1S3UD8WBUU" localSheetId="6" hidden="1">#REF!</definedName>
    <definedName name="BExQI3O3BBL6MXZNJD1S3UD8WBUU" localSheetId="21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localSheetId="4" hidden="1">#REF!</definedName>
    <definedName name="BExQI7431UOEBYKYPVVMNXBZ2ZP2" localSheetId="6" hidden="1">#REF!</definedName>
    <definedName name="BExQI7431UOEBYKYPVVMNXBZ2ZP2" localSheetId="21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localSheetId="4" hidden="1">#REF!</definedName>
    <definedName name="BExQI85V9TNLDJT5LTRZS10Y26SG" localSheetId="6" hidden="1">#REF!</definedName>
    <definedName name="BExQI85V9TNLDJT5LTRZS10Y26SG" localSheetId="21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localSheetId="4" hidden="1">#REF!</definedName>
    <definedName name="BExQI9ICYVAAXE7L1BQSE1VWSQA9" localSheetId="6" hidden="1">#REF!</definedName>
    <definedName name="BExQI9ICYVAAXE7L1BQSE1VWSQA9" localSheetId="21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localSheetId="4" hidden="1">#REF!</definedName>
    <definedName name="BExQIAPKHVEV8CU1L3TTHJW67FJ5" localSheetId="6" hidden="1">#REF!</definedName>
    <definedName name="BExQIAPKHVEV8CU1L3TTHJW67FJ5" localSheetId="21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localSheetId="4" hidden="1">#REF!</definedName>
    <definedName name="BExQIAV02RGEQG6AF0CWXU3MS9BZ" localSheetId="6" hidden="1">#REF!</definedName>
    <definedName name="BExQIAV02RGEQG6AF0CWXU3MS9BZ" localSheetId="21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localSheetId="4" hidden="1">#REF!</definedName>
    <definedName name="BExQIBB4I3Z6AUU0HYV1DHRS13M4" localSheetId="6" hidden="1">#REF!</definedName>
    <definedName name="BExQIBB4I3Z6AUU0HYV1DHRS13M4" localSheetId="21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localSheetId="4" hidden="1">#REF!</definedName>
    <definedName name="BExQIBWPAXU7HJZLKGJZY3EB7MIS" localSheetId="6" hidden="1">#REF!</definedName>
    <definedName name="BExQIBWPAXU7HJZLKGJZY3EB7MIS" localSheetId="21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localSheetId="4" hidden="1">#REF!</definedName>
    <definedName name="BExQIHLP9AT969BKBF22IGW76GLI" localSheetId="6" hidden="1">#REF!</definedName>
    <definedName name="BExQIHLP9AT969BKBF22IGW76GLI" localSheetId="21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localSheetId="4" hidden="1">#REF!</definedName>
    <definedName name="BExQIS8O6R36CI01XRY9ISM99TW9" localSheetId="6" hidden="1">#REF!</definedName>
    <definedName name="BExQIS8O6R36CI01XRY9ISM99TW9" localSheetId="21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localSheetId="4" hidden="1">#REF!</definedName>
    <definedName name="BExQIVJB9MJ25NDUHTCVMSODJY2C" localSheetId="6" hidden="1">#REF!</definedName>
    <definedName name="BExQIVJB9MJ25NDUHTCVMSODJY2C" localSheetId="21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localSheetId="4" hidden="1">#REF!</definedName>
    <definedName name="BExQIWAEMVTWAU39DWIXT17K2A9Z" localSheetId="6" hidden="1">#REF!</definedName>
    <definedName name="BExQIWAEMVTWAU39DWIXT17K2A9Z" localSheetId="21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localSheetId="4" hidden="1">#REF!</definedName>
    <definedName name="BExQJ72T8UR0U461ZLEGOOEPCDIG" localSheetId="6" hidden="1">#REF!</definedName>
    <definedName name="BExQJ72T8UR0U461ZLEGOOEPCDIG" localSheetId="21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localSheetId="4" hidden="1">#REF!</definedName>
    <definedName name="BExQJAZ2QDORCR0K8PR9VHQZ4Y3P" localSheetId="6" hidden="1">#REF!</definedName>
    <definedName name="BExQJAZ2QDORCR0K8PR9VHQZ4Y3P" localSheetId="21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localSheetId="4" hidden="1">#REF!</definedName>
    <definedName name="BExQJBF7LAX128WR7VTMJC88ZLPG" localSheetId="6" hidden="1">#REF!</definedName>
    <definedName name="BExQJBF7LAX128WR7VTMJC88ZLPG" localSheetId="21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localSheetId="4" hidden="1">#REF!</definedName>
    <definedName name="BExQJEVCKX6KZHNCLYXY7D0MX5KN" localSheetId="6" hidden="1">#REF!</definedName>
    <definedName name="BExQJEVCKX6KZHNCLYXY7D0MX5KN" localSheetId="21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localSheetId="4" hidden="1">#REF!</definedName>
    <definedName name="BExQJJYSDX8B0J1QGF2HL071KKA3" localSheetId="6" hidden="1">#REF!</definedName>
    <definedName name="BExQJJYSDX8B0J1QGF2HL071KKA3" localSheetId="21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localSheetId="4" hidden="1">#REF!</definedName>
    <definedName name="BExQK1HV6SQQ7CP8H8IUKI9TYXTD" localSheetId="6" hidden="1">#REF!</definedName>
    <definedName name="BExQK1HV6SQQ7CP8H8IUKI9TYXTD" localSheetId="21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localSheetId="4" hidden="1">#REF!</definedName>
    <definedName name="BExQK3LE5CSBW1E4H4KHW548FL2R" localSheetId="6" hidden="1">#REF!</definedName>
    <definedName name="BExQK3LE5CSBW1E4H4KHW548FL2R" localSheetId="21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localSheetId="4" hidden="1">#REF!</definedName>
    <definedName name="BExQKG6LD6PLNDGNGO9DJXY865BR" localSheetId="6" hidden="1">#REF!</definedName>
    <definedName name="BExQKG6LD6PLNDGNGO9DJXY865BR" localSheetId="21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localSheetId="4" hidden="1">#REF!</definedName>
    <definedName name="BExQKUKG8I4CGS9QYSD0H7NHP4JN" localSheetId="6" hidden="1">#REF!</definedName>
    <definedName name="BExQKUKG8I4CGS9QYSD0H7NHP4JN" localSheetId="21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localSheetId="4" hidden="1">#REF!</definedName>
    <definedName name="BExQL2NSE8OYZFXQH8A23RMVMFW7" localSheetId="6" hidden="1">#REF!</definedName>
    <definedName name="BExQL2NSE8OYZFXQH8A23RMVMFW7" localSheetId="21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localSheetId="4" hidden="1">#REF!</definedName>
    <definedName name="BExQLE1TOW3A287TQB0AVWENT8O1" localSheetId="6" hidden="1">#REF!</definedName>
    <definedName name="BExQLE1TOW3A287TQB0AVWENT8O1" localSheetId="21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localSheetId="4" hidden="1">#REF!</definedName>
    <definedName name="BExRYOYB4A3E5F6MTROY69LR0PMG" localSheetId="6" hidden="1">#REF!</definedName>
    <definedName name="BExRYOYB4A3E5F6MTROY69LR0PMG" localSheetId="21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localSheetId="4" hidden="1">#REF!</definedName>
    <definedName name="BExRYZLA9EW71H4SXQR525S72LLP" localSheetId="6" hidden="1">#REF!</definedName>
    <definedName name="BExRYZLA9EW71H4SXQR525S72LLP" localSheetId="21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localSheetId="4" hidden="1">#REF!</definedName>
    <definedName name="BExRZ66M8G9FQ0VFP077QSZBSOA5" localSheetId="6" hidden="1">#REF!</definedName>
    <definedName name="BExRZ66M8G9FQ0VFP077QSZBSOA5" localSheetId="21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localSheetId="4" hidden="1">#REF!</definedName>
    <definedName name="BExRZ8FMQQL46I8AQWU17LRNZD5T" localSheetId="6" hidden="1">#REF!</definedName>
    <definedName name="BExRZ8FMQQL46I8AQWU17LRNZD5T" localSheetId="21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localSheetId="4" hidden="1">#REF!</definedName>
    <definedName name="BExRZIRRIXRUMZ5GOO95S7460BMP" localSheetId="6" hidden="1">#REF!</definedName>
    <definedName name="BExRZIRRIXRUMZ5GOO95S7460BMP" localSheetId="21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localSheetId="4" hidden="1">#REF!</definedName>
    <definedName name="BExRZJTNBKKPK7SB4LA31O3OH6PO" localSheetId="6" hidden="1">#REF!</definedName>
    <definedName name="BExRZJTNBKKPK7SB4LA31O3OH6PO" localSheetId="21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localSheetId="4" hidden="1">#REF!</definedName>
    <definedName name="BExRZK9RAHMM0ZLTNSK7A4LDC42D" localSheetId="6" hidden="1">#REF!</definedName>
    <definedName name="BExRZK9RAHMM0ZLTNSK7A4LDC42D" localSheetId="21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localSheetId="4" hidden="1">#REF!</definedName>
    <definedName name="BExRZNF461H0WDF36L3U0UQSJGZB" localSheetId="6" hidden="1">#REF!</definedName>
    <definedName name="BExRZNF461H0WDF36L3U0UQSJGZB" localSheetId="21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localSheetId="4" hidden="1">#REF!</definedName>
    <definedName name="BExRZOGSR69INI6GAEPHDWSNK5Q4" localSheetId="6" hidden="1">#REF!</definedName>
    <definedName name="BExRZOGSR69INI6GAEPHDWSNK5Q4" localSheetId="21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localSheetId="4" hidden="1">#REF!</definedName>
    <definedName name="BExS0ASQBKRTPDWFK0KUDFOS9LE5" localSheetId="6" hidden="1">#REF!</definedName>
    <definedName name="BExS0ASQBKRTPDWFK0KUDFOS9LE5" localSheetId="21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localSheetId="4" hidden="1">#REF!</definedName>
    <definedName name="BExS0GHQUF6YT0RU3TKDEO8CSJYB" localSheetId="6" hidden="1">#REF!</definedName>
    <definedName name="BExS0GHQUF6YT0RU3TKDEO8CSJYB" localSheetId="21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localSheetId="4" hidden="1">#REF!</definedName>
    <definedName name="BExS0K8IHC45I78DMZBOJ1P13KQA" localSheetId="6" hidden="1">#REF!</definedName>
    <definedName name="BExS0K8IHC45I78DMZBOJ1P13KQA" localSheetId="21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localSheetId="4" hidden="1">#REF!</definedName>
    <definedName name="BExS0L4WP69XXUFHED98XIEPB593" localSheetId="6" hidden="1">#REF!</definedName>
    <definedName name="BExS0L4WP69XXUFHED98XIEPB593" localSheetId="21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localSheetId="4" hidden="1">#REF!</definedName>
    <definedName name="BExS0Z2O2N4AJXFEPN87NU9ZGAHG" localSheetId="6" hidden="1">#REF!</definedName>
    <definedName name="BExS0Z2O2N4AJXFEPN87NU9ZGAHG" localSheetId="21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localSheetId="4" hidden="1">#REF!</definedName>
    <definedName name="BExS15IJV0WW662NXQUVT3FGP4ST" localSheetId="6" hidden="1">#REF!</definedName>
    <definedName name="BExS15IJV0WW662NXQUVT3FGP4ST" localSheetId="21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localSheetId="4" hidden="1">#REF!</definedName>
    <definedName name="BExS18T8TBNEPF4AU1VJ268XLF3L" localSheetId="6" hidden="1">#REF!</definedName>
    <definedName name="BExS18T8TBNEPF4AU1VJ268XLF3L" localSheetId="21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localSheetId="4" hidden="1">#REF!</definedName>
    <definedName name="BExS194110MR25BYJI3CJ2EGZ8XT" localSheetId="6" hidden="1">#REF!</definedName>
    <definedName name="BExS194110MR25BYJI3CJ2EGZ8XT" localSheetId="21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localSheetId="4" hidden="1">#REF!</definedName>
    <definedName name="BExS1BNVGNSGD4EP90QL8WXYWZ66" localSheetId="6" hidden="1">#REF!</definedName>
    <definedName name="BExS1BNVGNSGD4EP90QL8WXYWZ66" localSheetId="21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localSheetId="4" hidden="1">#REF!</definedName>
    <definedName name="BExS1UE39N6NCND7MAARSBWXS6HU" localSheetId="6" hidden="1">#REF!</definedName>
    <definedName name="BExS1UE39N6NCND7MAARSBWXS6HU" localSheetId="21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localSheetId="4" hidden="1">#REF!</definedName>
    <definedName name="BExS226HTWL5WVC76MP5A1IBI8WD" localSheetId="6" hidden="1">#REF!</definedName>
    <definedName name="BExS226HTWL5WVC76MP5A1IBI8WD" localSheetId="21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localSheetId="4" hidden="1">#REF!</definedName>
    <definedName name="BExS26OI2QNNAH2WMDD95Z400048" localSheetId="6" hidden="1">#REF!</definedName>
    <definedName name="BExS26OI2QNNAH2WMDD95Z400048" localSheetId="21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localSheetId="4" hidden="1">#REF!</definedName>
    <definedName name="BExS2D4EI622QRKZKVDPRE66M4XA" localSheetId="6" hidden="1">#REF!</definedName>
    <definedName name="BExS2D4EI622QRKZKVDPRE66M4XA" localSheetId="21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localSheetId="4" hidden="1">#REF!</definedName>
    <definedName name="BExS2DF6B4ZUF3VZLI4G6LJ3BF38" localSheetId="6" hidden="1">#REF!</definedName>
    <definedName name="BExS2DF6B4ZUF3VZLI4G6LJ3BF38" localSheetId="21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localSheetId="4" hidden="1">#REF!</definedName>
    <definedName name="BExS2GKEA6VM3PDWKD7XI0KRUHTW" localSheetId="6" hidden="1">#REF!</definedName>
    <definedName name="BExS2GKEA6VM3PDWKD7XI0KRUHTW" localSheetId="21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localSheetId="4" hidden="1">#REF!</definedName>
    <definedName name="BExS2I2HVU314TXI2DYFRY8XV913" localSheetId="6" hidden="1">#REF!</definedName>
    <definedName name="BExS2I2HVU314TXI2DYFRY8XV913" localSheetId="21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localSheetId="4" hidden="1">#REF!</definedName>
    <definedName name="BExS2QB5FS5LYTFYO4BROTWG3OV5" localSheetId="6" hidden="1">#REF!</definedName>
    <definedName name="BExS2QB5FS5LYTFYO4BROTWG3OV5" localSheetId="21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localSheetId="4" hidden="1">#REF!</definedName>
    <definedName name="BExS2TLU1HONYV6S3ZD9T12D7CIG" localSheetId="6" hidden="1">#REF!</definedName>
    <definedName name="BExS2TLU1HONYV6S3ZD9T12D7CIG" localSheetId="21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localSheetId="4" hidden="1">#REF!</definedName>
    <definedName name="BExS2WLQUVBRZJWQTWUU4CYDY4IN" localSheetId="6" hidden="1">#REF!</definedName>
    <definedName name="BExS2WLQUVBRZJWQTWUU4CYDY4IN" localSheetId="21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localSheetId="4" hidden="1">#REF!</definedName>
    <definedName name="BExS2YJQV4NUX6135T90Z1Y5R26Q" localSheetId="6" hidden="1">#REF!</definedName>
    <definedName name="BExS2YJQV4NUX6135T90Z1Y5R26Q" localSheetId="21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localSheetId="4" hidden="1">#REF!</definedName>
    <definedName name="BExS318UV9I2FXPQQWUKKX00QLPJ" localSheetId="6" hidden="1">#REF!</definedName>
    <definedName name="BExS318UV9I2FXPQQWUKKX00QLPJ" localSheetId="21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localSheetId="4" hidden="1">#REF!</definedName>
    <definedName name="BExS3LBS0SMTHALVM4NRI1BAV1NP" localSheetId="6" hidden="1">#REF!</definedName>
    <definedName name="BExS3LBS0SMTHALVM4NRI1BAV1NP" localSheetId="21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localSheetId="4" hidden="1">#REF!</definedName>
    <definedName name="BExS3MTQ75VBXDGEBURP6YT8RROE" localSheetId="6" hidden="1">#REF!</definedName>
    <definedName name="BExS3MTQ75VBXDGEBURP6YT8RROE" localSheetId="21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localSheetId="4" hidden="1">#REF!</definedName>
    <definedName name="BExS3OMGYO0DFN5186UFKEXZ2RX3" localSheetId="6" hidden="1">#REF!</definedName>
    <definedName name="BExS3OMGYO0DFN5186UFKEXZ2RX3" localSheetId="21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localSheetId="4" hidden="1">#REF!</definedName>
    <definedName name="BExS3SDERJ27OER67TIGOVZU13A2" localSheetId="6" hidden="1">#REF!</definedName>
    <definedName name="BExS3SDERJ27OER67TIGOVZU13A2" localSheetId="21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localSheetId="4" hidden="1">#REF!</definedName>
    <definedName name="BExS3STIH9SFG0R6H30P191QZE98" localSheetId="6" hidden="1">#REF!</definedName>
    <definedName name="BExS3STIH9SFG0R6H30P191QZE98" localSheetId="21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localSheetId="4" hidden="1">#REF!</definedName>
    <definedName name="BExS46R5WDNU5KL04FKY5LHJUCB8" localSheetId="6" hidden="1">#REF!</definedName>
    <definedName name="BExS46R5WDNU5KL04FKY5LHJUCB8" localSheetId="21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localSheetId="4" hidden="1">#REF!</definedName>
    <definedName name="BExS4ASWKM93XA275AXHYP8AG6SU" localSheetId="6" hidden="1">#REF!</definedName>
    <definedName name="BExS4ASWKM93XA275AXHYP8AG6SU" localSheetId="21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localSheetId="4" hidden="1">#REF!</definedName>
    <definedName name="BExS4IANBC4RO7HIK0MZZ2RPQU78" localSheetId="6" hidden="1">#REF!</definedName>
    <definedName name="BExS4IANBC4RO7HIK0MZZ2RPQU78" localSheetId="21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localSheetId="4" hidden="1">#REF!</definedName>
    <definedName name="BExS4JN3Y6SVBKILQK0R9HS45Y52" localSheetId="6" hidden="1">#REF!</definedName>
    <definedName name="BExS4JN3Y6SVBKILQK0R9HS45Y52" localSheetId="21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localSheetId="4" hidden="1">#REF!</definedName>
    <definedName name="BExS4P6S41O6Z6BED77U3GD9PNH1" localSheetId="6" hidden="1">#REF!</definedName>
    <definedName name="BExS4P6S41O6Z6BED77U3GD9PNH1" localSheetId="21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localSheetId="4" hidden="1">#REF!</definedName>
    <definedName name="BExS4PXPURUHFBOKYFJD5J1J2RXC" localSheetId="6" hidden="1">#REF!</definedName>
    <definedName name="BExS4PXPURUHFBOKYFJD5J1J2RXC" localSheetId="21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localSheetId="4" hidden="1">#REF!</definedName>
    <definedName name="BExS4T32HD3YGJ91HTJ2IGVX6V4O" localSheetId="6" hidden="1">#REF!</definedName>
    <definedName name="BExS4T32HD3YGJ91HTJ2IGVX6V4O" localSheetId="21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localSheetId="4" hidden="1">#REF!</definedName>
    <definedName name="BExS51H0N51UT0FZOPZRCF1GU063" localSheetId="6" hidden="1">#REF!</definedName>
    <definedName name="BExS51H0N51UT0FZOPZRCF1GU063" localSheetId="21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localSheetId="4" hidden="1">#REF!</definedName>
    <definedName name="BExS54X72TJFC41FJK72MLRR2OO7" localSheetId="6" hidden="1">#REF!</definedName>
    <definedName name="BExS54X72TJFC41FJK72MLRR2OO7" localSheetId="21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localSheetId="4" hidden="1">#REF!</definedName>
    <definedName name="BExS59F0PA1V2ZC7S5TN6IT41SXP" localSheetId="6" hidden="1">#REF!</definedName>
    <definedName name="BExS59F0PA1V2ZC7S5TN6IT41SXP" localSheetId="21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localSheetId="4" hidden="1">#REF!</definedName>
    <definedName name="BExS5L3TGB8JVW9ROYWTKYTUPW27" localSheetId="6" hidden="1">#REF!</definedName>
    <definedName name="BExS5L3TGB8JVW9ROYWTKYTUPW27" localSheetId="21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localSheetId="4" hidden="1">#REF!</definedName>
    <definedName name="BExS6GKQ96EHVLYWNJDWXZXUZW90" localSheetId="6" hidden="1">#REF!</definedName>
    <definedName name="BExS6GKQ96EHVLYWNJDWXZXUZW90" localSheetId="21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localSheetId="4" hidden="1">#REF!</definedName>
    <definedName name="BExS6ITKSZFRR01YD5B0F676SYN7" localSheetId="6" hidden="1">#REF!</definedName>
    <definedName name="BExS6ITKSZFRR01YD5B0F676SYN7" localSheetId="21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localSheetId="4" hidden="1">#REF!</definedName>
    <definedName name="BExS6N0LI574IAC89EFW6CLTCQ33" localSheetId="6" hidden="1">#REF!</definedName>
    <definedName name="BExS6N0LI574IAC89EFW6CLTCQ33" localSheetId="21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localSheetId="4" hidden="1">#REF!</definedName>
    <definedName name="BExS6N0NEF7XCTT5R600QZ71A44O" localSheetId="6" hidden="1">#REF!</definedName>
    <definedName name="BExS6N0NEF7XCTT5R600QZ71A44O" localSheetId="21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localSheetId="4" hidden="1">#REF!</definedName>
    <definedName name="BExS6WRDBF3ST86ZOBBUL3GTCR11" localSheetId="6" hidden="1">#REF!</definedName>
    <definedName name="BExS6WRDBF3ST86ZOBBUL3GTCR11" localSheetId="21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localSheetId="4" hidden="1">#REF!</definedName>
    <definedName name="BExS6XNRKR0C3MTA0LV5B60UB908" localSheetId="6" hidden="1">#REF!</definedName>
    <definedName name="BExS6XNRKR0C3MTA0LV5B60UB908" localSheetId="21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localSheetId="4" hidden="1">#REF!</definedName>
    <definedName name="BExS73NELZEK2MDOLXO2Q7H3EG71" localSheetId="6" hidden="1">#REF!</definedName>
    <definedName name="BExS73NELZEK2MDOLXO2Q7H3EG71" localSheetId="21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localSheetId="4" hidden="1">#REF!</definedName>
    <definedName name="BExS7DJF6AXTWAJD7K4ZCD7L6BHV" localSheetId="6" hidden="1">#REF!</definedName>
    <definedName name="BExS7DJF6AXTWAJD7K4ZCD7L6BHV" localSheetId="21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localSheetId="4" hidden="1">#REF!</definedName>
    <definedName name="BExS7GOTHHOK287MX2RC853NWQAL" localSheetId="6" hidden="1">#REF!</definedName>
    <definedName name="BExS7GOTHHOK287MX2RC853NWQAL" localSheetId="21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localSheetId="4" hidden="1">#REF!</definedName>
    <definedName name="BExS7TKQYLRZGM93UY3ZJZJBQNFJ" localSheetId="6" hidden="1">#REF!</definedName>
    <definedName name="BExS7TKQYLRZGM93UY3ZJZJBQNFJ" localSheetId="21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localSheetId="4" hidden="1">#REF!</definedName>
    <definedName name="BExS7Y2LNGVHSIBKC7C3R6X4LDR6" localSheetId="6" hidden="1">#REF!</definedName>
    <definedName name="BExS7Y2LNGVHSIBKC7C3R6X4LDR6" localSheetId="21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localSheetId="4" hidden="1">#REF!</definedName>
    <definedName name="BExS81TE0EY44Y3W2M4Z4MGNP5OM" localSheetId="6" hidden="1">#REF!</definedName>
    <definedName name="BExS81TE0EY44Y3W2M4Z4MGNP5OM" localSheetId="21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localSheetId="4" hidden="1">#REF!</definedName>
    <definedName name="BExS81YPDZDVJJVS15HV2HDXAC3Y" localSheetId="6" hidden="1">#REF!</definedName>
    <definedName name="BExS81YPDZDVJJVS15HV2HDXAC3Y" localSheetId="21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localSheetId="4" hidden="1">#REF!</definedName>
    <definedName name="BExS82PRVNUTEKQZS56YT2DVF6C2" localSheetId="6" hidden="1">#REF!</definedName>
    <definedName name="BExS82PRVNUTEKQZS56YT2DVF6C2" localSheetId="21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localSheetId="4" hidden="1">#REF!</definedName>
    <definedName name="BExS83BCNFAV6DRCB1VTUF96491J" localSheetId="6" hidden="1">#REF!</definedName>
    <definedName name="BExS83BCNFAV6DRCB1VTUF96491J" localSheetId="21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localSheetId="4" hidden="1">#REF!</definedName>
    <definedName name="BExS86GKM9ISCSNZD15BQ5E5L6A5" localSheetId="6" hidden="1">#REF!</definedName>
    <definedName name="BExS86GKM9ISCSNZD15BQ5E5L6A5" localSheetId="21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localSheetId="4" hidden="1">#REF!</definedName>
    <definedName name="BExS89GGRJ55EK546SM31UGE2K8T" localSheetId="6" hidden="1">#REF!</definedName>
    <definedName name="BExS89GGRJ55EK546SM31UGE2K8T" localSheetId="21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localSheetId="4" hidden="1">#REF!</definedName>
    <definedName name="BExS8BPG5A0GR5AO1U951NDGGR0L" localSheetId="6" hidden="1">#REF!</definedName>
    <definedName name="BExS8BPG5A0GR5AO1U951NDGGR0L" localSheetId="21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localSheetId="4" hidden="1">#REF!</definedName>
    <definedName name="BExS8CGI0JXFUBD41VFLI0SZSV8F" localSheetId="6" hidden="1">#REF!</definedName>
    <definedName name="BExS8CGI0JXFUBD41VFLI0SZSV8F" localSheetId="21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localSheetId="4" hidden="1">#REF!</definedName>
    <definedName name="BExS8D22FXVQKOEJP01LT0CDI3PS" localSheetId="6" hidden="1">#REF!</definedName>
    <definedName name="BExS8D22FXVQKOEJP01LT0CDI3PS" localSheetId="21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localSheetId="4" hidden="1">#REF!</definedName>
    <definedName name="BExS8EEJOZFBUWZDOM3O25AJRUVU" localSheetId="6" hidden="1">#REF!</definedName>
    <definedName name="BExS8EEJOZFBUWZDOM3O25AJRUVU" localSheetId="21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localSheetId="4" hidden="1">#REF!</definedName>
    <definedName name="BExS8GSUS17UY50TEM2AWF36BR9Z" localSheetId="6" hidden="1">#REF!</definedName>
    <definedName name="BExS8GSUS17UY50TEM2AWF36BR9Z" localSheetId="21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localSheetId="4" hidden="1">#REF!</definedName>
    <definedName name="BExS8HJRBVG0XI6PWA9KTMJZMQXK" localSheetId="6" hidden="1">#REF!</definedName>
    <definedName name="BExS8HJRBVG0XI6PWA9KTMJZMQXK" localSheetId="21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localSheetId="4" hidden="1">#REF!</definedName>
    <definedName name="BExS8NE9HUZJH13OXLREOV1BX0OZ" localSheetId="6" hidden="1">#REF!</definedName>
    <definedName name="BExS8NE9HUZJH13OXLREOV1BX0OZ" localSheetId="21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localSheetId="4" hidden="1">#REF!</definedName>
    <definedName name="BExS8R51C8RM2FS6V6IRTYO9GA4A" localSheetId="6" hidden="1">#REF!</definedName>
    <definedName name="BExS8R51C8RM2FS6V6IRTYO9GA4A" localSheetId="21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localSheetId="4" hidden="1">#REF!</definedName>
    <definedName name="BExS8WDX408F60MH1X9B9UZ2H4R7" localSheetId="6" hidden="1">#REF!</definedName>
    <definedName name="BExS8WDX408F60MH1X9B9UZ2H4R7" localSheetId="21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localSheetId="4" hidden="1">#REF!</definedName>
    <definedName name="BExS8X4UTVOFE2YEVLO8LTKMSI3A" localSheetId="6" hidden="1">#REF!</definedName>
    <definedName name="BExS8X4UTVOFE2YEVLO8LTKMSI3A" localSheetId="21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localSheetId="4" hidden="1">#REF!</definedName>
    <definedName name="BExS8Z2W2QEC3MH0BZIYLDFQNUIP" localSheetId="6" hidden="1">#REF!</definedName>
    <definedName name="BExS8Z2W2QEC3MH0BZIYLDFQNUIP" localSheetId="21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localSheetId="4" hidden="1">#REF!</definedName>
    <definedName name="BExS92DKGRFFCIA9C0IXDOLO57EP" localSheetId="6" hidden="1">#REF!</definedName>
    <definedName name="BExS92DKGRFFCIA9C0IXDOLO57EP" localSheetId="21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localSheetId="4" hidden="1">#REF!</definedName>
    <definedName name="BExS98OB4321YCHLCQ022PXKTT2W" localSheetId="6" hidden="1">#REF!</definedName>
    <definedName name="BExS98OB4321YCHLCQ022PXKTT2W" localSheetId="21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localSheetId="4" hidden="1">#REF!</definedName>
    <definedName name="BExS9C9N8GFISC6HUERJ0EI06GB2" localSheetId="6" hidden="1">#REF!</definedName>
    <definedName name="BExS9C9N8GFISC6HUERJ0EI06GB2" localSheetId="21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localSheetId="4" hidden="1">#REF!</definedName>
    <definedName name="BExS9D6619QNINF06KHZHYUAH0S9" localSheetId="6" hidden="1">#REF!</definedName>
    <definedName name="BExS9D6619QNINF06KHZHYUAH0S9" localSheetId="21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localSheetId="4" hidden="1">#REF!</definedName>
    <definedName name="BExS9DX13CACP3J8JDREK30JB1SQ" localSheetId="6" hidden="1">#REF!</definedName>
    <definedName name="BExS9DX13CACP3J8JDREK30JB1SQ" localSheetId="21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localSheetId="4" hidden="1">#REF!</definedName>
    <definedName name="BExS9FPRS2KRRCS33SE6WFNF5GYL" localSheetId="6" hidden="1">#REF!</definedName>
    <definedName name="BExS9FPRS2KRRCS33SE6WFNF5GYL" localSheetId="21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localSheetId="4" hidden="1">#REF!</definedName>
    <definedName name="BExS9M5VN3VE822UH6TLACVY24CJ" localSheetId="6" hidden="1">#REF!</definedName>
    <definedName name="BExS9M5VN3VE822UH6TLACVY24CJ" localSheetId="21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localSheetId="4" hidden="1">#REF!</definedName>
    <definedName name="BExS9WI0A6PSEB8N9GPXF2Z7MWHM" localSheetId="6" hidden="1">#REF!</definedName>
    <definedName name="BExS9WI0A6PSEB8N9GPXF2Z7MWHM" localSheetId="21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localSheetId="4" hidden="1">#REF!</definedName>
    <definedName name="BExS9XJPZ07ND34OHX60QD382FV6" localSheetId="6" hidden="1">#REF!</definedName>
    <definedName name="BExS9XJPZ07ND34OHX60QD382FV6" localSheetId="21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localSheetId="4" hidden="1">#REF!</definedName>
    <definedName name="BExSA4AJLEEN4R7HU4FRSMYR17TR" localSheetId="6" hidden="1">#REF!</definedName>
    <definedName name="BExSA4AJLEEN4R7HU4FRSMYR17TR" localSheetId="21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localSheetId="4" hidden="1">#REF!</definedName>
    <definedName name="BExSA5HP306TN9XJS0TU619DLRR7" localSheetId="6" hidden="1">#REF!</definedName>
    <definedName name="BExSA5HP306TN9XJS0TU619DLRR7" localSheetId="21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localSheetId="4" hidden="1">#REF!</definedName>
    <definedName name="BExSAAVWQOOIA6B3JHQVGP08HFEM" localSheetId="6" hidden="1">#REF!</definedName>
    <definedName name="BExSAAVWQOOIA6B3JHQVGP08HFEM" localSheetId="21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localSheetId="4" hidden="1">#REF!</definedName>
    <definedName name="BExSAFJ3IICU2M7QPVE4ARYMXZKX" localSheetId="6" hidden="1">#REF!</definedName>
    <definedName name="BExSAFJ3IICU2M7QPVE4ARYMXZKX" localSheetId="21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localSheetId="4" hidden="1">#REF!</definedName>
    <definedName name="BExSAH6ID8OHX379UXVNGFO8J6KQ" localSheetId="6" hidden="1">#REF!</definedName>
    <definedName name="BExSAH6ID8OHX379UXVNGFO8J6KQ" localSheetId="21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localSheetId="4" hidden="1">#REF!</definedName>
    <definedName name="BExSAQBHIXGQRNIRGCJMBXUPCZQA" localSheetId="6" hidden="1">#REF!</definedName>
    <definedName name="BExSAQBHIXGQRNIRGCJMBXUPCZQA" localSheetId="21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localSheetId="4" hidden="1">#REF!</definedName>
    <definedName name="BExSAUTCT4P7JP57NOR9MTX33QJZ" localSheetId="6" hidden="1">#REF!</definedName>
    <definedName name="BExSAUTCT4P7JP57NOR9MTX33QJZ" localSheetId="21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localSheetId="4" hidden="1">#REF!</definedName>
    <definedName name="BExSAY9CA9TFXQ9M9FBJRGJO9T9E" localSheetId="6" hidden="1">#REF!</definedName>
    <definedName name="BExSAY9CA9TFXQ9M9FBJRGJO9T9E" localSheetId="21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localSheetId="4" hidden="1">#REF!</definedName>
    <definedName name="BExSB4JYKQ3MINI7RAYK5M8BLJDC" localSheetId="6" hidden="1">#REF!</definedName>
    <definedName name="BExSB4JYKQ3MINI7RAYK5M8BLJDC" localSheetId="21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localSheetId="4" hidden="1">#REF!</definedName>
    <definedName name="BExSBCY73CG3Q15P5BDLDT994XRL" localSheetId="6" hidden="1">#REF!</definedName>
    <definedName name="BExSBCY73CG3Q15P5BDLDT994XRL" localSheetId="21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localSheetId="4" hidden="1">#REF!</definedName>
    <definedName name="BExSBMOS41ZRLWYLOU29V6Y7YORR" localSheetId="6" hidden="1">#REF!</definedName>
    <definedName name="BExSBMOS41ZRLWYLOU29V6Y7YORR" localSheetId="21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localSheetId="4" hidden="1">#REF!</definedName>
    <definedName name="BExSBPZG22WAMZYIF7CZ686E8X80" localSheetId="6" hidden="1">#REF!</definedName>
    <definedName name="BExSBPZG22WAMZYIF7CZ686E8X80" localSheetId="21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localSheetId="4" hidden="1">#REF!</definedName>
    <definedName name="BExSBRBXXQMBU1TYDW1BXTEVEPRU" localSheetId="6" hidden="1">#REF!</definedName>
    <definedName name="BExSBRBXXQMBU1TYDW1BXTEVEPRU" localSheetId="21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localSheetId="4" hidden="1">#REF!</definedName>
    <definedName name="BExSC54998WTZ21DSL0R8UN0Y9JH" localSheetId="6" hidden="1">#REF!</definedName>
    <definedName name="BExSC54998WTZ21DSL0R8UN0Y9JH" localSheetId="21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localSheetId="4" hidden="1">#REF!</definedName>
    <definedName name="BExSC60N7WR9PJSNC9B7ORCX9NGY" localSheetId="6" hidden="1">#REF!</definedName>
    <definedName name="BExSC60N7WR9PJSNC9B7ORCX9NGY" localSheetId="21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localSheetId="4" hidden="1">#REF!</definedName>
    <definedName name="BExSCE99EZTILTTCE4NJJF96OYYM" localSheetId="6" hidden="1">#REF!</definedName>
    <definedName name="BExSCE99EZTILTTCE4NJJF96OYYM" localSheetId="21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localSheetId="4" hidden="1">#REF!</definedName>
    <definedName name="BExSCFWOMYELUEPWVJIRGIQZH5BV" localSheetId="6" hidden="1">#REF!</definedName>
    <definedName name="BExSCFWOMYELUEPWVJIRGIQZH5BV" localSheetId="21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localSheetId="4" hidden="1">#REF!</definedName>
    <definedName name="BExSCHUQZ2HFEWS54X67DIS8OSXZ" localSheetId="6" hidden="1">#REF!</definedName>
    <definedName name="BExSCHUQZ2HFEWS54X67DIS8OSXZ" localSheetId="21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localSheetId="4" hidden="1">#REF!</definedName>
    <definedName name="BExSCOG41SKKG4GYU76WRWW1CTE6" localSheetId="6" hidden="1">#REF!</definedName>
    <definedName name="BExSCOG41SKKG4GYU76WRWW1CTE6" localSheetId="21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localSheetId="4" hidden="1">#REF!</definedName>
    <definedName name="BExSCVC9P86YVFMRKKUVRV29MZXZ" localSheetId="6" hidden="1">#REF!</definedName>
    <definedName name="BExSCVC9P86YVFMRKKUVRV29MZXZ" localSheetId="21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localSheetId="4" hidden="1">#REF!</definedName>
    <definedName name="BExSD233CH4MU9ZMGNRF97ZV7KWU" localSheetId="6" hidden="1">#REF!</definedName>
    <definedName name="BExSD233CH4MU9ZMGNRF97ZV7KWU" localSheetId="21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localSheetId="4" hidden="1">#REF!</definedName>
    <definedName name="BExSD2U0F3BN6IN9N4R2DTTJG15H" localSheetId="6" hidden="1">#REF!</definedName>
    <definedName name="BExSD2U0F3BN6IN9N4R2DTTJG15H" localSheetId="21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localSheetId="4" hidden="1">#REF!</definedName>
    <definedName name="BExSD6A6NY15YSMFH51ST6XJY429" localSheetId="6" hidden="1">#REF!</definedName>
    <definedName name="BExSD6A6NY15YSMFH51ST6XJY429" localSheetId="21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localSheetId="4" hidden="1">#REF!</definedName>
    <definedName name="BExSD9VH6PF6RQ135VOEE08YXPAW" localSheetId="6" hidden="1">#REF!</definedName>
    <definedName name="BExSD9VH6PF6RQ135VOEE08YXPAW" localSheetId="21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localSheetId="4" hidden="1">#REF!</definedName>
    <definedName name="BExSDI9QWFD49GEZWZ3KOGM27XRB" localSheetId="6" hidden="1">#REF!</definedName>
    <definedName name="BExSDI9QWFD49GEZWZ3KOGM27XRB" localSheetId="21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localSheetId="4" hidden="1">#REF!</definedName>
    <definedName name="BExSDP5Y04WWMX2WWRITWOX8R5I9" localSheetId="6" hidden="1">#REF!</definedName>
    <definedName name="BExSDP5Y04WWMX2WWRITWOX8R5I9" localSheetId="21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localSheetId="4" hidden="1">#REF!</definedName>
    <definedName name="BExSDSGM203BJTNS9MKCBX453HMD" localSheetId="6" hidden="1">#REF!</definedName>
    <definedName name="BExSDSGM203BJTNS9MKCBX453HMD" localSheetId="21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localSheetId="4" hidden="1">#REF!</definedName>
    <definedName name="BExSDT20XUFXTDM37M148AXAP7HN" localSheetId="6" hidden="1">#REF!</definedName>
    <definedName name="BExSDT20XUFXTDM37M148AXAP7HN" localSheetId="21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localSheetId="4" hidden="1">#REF!</definedName>
    <definedName name="BExSDYLOWNTKCY92LFEDAV8LO7D3" localSheetId="6" hidden="1">#REF!</definedName>
    <definedName name="BExSDYLOWNTKCY92LFEDAV8LO7D3" localSheetId="21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localSheetId="4" hidden="1">#REF!</definedName>
    <definedName name="BExSE277VXZ807WBUB6A1UGQ1SF9" localSheetId="6" hidden="1">#REF!</definedName>
    <definedName name="BExSE277VXZ807WBUB6A1UGQ1SF9" localSheetId="21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localSheetId="4" hidden="1">#REF!</definedName>
    <definedName name="BExSE3EDSP4UL6G0I3DZ5SBHMUBU" localSheetId="6" hidden="1">#REF!</definedName>
    <definedName name="BExSE3EDSP4UL6G0I3DZ5SBHMUBU" localSheetId="21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localSheetId="4" hidden="1">#REF!</definedName>
    <definedName name="BExSEEHK1VLWD7JBV9SVVVIKQZ3I" localSheetId="6" hidden="1">#REF!</definedName>
    <definedName name="BExSEEHK1VLWD7JBV9SVVVIKQZ3I" localSheetId="21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localSheetId="4" hidden="1">#REF!</definedName>
    <definedName name="BExSEITYG8XAMWJ1C8VKU1MB4TEO" localSheetId="6" hidden="1">#REF!</definedName>
    <definedName name="BExSEITYG8XAMWJ1C8VKU1MB4TEO" localSheetId="21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localSheetId="4" hidden="1">#REF!</definedName>
    <definedName name="BExSEJKZLX37P3V33TRTFJ30BFRK" localSheetId="6" hidden="1">#REF!</definedName>
    <definedName name="BExSEJKZLX37P3V33TRTFJ30BFRK" localSheetId="21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localSheetId="4" hidden="1">#REF!</definedName>
    <definedName name="BExSEKXG1AW54E28IG5EODEM0JJV" localSheetId="6" hidden="1">#REF!</definedName>
    <definedName name="BExSEKXG1AW54E28IG5EODEM0JJV" localSheetId="21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localSheetId="4" hidden="1">#REF!</definedName>
    <definedName name="BExSEO84KVM8R2IV5MFH0XI3IZSN" localSheetId="6" hidden="1">#REF!</definedName>
    <definedName name="BExSEO84KVM8R2IV5MFH0XI3IZSN" localSheetId="21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localSheetId="4" hidden="1">#REF!</definedName>
    <definedName name="BExSEP9UVOAI6TMXKNK587PQ3328" localSheetId="6" hidden="1">#REF!</definedName>
    <definedName name="BExSEP9UVOAI6TMXKNK587PQ3328" localSheetId="21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localSheetId="4" hidden="1">#REF!</definedName>
    <definedName name="BExSERIU9MUGR4NPZAUJCVXUZ74I" localSheetId="6" hidden="1">#REF!</definedName>
    <definedName name="BExSERIU9MUGR4NPZAUJCVXUZ74I" localSheetId="21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localSheetId="4" hidden="1">#REF!</definedName>
    <definedName name="BExSF07QFLZCO4P6K6QF05XG7PH1" localSheetId="6" hidden="1">#REF!</definedName>
    <definedName name="BExSF07QFLZCO4P6K6QF05XG7PH1" localSheetId="21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localSheetId="4" hidden="1">#REF!</definedName>
    <definedName name="BExSFJ8ZAGQ63A4MVMZRQWLVRGQ5" localSheetId="6" hidden="1">#REF!</definedName>
    <definedName name="BExSFJ8ZAGQ63A4MVMZRQWLVRGQ5" localSheetId="21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localSheetId="4" hidden="1">#REF!</definedName>
    <definedName name="BExSFKQRST2S9KXWWLCXYLKSF4G1" localSheetId="6" hidden="1">#REF!</definedName>
    <definedName name="BExSFKQRST2S9KXWWLCXYLKSF4G1" localSheetId="21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localSheetId="4" hidden="1">#REF!</definedName>
    <definedName name="BExSFOHO6VZ5Y463KL3XYTZBVE3P" localSheetId="6" hidden="1">#REF!</definedName>
    <definedName name="BExSFOHO6VZ5Y463KL3XYTZBVE3P" localSheetId="21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localSheetId="4" hidden="1">#REF!</definedName>
    <definedName name="BExSFY2ZJOYUEYBX21QZ7AMN2WK1" localSheetId="6" hidden="1">#REF!</definedName>
    <definedName name="BExSFY2ZJOYUEYBX21QZ7AMN2WK1" localSheetId="21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localSheetId="4" hidden="1">#REF!</definedName>
    <definedName name="BExSFYDRRTAZVPXRWUF5PDQ97WFF" localSheetId="6" hidden="1">#REF!</definedName>
    <definedName name="BExSFYDRRTAZVPXRWUF5PDQ97WFF" localSheetId="21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localSheetId="4" hidden="1">#REF!</definedName>
    <definedName name="BExSFZVPFTXA3F0IJ2NGH1GXX9R7" localSheetId="6" hidden="1">#REF!</definedName>
    <definedName name="BExSFZVPFTXA3F0IJ2NGH1GXX9R7" localSheetId="21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localSheetId="4" hidden="1">#REF!</definedName>
    <definedName name="BExSG2Q34XRC1K28H4XG6PQM3FTW" localSheetId="6" hidden="1">#REF!</definedName>
    <definedName name="BExSG2Q34XRC1K28H4XG6PQM3FTW" localSheetId="21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localSheetId="4" hidden="1">#REF!</definedName>
    <definedName name="BExSG90Q4ZUU2IPGDYOM169NJV9S" localSheetId="6" hidden="1">#REF!</definedName>
    <definedName name="BExSG90Q4ZUU2IPGDYOM169NJV9S" localSheetId="21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localSheetId="4" hidden="1">#REF!</definedName>
    <definedName name="BExSG9X3DU845PNXYJGGLBQY2UHG" localSheetId="6" hidden="1">#REF!</definedName>
    <definedName name="BExSG9X3DU845PNXYJGGLBQY2UHG" localSheetId="21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localSheetId="4" hidden="1">#REF!</definedName>
    <definedName name="BExSGE45J27MDUUNXW7Z8Q33UAON" localSheetId="6" hidden="1">#REF!</definedName>
    <definedName name="BExSGE45J27MDUUNXW7Z8Q33UAON" localSheetId="21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localSheetId="4" hidden="1">#REF!</definedName>
    <definedName name="BExSGE9LY91Q0URHB4YAMX0UAMYI" localSheetId="6" hidden="1">#REF!</definedName>
    <definedName name="BExSGE9LY91Q0URHB4YAMX0UAMYI" localSheetId="21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localSheetId="4" hidden="1">#REF!</definedName>
    <definedName name="BExSGLB2URTLBCKBB4Y885W925F2" localSheetId="6" hidden="1">#REF!</definedName>
    <definedName name="BExSGLB2URTLBCKBB4Y885W925F2" localSheetId="21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localSheetId="4" hidden="1">#REF!</definedName>
    <definedName name="BExSGNEL2G0PC04ATVS20W5179EK" localSheetId="6" hidden="1">#REF!</definedName>
    <definedName name="BExSGNEL2G0PC04ATVS20W5179EK" localSheetId="21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localSheetId="4" hidden="1">#REF!</definedName>
    <definedName name="BExSGOAYG73SFWOPAQV80P710GID" localSheetId="6" hidden="1">#REF!</definedName>
    <definedName name="BExSGOAYG73SFWOPAQV80P710GID" localSheetId="21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localSheetId="4" hidden="1">#REF!</definedName>
    <definedName name="BExSGOWJHRW7FWKLO2EHUOOGHNAF" localSheetId="6" hidden="1">#REF!</definedName>
    <definedName name="BExSGOWJHRW7FWKLO2EHUOOGHNAF" localSheetId="21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localSheetId="4" hidden="1">#REF!</definedName>
    <definedName name="BExSGOWJTAP41ZV5Q23H7MI9C76W" localSheetId="6" hidden="1">#REF!</definedName>
    <definedName name="BExSGOWJTAP41ZV5Q23H7MI9C76W" localSheetId="21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localSheetId="4" hidden="1">#REF!</definedName>
    <definedName name="BExSGR5JQVX2HQ0PKCGZNSSUM1RV" localSheetId="6" hidden="1">#REF!</definedName>
    <definedName name="BExSGR5JQVX2HQ0PKCGZNSSUM1RV" localSheetId="21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localSheetId="4" hidden="1">#REF!</definedName>
    <definedName name="BExSGT3MKX7YVLVP6YLL6KVO8UGV" localSheetId="6" hidden="1">#REF!</definedName>
    <definedName name="BExSGT3MKX7YVLVP6YLL6KVO8UGV" localSheetId="21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localSheetId="4" hidden="1">#REF!</definedName>
    <definedName name="BExSGVHX69GJZHD99DKE4RZ042B1" localSheetId="6" hidden="1">#REF!</definedName>
    <definedName name="BExSGVHX69GJZHD99DKE4RZ042B1" localSheetId="21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localSheetId="4" hidden="1">#REF!</definedName>
    <definedName name="BExSGZJO4J4ZO04E2N2ECVYS9DEZ" localSheetId="6" hidden="1">#REF!</definedName>
    <definedName name="BExSGZJO4J4ZO04E2N2ECVYS9DEZ" localSheetId="21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localSheetId="4" hidden="1">#REF!</definedName>
    <definedName name="BExSHAHFHS7MMNJR8JPVABRGBVIT" localSheetId="6" hidden="1">#REF!</definedName>
    <definedName name="BExSHAHFHS7MMNJR8JPVABRGBVIT" localSheetId="21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localSheetId="4" hidden="1">#REF!</definedName>
    <definedName name="BExSHGH88QZWW4RNAX4YKAZ5JEBL" localSheetId="6" hidden="1">#REF!</definedName>
    <definedName name="BExSHGH88QZWW4RNAX4YKAZ5JEBL" localSheetId="21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localSheetId="4" hidden="1">#REF!</definedName>
    <definedName name="BExSHOKK1OO3CX9Z28C58E5J1D9W" localSheetId="6" hidden="1">#REF!</definedName>
    <definedName name="BExSHOKK1OO3CX9Z28C58E5J1D9W" localSheetId="21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localSheetId="4" hidden="1">#REF!</definedName>
    <definedName name="BExSHQD8KYLTQGDXIRKCHQQ7MKIH" localSheetId="6" hidden="1">#REF!</definedName>
    <definedName name="BExSHQD8KYLTQGDXIRKCHQQ7MKIH" localSheetId="21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localSheetId="4" hidden="1">#REF!</definedName>
    <definedName name="BExSHVGPIAHXI97UBLI9G4I4M29F" localSheetId="6" hidden="1">#REF!</definedName>
    <definedName name="BExSHVGPIAHXI97UBLI9G4I4M29F" localSheetId="21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localSheetId="4" hidden="1">#REF!</definedName>
    <definedName name="BExSI0K2YL3HTCQAD8A7TR4QCUR6" localSheetId="6" hidden="1">#REF!</definedName>
    <definedName name="BExSI0K2YL3HTCQAD8A7TR4QCUR6" localSheetId="21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localSheetId="4" hidden="1">#REF!</definedName>
    <definedName name="BExSIFUDNRWXWIWNGCCFOOD8WIAZ" localSheetId="6" hidden="1">#REF!</definedName>
    <definedName name="BExSIFUDNRWXWIWNGCCFOOD8WIAZ" localSheetId="21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localSheetId="4" hidden="1">#REF!</definedName>
    <definedName name="BExTTZNS2PBCR93C9IUW49UZ4I6T" localSheetId="6" hidden="1">#REF!</definedName>
    <definedName name="BExTTZNS2PBCR93C9IUW49UZ4I6T" localSheetId="21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localSheetId="4" hidden="1">#REF!</definedName>
    <definedName name="BExTU2YFQ25JQ6MEMRHHN66VLTPJ" localSheetId="6" hidden="1">#REF!</definedName>
    <definedName name="BExTU2YFQ25JQ6MEMRHHN66VLTPJ" localSheetId="21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localSheetId="4" hidden="1">#REF!</definedName>
    <definedName name="BExTU75IOII1V5O0C9X2VAYYVJUG" localSheetId="6" hidden="1">#REF!</definedName>
    <definedName name="BExTU75IOII1V5O0C9X2VAYYVJUG" localSheetId="21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localSheetId="4" hidden="1">#REF!</definedName>
    <definedName name="BExTUA5F7V4LUIIAM17J3A8XF3JE" localSheetId="6" hidden="1">#REF!</definedName>
    <definedName name="BExTUA5F7V4LUIIAM17J3A8XF3JE" localSheetId="21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localSheetId="4" hidden="1">#REF!</definedName>
    <definedName name="BExTUBY3AA9B91YRRWFOT21LUL8Q" localSheetId="6" hidden="1">#REF!</definedName>
    <definedName name="BExTUBY3AA9B91YRRWFOT21LUL8Q" localSheetId="21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localSheetId="4" hidden="1">#REF!</definedName>
    <definedName name="BExTUJ53ANGZ3H1KDK4CR4Q0OD6P" localSheetId="6" hidden="1">#REF!</definedName>
    <definedName name="BExTUJ53ANGZ3H1KDK4CR4Q0OD6P" localSheetId="21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localSheetId="4" hidden="1">#REF!</definedName>
    <definedName name="BExTUKXSZBM7C57G6NGLWGU4WOHY" localSheetId="6" hidden="1">#REF!</definedName>
    <definedName name="BExTUKXSZBM7C57G6NGLWGU4WOHY" localSheetId="21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localSheetId="4" hidden="1">#REF!</definedName>
    <definedName name="BExTUNC5INBE8Y5OA5GQUTXX6QJW" localSheetId="6" hidden="1">#REF!</definedName>
    <definedName name="BExTUNC5INBE8Y5OA5GQUTXX6QJW" localSheetId="21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localSheetId="4" hidden="1">#REF!</definedName>
    <definedName name="BExTUSQCFFYZCDNHWHADBC2E1ZP1" localSheetId="6" hidden="1">#REF!</definedName>
    <definedName name="BExTUSQCFFYZCDNHWHADBC2E1ZP1" localSheetId="21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localSheetId="4" hidden="1">#REF!</definedName>
    <definedName name="BExTUV4NQDZVAENZPSZGF7A3DDFN" localSheetId="6" hidden="1">#REF!</definedName>
    <definedName name="BExTUV4NQDZVAENZPSZGF7A3DDFN" localSheetId="21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localSheetId="4" hidden="1">#REF!</definedName>
    <definedName name="BExTUVFGOJEYS28JURA5KHQFDU5J" localSheetId="6" hidden="1">#REF!</definedName>
    <definedName name="BExTUVFGOJEYS28JURA5KHQFDU5J" localSheetId="21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localSheetId="4" hidden="1">#REF!</definedName>
    <definedName name="BExTUW10U40QCYGHM5NJ3YR1O5SP" localSheetId="6" hidden="1">#REF!</definedName>
    <definedName name="BExTUW10U40QCYGHM5NJ3YR1O5SP" localSheetId="21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localSheetId="4" hidden="1">#REF!</definedName>
    <definedName name="BExTUWXFQHINU66YG82BI20ATMB5" localSheetId="6" hidden="1">#REF!</definedName>
    <definedName name="BExTUWXFQHINU66YG82BI20ATMB5" localSheetId="21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localSheetId="4" hidden="1">#REF!</definedName>
    <definedName name="BExTUY9WNSJ91GV8CP0SKJTEIV82" localSheetId="6" hidden="1">#REF!</definedName>
    <definedName name="BExTUY9WNSJ91GV8CP0SKJTEIV82" localSheetId="21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localSheetId="4" hidden="1">#REF!</definedName>
    <definedName name="BExTV67VIM8PV6KO253M4DUBJQLC" localSheetId="6" hidden="1">#REF!</definedName>
    <definedName name="BExTV67VIM8PV6KO253M4DUBJQLC" localSheetId="21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localSheetId="4" hidden="1">#REF!</definedName>
    <definedName name="BExTVELZCF2YA5L6F23BYZZR6WHF" localSheetId="6" hidden="1">#REF!</definedName>
    <definedName name="BExTVELZCF2YA5L6F23BYZZR6WHF" localSheetId="21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localSheetId="4" hidden="1">#REF!</definedName>
    <definedName name="BExTVGPIQZ99YFXUC8OONUX5BD42" localSheetId="6" hidden="1">#REF!</definedName>
    <definedName name="BExTVGPIQZ99YFXUC8OONUX5BD42" localSheetId="21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localSheetId="4" hidden="1">#REF!</definedName>
    <definedName name="BExTVQG4F5RF0LZXG06AZ6EU1GQ3" localSheetId="6" hidden="1">#REF!</definedName>
    <definedName name="BExTVQG4F5RF0LZXG06AZ6EU1GQ3" localSheetId="21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localSheetId="4" hidden="1">#REF!</definedName>
    <definedName name="BExTVZQLP9VFLEYQ9280W13X7E8K" localSheetId="6" hidden="1">#REF!</definedName>
    <definedName name="BExTVZQLP9VFLEYQ9280W13X7E8K" localSheetId="21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localSheetId="4" hidden="1">#REF!</definedName>
    <definedName name="BExTWB4LA1PODQOH4LDTHQKBN16K" localSheetId="6" hidden="1">#REF!</definedName>
    <definedName name="BExTWB4LA1PODQOH4LDTHQKBN16K" localSheetId="21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localSheetId="4" hidden="1">#REF!</definedName>
    <definedName name="BExTWI0Q8AWXUA3ZN7I5V3QK2KM1" localSheetId="6" hidden="1">#REF!</definedName>
    <definedName name="BExTWI0Q8AWXUA3ZN7I5V3QK2KM1" localSheetId="21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localSheetId="4" hidden="1">#REF!</definedName>
    <definedName name="BExTWJTIA3WUW1PUWXAOP9O8NKLZ" localSheetId="6" hidden="1">#REF!</definedName>
    <definedName name="BExTWJTIA3WUW1PUWXAOP9O8NKLZ" localSheetId="21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localSheetId="4" hidden="1">#REF!</definedName>
    <definedName name="BExTWW95OX07FNA01WF5MSSSFQLX" localSheetId="6" hidden="1">#REF!</definedName>
    <definedName name="BExTWW95OX07FNA01WF5MSSSFQLX" localSheetId="21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localSheetId="4" hidden="1">#REF!</definedName>
    <definedName name="BExTX005F4GLW03J0PLPRPMI1SEG" localSheetId="6" hidden="1">#REF!</definedName>
    <definedName name="BExTX005F4GLW03J0PLPRPMI1SEG" localSheetId="21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localSheetId="4" hidden="1">#REF!</definedName>
    <definedName name="BExTX476KI0RNB71XI5TYMANSGBG" localSheetId="6" hidden="1">#REF!</definedName>
    <definedName name="BExTX476KI0RNB71XI5TYMANSGBG" localSheetId="21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localSheetId="4" hidden="1">#REF!</definedName>
    <definedName name="BExTXBJFKNSCUO7IOL6CSKERP06D" localSheetId="6" hidden="1">#REF!</definedName>
    <definedName name="BExTXBJFKNSCUO7IOL6CSKERP06D" localSheetId="21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localSheetId="4" hidden="1">#REF!</definedName>
    <definedName name="BExTXDMZDQ9U1FD9T7F79J29SYYN" localSheetId="6" hidden="1">#REF!</definedName>
    <definedName name="BExTXDMZDQ9U1FD9T7F79J29SYYN" localSheetId="21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localSheetId="4" hidden="1">#REF!</definedName>
    <definedName name="BExTXJ6HBAIXMMWKZTJNFDYVZCAY" localSheetId="6" hidden="1">#REF!</definedName>
    <definedName name="BExTXJ6HBAIXMMWKZTJNFDYVZCAY" localSheetId="21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localSheetId="4" hidden="1">#REF!</definedName>
    <definedName name="BExTXT812NQT8GAEGH738U29BI0D" localSheetId="6" hidden="1">#REF!</definedName>
    <definedName name="BExTXT812NQT8GAEGH738U29BI0D" localSheetId="21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localSheetId="4" hidden="1">#REF!</definedName>
    <definedName name="BExTXWIP2TFPTQ76NHFOB72NICRZ" localSheetId="6" hidden="1">#REF!</definedName>
    <definedName name="BExTXWIP2TFPTQ76NHFOB72NICRZ" localSheetId="21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localSheetId="4" hidden="1">#REF!</definedName>
    <definedName name="BExTY5T62H651VC86QM4X7E28JVA" localSheetId="6" hidden="1">#REF!</definedName>
    <definedName name="BExTY5T62H651VC86QM4X7E28JVA" localSheetId="21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localSheetId="4" hidden="1">#REF!</definedName>
    <definedName name="BExTYB7EHGVTJ4RSYOXWSG87U5WI" localSheetId="6" hidden="1">#REF!</definedName>
    <definedName name="BExTYB7EHGVTJ4RSYOXWSG87U5WI" localSheetId="21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localSheetId="4" hidden="1">#REF!</definedName>
    <definedName name="BExTYC93RS0KNKFOD35WG37LS9LY" localSheetId="6" hidden="1">#REF!</definedName>
    <definedName name="BExTYC93RS0KNKFOD35WG37LS9LY" localSheetId="21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localSheetId="4" hidden="1">#REF!</definedName>
    <definedName name="BExTYKCEFJ83LZM95M1V7CSFQVEA" localSheetId="6" hidden="1">#REF!</definedName>
    <definedName name="BExTYKCEFJ83LZM95M1V7CSFQVEA" localSheetId="21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localSheetId="4" hidden="1">#REF!</definedName>
    <definedName name="BExTYPLA9N640MFRJJQPKXT7P88M" localSheetId="6" hidden="1">#REF!</definedName>
    <definedName name="BExTYPLA9N640MFRJJQPKXT7P88M" localSheetId="21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localSheetId="4" hidden="1">#REF!</definedName>
    <definedName name="BExTYW1794M1TLJ2QQQCEEUZN18F" localSheetId="6" hidden="1">#REF!</definedName>
    <definedName name="BExTYW1794M1TLJ2QQQCEEUZN18F" localSheetId="21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localSheetId="4" hidden="1">#REF!</definedName>
    <definedName name="BExTZ7F71SNTOX4LLZCK5R9VUMIJ" localSheetId="6" hidden="1">#REF!</definedName>
    <definedName name="BExTZ7F71SNTOX4LLZCK5R9VUMIJ" localSheetId="21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localSheetId="4" hidden="1">#REF!</definedName>
    <definedName name="BExTZ80SWE36T1QSIIPJU7NJ65JL" localSheetId="6" hidden="1">#REF!</definedName>
    <definedName name="BExTZ80SWE36T1QSIIPJU7NJ65JL" localSheetId="21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localSheetId="4" hidden="1">#REF!</definedName>
    <definedName name="BExTZ869RSO739T4Q78JLOVO7G0C" localSheetId="6" hidden="1">#REF!</definedName>
    <definedName name="BExTZ869RSO739T4Q78JLOVO7G0C" localSheetId="21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localSheetId="4" hidden="1">#REF!</definedName>
    <definedName name="BExTZ8X5G9S3PA4FPSNK7T69W7QT" localSheetId="6" hidden="1">#REF!</definedName>
    <definedName name="BExTZ8X5G9S3PA4FPSNK7T69W7QT" localSheetId="21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localSheetId="4" hidden="1">#REF!</definedName>
    <definedName name="BExTZ97Y0RMR8V5BI9F2H4MFB77O" localSheetId="6" hidden="1">#REF!</definedName>
    <definedName name="BExTZ97Y0RMR8V5BI9F2H4MFB77O" localSheetId="21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localSheetId="4" hidden="1">#REF!</definedName>
    <definedName name="BExTZK5PMCAXJL4DUIGL6H9Y8U4C" localSheetId="6" hidden="1">#REF!</definedName>
    <definedName name="BExTZK5PMCAXJL4DUIGL6H9Y8U4C" localSheetId="21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localSheetId="4" hidden="1">#REF!</definedName>
    <definedName name="BExTZKB6L5SXV5UN71YVTCBEIGWY" localSheetId="6" hidden="1">#REF!</definedName>
    <definedName name="BExTZKB6L5SXV5UN71YVTCBEIGWY" localSheetId="21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localSheetId="4" hidden="1">#REF!</definedName>
    <definedName name="BExTZLICVKK4NBJFEGL270GJ2VQO" localSheetId="6" hidden="1">#REF!</definedName>
    <definedName name="BExTZLICVKK4NBJFEGL270GJ2VQO" localSheetId="21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localSheetId="4" hidden="1">#REF!</definedName>
    <definedName name="BExTZO2596CBZKPI7YNA1QQNPAIJ" localSheetId="6" hidden="1">#REF!</definedName>
    <definedName name="BExTZO2596CBZKPI7YNA1QQNPAIJ" localSheetId="21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localSheetId="4" hidden="1">#REF!</definedName>
    <definedName name="BExTZY8TDV4U7FQL7O10G6VKWKPJ" localSheetId="6" hidden="1">#REF!</definedName>
    <definedName name="BExTZY8TDV4U7FQL7O10G6VKWKPJ" localSheetId="21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localSheetId="4" hidden="1">#REF!</definedName>
    <definedName name="BExU02QNT4LT7H9JPUC4FXTLVGZT" localSheetId="6" hidden="1">#REF!</definedName>
    <definedName name="BExU02QNT4LT7H9JPUC4FXTLVGZT" localSheetId="21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localSheetId="4" hidden="1">#REF!</definedName>
    <definedName name="BExU0BFJJQO1HJZKI14QGOQ6JROO" localSheetId="6" hidden="1">#REF!</definedName>
    <definedName name="BExU0BFJJQO1HJZKI14QGOQ6JROO" localSheetId="21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localSheetId="4" hidden="1">#REF!</definedName>
    <definedName name="BExU0FH5WTGW8MRFUFMDDSMJ6YQ5" localSheetId="6" hidden="1">#REF!</definedName>
    <definedName name="BExU0FH5WTGW8MRFUFMDDSMJ6YQ5" localSheetId="21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localSheetId="4" hidden="1">#REF!</definedName>
    <definedName name="BExU0GDOIL9U33QGU9ZU3YX3V1I4" localSheetId="6" hidden="1">#REF!</definedName>
    <definedName name="BExU0GDOIL9U33QGU9ZU3YX3V1I4" localSheetId="21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localSheetId="4" hidden="1">#REF!</definedName>
    <definedName name="BExU0HKTO8WJDQDWRTUK5TETM3HS" localSheetId="6" hidden="1">#REF!</definedName>
    <definedName name="BExU0HKTO8WJDQDWRTUK5TETM3HS" localSheetId="21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localSheetId="4" hidden="1">#REF!</definedName>
    <definedName name="BExU0MTJQPE041ZN7H8UKGV6MZT7" localSheetId="6" hidden="1">#REF!</definedName>
    <definedName name="BExU0MTJQPE041ZN7H8UKGV6MZT7" localSheetId="21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localSheetId="4" hidden="1">#REF!</definedName>
    <definedName name="BExU0ZUUFYHLUK4M4E8GLGIBBNT0" localSheetId="6" hidden="1">#REF!</definedName>
    <definedName name="BExU0ZUUFYHLUK4M4E8GLGIBBNT0" localSheetId="21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localSheetId="4" hidden="1">#REF!</definedName>
    <definedName name="BExU147D6RPG6ZVTSXRKFSVRHSBG" localSheetId="6" hidden="1">#REF!</definedName>
    <definedName name="BExU147D6RPG6ZVTSXRKFSVRHSBG" localSheetId="21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localSheetId="4" hidden="1">#REF!</definedName>
    <definedName name="BExU16R10W1SOAPNG4CDJ01T7JRE" localSheetId="6" hidden="1">#REF!</definedName>
    <definedName name="BExU16R10W1SOAPNG4CDJ01T7JRE" localSheetId="21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localSheetId="4" hidden="1">#REF!</definedName>
    <definedName name="BExU17CKOR3GNIHDNVLH9L1IOJS9" localSheetId="6" hidden="1">#REF!</definedName>
    <definedName name="BExU17CKOR3GNIHDNVLH9L1IOJS9" localSheetId="21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localSheetId="4" hidden="1">#REF!</definedName>
    <definedName name="BExU1DXYI5DAD9DSFIEAUOB5XFZ9" localSheetId="6" hidden="1">#REF!</definedName>
    <definedName name="BExU1DXYI5DAD9DSFIEAUOB5XFZ9" localSheetId="21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localSheetId="4" hidden="1">#REF!</definedName>
    <definedName name="BExU1GXUTLRPJN4MRINLAPHSZQFG" localSheetId="6" hidden="1">#REF!</definedName>
    <definedName name="BExU1GXUTLRPJN4MRINLAPHSZQFG" localSheetId="21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localSheetId="4" hidden="1">#REF!</definedName>
    <definedName name="BExU1IL9AOHFO85BZB6S60DK3N8H" localSheetId="6" hidden="1">#REF!</definedName>
    <definedName name="BExU1IL9AOHFO85BZB6S60DK3N8H" localSheetId="21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localSheetId="4" hidden="1">#REF!</definedName>
    <definedName name="BExU1LAEKWJ0U6NP9G2AC9CTBYH6" localSheetId="6" hidden="1">#REF!</definedName>
    <definedName name="BExU1LAEKWJ0U6NP9G2AC9CTBYH6" localSheetId="21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localSheetId="4" hidden="1">#REF!</definedName>
    <definedName name="BExU1NOPS09CLFZL1O31RAF9BQNQ" localSheetId="6" hidden="1">#REF!</definedName>
    <definedName name="BExU1NOPS09CLFZL1O31RAF9BQNQ" localSheetId="21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localSheetId="4" hidden="1">#REF!</definedName>
    <definedName name="BExU1PH9MOEX1JZVZ3D5M9DXB191" localSheetId="6" hidden="1">#REF!</definedName>
    <definedName name="BExU1PH9MOEX1JZVZ3D5M9DXB191" localSheetId="21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localSheetId="4" hidden="1">#REF!</definedName>
    <definedName name="BExU1QZEEKJA35IMEOLOJ3ODX0ZA" localSheetId="6" hidden="1">#REF!</definedName>
    <definedName name="BExU1QZEEKJA35IMEOLOJ3ODX0ZA" localSheetId="21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localSheetId="4" hidden="1">#REF!</definedName>
    <definedName name="BExU1VRURIWWVJ95O40WA23LMTJD" localSheetId="6" hidden="1">#REF!</definedName>
    <definedName name="BExU1VRURIWWVJ95O40WA23LMTJD" localSheetId="21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localSheetId="4" hidden="1">#REF!</definedName>
    <definedName name="BExU2A0FXVBDX9LO3VWEXB4TLFT0" localSheetId="6" hidden="1">#REF!</definedName>
    <definedName name="BExU2A0FXVBDX9LO3VWEXB4TLFT0" localSheetId="21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localSheetId="4" hidden="1">#REF!</definedName>
    <definedName name="BExU2LEH667H33V81XVEZUP2O0UQ" localSheetId="6" hidden="1">#REF!</definedName>
    <definedName name="BExU2LEH667H33V81XVEZUP2O0UQ" localSheetId="21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localSheetId="4" hidden="1">#REF!</definedName>
    <definedName name="BExU2M5CK6XK55UIHDVYRXJJJRI4" localSheetId="6" hidden="1">#REF!</definedName>
    <definedName name="BExU2M5CK6XK55UIHDVYRXJJJRI4" localSheetId="21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localSheetId="4" hidden="1">#REF!</definedName>
    <definedName name="BExU2TXVT25ZTOFQAF6CM53Z1RLF" localSheetId="6" hidden="1">#REF!</definedName>
    <definedName name="BExU2TXVT25ZTOFQAF6CM53Z1RLF" localSheetId="21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localSheetId="4" hidden="1">#REF!</definedName>
    <definedName name="BExU2XZLYIU19G7358W5T9E87AFR" localSheetId="6" hidden="1">#REF!</definedName>
    <definedName name="BExU2XZLYIU19G7358W5T9E87AFR" localSheetId="21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localSheetId="4" hidden="1">#REF!</definedName>
    <definedName name="BExU2ZXMKRBQEX0CT3ZPZ3UFZP1G" localSheetId="6" hidden="1">#REF!</definedName>
    <definedName name="BExU2ZXMKRBQEX0CT3ZPZ3UFZP1G" localSheetId="21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localSheetId="4" hidden="1">#REF!</definedName>
    <definedName name="BExU35XHF1K1XEQUSZ292S5T61YA" localSheetId="6" hidden="1">#REF!</definedName>
    <definedName name="BExU35XHF1K1XEQUSZ292S5T61YA" localSheetId="21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localSheetId="4" hidden="1">#REF!</definedName>
    <definedName name="BExU38S1U5IC1T5A3P2TZU5OV0LN" localSheetId="6" hidden="1">#REF!</definedName>
    <definedName name="BExU38S1U5IC1T5A3P2TZU5OV0LN" localSheetId="21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localSheetId="4" hidden="1">#REF!</definedName>
    <definedName name="BExU3B66MCKJFSKT3HL8B5EJGVX0" localSheetId="6" hidden="1">#REF!</definedName>
    <definedName name="BExU3B66MCKJFSKT3HL8B5EJGVX0" localSheetId="21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localSheetId="4" hidden="1">#REF!</definedName>
    <definedName name="BExU3FDFDB2NVPYUR5V7OA3HF474" localSheetId="6" hidden="1">#REF!</definedName>
    <definedName name="BExU3FDFDB2NVPYUR5V7OA3HF474" localSheetId="21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localSheetId="4" hidden="1">#REF!</definedName>
    <definedName name="BExU3R7J076KUCCEUGKAYMANTUT5" localSheetId="6" hidden="1">#REF!</definedName>
    <definedName name="BExU3R7J076KUCCEUGKAYMANTUT5" localSheetId="21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localSheetId="4" hidden="1">#REF!</definedName>
    <definedName name="BExU3UNI9NR1RNZR07NSLSZMDOQQ" localSheetId="6" hidden="1">#REF!</definedName>
    <definedName name="BExU3UNI9NR1RNZR07NSLSZMDOQQ" localSheetId="21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localSheetId="4" hidden="1">#REF!</definedName>
    <definedName name="BExU401R18N6XKZKL7CNFOZQCM14" localSheetId="6" hidden="1">#REF!</definedName>
    <definedName name="BExU401R18N6XKZKL7CNFOZQCM14" localSheetId="21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localSheetId="4" hidden="1">#REF!</definedName>
    <definedName name="BExU42QVGY7TK39W1BIN6CDRG2OE" localSheetId="6" hidden="1">#REF!</definedName>
    <definedName name="BExU42QVGY7TK39W1BIN6CDRG2OE" localSheetId="21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localSheetId="4" hidden="1">#REF!</definedName>
    <definedName name="BExU431LXP7LIUNGJB9OSXEANFGX" localSheetId="6" hidden="1">#REF!</definedName>
    <definedName name="BExU431LXP7LIUNGJB9OSXEANFGX" localSheetId="21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localSheetId="4" hidden="1">#REF!</definedName>
    <definedName name="BExU47OZMS6TCWMEHHF0UCSFLLPI" localSheetId="6" hidden="1">#REF!</definedName>
    <definedName name="BExU47OZMS6TCWMEHHF0UCSFLLPI" localSheetId="21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localSheetId="4" hidden="1">#REF!</definedName>
    <definedName name="BExU4D36E8TXN0M8KSNGEAFYP4DQ" localSheetId="6" hidden="1">#REF!</definedName>
    <definedName name="BExU4D36E8TXN0M8KSNGEAFYP4DQ" localSheetId="21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localSheetId="4" hidden="1">#REF!</definedName>
    <definedName name="BExU4G31RRVLJ3AC6E1FNEFMXM3O" localSheetId="6" hidden="1">#REF!</definedName>
    <definedName name="BExU4G31RRVLJ3AC6E1FNEFMXM3O" localSheetId="21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localSheetId="4" hidden="1">#REF!</definedName>
    <definedName name="BExU4GDVLPUEWBA4MRYRTQAUNO7B" localSheetId="6" hidden="1">#REF!</definedName>
    <definedName name="BExU4GDVLPUEWBA4MRYRTQAUNO7B" localSheetId="21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localSheetId="4" hidden="1">#REF!</definedName>
    <definedName name="BExU4H4RAMAX0XVAWT5WFYQNPAL3" localSheetId="6" hidden="1">#REF!</definedName>
    <definedName name="BExU4H4RAMAX0XVAWT5WFYQNPAL3" localSheetId="21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localSheetId="4" hidden="1">#REF!</definedName>
    <definedName name="BExU4I148DA7PRCCISLWQ6ABXFK6" localSheetId="6" hidden="1">#REF!</definedName>
    <definedName name="BExU4I148DA7PRCCISLWQ6ABXFK6" localSheetId="21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localSheetId="4" hidden="1">#REF!</definedName>
    <definedName name="BExU4L101H2KQHVKCKQ4PBAWZV6K" localSheetId="6" hidden="1">#REF!</definedName>
    <definedName name="BExU4L101H2KQHVKCKQ4PBAWZV6K" localSheetId="21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localSheetId="4" hidden="1">#REF!</definedName>
    <definedName name="BExU4LML14Q7KDTYIKJWXF68W7X1" localSheetId="6" hidden="1">#REF!</definedName>
    <definedName name="BExU4LML14Q7KDTYIKJWXF68W7X1" localSheetId="21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localSheetId="4" hidden="1">#REF!</definedName>
    <definedName name="BExU4NA00RRRBGRT6TOB0MXZRCRZ" localSheetId="6" hidden="1">#REF!</definedName>
    <definedName name="BExU4NA00RRRBGRT6TOB0MXZRCRZ" localSheetId="21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localSheetId="4" hidden="1">#REF!</definedName>
    <definedName name="BExU529I6YHVOG83TJHWSILIQU1S" localSheetId="6" hidden="1">#REF!</definedName>
    <definedName name="BExU529I6YHVOG83TJHWSILIQU1S" localSheetId="21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localSheetId="4" hidden="1">#REF!</definedName>
    <definedName name="BExU57YCIKPRD8QWL6EU0YR3NG3J" localSheetId="6" hidden="1">#REF!</definedName>
    <definedName name="BExU57YCIKPRD8QWL6EU0YR3NG3J" localSheetId="21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localSheetId="4" hidden="1">#REF!</definedName>
    <definedName name="BExU5DSTBWXLN6E59B757KRWRI6E" localSheetId="6" hidden="1">#REF!</definedName>
    <definedName name="BExU5DSTBWXLN6E59B757KRWRI6E" localSheetId="21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localSheetId="4" hidden="1">#REF!</definedName>
    <definedName name="BExU5JSMO03X9M4WIRPP8JPSMQKJ" localSheetId="6" hidden="1">#REF!</definedName>
    <definedName name="BExU5JSMO03X9M4WIRPP8JPSMQKJ" localSheetId="21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localSheetId="4" hidden="1">#REF!</definedName>
    <definedName name="BExU5TDWM8NNDHYPQ7OQODTQ368A" localSheetId="6" hidden="1">#REF!</definedName>
    <definedName name="BExU5TDWM8NNDHYPQ7OQODTQ368A" localSheetId="21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localSheetId="4" hidden="1">#REF!</definedName>
    <definedName name="BExU5X4OX1V1XHS6WSSORVQPP6Z3" localSheetId="6" hidden="1">#REF!</definedName>
    <definedName name="BExU5X4OX1V1XHS6WSSORVQPP6Z3" localSheetId="21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localSheetId="4" hidden="1">#REF!</definedName>
    <definedName name="BExU5XVPARTFMRYHNUTBKDIL4UJN" localSheetId="6" hidden="1">#REF!</definedName>
    <definedName name="BExU5XVPARTFMRYHNUTBKDIL4UJN" localSheetId="21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localSheetId="4" hidden="1">#REF!</definedName>
    <definedName name="BExU66KMFBAP8JCVG9VM1RD1TNFF" localSheetId="6" hidden="1">#REF!</definedName>
    <definedName name="BExU66KMFBAP8JCVG9VM1RD1TNFF" localSheetId="21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localSheetId="4" hidden="1">#REF!</definedName>
    <definedName name="BExU68IOM3CB3TACNAE9565TW7SH" localSheetId="6" hidden="1">#REF!</definedName>
    <definedName name="BExU68IOM3CB3TACNAE9565TW7SH" localSheetId="21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localSheetId="4" hidden="1">#REF!</definedName>
    <definedName name="BExU6AM82KN21E82HMWVP3LWP9IL" localSheetId="6" hidden="1">#REF!</definedName>
    <definedName name="BExU6AM82KN21E82HMWVP3LWP9IL" localSheetId="21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localSheetId="4" hidden="1">#REF!</definedName>
    <definedName name="BExU6FEU1MRHU98R9YOJC5OKUJ6L" localSheetId="6" hidden="1">#REF!</definedName>
    <definedName name="BExU6FEU1MRHU98R9YOJC5OKUJ6L" localSheetId="21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localSheetId="4" hidden="1">#REF!</definedName>
    <definedName name="BExU6KIAJ663Y8W8QMU4HCF183DF" localSheetId="6" hidden="1">#REF!</definedName>
    <definedName name="BExU6KIAJ663Y8W8QMU4HCF183DF" localSheetId="21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localSheetId="4" hidden="1">#REF!</definedName>
    <definedName name="BExU6KT19B4PG6SHXFBGBPLM66KT" localSheetId="6" hidden="1">#REF!</definedName>
    <definedName name="BExU6KT19B4PG6SHXFBGBPLM66KT" localSheetId="21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localSheetId="4" hidden="1">#REF!</definedName>
    <definedName name="BExU6PAVKIOAIMQ9XQIHHF1SUAGO" localSheetId="6" hidden="1">#REF!</definedName>
    <definedName name="BExU6PAVKIOAIMQ9XQIHHF1SUAGO" localSheetId="21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localSheetId="4" hidden="1">#REF!</definedName>
    <definedName name="BExU6SLKTWV0YINVLTI6BCG9ANZM" localSheetId="6" hidden="1">#REF!</definedName>
    <definedName name="BExU6SLKTWV0YINVLTI6BCG9ANZM" localSheetId="21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localSheetId="4" hidden="1">#REF!</definedName>
    <definedName name="BExU6WXXC7SSQDMHSLUN5C2V4IYX" localSheetId="6" hidden="1">#REF!</definedName>
    <definedName name="BExU6WXXC7SSQDMHSLUN5C2V4IYX" localSheetId="21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localSheetId="4" hidden="1">#REF!</definedName>
    <definedName name="BExU73387E74XE8A9UKZLZNJYY65" localSheetId="6" hidden="1">#REF!</definedName>
    <definedName name="BExU73387E74XE8A9UKZLZNJYY65" localSheetId="21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localSheetId="4" hidden="1">#REF!</definedName>
    <definedName name="BExU76ZHCJM8I7VSICCMSTC33O6U" localSheetId="6" hidden="1">#REF!</definedName>
    <definedName name="BExU76ZHCJM8I7VSICCMSTC33O6U" localSheetId="21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localSheetId="4" hidden="1">#REF!</definedName>
    <definedName name="BExU7BBTUF8BQ42DSGM94X5TG5GF" localSheetId="6" hidden="1">#REF!</definedName>
    <definedName name="BExU7BBTUF8BQ42DSGM94X5TG5GF" localSheetId="21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localSheetId="4" hidden="1">#REF!</definedName>
    <definedName name="BExU7HH4EAHFQHT4AXKGWAWZP3I0" localSheetId="6" hidden="1">#REF!</definedName>
    <definedName name="BExU7HH4EAHFQHT4AXKGWAWZP3I0" localSheetId="21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localSheetId="4" hidden="1">#REF!</definedName>
    <definedName name="BExU7L7WPQSA0ELXZ0I86V33QCCJ" localSheetId="6" hidden="1">#REF!</definedName>
    <definedName name="BExU7L7WPQSA0ELXZ0I86V33QCCJ" localSheetId="21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localSheetId="4" hidden="1">#REF!</definedName>
    <definedName name="BExU7MF1ZVPDHOSMCAXOSYICHZ4I" localSheetId="6" hidden="1">#REF!</definedName>
    <definedName name="BExU7MF1ZVPDHOSMCAXOSYICHZ4I" localSheetId="21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localSheetId="4" hidden="1">#REF!</definedName>
    <definedName name="BExU7O2BJ6D5YCKEL6FD2EFCWYRX" localSheetId="6" hidden="1">#REF!</definedName>
    <definedName name="BExU7O2BJ6D5YCKEL6FD2EFCWYRX" localSheetId="21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localSheetId="4" hidden="1">#REF!</definedName>
    <definedName name="BExU7Q0JS9YIUKUPNSSAIDK2KJAV" localSheetId="6" hidden="1">#REF!</definedName>
    <definedName name="BExU7Q0JS9YIUKUPNSSAIDK2KJAV" localSheetId="21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localSheetId="4" hidden="1">#REF!</definedName>
    <definedName name="BExU80I6AE5OU7P7F5V7HWIZBJ4P" localSheetId="6" hidden="1">#REF!</definedName>
    <definedName name="BExU80I6AE5OU7P7F5V7HWIZBJ4P" localSheetId="21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localSheetId="4" hidden="1">#REF!</definedName>
    <definedName name="BExU86NB26MCPYIISZ36HADONGT2" localSheetId="6" hidden="1">#REF!</definedName>
    <definedName name="BExU86NB26MCPYIISZ36HADONGT2" localSheetId="21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localSheetId="4" hidden="1">#REF!</definedName>
    <definedName name="BExU885EZZNSZV3GP298UJ8LB7OL" localSheetId="6" hidden="1">#REF!</definedName>
    <definedName name="BExU885EZZNSZV3GP298UJ8LB7OL" localSheetId="21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localSheetId="4" hidden="1">#REF!</definedName>
    <definedName name="BExU8FSAUP9TUZ1NO9WXK80QPHWV" localSheetId="6" hidden="1">#REF!</definedName>
    <definedName name="BExU8FSAUP9TUZ1NO9WXK80QPHWV" localSheetId="21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localSheetId="4" hidden="1">#REF!</definedName>
    <definedName name="BExU8KFLAN778MBN93NYZB0FV30G" localSheetId="6" hidden="1">#REF!</definedName>
    <definedName name="BExU8KFLAN778MBN93NYZB0FV30G" localSheetId="21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localSheetId="4" hidden="1">#REF!</definedName>
    <definedName name="BExU8PZC6845UUDFG9M8FTC3P3DK" localSheetId="6" hidden="1">#REF!</definedName>
    <definedName name="BExU8PZC6845UUDFG9M8FTC3P3DK" localSheetId="21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localSheetId="4" hidden="1">#REF!</definedName>
    <definedName name="BExU8UX9JX3XLB47YZ8GFXE0V7R2" localSheetId="6" hidden="1">#REF!</definedName>
    <definedName name="BExU8UX9JX3XLB47YZ8GFXE0V7R2" localSheetId="21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localSheetId="4" hidden="1">#REF!</definedName>
    <definedName name="BExU8WVGMRSFNWCNHODQ9JQCMZB0" localSheetId="6" hidden="1">#REF!</definedName>
    <definedName name="BExU8WVGMRSFNWCNHODQ9JQCMZB0" localSheetId="21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localSheetId="4" hidden="1">#REF!</definedName>
    <definedName name="BExU96M1J7P9DZQ3S9H0C12KGYTW" localSheetId="6" hidden="1">#REF!</definedName>
    <definedName name="BExU96M1J7P9DZQ3S9H0C12KGYTW" localSheetId="21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localSheetId="4" hidden="1">#REF!</definedName>
    <definedName name="BExU9F05OR1GZ3057R6UL3WPEIYI" localSheetId="6" hidden="1">#REF!</definedName>
    <definedName name="BExU9F05OR1GZ3057R6UL3WPEIYI" localSheetId="21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localSheetId="4" hidden="1">#REF!</definedName>
    <definedName name="BExU9GCSO5YILIKG6VAHN13DL75K" localSheetId="6" hidden="1">#REF!</definedName>
    <definedName name="BExU9GCSO5YILIKG6VAHN13DL75K" localSheetId="21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localSheetId="4" hidden="1">#REF!</definedName>
    <definedName name="BExU9KJOZLO15N11MJVN782NFGJ0" localSheetId="6" hidden="1">#REF!</definedName>
    <definedName name="BExU9KJOZLO15N11MJVN782NFGJ0" localSheetId="21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localSheetId="4" hidden="1">#REF!</definedName>
    <definedName name="BExU9LG29XU2K1GNKRO4438JYQZE" localSheetId="6" hidden="1">#REF!</definedName>
    <definedName name="BExU9LG29XU2K1GNKRO4438JYQZE" localSheetId="21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localSheetId="4" hidden="1">#REF!</definedName>
    <definedName name="BExU9RW36I5Z6JIXUIUB3PJH86LT" localSheetId="6" hidden="1">#REF!</definedName>
    <definedName name="BExU9RW36I5Z6JIXUIUB3PJH86LT" localSheetId="21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localSheetId="4" hidden="1">#REF!</definedName>
    <definedName name="BExU9WU19DJ2VAGISPFEGDWWOO4V" localSheetId="6" hidden="1">#REF!</definedName>
    <definedName name="BExU9WU19DJ2VAGISPFEGDWWOO4V" localSheetId="21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localSheetId="4" hidden="1">#REF!</definedName>
    <definedName name="BExUA28AO7OWDG3H23Q0CL4B7BHW" localSheetId="6" hidden="1">#REF!</definedName>
    <definedName name="BExUA28AO7OWDG3H23Q0CL4B7BHW" localSheetId="21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localSheetId="4" hidden="1">#REF!</definedName>
    <definedName name="BExUA34N2C083NSTAHQGZZ3BCYGK" localSheetId="6" hidden="1">#REF!</definedName>
    <definedName name="BExUA34N2C083NSTAHQGZZ3BCYGK" localSheetId="21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localSheetId="4" hidden="1">#REF!</definedName>
    <definedName name="BExUA5O923FFNEBY8BPO1TU3QGBM" localSheetId="6" hidden="1">#REF!</definedName>
    <definedName name="BExUA5O923FFNEBY8BPO1TU3QGBM" localSheetId="21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localSheetId="4" hidden="1">#REF!</definedName>
    <definedName name="BExUA6Q4K25VH452AQ3ZIRBCMS61" localSheetId="6" hidden="1">#REF!</definedName>
    <definedName name="BExUA6Q4K25VH452AQ3ZIRBCMS61" localSheetId="21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localSheetId="4" hidden="1">#REF!</definedName>
    <definedName name="BExUAFV4JMBSM2SKBQL9NHL0NIBS" localSheetId="6" hidden="1">#REF!</definedName>
    <definedName name="BExUAFV4JMBSM2SKBQL9NHL0NIBS" localSheetId="21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localSheetId="4" hidden="1">#REF!</definedName>
    <definedName name="BExUAMWQODKBXMRH1QCMJLJBF8M7" localSheetId="6" hidden="1">#REF!</definedName>
    <definedName name="BExUAMWQODKBXMRH1QCMJLJBF8M7" localSheetId="21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localSheetId="4" hidden="1">#REF!</definedName>
    <definedName name="BExUARUP0MX710TNZSAA01HUEAVC" localSheetId="6" hidden="1">#REF!</definedName>
    <definedName name="BExUARUP0MX710TNZSAA01HUEAVC" localSheetId="21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localSheetId="4" hidden="1">#REF!</definedName>
    <definedName name="BExUAX8WS5OPVLCDXRGKTU2QMTFO" localSheetId="6" hidden="1">#REF!</definedName>
    <definedName name="BExUAX8WS5OPVLCDXRGKTU2QMTFO" localSheetId="21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localSheetId="4" hidden="1">#REF!</definedName>
    <definedName name="BExUB1FYAZ433NX9GD7WGACX5IZD" localSheetId="6" hidden="1">#REF!</definedName>
    <definedName name="BExUB1FYAZ433NX9GD7WGACX5IZD" localSheetId="21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localSheetId="4" hidden="1">#REF!</definedName>
    <definedName name="BExUB8HLEXSBVPZ5AXNQEK96F1N4" localSheetId="6" hidden="1">#REF!</definedName>
    <definedName name="BExUB8HLEXSBVPZ5AXNQEK96F1N4" localSheetId="21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localSheetId="4" hidden="1">#REF!</definedName>
    <definedName name="BExUBCDVZIEA7YT0LPSMHL5ZSERQ" localSheetId="6" hidden="1">#REF!</definedName>
    <definedName name="BExUBCDVZIEA7YT0LPSMHL5ZSERQ" localSheetId="21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localSheetId="4" hidden="1">#REF!</definedName>
    <definedName name="BExUBDA8WU087BUIMXC1U1CKA2RA" localSheetId="6" hidden="1">#REF!</definedName>
    <definedName name="BExUBDA8WU087BUIMXC1U1CKA2RA" localSheetId="21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localSheetId="4" hidden="1">#REF!</definedName>
    <definedName name="BExUBKXBUCN760QYU7Q8GESBWOQH" localSheetId="6" hidden="1">#REF!</definedName>
    <definedName name="BExUBKXBUCN760QYU7Q8GESBWOQH" localSheetId="21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localSheetId="4" hidden="1">#REF!</definedName>
    <definedName name="BExUBL83ED0P076RN9RJ8P1MZ299" localSheetId="6" hidden="1">#REF!</definedName>
    <definedName name="BExUBL83ED0P076RN9RJ8P1MZ299" localSheetId="21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localSheetId="4" hidden="1">#REF!</definedName>
    <definedName name="BExUC1EPS2CZ5CKFA0AQRIVRSHS8" localSheetId="6" hidden="1">#REF!</definedName>
    <definedName name="BExUC1EPS2CZ5CKFA0AQRIVRSHS8" localSheetId="21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localSheetId="4" hidden="1">#REF!</definedName>
    <definedName name="BExUC623BDYEODBN0N4DO6PJQ7NU" localSheetId="6" hidden="1">#REF!</definedName>
    <definedName name="BExUC623BDYEODBN0N4DO6PJQ7NU" localSheetId="21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localSheetId="4" hidden="1">#REF!</definedName>
    <definedName name="BExUC8WH8TCKBB5313JGYYQ1WFLT" localSheetId="6" hidden="1">#REF!</definedName>
    <definedName name="BExUC8WH8TCKBB5313JGYYQ1WFLT" localSheetId="21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localSheetId="4" hidden="1">#REF!</definedName>
    <definedName name="BExUCAP7GOSYPHMQKK6719YLSDIQ" localSheetId="6" hidden="1">#REF!</definedName>
    <definedName name="BExUCAP7GOSYPHMQKK6719YLSDIQ" localSheetId="21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localSheetId="4" hidden="1">#REF!</definedName>
    <definedName name="BExUCFCDK6SPH86I6STXX8X3WMC4" localSheetId="6" hidden="1">#REF!</definedName>
    <definedName name="BExUCFCDK6SPH86I6STXX8X3WMC4" localSheetId="21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localSheetId="4" hidden="1">#REF!</definedName>
    <definedName name="BExUCKL98JB87L3I6T6IFSWJNYAB" localSheetId="6" hidden="1">#REF!</definedName>
    <definedName name="BExUCKL98JB87L3I6T6IFSWJNYAB" localSheetId="21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localSheetId="4" hidden="1">#REF!</definedName>
    <definedName name="BExUCLC6AQ5KR6LXSAXV4QQ8ASVG" localSheetId="6" hidden="1">#REF!</definedName>
    <definedName name="BExUCLC6AQ5KR6LXSAXV4QQ8ASVG" localSheetId="21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localSheetId="4" hidden="1">#REF!</definedName>
    <definedName name="BExUD4IOJ12X3PJG5WXNNGDRCKAP" localSheetId="6" hidden="1">#REF!</definedName>
    <definedName name="BExUD4IOJ12X3PJG5WXNNGDRCKAP" localSheetId="21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localSheetId="4" hidden="1">#REF!</definedName>
    <definedName name="BExUD9WX9BWK72UWVSLYZJLAY5VY" localSheetId="6" hidden="1">#REF!</definedName>
    <definedName name="BExUD9WX9BWK72UWVSLYZJLAY5VY" localSheetId="21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localSheetId="4" hidden="1">#REF!</definedName>
    <definedName name="BExUDEV0CYVO7Y5IQQBEJ6FUY9S6" localSheetId="6" hidden="1">#REF!</definedName>
    <definedName name="BExUDEV0CYVO7Y5IQQBEJ6FUY9S6" localSheetId="21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localSheetId="4" hidden="1">#REF!</definedName>
    <definedName name="BExUDWOXQGIZW0EAIIYLQUPXF8YV" localSheetId="6" hidden="1">#REF!</definedName>
    <definedName name="BExUDWOXQGIZW0EAIIYLQUPXF8YV" localSheetId="21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localSheetId="4" hidden="1">#REF!</definedName>
    <definedName name="BExUDXAIC17W1FUU8Z10XUAVB7CS" localSheetId="6" hidden="1">#REF!</definedName>
    <definedName name="BExUDXAIC17W1FUU8Z10XUAVB7CS" localSheetId="21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localSheetId="4" hidden="1">#REF!</definedName>
    <definedName name="BExUE5OMY7OAJQ9WR8C8HG311ORP" localSheetId="6" hidden="1">#REF!</definedName>
    <definedName name="BExUE5OMY7OAJQ9WR8C8HG311ORP" localSheetId="21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localSheetId="4" hidden="1">#REF!</definedName>
    <definedName name="BExUEFKOQWXXGRNLAOJV2BJ66UB8" localSheetId="6" hidden="1">#REF!</definedName>
    <definedName name="BExUEFKOQWXXGRNLAOJV2BJ66UB8" localSheetId="21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localSheetId="4" hidden="1">#REF!</definedName>
    <definedName name="BExUEJGX3OQQP5KFRJSRCZ70EI9V" localSheetId="6" hidden="1">#REF!</definedName>
    <definedName name="BExUEJGX3OQQP5KFRJSRCZ70EI9V" localSheetId="21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localSheetId="4" hidden="1">#REF!</definedName>
    <definedName name="BExUEKDB2RWXF3WMTZ6JSBCHNSDT" localSheetId="6" hidden="1">#REF!</definedName>
    <definedName name="BExUEKDB2RWXF3WMTZ6JSBCHNSDT" localSheetId="21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localSheetId="4" hidden="1">#REF!</definedName>
    <definedName name="BExUEYR71COFS2X8PDNU21IPMQEU" localSheetId="6" hidden="1">#REF!</definedName>
    <definedName name="BExUEYR71COFS2X8PDNU21IPMQEU" localSheetId="21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localSheetId="4" hidden="1">#REF!</definedName>
    <definedName name="BExVPRLJ9I6RX45EDVFSQGCPJSOK" localSheetId="6" hidden="1">#REF!</definedName>
    <definedName name="BExVPRLJ9I6RX45EDVFSQGCPJSOK" localSheetId="21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localSheetId="4" hidden="1">#REF!</definedName>
    <definedName name="BExVRFU8RWFT8A80ZVAW185SG2G6" localSheetId="6" hidden="1">#REF!</definedName>
    <definedName name="BExVRFU8RWFT8A80ZVAW185SG2G6" localSheetId="21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localSheetId="4" hidden="1">#REF!</definedName>
    <definedName name="BExVSJ3NHETBAIZTZQSM8LAVT76V" localSheetId="6" hidden="1">#REF!</definedName>
    <definedName name="BExVSJ3NHETBAIZTZQSM8LAVT76V" localSheetId="21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localSheetId="4" hidden="1">#REF!</definedName>
    <definedName name="BExVSL787C8E4HFQZ2NVLT35I2XV" localSheetId="6" hidden="1">#REF!</definedName>
    <definedName name="BExVSL787C8E4HFQZ2NVLT35I2XV" localSheetId="21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localSheetId="4" hidden="1">#REF!</definedName>
    <definedName name="BExVSTFTVV14SFGHQUOJL5SQ5TX9" localSheetId="6" hidden="1">#REF!</definedName>
    <definedName name="BExVSTFTVV14SFGHQUOJL5SQ5TX9" localSheetId="21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localSheetId="4" hidden="1">#REF!</definedName>
    <definedName name="BExVT017S14M5X928ARKQ2GNUFE0" localSheetId="6" hidden="1">#REF!</definedName>
    <definedName name="BExVT017S14M5X928ARKQ2GNUFE0" localSheetId="21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localSheetId="4" hidden="1">#REF!</definedName>
    <definedName name="BExVT3MPE8LQ5JFN3HQIFKSQ80U4" localSheetId="6" hidden="1">#REF!</definedName>
    <definedName name="BExVT3MPE8LQ5JFN3HQIFKSQ80U4" localSheetId="21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localSheetId="4" hidden="1">#REF!</definedName>
    <definedName name="BExVT7TRK3NZHPME2TFBXOF1WBR9" localSheetId="6" hidden="1">#REF!</definedName>
    <definedName name="BExVT7TRK3NZHPME2TFBXOF1WBR9" localSheetId="21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localSheetId="4" hidden="1">#REF!</definedName>
    <definedName name="BExVT9H0R0T7WGQAAC0HABMG54YM" localSheetId="6" hidden="1">#REF!</definedName>
    <definedName name="BExVT9H0R0T7WGQAAC0HABMG54YM" localSheetId="21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localSheetId="4" hidden="1">#REF!</definedName>
    <definedName name="BExVTAO57POUXSZQJQ6MABMZQA13" localSheetId="6" hidden="1">#REF!</definedName>
    <definedName name="BExVTAO57POUXSZQJQ6MABMZQA13" localSheetId="21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localSheetId="4" hidden="1">#REF!</definedName>
    <definedName name="BExVTCMDDEDGLUIMUU6BSFHEWTOP" localSheetId="6" hidden="1">#REF!</definedName>
    <definedName name="BExVTCMDDEDGLUIMUU6BSFHEWTOP" localSheetId="21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localSheetId="4" hidden="1">#REF!</definedName>
    <definedName name="BExVTCMDQMLKRA2NQR72XU6Y54IK" localSheetId="6" hidden="1">#REF!</definedName>
    <definedName name="BExVTCMDQMLKRA2NQR72XU6Y54IK" localSheetId="21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localSheetId="4" hidden="1">#REF!</definedName>
    <definedName name="BExVTCRV8FQ5U9OYWWL44N6KFNHU" localSheetId="6" hidden="1">#REF!</definedName>
    <definedName name="BExVTCRV8FQ5U9OYWWL44N6KFNHU" localSheetId="21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localSheetId="4" hidden="1">#REF!</definedName>
    <definedName name="BExVTNESHPVG0A0KZ7BRX26MS0PF" localSheetId="6" hidden="1">#REF!</definedName>
    <definedName name="BExVTNESHPVG0A0KZ7BRX26MS0PF" localSheetId="21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localSheetId="4" hidden="1">#REF!</definedName>
    <definedName name="BExVTTJVTNRSBHBTUZ78WG2JM5MK" localSheetId="6" hidden="1">#REF!</definedName>
    <definedName name="BExVTTJVTNRSBHBTUZ78WG2JM5MK" localSheetId="21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localSheetId="4" hidden="1">#REF!</definedName>
    <definedName name="BExVTXLMYR87BC04D1ERALPUFVPG" localSheetId="6" hidden="1">#REF!</definedName>
    <definedName name="BExVTXLMYR87BC04D1ERALPUFVPG" localSheetId="21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localSheetId="4" hidden="1">#REF!</definedName>
    <definedName name="BExVUL9V3H8ZF6Y72LQBBN639YAA" localSheetId="6" hidden="1">#REF!</definedName>
    <definedName name="BExVUL9V3H8ZF6Y72LQBBN639YAA" localSheetId="21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localSheetId="4" hidden="1">#REF!</definedName>
    <definedName name="BExVUZT95UAU8XG5X9XSE25CHQGA" localSheetId="6" hidden="1">#REF!</definedName>
    <definedName name="BExVUZT95UAU8XG5X9XSE25CHQGA" localSheetId="21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localSheetId="4" hidden="1">#REF!</definedName>
    <definedName name="BExVV5T14N2HZIK7HQ4P2KG09U0J" localSheetId="6" hidden="1">#REF!</definedName>
    <definedName name="BExVV5T14N2HZIK7HQ4P2KG09U0J" localSheetId="21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localSheetId="4" hidden="1">#REF!</definedName>
    <definedName name="BExVV7R410VYLADLX9LNG63ID6H1" localSheetId="6" hidden="1">#REF!</definedName>
    <definedName name="BExVV7R410VYLADLX9LNG63ID6H1" localSheetId="21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localSheetId="4" hidden="1">#REF!</definedName>
    <definedName name="BExVVAAVDXGWAVI6J2W0BCU58MBM" localSheetId="6" hidden="1">#REF!</definedName>
    <definedName name="BExVVAAVDXGWAVI6J2W0BCU58MBM" localSheetId="21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localSheetId="4" hidden="1">#REF!</definedName>
    <definedName name="BExVVCEED4JEKF59OV0G3T4XFMFO" localSheetId="6" hidden="1">#REF!</definedName>
    <definedName name="BExVVCEED4JEKF59OV0G3T4XFMFO" localSheetId="21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localSheetId="4" hidden="1">#REF!</definedName>
    <definedName name="BExVVPFO2J7FMSRPD36909HN4BZJ" localSheetId="6" hidden="1">#REF!</definedName>
    <definedName name="BExVVPFO2J7FMSRPD36909HN4BZJ" localSheetId="21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localSheetId="4" hidden="1">#REF!</definedName>
    <definedName name="BExVVQ19AQ3VCARJOC38SF7OYE9Y" localSheetId="6" hidden="1">#REF!</definedName>
    <definedName name="BExVVQ19AQ3VCARJOC38SF7OYE9Y" localSheetId="21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localSheetId="4" hidden="1">#REF!</definedName>
    <definedName name="BExVVQ19TAECID45CS4HXT1RD3AQ" localSheetId="6" hidden="1">#REF!</definedName>
    <definedName name="BExVVQ19TAECID45CS4HXT1RD3AQ" localSheetId="21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localSheetId="4" hidden="1">#REF!</definedName>
    <definedName name="BExVVYKOYB7OX8Y0B4UIUF79PVDO" localSheetId="6" hidden="1">#REF!</definedName>
    <definedName name="BExVVYKOYB7OX8Y0B4UIUF79PVDO" localSheetId="21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localSheetId="4" hidden="1">#REF!</definedName>
    <definedName name="BExVW3YV5XGIVJ97UUPDJGJ2P15B" localSheetId="6" hidden="1">#REF!</definedName>
    <definedName name="BExVW3YV5XGIVJ97UUPDJGJ2P15B" localSheetId="21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localSheetId="4" hidden="1">#REF!</definedName>
    <definedName name="BExVW5X571GEYR5SCU1Z2DHKWM79" localSheetId="6" hidden="1">#REF!</definedName>
    <definedName name="BExVW5X571GEYR5SCU1Z2DHKWM79" localSheetId="21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localSheetId="4" hidden="1">#REF!</definedName>
    <definedName name="BExVW6YTKA098AF57M4PHNQ54XMH" localSheetId="6" hidden="1">#REF!</definedName>
    <definedName name="BExVW6YTKA098AF57M4PHNQ54XMH" localSheetId="21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localSheetId="4" hidden="1">#REF!</definedName>
    <definedName name="BExVWHRDIJBRFANMKJFY05BHP7RS" localSheetId="6" hidden="1">#REF!</definedName>
    <definedName name="BExVWHRDIJBRFANMKJFY05BHP7RS" localSheetId="21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localSheetId="4" hidden="1">#REF!</definedName>
    <definedName name="BExVWINKCH0V0NUWH363SMXAZE62" localSheetId="6" hidden="1">#REF!</definedName>
    <definedName name="BExVWINKCH0V0NUWH363SMXAZE62" localSheetId="21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localSheetId="4" hidden="1">#REF!</definedName>
    <definedName name="BExVWYU8EK669NP172GEIGCTVPPA" localSheetId="6" hidden="1">#REF!</definedName>
    <definedName name="BExVWYU8EK669NP172GEIGCTVPPA" localSheetId="21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localSheetId="4" hidden="1">#REF!</definedName>
    <definedName name="BExVX3XN2DRJKL8EDBIG58RYQ36R" localSheetId="6" hidden="1">#REF!</definedName>
    <definedName name="BExVX3XN2DRJKL8EDBIG58RYQ36R" localSheetId="21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localSheetId="4" hidden="1">#REF!</definedName>
    <definedName name="BExVXBA38Z5WNQUH39HHZ2SAMC1T" localSheetId="6" hidden="1">#REF!</definedName>
    <definedName name="BExVXBA38Z5WNQUH39HHZ2SAMC1T" localSheetId="21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localSheetId="4" hidden="1">#REF!</definedName>
    <definedName name="BExVXDZ63PUART77BBR5SI63TPC6" localSheetId="6" hidden="1">#REF!</definedName>
    <definedName name="BExVXDZ63PUART77BBR5SI63TPC6" localSheetId="21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localSheetId="4" hidden="1">#REF!</definedName>
    <definedName name="BExVXHKI6LFYMGWISMPACMO247HL" localSheetId="6" hidden="1">#REF!</definedName>
    <definedName name="BExVXHKI6LFYMGWISMPACMO247HL" localSheetId="21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localSheetId="4" hidden="1">#REF!</definedName>
    <definedName name="BExVXK9SK580O7MYHVNJ3V911ALP" localSheetId="6" hidden="1">#REF!</definedName>
    <definedName name="BExVXK9SK580O7MYHVNJ3V911ALP" localSheetId="21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localSheetId="4" hidden="1">#REF!</definedName>
    <definedName name="BExVXLX2BZ5EF2X6R41BTKRJR1NM" localSheetId="6" hidden="1">#REF!</definedName>
    <definedName name="BExVXLX2BZ5EF2X6R41BTKRJR1NM" localSheetId="21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localSheetId="4" hidden="1">#REF!</definedName>
    <definedName name="BExVXYT01U5IPYA7E44FWS6KCEFC" localSheetId="6" hidden="1">#REF!</definedName>
    <definedName name="BExVXYT01U5IPYA7E44FWS6KCEFC" localSheetId="21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localSheetId="4" hidden="1">#REF!</definedName>
    <definedName name="BExVY11V7U1SAY4QKYE0PBSPD7LW" localSheetId="6" hidden="1">#REF!</definedName>
    <definedName name="BExVY11V7U1SAY4QKYE0PBSPD7LW" localSheetId="21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localSheetId="4" hidden="1">#REF!</definedName>
    <definedName name="BExVY1SV37DL5YU59HS4IG3VBCP4" localSheetId="6" hidden="1">#REF!</definedName>
    <definedName name="BExVY1SV37DL5YU59HS4IG3VBCP4" localSheetId="21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localSheetId="4" hidden="1">#REF!</definedName>
    <definedName name="BExVY3WFGJKSQA08UF9NCMST928Y" localSheetId="6" hidden="1">#REF!</definedName>
    <definedName name="BExVY3WFGJKSQA08UF9NCMST928Y" localSheetId="21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localSheetId="4" hidden="1">#REF!</definedName>
    <definedName name="BExVY954UOEVQEIC5OFO4NEWVKAQ" localSheetId="6" hidden="1">#REF!</definedName>
    <definedName name="BExVY954UOEVQEIC5OFO4NEWVKAQ" localSheetId="21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localSheetId="4" hidden="1">#REF!</definedName>
    <definedName name="BExVYHDYIV5397LC02V4FEP8VD6W" localSheetId="6" hidden="1">#REF!</definedName>
    <definedName name="BExVYHDYIV5397LC02V4FEP8VD6W" localSheetId="21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localSheetId="4" hidden="1">#REF!</definedName>
    <definedName name="BExVYO4NFDGC4ZOGHANQWX5CH4BT" localSheetId="6" hidden="1">#REF!</definedName>
    <definedName name="BExVYO4NFDGC4ZOGHANQWX5CH4BT" localSheetId="21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localSheetId="4" hidden="1">#REF!</definedName>
    <definedName name="BExVYOVIZDA18YIQ0A30Q052PCAK" localSheetId="6" hidden="1">#REF!</definedName>
    <definedName name="BExVYOVIZDA18YIQ0A30Q052PCAK" localSheetId="21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localSheetId="4" hidden="1">#REF!</definedName>
    <definedName name="BExVYPS2R6B75R1EFIUJ6G5TE4Q4" localSheetId="6" hidden="1">#REF!</definedName>
    <definedName name="BExVYPS2R6B75R1EFIUJ6G5TE4Q4" localSheetId="21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localSheetId="4" hidden="1">#REF!</definedName>
    <definedName name="BExVYQIXPEM6J4JVP78BRHIC05PV" localSheetId="6" hidden="1">#REF!</definedName>
    <definedName name="BExVYQIXPEM6J4JVP78BRHIC05PV" localSheetId="21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localSheetId="4" hidden="1">#REF!</definedName>
    <definedName name="BExVYVGWN7SONLVDH9WJ2F1JS264" localSheetId="6" hidden="1">#REF!</definedName>
    <definedName name="BExVYVGWN7SONLVDH9WJ2F1JS264" localSheetId="21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localSheetId="4" hidden="1">#REF!</definedName>
    <definedName name="BExVZ40HNAZRM8JHYYNQ7F6A4GU0" localSheetId="6" hidden="1">#REF!</definedName>
    <definedName name="BExVZ40HNAZRM8JHYYNQ7F6A4GU0" localSheetId="21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localSheetId="4" hidden="1">#REF!</definedName>
    <definedName name="BExVZ7WRO17PYILJEJGPQCO5IL66" localSheetId="6" hidden="1">#REF!</definedName>
    <definedName name="BExVZ7WRO17PYILJEJGPQCO5IL66" localSheetId="21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localSheetId="4" hidden="1">#REF!</definedName>
    <definedName name="BExVZ9EO732IK6MNMG17Y1EFTJQC" localSheetId="6" hidden="1">#REF!</definedName>
    <definedName name="BExVZ9EO732IK6MNMG17Y1EFTJQC" localSheetId="21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localSheetId="4" hidden="1">#REF!</definedName>
    <definedName name="BExVZB1Y5J4UL2LKK0363EU7GIJ1" localSheetId="6" hidden="1">#REF!</definedName>
    <definedName name="BExVZB1Y5J4UL2LKK0363EU7GIJ1" localSheetId="21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localSheetId="4" hidden="1">#REF!</definedName>
    <definedName name="BExVZGQXYK2ICC9JSNFPRHBD5KNU" localSheetId="6" hidden="1">#REF!</definedName>
    <definedName name="BExVZGQXYK2ICC9JSNFPRHBD5KNU" localSheetId="21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localSheetId="4" hidden="1">#REF!</definedName>
    <definedName name="BExVZJQVO5LQ0BJH5JEN5NOBIAF6" localSheetId="6" hidden="1">#REF!</definedName>
    <definedName name="BExVZJQVO5LQ0BJH5JEN5NOBIAF6" localSheetId="21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localSheetId="4" hidden="1">#REF!</definedName>
    <definedName name="BExVZNXWS91RD7NXV5NE2R3C8WW7" localSheetId="6" hidden="1">#REF!</definedName>
    <definedName name="BExVZNXWS91RD7NXV5NE2R3C8WW7" localSheetId="21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localSheetId="4" hidden="1">#REF!</definedName>
    <definedName name="BExW008AGT1ZRN5DFG4YOH5F7G47" localSheetId="6" hidden="1">#REF!</definedName>
    <definedName name="BExW008AGT1ZRN5DFG4YOH5F7G47" localSheetId="21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localSheetId="4" hidden="1">#REF!</definedName>
    <definedName name="BExW0386REQRCQCVT9BCX80UPTRY" localSheetId="6" hidden="1">#REF!</definedName>
    <definedName name="BExW0386REQRCQCVT9BCX80UPTRY" localSheetId="21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localSheetId="4" hidden="1">#REF!</definedName>
    <definedName name="BExW0FYP4WXY71CYUG40SUBG9UWU" localSheetId="6" hidden="1">#REF!</definedName>
    <definedName name="BExW0FYP4WXY71CYUG40SUBG9UWU" localSheetId="21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localSheetId="4" hidden="1">#REF!</definedName>
    <definedName name="BExW0MPJNQOJ7D6U780WU5XBL97X" localSheetId="6" hidden="1">#REF!</definedName>
    <definedName name="BExW0MPJNQOJ7D6U780WU5XBL97X" localSheetId="21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localSheetId="4" hidden="1">#REF!</definedName>
    <definedName name="BExW0RI61B4VV0ARXTFVBAWRA1C5" localSheetId="6" hidden="1">#REF!</definedName>
    <definedName name="BExW0RI61B4VV0ARXTFVBAWRA1C5" localSheetId="21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localSheetId="4" hidden="1">#REF!</definedName>
    <definedName name="BExW0Y8T85LBE0WS6FPX6ILTX9ON" localSheetId="6" hidden="1">#REF!</definedName>
    <definedName name="BExW0Y8T85LBE0WS6FPX6ILTX9ON" localSheetId="21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localSheetId="4" hidden="1">#REF!</definedName>
    <definedName name="BExW1BVUYQTKMOR56MW7RVRX4L1L" localSheetId="6" hidden="1">#REF!</definedName>
    <definedName name="BExW1BVUYQTKMOR56MW7RVRX4L1L" localSheetId="21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localSheetId="4" hidden="1">#REF!</definedName>
    <definedName name="BExW1F1220628FOMTW5UAATHRJHK" localSheetId="6" hidden="1">#REF!</definedName>
    <definedName name="BExW1F1220628FOMTW5UAATHRJHK" localSheetId="21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localSheetId="4" hidden="1">#REF!</definedName>
    <definedName name="BExW1PTHB0NZUF0GTD2J1UUL693E" localSheetId="6" hidden="1">#REF!</definedName>
    <definedName name="BExW1PTHB0NZUF0GTD2J1UUL693E" localSheetId="21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localSheetId="4" hidden="1">#REF!</definedName>
    <definedName name="BExW1TKA0Z9OP2DTG50GZR5EG8C7" localSheetId="6" hidden="1">#REF!</definedName>
    <definedName name="BExW1TKA0Z9OP2DTG50GZR5EG8C7" localSheetId="21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localSheetId="4" hidden="1">#REF!</definedName>
    <definedName name="BExW1U0JLKQ094DW5MMOI8UHO09V" localSheetId="6" hidden="1">#REF!</definedName>
    <definedName name="BExW1U0JLKQ094DW5MMOI8UHO09V" localSheetId="21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localSheetId="4" hidden="1">#REF!</definedName>
    <definedName name="BExW1WK6J1TDP29S3QDPTYZJBLIW" localSheetId="6" hidden="1">#REF!</definedName>
    <definedName name="BExW1WK6J1TDP29S3QDPTYZJBLIW" localSheetId="21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localSheetId="4" hidden="1">#REF!</definedName>
    <definedName name="BExW283NP9D366XFPXLGSCI5UB0L" localSheetId="6" hidden="1">#REF!</definedName>
    <definedName name="BExW283NP9D366XFPXLGSCI5UB0L" localSheetId="21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localSheetId="4" hidden="1">#REF!</definedName>
    <definedName name="BExW2H3C8WJSBW5FGTFKVDVJC4CL" localSheetId="6" hidden="1">#REF!</definedName>
    <definedName name="BExW2H3C8WJSBW5FGTFKVDVJC4CL" localSheetId="21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localSheetId="4" hidden="1">#REF!</definedName>
    <definedName name="BExW2MSCKPGF5K3I7TL4KF5ISUOL" localSheetId="6" hidden="1">#REF!</definedName>
    <definedName name="BExW2MSCKPGF5K3I7TL4KF5ISUOL" localSheetId="21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localSheetId="4" hidden="1">#REF!</definedName>
    <definedName name="BExW2SMO90FU9W8DVVES6Q4E6BZR" localSheetId="6" hidden="1">#REF!</definedName>
    <definedName name="BExW2SMO90FU9W8DVVES6Q4E6BZR" localSheetId="21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localSheetId="4" hidden="1">#REF!</definedName>
    <definedName name="BExW36V9N91OHCUMGWJQL3I5P4JK" localSheetId="6" hidden="1">#REF!</definedName>
    <definedName name="BExW36V9N91OHCUMGWJQL3I5P4JK" localSheetId="21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localSheetId="4" hidden="1">#REF!</definedName>
    <definedName name="BExW39V04HTFFQE7DAW9MAJT0NNF" localSheetId="6" hidden="1">#REF!</definedName>
    <definedName name="BExW39V04HTFFQE7DAW9MAJT0NNF" localSheetId="21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localSheetId="4" hidden="1">#REF!</definedName>
    <definedName name="BExW3ECU6QPMV99AITCPHAG0CGYK" localSheetId="6" hidden="1">#REF!</definedName>
    <definedName name="BExW3ECU6QPMV99AITCPHAG0CGYK" localSheetId="21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localSheetId="4" hidden="1">#REF!</definedName>
    <definedName name="BExW3EIBA1J9Q9NA9VCGZGRS8WV7" localSheetId="6" hidden="1">#REF!</definedName>
    <definedName name="BExW3EIBA1J9Q9NA9VCGZGRS8WV7" localSheetId="21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localSheetId="4" hidden="1">#REF!</definedName>
    <definedName name="BExW3FEO8FI8N6AGQKYEG4SQVJWB" localSheetId="6" hidden="1">#REF!</definedName>
    <definedName name="BExW3FEO8FI8N6AGQKYEG4SQVJWB" localSheetId="21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localSheetId="4" hidden="1">#REF!</definedName>
    <definedName name="BExW3GB28STOMJUSZEIA7YKYNS4Y" localSheetId="6" hidden="1">#REF!</definedName>
    <definedName name="BExW3GB28STOMJUSZEIA7YKYNS4Y" localSheetId="21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localSheetId="4" hidden="1">#REF!</definedName>
    <definedName name="BExW3T1K638HT5E0Y8MMK108P5JT" localSheetId="6" hidden="1">#REF!</definedName>
    <definedName name="BExW3T1K638HT5E0Y8MMK108P5JT" localSheetId="21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localSheetId="4" hidden="1">#REF!</definedName>
    <definedName name="BExW3U3D6FTAFTK3Q7DSA9FY454Q" localSheetId="6" hidden="1">#REF!</definedName>
    <definedName name="BExW3U3D6FTAFTK3Q7DSA9FY454Q" localSheetId="21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localSheetId="4" hidden="1">#REF!</definedName>
    <definedName name="BExW4217ZHL9VO39POSTJOD090WU" localSheetId="6" hidden="1">#REF!</definedName>
    <definedName name="BExW4217ZHL9VO39POSTJOD090WU" localSheetId="21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localSheetId="4" hidden="1">#REF!</definedName>
    <definedName name="BExW4GPW71EBF8XPS2QGVQHBCDX3" localSheetId="6" hidden="1">#REF!</definedName>
    <definedName name="BExW4GPW71EBF8XPS2QGVQHBCDX3" localSheetId="21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localSheetId="4" hidden="1">#REF!</definedName>
    <definedName name="BExW4JKC5837JBPCOJV337ZVYYY3" localSheetId="6" hidden="1">#REF!</definedName>
    <definedName name="BExW4JKC5837JBPCOJV337ZVYYY3" localSheetId="21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localSheetId="4" hidden="1">#REF!</definedName>
    <definedName name="BExW4O2DBZGV8KGBO9EB4BAXIH4Y" localSheetId="6" hidden="1">#REF!</definedName>
    <definedName name="BExW4O2DBZGV8KGBO9EB4BAXIH4Y" localSheetId="21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localSheetId="4" hidden="1">#REF!</definedName>
    <definedName name="BExW4QR9FV9MP5K610THBSM51RYO" localSheetId="6" hidden="1">#REF!</definedName>
    <definedName name="BExW4QR9FV9MP5K610THBSM51RYO" localSheetId="21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localSheetId="4" hidden="1">#REF!</definedName>
    <definedName name="BExW4Z029R9E19ZENN3WEA3VDAD1" localSheetId="6" hidden="1">#REF!</definedName>
    <definedName name="BExW4Z029R9E19ZENN3WEA3VDAD1" localSheetId="21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localSheetId="4" hidden="1">#REF!</definedName>
    <definedName name="BExW53SPLW3K0Y0ZVTM4NYF1B2YH" localSheetId="6" hidden="1">#REF!</definedName>
    <definedName name="BExW53SPLW3K0Y0ZVTM4NYF1B2YH" localSheetId="21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localSheetId="4" hidden="1">#REF!</definedName>
    <definedName name="BExW591F7X34FVKJ2OUT09PFUW1B" localSheetId="6" hidden="1">#REF!</definedName>
    <definedName name="BExW591F7X34FVKJ2OUT09PFUW1B" localSheetId="21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localSheetId="4" hidden="1">#REF!</definedName>
    <definedName name="BExW5AZNT6IAZGNF2C879ODHY1B8" localSheetId="6" hidden="1">#REF!</definedName>
    <definedName name="BExW5AZNT6IAZGNF2C879ODHY1B8" localSheetId="21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localSheetId="4" hidden="1">#REF!</definedName>
    <definedName name="BExW5F6OUXHEWQU5VYE7W7P8DD78" localSheetId="6" hidden="1">#REF!</definedName>
    <definedName name="BExW5F6OUXHEWQU5VYE7W7P8DD78" localSheetId="21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localSheetId="4" hidden="1">#REF!</definedName>
    <definedName name="BExW5WPU27WD4NWZOT0ZEJIDLX5J" localSheetId="6" hidden="1">#REF!</definedName>
    <definedName name="BExW5WPU27WD4NWZOT0ZEJIDLX5J" localSheetId="21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localSheetId="4" hidden="1">#REF!</definedName>
    <definedName name="BExW5YD97EMSUYC4KDEFH1FB4FY3" localSheetId="6" hidden="1">#REF!</definedName>
    <definedName name="BExW5YD97EMSUYC4KDEFH1FB4FY3" localSheetId="21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localSheetId="4" hidden="1">#REF!</definedName>
    <definedName name="BExW5Z469DSRWTA6T0KVLA7SMIPL" localSheetId="6" hidden="1">#REF!</definedName>
    <definedName name="BExW5Z469DSRWTA6T0KVLA7SMIPL" localSheetId="21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localSheetId="4" hidden="1">#REF!</definedName>
    <definedName name="BExW62ETJAPBX5X53FTGUCHZXI2K" localSheetId="6" hidden="1">#REF!</definedName>
    <definedName name="BExW62ETJAPBX5X53FTGUCHZXI2K" localSheetId="21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localSheetId="4" hidden="1">#REF!</definedName>
    <definedName name="BExW660AV1TUV2XNUPD65RZR3QOO" localSheetId="6" hidden="1">#REF!</definedName>
    <definedName name="BExW660AV1TUV2XNUPD65RZR3QOO" localSheetId="21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localSheetId="4" hidden="1">#REF!</definedName>
    <definedName name="BExW66LVVZK656PQY1257QMHP2AY" localSheetId="6" hidden="1">#REF!</definedName>
    <definedName name="BExW66LVVZK656PQY1257QMHP2AY" localSheetId="21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localSheetId="4" hidden="1">#REF!</definedName>
    <definedName name="BExW6EJPHAP1TWT380AZLXNHR22P" localSheetId="6" hidden="1">#REF!</definedName>
    <definedName name="BExW6EJPHAP1TWT380AZLXNHR22P" localSheetId="21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localSheetId="4" hidden="1">#REF!</definedName>
    <definedName name="BExW6G1PJ38H10DVLL8WPQ736OEB" localSheetId="6" hidden="1">#REF!</definedName>
    <definedName name="BExW6G1PJ38H10DVLL8WPQ736OEB" localSheetId="21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localSheetId="4" hidden="1">#REF!</definedName>
    <definedName name="BExW794A74Z5F2K8LVQLD6VSKXUE" localSheetId="6" hidden="1">#REF!</definedName>
    <definedName name="BExW794A74Z5F2K8LVQLD6VSKXUE" localSheetId="21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localSheetId="4" hidden="1">#REF!</definedName>
    <definedName name="BExW7Q1TQ8E6G4WYYNSOMV43S95R" localSheetId="6" hidden="1">#REF!</definedName>
    <definedName name="BExW7Q1TQ8E6G4WYYNSOMV43S95R" localSheetId="21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localSheetId="4" hidden="1">#REF!</definedName>
    <definedName name="BExW7XZTFZV0N9YM9S4PM74A5X2O" localSheetId="6" hidden="1">#REF!</definedName>
    <definedName name="BExW7XZTFZV0N9YM9S4PM74A5X2O" localSheetId="21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localSheetId="4" hidden="1">#REF!</definedName>
    <definedName name="BExW8K0SSIPSKBVP06IJ71600HJZ" localSheetId="6" hidden="1">#REF!</definedName>
    <definedName name="BExW8K0SSIPSKBVP06IJ71600HJZ" localSheetId="21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localSheetId="4" hidden="1">#REF!</definedName>
    <definedName name="BExW8T0GVY3ZYO4ACSBLHS8SH895" localSheetId="6" hidden="1">#REF!</definedName>
    <definedName name="BExW8T0GVY3ZYO4ACSBLHS8SH895" localSheetId="21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localSheetId="4" hidden="1">#REF!</definedName>
    <definedName name="BExW8YEP73JMMU9HZ08PM4WHJQZ4" localSheetId="6" hidden="1">#REF!</definedName>
    <definedName name="BExW8YEP73JMMU9HZ08PM4WHJQZ4" localSheetId="21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localSheetId="4" hidden="1">#REF!</definedName>
    <definedName name="BExW937AT53OZQRHNWQZ5BVH24IE" localSheetId="6" hidden="1">#REF!</definedName>
    <definedName name="BExW937AT53OZQRHNWQZ5BVH24IE" localSheetId="21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localSheetId="4" hidden="1">#REF!</definedName>
    <definedName name="BExW95LN5N0LYFFVP7GJEGDVDLF0" localSheetId="6" hidden="1">#REF!</definedName>
    <definedName name="BExW95LN5N0LYFFVP7GJEGDVDLF0" localSheetId="21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localSheetId="4" hidden="1">#REF!</definedName>
    <definedName name="BExW967733Q8RAJOHR2GJ3HO8JIW" localSheetId="6" hidden="1">#REF!</definedName>
    <definedName name="BExW967733Q8RAJOHR2GJ3HO8JIW" localSheetId="21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localSheetId="4" hidden="1">#REF!</definedName>
    <definedName name="BExW9POK1KIOI0ALS5MZIKTDIYMA" localSheetId="6" hidden="1">#REF!</definedName>
    <definedName name="BExW9POK1KIOI0ALS5MZIKTDIYMA" localSheetId="21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localSheetId="4" hidden="1">#REF!</definedName>
    <definedName name="BExXLDE6PN4ESWT3LXJNQCY94NE4" localSheetId="6" hidden="1">#REF!</definedName>
    <definedName name="BExXLDE6PN4ESWT3LXJNQCY94NE4" localSheetId="21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localSheetId="4" hidden="1">#REF!</definedName>
    <definedName name="BExXLQVPK2H3IF0NDDA5CT612EUK" localSheetId="6" hidden="1">#REF!</definedName>
    <definedName name="BExXLQVPK2H3IF0NDDA5CT612EUK" localSheetId="21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localSheetId="4" hidden="1">#REF!</definedName>
    <definedName name="BExXLR6IO70TYTACKQH9M5PGV24J" localSheetId="6" hidden="1">#REF!</definedName>
    <definedName name="BExXLR6IO70TYTACKQH9M5PGV24J" localSheetId="21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localSheetId="4" hidden="1">#REF!</definedName>
    <definedName name="BExXM065WOLYRYHGHOJE0OOFXA4M" localSheetId="6" hidden="1">#REF!</definedName>
    <definedName name="BExXM065WOLYRYHGHOJE0OOFXA4M" localSheetId="21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localSheetId="4" hidden="1">#REF!</definedName>
    <definedName name="BExXM3GUNXVDM82KUR17NNUMQCNI" localSheetId="6" hidden="1">#REF!</definedName>
    <definedName name="BExXM3GUNXVDM82KUR17NNUMQCNI" localSheetId="21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localSheetId="4" hidden="1">#REF!</definedName>
    <definedName name="BExXMA28M8SH7MKIGETSDA72WUIZ" localSheetId="6" hidden="1">#REF!</definedName>
    <definedName name="BExXMA28M8SH7MKIGETSDA72WUIZ" localSheetId="21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localSheetId="4" hidden="1">#REF!</definedName>
    <definedName name="BExXMOLHIAHDLFSA31PUB36SC3I9" localSheetId="6" hidden="1">#REF!</definedName>
    <definedName name="BExXMOLHIAHDLFSA31PUB36SC3I9" localSheetId="21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localSheetId="4" hidden="1">#REF!</definedName>
    <definedName name="BExXMT8T5Z3M2JBQN65X2LKH0YQI" localSheetId="6" hidden="1">#REF!</definedName>
    <definedName name="BExXMT8T5Z3M2JBQN65X2LKH0YQI" localSheetId="21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localSheetId="4" hidden="1">#REF!</definedName>
    <definedName name="BExXN1XNO7H60M9X1E7EVWFJDM5N" localSheetId="6" hidden="1">#REF!</definedName>
    <definedName name="BExXN1XNO7H60M9X1E7EVWFJDM5N" localSheetId="21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localSheetId="4" hidden="1">#REF!</definedName>
    <definedName name="BExXN1XOOOY51EZQ6II0LWEU2OYT" localSheetId="6" hidden="1">#REF!</definedName>
    <definedName name="BExXN1XOOOY51EZQ6II0LWEU2OYT" localSheetId="21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localSheetId="4" hidden="1">#REF!</definedName>
    <definedName name="BExXN22ZOTIW49GPLWFYKVM90FNZ" localSheetId="6" hidden="1">#REF!</definedName>
    <definedName name="BExXN22ZOTIW49GPLWFYKVM90FNZ" localSheetId="21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localSheetId="4" hidden="1">#REF!</definedName>
    <definedName name="BExXN6QAP8UJQVN4R4BQKPP4QK35" localSheetId="6" hidden="1">#REF!</definedName>
    <definedName name="BExXN6QAP8UJQVN4R4BQKPP4QK35" localSheetId="21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localSheetId="4" hidden="1">#REF!</definedName>
    <definedName name="BExXNBOA39T2X6Y5Y5GZ5DDNA1AX" localSheetId="6" hidden="1">#REF!</definedName>
    <definedName name="BExXNBOA39T2X6Y5Y5GZ5DDNA1AX" localSheetId="21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localSheetId="4" hidden="1">#REF!</definedName>
    <definedName name="BExXNBZ1BRDK73S9XPRR1645KLVB" localSheetId="6" hidden="1">#REF!</definedName>
    <definedName name="BExXNBZ1BRDK73S9XPRR1645KLVB" localSheetId="21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localSheetId="4" hidden="1">#REF!</definedName>
    <definedName name="BExXND6872VJ3M2PGT056WQMWBHD" localSheetId="6" hidden="1">#REF!</definedName>
    <definedName name="BExXND6872VJ3M2PGT056WQMWBHD" localSheetId="21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localSheetId="4" hidden="1">#REF!</definedName>
    <definedName name="BExXNPM24UN2PGVL9D1TUBFRIKR4" localSheetId="6" hidden="1">#REF!</definedName>
    <definedName name="BExXNPM24UN2PGVL9D1TUBFRIKR4" localSheetId="21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localSheetId="4" hidden="1">#REF!</definedName>
    <definedName name="BExXNWCR6WOY5G3VTC96QCIFQE0E" localSheetId="6" hidden="1">#REF!</definedName>
    <definedName name="BExXNWCR6WOY5G3VTC96QCIFQE0E" localSheetId="21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localSheetId="4" hidden="1">#REF!</definedName>
    <definedName name="BExXNWYB165VO9MHARCL5WLCHWS0" localSheetId="6" hidden="1">#REF!</definedName>
    <definedName name="BExXNWYB165VO9MHARCL5WLCHWS0" localSheetId="21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localSheetId="4" hidden="1">#REF!</definedName>
    <definedName name="BExXO278QHQN8JDK5425EJ615ECC" localSheetId="6" hidden="1">#REF!</definedName>
    <definedName name="BExXO278QHQN8JDK5425EJ615ECC" localSheetId="21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localSheetId="4" hidden="1">#REF!</definedName>
    <definedName name="BExXOBHOP0WGFHI2Y9AO4L440UVQ" localSheetId="6" hidden="1">#REF!</definedName>
    <definedName name="BExXOBHOP0WGFHI2Y9AO4L440UVQ" localSheetId="21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localSheetId="4" hidden="1">#REF!</definedName>
    <definedName name="BExXOHHHX25B8F97636QMXFUDZQK" localSheetId="6" hidden="1">#REF!</definedName>
    <definedName name="BExXOHHHX25B8F97636QMXFUDZQK" localSheetId="21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localSheetId="4" hidden="1">#REF!</definedName>
    <definedName name="BExXOHSAD2NSHOLLMZ2JWA4I3I1R" localSheetId="6" hidden="1">#REF!</definedName>
    <definedName name="BExXOHSAD2NSHOLLMZ2JWA4I3I1R" localSheetId="21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localSheetId="4" hidden="1">#REF!</definedName>
    <definedName name="BExXOJKWIJ6IFTV1RHIWHR91EZMW" localSheetId="6" hidden="1">#REF!</definedName>
    <definedName name="BExXOJKWIJ6IFTV1RHIWHR91EZMW" localSheetId="21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localSheetId="4" hidden="1">#REF!</definedName>
    <definedName name="BExXP80B5FGA00JCM7UXKPI3PB7Y" localSheetId="6" hidden="1">#REF!</definedName>
    <definedName name="BExXP80B5FGA00JCM7UXKPI3PB7Y" localSheetId="21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localSheetId="4" hidden="1">#REF!</definedName>
    <definedName name="BExXP85M4WXYVN1UVHUTOEKEG5XS" localSheetId="6" hidden="1">#REF!</definedName>
    <definedName name="BExXP85M4WXYVN1UVHUTOEKEG5XS" localSheetId="21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localSheetId="4" hidden="1">#REF!</definedName>
    <definedName name="BExXPELOTHOAG0OWILLAH94OZV5J" localSheetId="6" hidden="1">#REF!</definedName>
    <definedName name="BExXPELOTHOAG0OWILLAH94OZV5J" localSheetId="21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localSheetId="4" hidden="1">#REF!</definedName>
    <definedName name="BExXPOSJRLJNYPU01QNNQ5URXP2U" localSheetId="6" hidden="1">#REF!</definedName>
    <definedName name="BExXPOSJRLJNYPU01QNNQ5URXP2U" localSheetId="21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localSheetId="4" hidden="1">#REF!</definedName>
    <definedName name="BExXPS31W1VD2NMIE4E37LHVDF0L" localSheetId="6" hidden="1">#REF!</definedName>
    <definedName name="BExXPS31W1VD2NMIE4E37LHVDF0L" localSheetId="21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localSheetId="4" hidden="1">#REF!</definedName>
    <definedName name="BExXPZKYEMVF5JOC14HYOOYQK6JK" localSheetId="6" hidden="1">#REF!</definedName>
    <definedName name="BExXPZKYEMVF5JOC14HYOOYQK6JK" localSheetId="21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localSheetId="4" hidden="1">#REF!</definedName>
    <definedName name="BExXQ89PA10X79WBWOEP1AJX1OQM" localSheetId="6" hidden="1">#REF!</definedName>
    <definedName name="BExXQ89PA10X79WBWOEP1AJX1OQM" localSheetId="21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localSheetId="4" hidden="1">#REF!</definedName>
    <definedName name="BExXQCGQGGYSI0LTRVR73MUO50AW" localSheetId="6" hidden="1">#REF!</definedName>
    <definedName name="BExXQCGQGGYSI0LTRVR73MUO50AW" localSheetId="21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localSheetId="4" hidden="1">#REF!</definedName>
    <definedName name="BExXQEEXFHDQ8DSRAJSB5ET6J004" localSheetId="6" hidden="1">#REF!</definedName>
    <definedName name="BExXQEEXFHDQ8DSRAJSB5ET6J004" localSheetId="21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localSheetId="4" hidden="1">#REF!</definedName>
    <definedName name="BExXQH41O5HZAH8BO6HCFY8YC3TU" localSheetId="6" hidden="1">#REF!</definedName>
    <definedName name="BExXQH41O5HZAH8BO6HCFY8YC3TU" localSheetId="21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localSheetId="4" hidden="1">#REF!</definedName>
    <definedName name="BExXQJIEF5R3QQ6D8HO3NGPU0IQC" localSheetId="6" hidden="1">#REF!</definedName>
    <definedName name="BExXQJIEF5R3QQ6D8HO3NGPU0IQC" localSheetId="21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localSheetId="4" hidden="1">#REF!</definedName>
    <definedName name="BExXQRAVW0KPQXIJ59NG6UGTZB59" localSheetId="6" hidden="1">#REF!</definedName>
    <definedName name="BExXQRAVW0KPQXIJ59NG6UGTZB59" localSheetId="21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localSheetId="4" hidden="1">#REF!</definedName>
    <definedName name="BExXQU00K9ER4I1WM7T9J0W1E7ZC" localSheetId="6" hidden="1">#REF!</definedName>
    <definedName name="BExXQU00K9ER4I1WM7T9J0W1E7ZC" localSheetId="21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localSheetId="4" hidden="1">#REF!</definedName>
    <definedName name="BExXQU00KOR7XLM8B13DGJ1MIQDY" localSheetId="6" hidden="1">#REF!</definedName>
    <definedName name="BExXQU00KOR7XLM8B13DGJ1MIQDY" localSheetId="21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localSheetId="4" hidden="1">#REF!</definedName>
    <definedName name="BExXQUG48Q1ISN53FE4MRROM0HSJ" localSheetId="6" hidden="1">#REF!</definedName>
    <definedName name="BExXQUG48Q1ISN53FE4MRROM0HSJ" localSheetId="21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localSheetId="4" hidden="1">#REF!</definedName>
    <definedName name="BExXQXG18PS8HGBOS03OSTQ0KEYC" localSheetId="6" hidden="1">#REF!</definedName>
    <definedName name="BExXQXG18PS8HGBOS03OSTQ0KEYC" localSheetId="21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localSheetId="4" hidden="1">#REF!</definedName>
    <definedName name="BExXQXQT4OAFQT5B0YB3USDJOJOB" localSheetId="6" hidden="1">#REF!</definedName>
    <definedName name="BExXQXQT4OAFQT5B0YB3USDJOJOB" localSheetId="21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localSheetId="4" hidden="1">#REF!</definedName>
    <definedName name="BExXR3FSEXAHSXEQNJORWFCPX86N" localSheetId="6" hidden="1">#REF!</definedName>
    <definedName name="BExXR3FSEXAHSXEQNJORWFCPX86N" localSheetId="21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localSheetId="4" hidden="1">#REF!</definedName>
    <definedName name="BExXR3W3FKYQBLR299HO9RZ70C43" localSheetId="6" hidden="1">#REF!</definedName>
    <definedName name="BExXR3W3FKYQBLR299HO9RZ70C43" localSheetId="21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localSheetId="4" hidden="1">#REF!</definedName>
    <definedName name="BExXR46U23CRRBV6IZT982MAEQKI" localSheetId="6" hidden="1">#REF!</definedName>
    <definedName name="BExXR46U23CRRBV6IZT982MAEQKI" localSheetId="21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localSheetId="4" hidden="1">#REF!</definedName>
    <definedName name="BExXR6A8W3ND3XDZXBMQZ1VCAXHG" localSheetId="6" hidden="1">#REF!</definedName>
    <definedName name="BExXR6A8W3ND3XDZXBMQZ1VCAXHG" localSheetId="21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localSheetId="4" hidden="1">#REF!</definedName>
    <definedName name="BExXR7HKNHT37B4OOA9K9191PP22" localSheetId="6" hidden="1">#REF!</definedName>
    <definedName name="BExXR7HKNHT37B4OOA9K9191PP22" localSheetId="21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localSheetId="4" hidden="1">#REF!</definedName>
    <definedName name="BExXR8OKAVX7O70V5IYG2PRKXSTI" localSheetId="6" hidden="1">#REF!</definedName>
    <definedName name="BExXR8OKAVX7O70V5IYG2PRKXSTI" localSheetId="21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localSheetId="4" hidden="1">#REF!</definedName>
    <definedName name="BExXRA6N6XCLQM6XDV724ZIH6G93" localSheetId="6" hidden="1">#REF!</definedName>
    <definedName name="BExXRA6N6XCLQM6XDV724ZIH6G93" localSheetId="21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localSheetId="4" hidden="1">#REF!</definedName>
    <definedName name="BExXRABZ1CNKCG6K1MR6OUFHF7J9" localSheetId="6" hidden="1">#REF!</definedName>
    <definedName name="BExXRABZ1CNKCG6K1MR6OUFHF7J9" localSheetId="21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localSheetId="4" hidden="1">#REF!</definedName>
    <definedName name="BExXRBOFETC0OTJ6WY3VPMFH03VB" localSheetId="6" hidden="1">#REF!</definedName>
    <definedName name="BExXRBOFETC0OTJ6WY3VPMFH03VB" localSheetId="21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localSheetId="4" hidden="1">#REF!</definedName>
    <definedName name="BExXRD13K1S9Y3JGR7CXSONT7RJZ" localSheetId="6" hidden="1">#REF!</definedName>
    <definedName name="BExXRD13K1S9Y3JGR7CXSONT7RJZ" localSheetId="21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localSheetId="4" hidden="1">#REF!</definedName>
    <definedName name="BExXRIFB4QQ87QIGA9AG0NXP577K" localSheetId="6" hidden="1">#REF!</definedName>
    <definedName name="BExXRIFB4QQ87QIGA9AG0NXP577K" localSheetId="21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localSheetId="4" hidden="1">#REF!</definedName>
    <definedName name="BExXRIQ2JF2CVTRDQX2D9SPH7FTN" localSheetId="6" hidden="1">#REF!</definedName>
    <definedName name="BExXRIQ2JF2CVTRDQX2D9SPH7FTN" localSheetId="21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localSheetId="4" hidden="1">#REF!</definedName>
    <definedName name="BExXRO4A6VUH1F4XV8N1BRJ4896W" localSheetId="6" hidden="1">#REF!</definedName>
    <definedName name="BExXRO4A6VUH1F4XV8N1BRJ4896W" localSheetId="21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localSheetId="4" hidden="1">#REF!</definedName>
    <definedName name="BExXRO9N1SNJZGKD90P4K7FU1J0P" localSheetId="6" hidden="1">#REF!</definedName>
    <definedName name="BExXRO9N1SNJZGKD90P4K7FU1J0P" localSheetId="21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localSheetId="4" hidden="1">#REF!</definedName>
    <definedName name="BExXROF2MWDZ7IFXX27XOJ79Q86E" localSheetId="6" hidden="1">#REF!</definedName>
    <definedName name="BExXROF2MWDZ7IFXX27XOJ79Q86E" localSheetId="21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localSheetId="4" hidden="1">#REF!</definedName>
    <definedName name="BExXRV5QP3Z0KAQ1EQT9JYT2FV0L" localSheetId="6" hidden="1">#REF!</definedName>
    <definedName name="BExXRV5QP3Z0KAQ1EQT9JYT2FV0L" localSheetId="21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localSheetId="4" hidden="1">#REF!</definedName>
    <definedName name="BExXRZ20LZZCW8LVGDK0XETOTSAI" localSheetId="6" hidden="1">#REF!</definedName>
    <definedName name="BExXRZ20LZZCW8LVGDK0XETOTSAI" localSheetId="21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localSheetId="4" hidden="1">#REF!</definedName>
    <definedName name="BExXS4R1GKUJQX6MHUIUN4S3SCAS" localSheetId="6" hidden="1">#REF!</definedName>
    <definedName name="BExXS4R1GKUJQX6MHUIUN4S3SCAS" localSheetId="21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localSheetId="4" hidden="1">#REF!</definedName>
    <definedName name="BExXS63O4OMWMNXXAODZQFSDG33N" localSheetId="6" hidden="1">#REF!</definedName>
    <definedName name="BExXS63O4OMWMNXXAODZQFSDG33N" localSheetId="21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localSheetId="4" hidden="1">#REF!</definedName>
    <definedName name="BExXSBSP1TOY051HSPEPM0AEIO2M" localSheetId="6" hidden="1">#REF!</definedName>
    <definedName name="BExXSBSP1TOY051HSPEPM0AEIO2M" localSheetId="21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localSheetId="4" hidden="1">#REF!</definedName>
    <definedName name="BExXSC8RFK5D68FJD2HI4K66SA6I" localSheetId="6" hidden="1">#REF!</definedName>
    <definedName name="BExXSC8RFK5D68FJD2HI4K66SA6I" localSheetId="21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localSheetId="4" hidden="1">#REF!</definedName>
    <definedName name="BExXSCP0AZ5MYCC2UFG2GLBCV1CC" localSheetId="6" hidden="1">#REF!</definedName>
    <definedName name="BExXSCP0AZ5MYCC2UFG2GLBCV1CC" localSheetId="21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localSheetId="4" hidden="1">#REF!</definedName>
    <definedName name="BExXSNHC88W4UMXEOIOOATJAIKZO" localSheetId="6" hidden="1">#REF!</definedName>
    <definedName name="BExXSNHC88W4UMXEOIOOATJAIKZO" localSheetId="21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localSheetId="4" hidden="1">#REF!</definedName>
    <definedName name="BExXSTBS08WIA9TLALV3UQ2Z3MRG" localSheetId="6" hidden="1">#REF!</definedName>
    <definedName name="BExXSTBS08WIA9TLALV3UQ2Z3MRG" localSheetId="21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localSheetId="4" hidden="1">#REF!</definedName>
    <definedName name="BExXSVQ2WOJJ73YEO8Q2FK60V4G8" localSheetId="6" hidden="1">#REF!</definedName>
    <definedName name="BExXSVQ2WOJJ73YEO8Q2FK60V4G8" localSheetId="21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localSheetId="4" hidden="1">#REF!</definedName>
    <definedName name="BExXTER5A2EQ14KN6J0MVATIHVKN" localSheetId="6" hidden="1">#REF!</definedName>
    <definedName name="BExXTER5A2EQ14KN6J0MVATIHVKN" localSheetId="21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localSheetId="4" hidden="1">#REF!</definedName>
    <definedName name="BExXTHLRNL82GN7KZY3TOLO508N7" localSheetId="6" hidden="1">#REF!</definedName>
    <definedName name="BExXTHLRNL82GN7KZY3TOLO508N7" localSheetId="21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localSheetId="4" hidden="1">#REF!</definedName>
    <definedName name="BExXTL72MKEQSQH9L2OTFLU8DM2B" localSheetId="6" hidden="1">#REF!</definedName>
    <definedName name="BExXTL72MKEQSQH9L2OTFLU8DM2B" localSheetId="21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localSheetId="4" hidden="1">#REF!</definedName>
    <definedName name="BExXTM3M4RTCRSX7VGAXGQNPP668" localSheetId="6" hidden="1">#REF!</definedName>
    <definedName name="BExXTM3M4RTCRSX7VGAXGQNPP668" localSheetId="21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localSheetId="4" hidden="1">#REF!</definedName>
    <definedName name="BExXTOCF78J7WY6FOVBRY1N2RBBR" localSheetId="6" hidden="1">#REF!</definedName>
    <definedName name="BExXTOCF78J7WY6FOVBRY1N2RBBR" localSheetId="21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localSheetId="4" hidden="1">#REF!</definedName>
    <definedName name="BExXTP3GYO6Z9RTKKT10XA0UTV3T" localSheetId="6" hidden="1">#REF!</definedName>
    <definedName name="BExXTP3GYO6Z9RTKKT10XA0UTV3T" localSheetId="21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localSheetId="4" hidden="1">#REF!</definedName>
    <definedName name="BExXTRN4AFX9QW6YC4HNGBBD5R08" localSheetId="6" hidden="1">#REF!</definedName>
    <definedName name="BExXTRN4AFX9QW6YC4HNGBBD5R08" localSheetId="21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localSheetId="4" hidden="1">#REF!</definedName>
    <definedName name="BExXTV8M7YIG5C64O046DN613ZRO" localSheetId="6" hidden="1">#REF!</definedName>
    <definedName name="BExXTV8M7YIG5C64O046DN613ZRO" localSheetId="21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localSheetId="4" hidden="1">#REF!</definedName>
    <definedName name="BExXTVDXQ7ZX3THNLFJXFAONW0AI" localSheetId="6" hidden="1">#REF!</definedName>
    <definedName name="BExXTVDXQ7ZX3THNLFJXFAONW0AI" localSheetId="21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localSheetId="4" hidden="1">#REF!</definedName>
    <definedName name="BExXTZKZ4CG92ZQLIRKEXXH9BFIR" localSheetId="6" hidden="1">#REF!</definedName>
    <definedName name="BExXTZKZ4CG92ZQLIRKEXXH9BFIR" localSheetId="21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localSheetId="4" hidden="1">#REF!</definedName>
    <definedName name="BExXU4J2BM2964GD5UZHM752Q4NS" localSheetId="6" hidden="1">#REF!</definedName>
    <definedName name="BExXU4J2BM2964GD5UZHM752Q4NS" localSheetId="21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localSheetId="4" hidden="1">#REF!</definedName>
    <definedName name="BExXU6XDTT7RM93KILIDEYPA9XKF" localSheetId="6" hidden="1">#REF!</definedName>
    <definedName name="BExXU6XDTT7RM93KILIDEYPA9XKF" localSheetId="21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localSheetId="4" hidden="1">#REF!</definedName>
    <definedName name="BExXU8VLZA7WLPZ3RAQZGNERUD26" localSheetId="6" hidden="1">#REF!</definedName>
    <definedName name="BExXU8VLZA7WLPZ3RAQZGNERUD26" localSheetId="21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localSheetId="4" hidden="1">#REF!</definedName>
    <definedName name="BExXUB9RSLSCNN5ETLXY72DAPZZM" localSheetId="6" hidden="1">#REF!</definedName>
    <definedName name="BExXUB9RSLSCNN5ETLXY72DAPZZM" localSheetId="21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localSheetId="4" hidden="1">#REF!</definedName>
    <definedName name="BExXUFRM82XQIN2T8KGLDQL1IBQW" localSheetId="6" hidden="1">#REF!</definedName>
    <definedName name="BExXUFRM82XQIN2T8KGLDQL1IBQW" localSheetId="21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localSheetId="4" hidden="1">#REF!</definedName>
    <definedName name="BExXUQEQBF6FI240ZGIF9YXZSRAU" localSheetId="6" hidden="1">#REF!</definedName>
    <definedName name="BExXUQEQBF6FI240ZGIF9YXZSRAU" localSheetId="21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localSheetId="4" hidden="1">#REF!</definedName>
    <definedName name="BExXUX02UQ8LJPBZ4YBORILFR0W0" localSheetId="6" hidden="1">#REF!</definedName>
    <definedName name="BExXUX02UQ8LJPBZ4YBORILFR0W0" localSheetId="21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localSheetId="4" hidden="1">#REF!</definedName>
    <definedName name="BExXUYND6EJO7CJ5KRICV4O1JNWK" localSheetId="6" hidden="1">#REF!</definedName>
    <definedName name="BExXUYND6EJO7CJ5KRICV4O1JNWK" localSheetId="21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localSheetId="4" hidden="1">#REF!</definedName>
    <definedName name="BExXV6FWG4H3S2QEUJZYIXILNGJ7" localSheetId="6" hidden="1">#REF!</definedName>
    <definedName name="BExXV6FWG4H3S2QEUJZYIXILNGJ7" localSheetId="21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localSheetId="4" hidden="1">#REF!</definedName>
    <definedName name="BExXVK87BMMO6LHKV0CFDNIQVIBS" localSheetId="6" hidden="1">#REF!</definedName>
    <definedName name="BExXVK87BMMO6LHKV0CFDNIQVIBS" localSheetId="21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localSheetId="4" hidden="1">#REF!</definedName>
    <definedName name="BExXVKZ9WXPGL6IVY6T61IDD771I" localSheetId="6" hidden="1">#REF!</definedName>
    <definedName name="BExXVKZ9WXPGL6IVY6T61IDD771I" localSheetId="21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localSheetId="4" hidden="1">#REF!</definedName>
    <definedName name="BExXVLA319WCSEOVHB05KDUSU054" localSheetId="6" hidden="1">#REF!</definedName>
    <definedName name="BExXVLA319WCSEOVHB05KDUSU054" localSheetId="21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localSheetId="4" hidden="1">#REF!</definedName>
    <definedName name="BExXVTTG5YRCSTI0UL141BKR36SU" localSheetId="6" hidden="1">#REF!</definedName>
    <definedName name="BExXVTTG5YRCSTI0UL141BKR36SU" localSheetId="21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localSheetId="4" hidden="1">#REF!</definedName>
    <definedName name="BExXVYWX74VKI8BDDSX9U85460MB" localSheetId="6" hidden="1">#REF!</definedName>
    <definedName name="BExXVYWX74VKI8BDDSX9U85460MB" localSheetId="21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localSheetId="4" hidden="1">#REF!</definedName>
    <definedName name="BExXW27MMXHXUXX78SDTBE1JYTHT" localSheetId="6" hidden="1">#REF!</definedName>
    <definedName name="BExXW27MMXHXUXX78SDTBE1JYTHT" localSheetId="21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localSheetId="4" hidden="1">#REF!</definedName>
    <definedName name="BExXW2YIM2MYBSHRIX0RP9D4PRMN" localSheetId="6" hidden="1">#REF!</definedName>
    <definedName name="BExXW2YIM2MYBSHRIX0RP9D4PRMN" localSheetId="21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localSheetId="4" hidden="1">#REF!</definedName>
    <definedName name="BExXWBNE4KTFSXKVSRF6WX039WPB" localSheetId="6" hidden="1">#REF!</definedName>
    <definedName name="BExXWBNE4KTFSXKVSRF6WX039WPB" localSheetId="21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localSheetId="4" hidden="1">#REF!</definedName>
    <definedName name="BExXWFP5AYE7EHYTJWBZSQ8PQ0YX" localSheetId="6" hidden="1">#REF!</definedName>
    <definedName name="BExXWFP5AYE7EHYTJWBZSQ8PQ0YX" localSheetId="21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localSheetId="4" hidden="1">#REF!</definedName>
    <definedName name="BExXWIUCR0LXM58OVKZT2APLVTIA" localSheetId="6" hidden="1">#REF!</definedName>
    <definedName name="BExXWIUCR0LXM58OVKZT2APLVTIA" localSheetId="21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localSheetId="4" hidden="1">#REF!</definedName>
    <definedName name="BExXWTXJEA32DLC6QKN10QB955JT" localSheetId="6" hidden="1">#REF!</definedName>
    <definedName name="BExXWTXJEA32DLC6QKN10QB955JT" localSheetId="21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localSheetId="4" hidden="1">#REF!</definedName>
    <definedName name="BExXWVFIBQT8OY1O41FRFPFGXQHK" localSheetId="6" hidden="1">#REF!</definedName>
    <definedName name="BExXWVFIBQT8OY1O41FRFPFGXQHK" localSheetId="21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localSheetId="4" hidden="1">#REF!</definedName>
    <definedName name="BExXWWXHBZHA9J3N8K47F84X0M0L" localSheetId="6" hidden="1">#REF!</definedName>
    <definedName name="BExXWWXHBZHA9J3N8K47F84X0M0L" localSheetId="21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localSheetId="4" hidden="1">#REF!</definedName>
    <definedName name="BExXXBM521DL8R4ZX7NZ3DBCUOR5" localSheetId="6" hidden="1">#REF!</definedName>
    <definedName name="BExXXBM521DL8R4ZX7NZ3DBCUOR5" localSheetId="21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localSheetId="4" hidden="1">#REF!</definedName>
    <definedName name="BExXXC7OZI33XZ03NRMEP7VRLQK4" localSheetId="6" hidden="1">#REF!</definedName>
    <definedName name="BExXXC7OZI33XZ03NRMEP7VRLQK4" localSheetId="21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localSheetId="4" hidden="1">#REF!</definedName>
    <definedName name="BExXXH5N3NKBQ7BCJPJTBF8CYM2Q" localSheetId="6" hidden="1">#REF!</definedName>
    <definedName name="BExXXH5N3NKBQ7BCJPJTBF8CYM2Q" localSheetId="21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localSheetId="4" hidden="1">#REF!</definedName>
    <definedName name="BExXXI7HHXLBLUEW7EQ73TALJF48" localSheetId="6" hidden="1">#REF!</definedName>
    <definedName name="BExXXI7HHXLBLUEW7EQ73TALJF48" localSheetId="21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localSheetId="4" hidden="1">#REF!</definedName>
    <definedName name="BExXXKWLM4D541BH6O8GOJMHFHMW" localSheetId="6" hidden="1">#REF!</definedName>
    <definedName name="BExXXKWLM4D541BH6O8GOJMHFHMW" localSheetId="21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localSheetId="4" hidden="1">#REF!</definedName>
    <definedName name="BExXXNR17I6P4FQZPQF2ZXDFYB6C" localSheetId="6" hidden="1">#REF!</definedName>
    <definedName name="BExXXNR17I6P4FQZPQF2ZXDFYB6C" localSheetId="21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localSheetId="4" hidden="1">#REF!</definedName>
    <definedName name="BExXXPPA1Q87XPI97X0OXCPBPDON" localSheetId="6" hidden="1">#REF!</definedName>
    <definedName name="BExXXPPA1Q87XPI97X0OXCPBPDON" localSheetId="21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localSheetId="4" hidden="1">#REF!</definedName>
    <definedName name="BExXXVUDA98IZTQ6MANKU4MTTDVR" localSheetId="6" hidden="1">#REF!</definedName>
    <definedName name="BExXXVUDA98IZTQ6MANKU4MTTDVR" localSheetId="21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localSheetId="4" hidden="1">#REF!</definedName>
    <definedName name="BExXXZQNZY6IZI45DJXJK0MQZWA7" localSheetId="6" hidden="1">#REF!</definedName>
    <definedName name="BExXXZQNZY6IZI45DJXJK0MQZWA7" localSheetId="21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localSheetId="4" hidden="1">#REF!</definedName>
    <definedName name="BExXY5QFG6QP94SFT3935OBM8Y4K" localSheetId="6" hidden="1">#REF!</definedName>
    <definedName name="BExXY5QFG6QP94SFT3935OBM8Y4K" localSheetId="21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localSheetId="4" hidden="1">#REF!</definedName>
    <definedName name="BExXY7TYEBFXRYUYIFHTN65RJ8EW" localSheetId="6" hidden="1">#REF!</definedName>
    <definedName name="BExXY7TYEBFXRYUYIFHTN65RJ8EW" localSheetId="21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localSheetId="4" hidden="1">#REF!</definedName>
    <definedName name="BExXYLBHANUXC5FCTDDTGOVD3GQS" localSheetId="6" hidden="1">#REF!</definedName>
    <definedName name="BExXYLBHANUXC5FCTDDTGOVD3GQS" localSheetId="21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localSheetId="4" hidden="1">#REF!</definedName>
    <definedName name="BExXYMNYAYH3WA2ZCFAYKZID9ZCI" localSheetId="6" hidden="1">#REF!</definedName>
    <definedName name="BExXYMNYAYH3WA2ZCFAYKZID9ZCI" localSheetId="21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localSheetId="4" hidden="1">#REF!</definedName>
    <definedName name="BExXYYT12SVN2VDMLVNV4P3ISD8T" localSheetId="6" hidden="1">#REF!</definedName>
    <definedName name="BExXYYT12SVN2VDMLVNV4P3ISD8T" localSheetId="21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localSheetId="4" hidden="1">#REF!</definedName>
    <definedName name="BExXYZ3SPSRCWM4YHTPZDCOLZPHR" localSheetId="6" hidden="1">#REF!</definedName>
    <definedName name="BExXYZ3SPSRCWM4YHTPZDCOLZPHR" localSheetId="21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localSheetId="4" hidden="1">#REF!</definedName>
    <definedName name="BExXZFVV4YB42AZ3H1I40YG3JAPU" localSheetId="6" hidden="1">#REF!</definedName>
    <definedName name="BExXZFVV4YB42AZ3H1I40YG3JAPU" localSheetId="21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localSheetId="4" hidden="1">#REF!</definedName>
    <definedName name="BExXZG1CQE1M9TDJ99253H6JVGIH" localSheetId="6" hidden="1">#REF!</definedName>
    <definedName name="BExXZG1CQE1M9TDJ99253H6JVGIH" localSheetId="21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localSheetId="4" hidden="1">#REF!</definedName>
    <definedName name="BExXZHJ9T2JELF12CHHGD54J1B0C" localSheetId="6" hidden="1">#REF!</definedName>
    <definedName name="BExXZHJ9T2JELF12CHHGD54J1B0C" localSheetId="21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localSheetId="4" hidden="1">#REF!</definedName>
    <definedName name="BExXZNJ2X1TK2LRK5ZY3MX49H5T7" localSheetId="6" hidden="1">#REF!</definedName>
    <definedName name="BExXZNJ2X1TK2LRK5ZY3MX49H5T7" localSheetId="21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localSheetId="4" hidden="1">#REF!</definedName>
    <definedName name="BExXZOVPCEP495TQSON6PSRQ8XCY" localSheetId="6" hidden="1">#REF!</definedName>
    <definedName name="BExXZOVPCEP495TQSON6PSRQ8XCY" localSheetId="21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localSheetId="4" hidden="1">#REF!</definedName>
    <definedName name="BExXZXKH7NBARQQAZM69Z57IH1MM" localSheetId="6" hidden="1">#REF!</definedName>
    <definedName name="BExXZXKH7NBARQQAZM69Z57IH1MM" localSheetId="21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localSheetId="4" hidden="1">#REF!</definedName>
    <definedName name="BExY07WSDH5QEVM7BJXJK2ZRAI1O" localSheetId="6" hidden="1">#REF!</definedName>
    <definedName name="BExY07WSDH5QEVM7BJXJK2ZRAI1O" localSheetId="21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localSheetId="4" hidden="1">#REF!</definedName>
    <definedName name="BExY09PJJWYWGWWLX3YT8EVK0YV4" localSheetId="6" hidden="1">#REF!</definedName>
    <definedName name="BExY09PJJWYWGWWLX3YT8EVK0YV4" localSheetId="21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localSheetId="4" hidden="1">#REF!</definedName>
    <definedName name="BExY0C3UBVC4M59JIRXVQ8OWAJC1" localSheetId="6" hidden="1">#REF!</definedName>
    <definedName name="BExY0C3UBVC4M59JIRXVQ8OWAJC1" localSheetId="21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localSheetId="4" hidden="1">#REF!</definedName>
    <definedName name="BExY0ENH6ZXHW155XIGS0F46T43M" localSheetId="6" hidden="1">#REF!</definedName>
    <definedName name="BExY0ENH6ZXHW155XIGS0F46T43M" localSheetId="21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localSheetId="4" hidden="1">#REF!</definedName>
    <definedName name="BExY0IEEUB9SRGD9I14IDCPO5GV4" localSheetId="6" hidden="1">#REF!</definedName>
    <definedName name="BExY0IEEUB9SRGD9I14IDCPO5GV4" localSheetId="21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localSheetId="4" hidden="1">#REF!</definedName>
    <definedName name="BExY0LEAAM7MUGBRLXD6KXBOHZ6S" localSheetId="6" hidden="1">#REF!</definedName>
    <definedName name="BExY0LEAAM7MUGBRLXD6KXBOHZ6S" localSheetId="21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localSheetId="4" hidden="1">#REF!</definedName>
    <definedName name="BExY0OE8GFHMLLTEAFIOQTOPEVPB" localSheetId="6" hidden="1">#REF!</definedName>
    <definedName name="BExY0OE8GFHMLLTEAFIOQTOPEVPB" localSheetId="21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localSheetId="4" hidden="1">#REF!</definedName>
    <definedName name="BExY0OJHW85S0VKBA8T4HTYPYBOS" localSheetId="6" hidden="1">#REF!</definedName>
    <definedName name="BExY0OJHW85S0VKBA8T4HTYPYBOS" localSheetId="21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localSheetId="4" hidden="1">#REF!</definedName>
    <definedName name="BExY0T1E034D7XAXNC6F7540LLIE" localSheetId="6" hidden="1">#REF!</definedName>
    <definedName name="BExY0T1E034D7XAXNC6F7540LLIE" localSheetId="21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localSheetId="4" hidden="1">#REF!</definedName>
    <definedName name="BExY0XTZLHN49J2JH94BYTKBJLT3" localSheetId="6" hidden="1">#REF!</definedName>
    <definedName name="BExY0XTZLHN49J2JH94BYTKBJLT3" localSheetId="21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localSheetId="4" hidden="1">#REF!</definedName>
    <definedName name="BExY11FH9TXHERUYGG8FE50U7H7J" localSheetId="6" hidden="1">#REF!</definedName>
    <definedName name="BExY11FH9TXHERUYGG8FE50U7H7J" localSheetId="21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localSheetId="4" hidden="1">#REF!</definedName>
    <definedName name="BExY180UKNW5NIAWD6ZUYTFEH8QS" localSheetId="6" hidden="1">#REF!</definedName>
    <definedName name="BExY180UKNW5NIAWD6ZUYTFEH8QS" localSheetId="21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localSheetId="4" hidden="1">#REF!</definedName>
    <definedName name="BExY1DPTV4LSY9MEOUGXF8X052NA" localSheetId="6" hidden="1">#REF!</definedName>
    <definedName name="BExY1DPTV4LSY9MEOUGXF8X052NA" localSheetId="21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localSheetId="4" hidden="1">#REF!</definedName>
    <definedName name="BExY1GK9ELBEKDD7O6HR6DUO8YGO" localSheetId="6" hidden="1">#REF!</definedName>
    <definedName name="BExY1GK9ELBEKDD7O6HR6DUO8YGO" localSheetId="21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localSheetId="4" hidden="1">#REF!</definedName>
    <definedName name="BExY1NWOXXFV9GGZ3PX444LZ8TVX" localSheetId="6" hidden="1">#REF!</definedName>
    <definedName name="BExY1NWOXXFV9GGZ3PX444LZ8TVX" localSheetId="21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localSheetId="4" hidden="1">#REF!</definedName>
    <definedName name="BExY1UCL0RND63LLSM9X5SFRG117" localSheetId="6" hidden="1">#REF!</definedName>
    <definedName name="BExY1UCL0RND63LLSM9X5SFRG117" localSheetId="21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localSheetId="4" hidden="1">#REF!</definedName>
    <definedName name="BExY1WAT3937L08HLHIRQHMP2A3H" localSheetId="6" hidden="1">#REF!</definedName>
    <definedName name="BExY1WAT3937L08HLHIRQHMP2A3H" localSheetId="21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localSheetId="4" hidden="1">#REF!</definedName>
    <definedName name="BExY1YEBOSLMID7LURP8QB46AI91" localSheetId="6" hidden="1">#REF!</definedName>
    <definedName name="BExY1YEBOSLMID7LURP8QB46AI91" localSheetId="21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localSheetId="4" hidden="1">#REF!</definedName>
    <definedName name="BExY236UB98PA9PNCHMCSZYCHJBD" localSheetId="6" hidden="1">#REF!</definedName>
    <definedName name="BExY236UB98PA9PNCHMCSZYCHJBD" localSheetId="21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localSheetId="4" hidden="1">#REF!</definedName>
    <definedName name="BExY2FS4LFX9OHOTQT7SJ2PXAC25" localSheetId="6" hidden="1">#REF!</definedName>
    <definedName name="BExY2FS4LFX9OHOTQT7SJ2PXAC25" localSheetId="21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localSheetId="4" hidden="1">#REF!</definedName>
    <definedName name="BExY2GDPCZPVU0IQ6IJIB1YQQRQ6" localSheetId="6" hidden="1">#REF!</definedName>
    <definedName name="BExY2GDPCZPVU0IQ6IJIB1YQQRQ6" localSheetId="21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localSheetId="4" hidden="1">#REF!</definedName>
    <definedName name="BExY2GTSZ3VA9TXLY7KW1LIAKJ61" localSheetId="6" hidden="1">#REF!</definedName>
    <definedName name="BExY2GTSZ3VA9TXLY7KW1LIAKJ61" localSheetId="21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localSheetId="4" hidden="1">#REF!</definedName>
    <definedName name="BExY2IXBR1SGYZH08T7QHKEFS8HA" localSheetId="6" hidden="1">#REF!</definedName>
    <definedName name="BExY2IXBR1SGYZH08T7QHKEFS8HA" localSheetId="21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localSheetId="4" hidden="1">#REF!</definedName>
    <definedName name="BExY2Q4B5FUDA5VU4VRUHX327QN0" localSheetId="6" hidden="1">#REF!</definedName>
    <definedName name="BExY2Q4B5FUDA5VU4VRUHX327QN0" localSheetId="21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localSheetId="4" hidden="1">#REF!</definedName>
    <definedName name="BExY2S7TM2NG7A1NFYPWIFAIKUCO" localSheetId="6" hidden="1">#REF!</definedName>
    <definedName name="BExY2S7TM2NG7A1NFYPWIFAIKUCO" localSheetId="21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localSheetId="4" hidden="1">#REF!</definedName>
    <definedName name="BExY2Z3ZGRGD12RWANJZ8DFQO776" localSheetId="6" hidden="1">#REF!</definedName>
    <definedName name="BExY2Z3ZGRGD12RWANJZ8DFQO776" localSheetId="21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localSheetId="4" hidden="1">#REF!</definedName>
    <definedName name="BExY30WPXLJ01P42XKBSUF8KNOOK" localSheetId="6" hidden="1">#REF!</definedName>
    <definedName name="BExY30WPXLJ01P42XKBSUF8KNOOK" localSheetId="21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localSheetId="4" hidden="1">#REF!</definedName>
    <definedName name="BExY3297KIB0C8Z1G99OS1MCEGTO" localSheetId="6" hidden="1">#REF!</definedName>
    <definedName name="BExY3297KIB0C8Z1G99OS1MCEGTO" localSheetId="21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localSheetId="4" hidden="1">#REF!</definedName>
    <definedName name="BExY3HOSK7YI364K15OX70AVR6F1" localSheetId="6" hidden="1">#REF!</definedName>
    <definedName name="BExY3HOSK7YI364K15OX70AVR6F1" localSheetId="21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localSheetId="4" hidden="1">#REF!</definedName>
    <definedName name="BExY3I526B4VA8JBTKXWE3FGVT0D" localSheetId="6" hidden="1">#REF!</definedName>
    <definedName name="BExY3I526B4VA8JBTKXWE3FGVT0D" localSheetId="21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localSheetId="4" hidden="1">#REF!</definedName>
    <definedName name="BExY3I52TZR3GXQ9HDVDNIYLIGEH" localSheetId="6" hidden="1">#REF!</definedName>
    <definedName name="BExY3I52TZR3GXQ9HDVDNIYLIGEH" localSheetId="21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localSheetId="4" hidden="1">#REF!</definedName>
    <definedName name="BExY3T89AUR83SOAZZ3OMDEJDQ39" localSheetId="6" hidden="1">#REF!</definedName>
    <definedName name="BExY3T89AUR83SOAZZ3OMDEJDQ39" localSheetId="21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localSheetId="4" hidden="1">#REF!</definedName>
    <definedName name="BExY3WZ7VO2K6TYCHDY754FY24AA" localSheetId="6" hidden="1">#REF!</definedName>
    <definedName name="BExY3WZ7VO2K6TYCHDY754FY24AA" localSheetId="21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localSheetId="4" hidden="1">#REF!</definedName>
    <definedName name="BExY4BIG95HDDO6MY6WBUSWJIOLR" localSheetId="6" hidden="1">#REF!</definedName>
    <definedName name="BExY4BIG95HDDO6MY6WBUSWJIOLR" localSheetId="21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localSheetId="4" hidden="1">#REF!</definedName>
    <definedName name="BExY4MG771JQ84EMIVB6HQGGHZY7" localSheetId="6" hidden="1">#REF!</definedName>
    <definedName name="BExY4MG771JQ84EMIVB6HQGGHZY7" localSheetId="21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localSheetId="4" hidden="1">#REF!</definedName>
    <definedName name="BExY4PWCSFB8P3J3TBQB2MD67263" localSheetId="6" hidden="1">#REF!</definedName>
    <definedName name="BExY4PWCSFB8P3J3TBQB2MD67263" localSheetId="21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localSheetId="4" hidden="1">#REF!</definedName>
    <definedName name="BExY4RP3BE6KYZDIKQZO4U4DIT33" localSheetId="6" hidden="1">#REF!</definedName>
    <definedName name="BExY4RP3BE6KYZDIKQZO4U4DIT33" localSheetId="21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localSheetId="4" hidden="1">#REF!</definedName>
    <definedName name="BExY4RZW3KK11JLYBA4DWZ92M6LQ" localSheetId="6" hidden="1">#REF!</definedName>
    <definedName name="BExY4RZW3KK11JLYBA4DWZ92M6LQ" localSheetId="21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localSheetId="4" hidden="1">#REF!</definedName>
    <definedName name="BExY4XOVTTNVZ577RLIEC7NZQFIX" localSheetId="6" hidden="1">#REF!</definedName>
    <definedName name="BExY4XOVTTNVZ577RLIEC7NZQFIX" localSheetId="21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localSheetId="4" hidden="1">#REF!</definedName>
    <definedName name="BExY50JAF5CG01GTHAUS7I4ZLUDC" localSheetId="6" hidden="1">#REF!</definedName>
    <definedName name="BExY50JAF5CG01GTHAUS7I4ZLUDC" localSheetId="21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localSheetId="4" hidden="1">#REF!</definedName>
    <definedName name="BExY53J7EXFEOFTRNAHLK7IH3ACB" localSheetId="6" hidden="1">#REF!</definedName>
    <definedName name="BExY53J7EXFEOFTRNAHLK7IH3ACB" localSheetId="21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localSheetId="4" hidden="1">#REF!</definedName>
    <definedName name="BExY5515SJTJS3VM80M3YYR0WF37" localSheetId="6" hidden="1">#REF!</definedName>
    <definedName name="BExY5515SJTJS3VM80M3YYR0WF37" localSheetId="21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localSheetId="4" hidden="1">#REF!</definedName>
    <definedName name="BExY5515WE39FQ3EG5QHG67V9C0O" localSheetId="6" hidden="1">#REF!</definedName>
    <definedName name="BExY5515WE39FQ3EG5QHG67V9C0O" localSheetId="21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localSheetId="4" hidden="1">#REF!</definedName>
    <definedName name="BExY5986WNAD8NFCPXC9TVLBU4FG" localSheetId="6" hidden="1">#REF!</definedName>
    <definedName name="BExY5986WNAD8NFCPXC9TVLBU4FG" localSheetId="21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localSheetId="4" hidden="1">#REF!</definedName>
    <definedName name="BExY5DF9MS25IFNWGJ1YAS5MDN8R" localSheetId="6" hidden="1">#REF!</definedName>
    <definedName name="BExY5DF9MS25IFNWGJ1YAS5MDN8R" localSheetId="21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localSheetId="4" hidden="1">#REF!</definedName>
    <definedName name="BExY5ERVGL3UM2MGT8LJ0XPKTZEK" localSheetId="6" hidden="1">#REF!</definedName>
    <definedName name="BExY5ERVGL3UM2MGT8LJ0XPKTZEK" localSheetId="21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localSheetId="4" hidden="1">#REF!</definedName>
    <definedName name="BExY5EX6NJFK8W754ZVZDN5DS04K" localSheetId="6" hidden="1">#REF!</definedName>
    <definedName name="BExY5EX6NJFK8W754ZVZDN5DS04K" localSheetId="21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localSheetId="4" hidden="1">#REF!</definedName>
    <definedName name="BExY5S3XD1NJT109CV54IFOHVLQ6" localSheetId="6" hidden="1">#REF!</definedName>
    <definedName name="BExY5S3XD1NJT109CV54IFOHVLQ6" localSheetId="21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localSheetId="4" hidden="1">#REF!</definedName>
    <definedName name="BExY5W088PPAPLSMR2P7FV2CRDCT" localSheetId="6" hidden="1">#REF!</definedName>
    <definedName name="BExY5W088PPAPLSMR2P7FV2CRDCT" localSheetId="21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localSheetId="4" hidden="1">#REF!</definedName>
    <definedName name="BExY6KA6BQ6H4SH5EMJBVF8UR4ZY" localSheetId="6" hidden="1">#REF!</definedName>
    <definedName name="BExY6KA6BQ6H4SH5EMJBVF8UR4ZY" localSheetId="21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localSheetId="4" hidden="1">#REF!</definedName>
    <definedName name="BExY6KVS1MMZ2R34PGEFR2BMTU9W" localSheetId="6" hidden="1">#REF!</definedName>
    <definedName name="BExY6KVS1MMZ2R34PGEFR2BMTU9W" localSheetId="21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localSheetId="4" hidden="1">#REF!</definedName>
    <definedName name="BExY6Q9YY7LW745GP7CYOGGSPHGE" localSheetId="6" hidden="1">#REF!</definedName>
    <definedName name="BExY6Q9YY7LW745GP7CYOGGSPHGE" localSheetId="21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localSheetId="4" hidden="1">#REF!</definedName>
    <definedName name="BExY6R6BYIQZ4OR1E7YI0OVOC08W" localSheetId="6" hidden="1">#REF!</definedName>
    <definedName name="BExY6R6BYIQZ4OR1E7YI0OVOC08W" localSheetId="21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localSheetId="4" hidden="1">#REF!</definedName>
    <definedName name="BExZIA3C8LKJTEH3MKQ57KJH5TA2" localSheetId="6" hidden="1">#REF!</definedName>
    <definedName name="BExZIA3C8LKJTEH3MKQ57KJH5TA2" localSheetId="21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localSheetId="4" hidden="1">#REF!</definedName>
    <definedName name="BExZIGDWFIOPMMVCRWX45OIJ5AP3" localSheetId="6" hidden="1">#REF!</definedName>
    <definedName name="BExZIGDWFIOPMMVCRWX45OIJ5AP3" localSheetId="21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localSheetId="4" hidden="1">#REF!</definedName>
    <definedName name="BExZIIHH3QNQE3GFMHEE4UMHY6WQ" localSheetId="6" hidden="1">#REF!</definedName>
    <definedName name="BExZIIHH3QNQE3GFMHEE4UMHY6WQ" localSheetId="21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localSheetId="4" hidden="1">#REF!</definedName>
    <definedName name="BExZIYO22G5UXOB42GDLYGVRJ6U7" localSheetId="6" hidden="1">#REF!</definedName>
    <definedName name="BExZIYO22G5UXOB42GDLYGVRJ6U7" localSheetId="21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localSheetId="4" hidden="1">#REF!</definedName>
    <definedName name="BExZJ7I9T8XU4MZRKJ1VVU76V2LZ" localSheetId="6" hidden="1">#REF!</definedName>
    <definedName name="BExZJ7I9T8XU4MZRKJ1VVU76V2LZ" localSheetId="21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localSheetId="4" hidden="1">#REF!</definedName>
    <definedName name="BExZJMY170JCUU1RWASNZ1HJPRTA" localSheetId="6" hidden="1">#REF!</definedName>
    <definedName name="BExZJMY170JCUU1RWASNZ1HJPRTA" localSheetId="21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localSheetId="4" hidden="1">#REF!</definedName>
    <definedName name="BExZJOQR77H0P4SUKVYACDCFBBXO" localSheetId="6" hidden="1">#REF!</definedName>
    <definedName name="BExZJOQR77H0P4SUKVYACDCFBBXO" localSheetId="21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localSheetId="4" hidden="1">#REF!</definedName>
    <definedName name="BExZJS6RG34ODDY9HMZ0O34MEMSB" localSheetId="6" hidden="1">#REF!</definedName>
    <definedName name="BExZJS6RG34ODDY9HMZ0O34MEMSB" localSheetId="21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localSheetId="4" hidden="1">#REF!</definedName>
    <definedName name="BExZK34NR4BAD7HJAP7SQ926UQP3" localSheetId="6" hidden="1">#REF!</definedName>
    <definedName name="BExZK34NR4BAD7HJAP7SQ926UQP3" localSheetId="21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localSheetId="4" hidden="1">#REF!</definedName>
    <definedName name="BExZK3FGPHH5H771U7D5XY7XBS6E" localSheetId="6" hidden="1">#REF!</definedName>
    <definedName name="BExZK3FGPHH5H771U7D5XY7XBS6E" localSheetId="21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localSheetId="4" hidden="1">#REF!</definedName>
    <definedName name="BExZK46CVVS9X1BZ6LLL71016ENT" localSheetId="6" hidden="1">#REF!</definedName>
    <definedName name="BExZK46CVVS9X1BZ6LLL71016ENT" localSheetId="21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localSheetId="4" hidden="1">#REF!</definedName>
    <definedName name="BExZK52PZLTP1F04T09MP30BVT7H" localSheetId="6" hidden="1">#REF!</definedName>
    <definedName name="BExZK52PZLTP1F04T09MP30BVT7H" localSheetId="21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localSheetId="4" hidden="1">#REF!</definedName>
    <definedName name="BExZKHYORG3O8C772XPFHM1N8T80" localSheetId="6" hidden="1">#REF!</definedName>
    <definedName name="BExZKHYORG3O8C772XPFHM1N8T80" localSheetId="21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localSheetId="4" hidden="1">#REF!</definedName>
    <definedName name="BExZKJRF2IRR57DG9CLC7MSHWNNN" localSheetId="6" hidden="1">#REF!</definedName>
    <definedName name="BExZKJRF2IRR57DG9CLC7MSHWNNN" localSheetId="21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localSheetId="4" hidden="1">#REF!</definedName>
    <definedName name="BExZKV5GYXO0X760SBD9TWTIQHGI" localSheetId="6" hidden="1">#REF!</definedName>
    <definedName name="BExZKV5GYXO0X760SBD9TWTIQHGI" localSheetId="21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localSheetId="4" hidden="1">#REF!</definedName>
    <definedName name="BExZKZCGNEA9IPON37A91L4H4H17" localSheetId="6" hidden="1">#REF!</definedName>
    <definedName name="BExZKZCGNEA9IPON37A91L4H4H17" localSheetId="21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localSheetId="4" hidden="1">#REF!</definedName>
    <definedName name="BExZL6E4YVXRUN7ZGF2BIGIXFR8K" localSheetId="6" hidden="1">#REF!</definedName>
    <definedName name="BExZL6E4YVXRUN7ZGF2BIGIXFR8K" localSheetId="21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localSheetId="4" hidden="1">#REF!</definedName>
    <definedName name="BExZLF2ZTA4EPN0GHO7C5O8DZ1SN" localSheetId="6" hidden="1">#REF!</definedName>
    <definedName name="BExZLF2ZTA4EPN0GHO7C5O8DZ1SN" localSheetId="21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localSheetId="4" hidden="1">#REF!</definedName>
    <definedName name="BExZLGVLMKTPFXG42QYT0PO81G7F" localSheetId="6" hidden="1">#REF!</definedName>
    <definedName name="BExZLGVLMKTPFXG42QYT0PO81G7F" localSheetId="21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localSheetId="4" hidden="1">#REF!</definedName>
    <definedName name="BExZLHRYQQ7BYD3VQWHVTZGYGRCT" localSheetId="6" hidden="1">#REF!</definedName>
    <definedName name="BExZLHRYQQ7BYD3VQWHVTZGYGRCT" localSheetId="21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localSheetId="4" hidden="1">#REF!</definedName>
    <definedName name="BExZLKMK7LRK14S09WLMH7MXSQXM" localSheetId="6" hidden="1">#REF!</definedName>
    <definedName name="BExZLKMK7LRK14S09WLMH7MXSQXM" localSheetId="21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localSheetId="4" hidden="1">#REF!</definedName>
    <definedName name="BExZM503X0NZBS0FF22LK2RGG6GP" localSheetId="6" hidden="1">#REF!</definedName>
    <definedName name="BExZM503X0NZBS0FF22LK2RGG6GP" localSheetId="21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localSheetId="4" hidden="1">#REF!</definedName>
    <definedName name="BExZM7JVLG0W8EG5RBU915U3SKBY" localSheetId="6" hidden="1">#REF!</definedName>
    <definedName name="BExZM7JVLG0W8EG5RBU915U3SKBY" localSheetId="21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localSheetId="4" hidden="1">#REF!</definedName>
    <definedName name="BExZM85FOVUFF110XMQ9O2ODSJUK" localSheetId="6" hidden="1">#REF!</definedName>
    <definedName name="BExZM85FOVUFF110XMQ9O2ODSJUK" localSheetId="21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localSheetId="4" hidden="1">#REF!</definedName>
    <definedName name="BExZMF1MMTZ1TA14PZ8ASSU2CBSP" localSheetId="6" hidden="1">#REF!</definedName>
    <definedName name="BExZMF1MMTZ1TA14PZ8ASSU2CBSP" localSheetId="21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localSheetId="4" hidden="1">#REF!</definedName>
    <definedName name="BExZMH54ZU6X4KM0375X9K5VJDZN" localSheetId="6" hidden="1">#REF!</definedName>
    <definedName name="BExZMH54ZU6X4KM0375X9K5VJDZN" localSheetId="21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localSheetId="4" hidden="1">#REF!</definedName>
    <definedName name="BExZMKL5YQZD7F0FUCSVFGLPFK52" localSheetId="6" hidden="1">#REF!</definedName>
    <definedName name="BExZMKL5YQZD7F0FUCSVFGLPFK52" localSheetId="21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localSheetId="4" hidden="1">#REF!</definedName>
    <definedName name="BExZMOC3VNZALJM71X2T6FV91GTB" localSheetId="6" hidden="1">#REF!</definedName>
    <definedName name="BExZMOC3VNZALJM71X2T6FV91GTB" localSheetId="21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localSheetId="4" hidden="1">#REF!</definedName>
    <definedName name="BExZMRHA7TTR9QKJOMONHRVY3YOF" localSheetId="6" hidden="1">#REF!</definedName>
    <definedName name="BExZMRHA7TTR9QKJOMONHRVY3YOF" localSheetId="21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localSheetId="4" hidden="1">#REF!</definedName>
    <definedName name="BExZMXH39OB0I43XEL3K11U3G9PM" localSheetId="6" hidden="1">#REF!</definedName>
    <definedName name="BExZMXH39OB0I43XEL3K11U3G9PM" localSheetId="21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localSheetId="4" hidden="1">#REF!</definedName>
    <definedName name="BExZMZQ3RBKDHT5GLFNLS52OSJA0" localSheetId="6" hidden="1">#REF!</definedName>
    <definedName name="BExZMZQ3RBKDHT5GLFNLS52OSJA0" localSheetId="21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localSheetId="4" hidden="1">#REF!</definedName>
    <definedName name="BExZN2F7Y2J2L2LN5WZRG949MS4A" localSheetId="6" hidden="1">#REF!</definedName>
    <definedName name="BExZN2F7Y2J2L2LN5WZRG949MS4A" localSheetId="21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localSheetId="4" hidden="1">#REF!</definedName>
    <definedName name="BExZN847WUWKRYTZWG9TCQZJS3OL" localSheetId="6" hidden="1">#REF!</definedName>
    <definedName name="BExZN847WUWKRYTZWG9TCQZJS3OL" localSheetId="21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localSheetId="4" hidden="1">#REF!</definedName>
    <definedName name="BExZNA2ALK6RDWFAXZQCL9TWRDCF" localSheetId="6" hidden="1">#REF!</definedName>
    <definedName name="BExZNA2ALK6RDWFAXZQCL9TWRDCF" localSheetId="21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localSheetId="4" hidden="1">#REF!</definedName>
    <definedName name="BExZNH3VISFF4NQI11BZDP5IQ7VG" localSheetId="6" hidden="1">#REF!</definedName>
    <definedName name="BExZNH3VISFF4NQI11BZDP5IQ7VG" localSheetId="21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localSheetId="4" hidden="1">#REF!</definedName>
    <definedName name="BExZNJYCFYVMAOI62GB2BABK1ELE" localSheetId="6" hidden="1">#REF!</definedName>
    <definedName name="BExZNJYCFYVMAOI62GB2BABK1ELE" localSheetId="21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localSheetId="4" hidden="1">#REF!</definedName>
    <definedName name="BExZNLGAA6ATMJW0Y28J4OI5W27I" localSheetId="6" hidden="1">#REF!</definedName>
    <definedName name="BExZNLGAA6ATMJW0Y28J4OI5W27I" localSheetId="21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localSheetId="4" hidden="1">#REF!</definedName>
    <definedName name="BExZNP7916CH3QP4VCZEULUIKKS5" localSheetId="6" hidden="1">#REF!</definedName>
    <definedName name="BExZNP7916CH3QP4VCZEULUIKKS5" localSheetId="21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localSheetId="4" hidden="1">#REF!</definedName>
    <definedName name="BExZNV707LIU6Z5H6QI6H67LHTI1" localSheetId="6" hidden="1">#REF!</definedName>
    <definedName name="BExZNV707LIU6Z5H6QI6H67LHTI1" localSheetId="21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localSheetId="4" hidden="1">#REF!</definedName>
    <definedName name="BExZNVCBKB930QQ9QW7KSGOZ0V1M" localSheetId="6" hidden="1">#REF!</definedName>
    <definedName name="BExZNVCBKB930QQ9QW7KSGOZ0V1M" localSheetId="21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localSheetId="4" hidden="1">#REF!</definedName>
    <definedName name="BExZNW8QJ18X0RSGFDWAE9ZSDX39" localSheetId="6" hidden="1">#REF!</definedName>
    <definedName name="BExZNW8QJ18X0RSGFDWAE9ZSDX39" localSheetId="21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localSheetId="4" hidden="1">#REF!</definedName>
    <definedName name="BExZNZDWRS6Q40L8OCWFEIVI0A1O" localSheetId="6" hidden="1">#REF!</definedName>
    <definedName name="BExZNZDWRS6Q40L8OCWFEIVI0A1O" localSheetId="21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localSheetId="4" hidden="1">#REF!</definedName>
    <definedName name="BExZOBO9NYLGVJQ31LVQ9XS2ZT4N" localSheetId="6" hidden="1">#REF!</definedName>
    <definedName name="BExZOBO9NYLGVJQ31LVQ9XS2ZT4N" localSheetId="21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localSheetId="4" hidden="1">#REF!</definedName>
    <definedName name="BExZOETNB1CJ3Y2RKLI1ZK0S8Z6H" localSheetId="6" hidden="1">#REF!</definedName>
    <definedName name="BExZOETNB1CJ3Y2RKLI1ZK0S8Z6H" localSheetId="21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localSheetId="4" hidden="1">#REF!</definedName>
    <definedName name="BExZOREMVSK4E5VSWM838KHUB8AI" localSheetId="6" hidden="1">#REF!</definedName>
    <definedName name="BExZOREMVSK4E5VSWM838KHUB8AI" localSheetId="21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localSheetId="4" hidden="1">#REF!</definedName>
    <definedName name="BExZOVR745T5P1KS9NV2PXZPZVRG" localSheetId="6" hidden="1">#REF!</definedName>
    <definedName name="BExZOVR745T5P1KS9NV2PXZPZVRG" localSheetId="21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localSheetId="4" hidden="1">#REF!</definedName>
    <definedName name="BExZOZSWGLSY2XYVRIS6VSNJDSGD" localSheetId="6" hidden="1">#REF!</definedName>
    <definedName name="BExZOZSWGLSY2XYVRIS6VSNJDSGD" localSheetId="21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localSheetId="4" hidden="1">#REF!</definedName>
    <definedName name="BExZP7AIJKLM6C6CSUIIFAHFBNX2" localSheetId="6" hidden="1">#REF!</definedName>
    <definedName name="BExZP7AIJKLM6C6CSUIIFAHFBNX2" localSheetId="21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localSheetId="4" hidden="1">#REF!</definedName>
    <definedName name="BExZPALCPOH27L4MUPX2RFT3F8OM" localSheetId="6" hidden="1">#REF!</definedName>
    <definedName name="BExZPALCPOH27L4MUPX2RFT3F8OM" localSheetId="21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localSheetId="4" hidden="1">#REF!</definedName>
    <definedName name="BExZPQ0XY507N8FJMVPKCTK8HC9H" localSheetId="6" hidden="1">#REF!</definedName>
    <definedName name="BExZPQ0XY507N8FJMVPKCTK8HC9H" localSheetId="21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localSheetId="4" hidden="1">#REF!</definedName>
    <definedName name="BExZPXTHEWEN48J9E5ARSA8IGRBI" localSheetId="6" hidden="1">#REF!</definedName>
    <definedName name="BExZPXTHEWEN48J9E5ARSA8IGRBI" localSheetId="21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localSheetId="4" hidden="1">#REF!</definedName>
    <definedName name="BExZQ37OVBR25U32CO2YYVPZOMR5" localSheetId="6" hidden="1">#REF!</definedName>
    <definedName name="BExZQ37OVBR25U32CO2YYVPZOMR5" localSheetId="21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localSheetId="4" hidden="1">#REF!</definedName>
    <definedName name="BExZQ3NT7H06VO0AR48WHZULZB93" localSheetId="6" hidden="1">#REF!</definedName>
    <definedName name="BExZQ3NT7H06VO0AR48WHZULZB93" localSheetId="21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localSheetId="4" hidden="1">#REF!</definedName>
    <definedName name="BExZQ5RCYU1R0DUT1MFN99S1C408" localSheetId="6" hidden="1">#REF!</definedName>
    <definedName name="BExZQ5RCYU1R0DUT1MFN99S1C408" localSheetId="21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localSheetId="4" hidden="1">#REF!</definedName>
    <definedName name="BExZQ7PJU07SEJMDX18U9YVDC2GU" localSheetId="6" hidden="1">#REF!</definedName>
    <definedName name="BExZQ7PJU07SEJMDX18U9YVDC2GU" localSheetId="21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localSheetId="4" hidden="1">#REF!</definedName>
    <definedName name="BExZQAJXQ5IJ5RB71EDSPGTRO5HC" localSheetId="6" hidden="1">#REF!</definedName>
    <definedName name="BExZQAJXQ5IJ5RB71EDSPGTRO5HC" localSheetId="21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localSheetId="4" hidden="1">#REF!</definedName>
    <definedName name="BExZQBLTKPF3O4MCH6L4LE544FQB" localSheetId="6" hidden="1">#REF!</definedName>
    <definedName name="BExZQBLTKPF3O4MCH6L4LE544FQB" localSheetId="21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localSheetId="4" hidden="1">#REF!</definedName>
    <definedName name="BExZQIHTGHK7OOI2Y2PN3JYBY82I" localSheetId="6" hidden="1">#REF!</definedName>
    <definedName name="BExZQIHTGHK7OOI2Y2PN3JYBY82I" localSheetId="21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localSheetId="4" hidden="1">#REF!</definedName>
    <definedName name="BExZQJJMGU5MHQOILGXGJPAQI5XI" localSheetId="6" hidden="1">#REF!</definedName>
    <definedName name="BExZQJJMGU5MHQOILGXGJPAQI5XI" localSheetId="21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localSheetId="4" hidden="1">#REF!</definedName>
    <definedName name="BExZQL1M2EX5YEQBMNQKVD747N3I" localSheetId="6" hidden="1">#REF!</definedName>
    <definedName name="BExZQL1M2EX5YEQBMNQKVD747N3I" localSheetId="21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localSheetId="4" hidden="1">#REF!</definedName>
    <definedName name="BExZQPDYUBJL0C1OME996KHU23N5" localSheetId="6" hidden="1">#REF!</definedName>
    <definedName name="BExZQPDYUBJL0C1OME996KHU23N5" localSheetId="21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localSheetId="4" hidden="1">#REF!</definedName>
    <definedName name="BExZQXBYEBN28QUH1KOVW6KKA5UM" localSheetId="6" hidden="1">#REF!</definedName>
    <definedName name="BExZQXBYEBN28QUH1KOVW6KKA5UM" localSheetId="21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localSheetId="4" hidden="1">#REF!</definedName>
    <definedName name="BExZQZKT146WEN8FTVZ7Y5TSB8L5" localSheetId="6" hidden="1">#REF!</definedName>
    <definedName name="BExZQZKT146WEN8FTVZ7Y5TSB8L5" localSheetId="21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localSheetId="4" hidden="1">#REF!</definedName>
    <definedName name="BExZR485AKBH93YZ08CMUC3WROED" localSheetId="6" hidden="1">#REF!</definedName>
    <definedName name="BExZR485AKBH93YZ08CMUC3WROED" localSheetId="21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localSheetId="4" hidden="1">#REF!</definedName>
    <definedName name="BExZR7TL98P2PPUVGIZYR5873DWW" localSheetId="6" hidden="1">#REF!</definedName>
    <definedName name="BExZR7TL98P2PPUVGIZYR5873DWW" localSheetId="21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localSheetId="4" hidden="1">#REF!</definedName>
    <definedName name="BExZRAYSYOXAM1PBW1EF6YAZ9RU3" localSheetId="6" hidden="1">#REF!</definedName>
    <definedName name="BExZRAYSYOXAM1PBW1EF6YAZ9RU3" localSheetId="21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localSheetId="4" hidden="1">#REF!</definedName>
    <definedName name="BExZRGD1603X5ACFALUUDKCD7X48" localSheetId="6" hidden="1">#REF!</definedName>
    <definedName name="BExZRGD1603X5ACFALUUDKCD7X48" localSheetId="21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localSheetId="4" hidden="1">#REF!</definedName>
    <definedName name="BExZRMSYHFOP8FFWKKUSBHU85J81" localSheetId="6" hidden="1">#REF!</definedName>
    <definedName name="BExZRMSYHFOP8FFWKKUSBHU85J81" localSheetId="21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localSheetId="4" hidden="1">#REF!</definedName>
    <definedName name="BExZRP1X6UVLN1UOLHH5VF4STP1O" localSheetId="6" hidden="1">#REF!</definedName>
    <definedName name="BExZRP1X6UVLN1UOLHH5VF4STP1O" localSheetId="21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localSheetId="4" hidden="1">#REF!</definedName>
    <definedName name="BExZRQ930U6OCYNV00CH5I0Q4LPE" localSheetId="6" hidden="1">#REF!</definedName>
    <definedName name="BExZRQ930U6OCYNV00CH5I0Q4LPE" localSheetId="21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localSheetId="4" hidden="1">#REF!</definedName>
    <definedName name="BExZRQP7JLKS45QOGATXS7MK5GUZ" localSheetId="6" hidden="1">#REF!</definedName>
    <definedName name="BExZRQP7JLKS45QOGATXS7MK5GUZ" localSheetId="21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localSheetId="4" hidden="1">#REF!</definedName>
    <definedName name="BExZRW8W514W8OZ72YBONYJ64GXF" localSheetId="6" hidden="1">#REF!</definedName>
    <definedName name="BExZRW8W514W8OZ72YBONYJ64GXF" localSheetId="21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localSheetId="4" hidden="1">#REF!</definedName>
    <definedName name="BExZRWJP2BUVFJPO8U8ATQEP0LZU" localSheetId="6" hidden="1">#REF!</definedName>
    <definedName name="BExZRWJP2BUVFJPO8U8ATQEP0LZU" localSheetId="21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localSheetId="4" hidden="1">#REF!</definedName>
    <definedName name="BExZSI9USDLZAN8LI8M4YYQL24GZ" localSheetId="6" hidden="1">#REF!</definedName>
    <definedName name="BExZSI9USDLZAN8LI8M4YYQL24GZ" localSheetId="21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localSheetId="4" hidden="1">#REF!</definedName>
    <definedName name="BExZSLKO175YAM0RMMZH1FPXL4V2" localSheetId="6" hidden="1">#REF!</definedName>
    <definedName name="BExZSLKO175YAM0RMMZH1FPXL4V2" localSheetId="21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localSheetId="4" hidden="1">#REF!</definedName>
    <definedName name="BExZSS0LA2JY4ZLJ1Z5YCMLJJZCH" localSheetId="6" hidden="1">#REF!</definedName>
    <definedName name="BExZSS0LA2JY4ZLJ1Z5YCMLJJZCH" localSheetId="21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localSheetId="4" hidden="1">#REF!</definedName>
    <definedName name="BExZSTNUWCRNCL22SMKXKFSLCJ0O" localSheetId="6" hidden="1">#REF!</definedName>
    <definedName name="BExZSTNUWCRNCL22SMKXKFSLCJ0O" localSheetId="21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localSheetId="4" hidden="1">#REF!</definedName>
    <definedName name="BExZT6JSZ8CBS0SB3T07N3LMAX7M" localSheetId="6" hidden="1">#REF!</definedName>
    <definedName name="BExZT6JSZ8CBS0SB3T07N3LMAX7M" localSheetId="21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localSheetId="4" hidden="1">#REF!</definedName>
    <definedName name="BExZTAQV2QVSZY5Y3VCCWUBSBW9P" localSheetId="6" hidden="1">#REF!</definedName>
    <definedName name="BExZTAQV2QVSZY5Y3VCCWUBSBW9P" localSheetId="21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localSheetId="4" hidden="1">#REF!</definedName>
    <definedName name="BExZTHSI2FX56PWRSNX9H5EWTZFO" localSheetId="6" hidden="1">#REF!</definedName>
    <definedName name="BExZTHSI2FX56PWRSNX9H5EWTZFO" localSheetId="21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localSheetId="4" hidden="1">#REF!</definedName>
    <definedName name="BExZTJL3HVBFY139H6CJHEQCT1EL" localSheetId="6" hidden="1">#REF!</definedName>
    <definedName name="BExZTJL3HVBFY139H6CJHEQCT1EL" localSheetId="21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localSheetId="4" hidden="1">#REF!</definedName>
    <definedName name="BExZTLOL8OPABZI453E0KVNA1GJS" localSheetId="6" hidden="1">#REF!</definedName>
    <definedName name="BExZTLOL8OPABZI453E0KVNA1GJS" localSheetId="21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localSheetId="4" hidden="1">#REF!</definedName>
    <definedName name="BExZTOTZ9F2ZI18DZM8GW39VDF1N" localSheetId="6" hidden="1">#REF!</definedName>
    <definedName name="BExZTOTZ9F2ZI18DZM8GW39VDF1N" localSheetId="21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localSheetId="4" hidden="1">#REF!</definedName>
    <definedName name="BExZTT6J3X0TOX0ZY6YPLUVMCW9X" localSheetId="6" hidden="1">#REF!</definedName>
    <definedName name="BExZTT6J3X0TOX0ZY6YPLUVMCW9X" localSheetId="21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localSheetId="4" hidden="1">#REF!</definedName>
    <definedName name="BExZTW6ECBRA0BBITWBQ8R93RMCL" localSheetId="6" hidden="1">#REF!</definedName>
    <definedName name="BExZTW6ECBRA0BBITWBQ8R93RMCL" localSheetId="21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localSheetId="4" hidden="1">#REF!</definedName>
    <definedName name="BExZU2BHYAOKSCBM3C5014ZF6IXS" localSheetId="6" hidden="1">#REF!</definedName>
    <definedName name="BExZU2BHYAOKSCBM3C5014ZF6IXS" localSheetId="21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localSheetId="4" hidden="1">#REF!</definedName>
    <definedName name="BExZU2RMJTXOCS0ROPMYPE6WTD87" localSheetId="6" hidden="1">#REF!</definedName>
    <definedName name="BExZU2RMJTXOCS0ROPMYPE6WTD87" localSheetId="21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localSheetId="4" hidden="1">#REF!</definedName>
    <definedName name="BExZUBRAHA9DNEGONEZEB2TDVFC2" localSheetId="6" hidden="1">#REF!</definedName>
    <definedName name="BExZUBRAHA9DNEGONEZEB2TDVFC2" localSheetId="21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localSheetId="4" hidden="1">#REF!</definedName>
    <definedName name="BExZUF7G8FENTJKH9R1XUWXM6CWD" localSheetId="6" hidden="1">#REF!</definedName>
    <definedName name="BExZUF7G8FENTJKH9R1XUWXM6CWD" localSheetId="21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localSheetId="4" hidden="1">#REF!</definedName>
    <definedName name="BExZUNARUJBIZ08VCAV3GEVBIR3D" localSheetId="6" hidden="1">#REF!</definedName>
    <definedName name="BExZUNARUJBIZ08VCAV3GEVBIR3D" localSheetId="21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localSheetId="4" hidden="1">#REF!</definedName>
    <definedName name="BExZUSZT5496UMBP4LFSLTR1GVEW" localSheetId="6" hidden="1">#REF!</definedName>
    <definedName name="BExZUSZT5496UMBP4LFSLTR1GVEW" localSheetId="21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localSheetId="4" hidden="1">#REF!</definedName>
    <definedName name="BExZUT54340I38GVCV79EL116WR0" localSheetId="6" hidden="1">#REF!</definedName>
    <definedName name="BExZUT54340I38GVCV79EL116WR0" localSheetId="21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localSheetId="4" hidden="1">#REF!</definedName>
    <definedName name="BExZUXC66MK2SXPXCLD8ZSU0BMTY" localSheetId="6" hidden="1">#REF!</definedName>
    <definedName name="BExZUXC66MK2SXPXCLD8ZSU0BMTY" localSheetId="21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localSheetId="4" hidden="1">#REF!</definedName>
    <definedName name="BExZUYDULCX65H9OZ9JHPBNKF3MI" localSheetId="6" hidden="1">#REF!</definedName>
    <definedName name="BExZUYDULCX65H9OZ9JHPBNKF3MI" localSheetId="21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localSheetId="4" hidden="1">#REF!</definedName>
    <definedName name="BExZV2QD5ZDK3AGDRULLA7JB46C3" localSheetId="6" hidden="1">#REF!</definedName>
    <definedName name="BExZV2QD5ZDK3AGDRULLA7JB46C3" localSheetId="21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localSheetId="4" hidden="1">#REF!</definedName>
    <definedName name="BExZVBQ29OM0V8XAL3HL0JIM0MMU" localSheetId="6" hidden="1">#REF!</definedName>
    <definedName name="BExZVBQ29OM0V8XAL3HL0JIM0MMU" localSheetId="21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localSheetId="4" hidden="1">#REF!</definedName>
    <definedName name="BExZVKV2XCPCINW1KP8Q1FI6KDNG" localSheetId="6" hidden="1">#REF!</definedName>
    <definedName name="BExZVKV2XCPCINW1KP8Q1FI6KDNG" localSheetId="21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localSheetId="4" hidden="1">#REF!</definedName>
    <definedName name="BExZVLM4T9ORS4ZWHME46U4Q103C" localSheetId="6" hidden="1">#REF!</definedName>
    <definedName name="BExZVLM4T9ORS4ZWHME46U4Q103C" localSheetId="21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localSheetId="4" hidden="1">#REF!</definedName>
    <definedName name="BExZVM7OZWPPRH5YQW50EYMMIW1A" localSheetId="6" hidden="1">#REF!</definedName>
    <definedName name="BExZVM7OZWPPRH5YQW50EYMMIW1A" localSheetId="21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localSheetId="4" hidden="1">#REF!</definedName>
    <definedName name="BExZVMYK7BAH6AGIAEXBE1NXDZ5Z" localSheetId="6" hidden="1">#REF!</definedName>
    <definedName name="BExZVMYK7BAH6AGIAEXBE1NXDZ5Z" localSheetId="21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localSheetId="4" hidden="1">#REF!</definedName>
    <definedName name="BExZVPYGX2C5OSHMZ6F0KBKZ6B1S" localSheetId="6" hidden="1">#REF!</definedName>
    <definedName name="BExZVPYGX2C5OSHMZ6F0KBKZ6B1S" localSheetId="21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localSheetId="4" hidden="1">#REF!</definedName>
    <definedName name="BExZW3LHTS7PFBNTYM95N8J5AFYQ" localSheetId="6" hidden="1">#REF!</definedName>
    <definedName name="BExZW3LHTS7PFBNTYM95N8J5AFYQ" localSheetId="21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localSheetId="4" hidden="1">#REF!</definedName>
    <definedName name="BExZW472V5ADKCFHIKAJ6D4R8MU4" localSheetId="6" hidden="1">#REF!</definedName>
    <definedName name="BExZW472V5ADKCFHIKAJ6D4R8MU4" localSheetId="21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localSheetId="4" hidden="1">#REF!</definedName>
    <definedName name="BExZW5UARC8W9AQNLJX2I5WQWS5F" localSheetId="6" hidden="1">#REF!</definedName>
    <definedName name="BExZW5UARC8W9AQNLJX2I5WQWS5F" localSheetId="21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localSheetId="4" hidden="1">#REF!</definedName>
    <definedName name="BExZW7HRGN6A9YS41KI2B2UUMJ7X" localSheetId="6" hidden="1">#REF!</definedName>
    <definedName name="BExZW7HRGN6A9YS41KI2B2UUMJ7X" localSheetId="21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localSheetId="4" hidden="1">#REF!</definedName>
    <definedName name="BExZW8ZPNV43UXGOT98FDNIBQHZY" localSheetId="6" hidden="1">#REF!</definedName>
    <definedName name="BExZW8ZPNV43UXGOT98FDNIBQHZY" localSheetId="21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localSheetId="4" hidden="1">#REF!</definedName>
    <definedName name="BExZWKZ5N3RDXU8MZ8HQVYYD8O0F" localSheetId="6" hidden="1">#REF!</definedName>
    <definedName name="BExZWKZ5N3RDXU8MZ8HQVYYD8O0F" localSheetId="21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localSheetId="4" hidden="1">#REF!</definedName>
    <definedName name="BExZWMBRUCPO6F4QT5FNX8JRFL7V" localSheetId="6" hidden="1">#REF!</definedName>
    <definedName name="BExZWMBRUCPO6F4QT5FNX8JRFL7V" localSheetId="21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localSheetId="4" hidden="1">#REF!</definedName>
    <definedName name="BExZWQO5171HT1OZ6D6JZBHEW4JG" localSheetId="6" hidden="1">#REF!</definedName>
    <definedName name="BExZWQO5171HT1OZ6D6JZBHEW4JG" localSheetId="21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localSheetId="4" hidden="1">#REF!</definedName>
    <definedName name="BExZWSMC9T48W74GFGQCIUJ8ZPP3" localSheetId="6" hidden="1">#REF!</definedName>
    <definedName name="BExZWSMC9T48W74GFGQCIUJ8ZPP3" localSheetId="21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localSheetId="4" hidden="1">#REF!</definedName>
    <definedName name="BExZWUF2V4HY3HI8JN9ZVPRWK1H3" localSheetId="6" hidden="1">#REF!</definedName>
    <definedName name="BExZWUF2V4HY3HI8JN9ZVPRWK1H3" localSheetId="21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localSheetId="4" hidden="1">#REF!</definedName>
    <definedName name="BExZWX45URTK9KYDJHEXL1OTZ833" localSheetId="6" hidden="1">#REF!</definedName>
    <definedName name="BExZWX45URTK9KYDJHEXL1OTZ833" localSheetId="21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localSheetId="4" hidden="1">#REF!</definedName>
    <definedName name="BExZX0EWQEZO86WDAD9A4EAEZ012" localSheetId="6" hidden="1">#REF!</definedName>
    <definedName name="BExZX0EWQEZO86WDAD9A4EAEZ012" localSheetId="21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localSheetId="4" hidden="1">#REF!</definedName>
    <definedName name="BExZX2T6ZT2DZLYSDJJBPVIT5OK2" localSheetId="6" hidden="1">#REF!</definedName>
    <definedName name="BExZX2T6ZT2DZLYSDJJBPVIT5OK2" localSheetId="21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localSheetId="4" hidden="1">#REF!</definedName>
    <definedName name="BExZXOJDELULNLEH7WG0OYJT0NJ4" localSheetId="6" hidden="1">#REF!</definedName>
    <definedName name="BExZXOJDELULNLEH7WG0OYJT0NJ4" localSheetId="21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localSheetId="4" hidden="1">#REF!</definedName>
    <definedName name="BExZXOOTRNUK8LGEAZ8ZCFW9KXQ1" localSheetId="6" hidden="1">#REF!</definedName>
    <definedName name="BExZXOOTRNUK8LGEAZ8ZCFW9KXQ1" localSheetId="21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localSheetId="4" hidden="1">#REF!</definedName>
    <definedName name="BExZXT6JOXNKEDU23DKL8XZAJZIH" localSheetId="6" hidden="1">#REF!</definedName>
    <definedName name="BExZXT6JOXNKEDU23DKL8XZAJZIH" localSheetId="21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localSheetId="4" hidden="1">#REF!</definedName>
    <definedName name="BExZXUTYW1HWEEZ1LIX4OQWC7HL1" localSheetId="6" hidden="1">#REF!</definedName>
    <definedName name="BExZXUTYW1HWEEZ1LIX4OQWC7HL1" localSheetId="21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localSheetId="4" hidden="1">#REF!</definedName>
    <definedName name="BExZXY4NKQL9QD76YMQJ15U1C2G8" localSheetId="6" hidden="1">#REF!</definedName>
    <definedName name="BExZXY4NKQL9QD76YMQJ15U1C2G8" localSheetId="21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localSheetId="4" hidden="1">#REF!</definedName>
    <definedName name="BExZXYQ7U5G08FQGUIGYT14QCBOF" localSheetId="6" hidden="1">#REF!</definedName>
    <definedName name="BExZXYQ7U5G08FQGUIGYT14QCBOF" localSheetId="21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localSheetId="4" hidden="1">#REF!</definedName>
    <definedName name="BExZY02V77YJBMODJSWZOYCMPS5X" localSheetId="6" hidden="1">#REF!</definedName>
    <definedName name="BExZY02V77YJBMODJSWZOYCMPS5X" localSheetId="21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localSheetId="4" hidden="1">#REF!</definedName>
    <definedName name="BExZY3DEOYNIHRV56IY5LJXZK8RU" localSheetId="6" hidden="1">#REF!</definedName>
    <definedName name="BExZY3DEOYNIHRV56IY5LJXZK8RU" localSheetId="21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localSheetId="4" hidden="1">#REF!</definedName>
    <definedName name="BExZY49QRZIR6CA41LFA9LM6EULU" localSheetId="6" hidden="1">#REF!</definedName>
    <definedName name="BExZY49QRZIR6CA41LFA9LM6EULU" localSheetId="21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localSheetId="4" hidden="1">#REF!</definedName>
    <definedName name="BExZYTG2G7W27YATTETFDDCZ0C4U" localSheetId="6" hidden="1">#REF!</definedName>
    <definedName name="BExZYTG2G7W27YATTETFDDCZ0C4U" localSheetId="21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localSheetId="4" hidden="1">#REF!</definedName>
    <definedName name="BExZYYOZMC36ROQDWLR5Z17WKHCR" localSheetId="6" hidden="1">#REF!</definedName>
    <definedName name="BExZYYOZMC36ROQDWLR5Z17WKHCR" localSheetId="21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localSheetId="4" hidden="1">#REF!</definedName>
    <definedName name="BExZZ2FQA9A8C7CJKMEFQ9VPSLCE" localSheetId="6" hidden="1">#REF!</definedName>
    <definedName name="BExZZ2FQA9A8C7CJKMEFQ9VPSLCE" localSheetId="21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localSheetId="4" hidden="1">#REF!</definedName>
    <definedName name="BExZZ7ZGXIMA3OVYAWY3YQSK64LF" localSheetId="6" hidden="1">#REF!</definedName>
    <definedName name="BExZZ7ZGXIMA3OVYAWY3YQSK64LF" localSheetId="21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localSheetId="4" hidden="1">#REF!</definedName>
    <definedName name="BExZZ8FKEIFG203MU6SEJ69MINCD" localSheetId="6" hidden="1">#REF!</definedName>
    <definedName name="BExZZ8FKEIFG203MU6SEJ69MINCD" localSheetId="21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localSheetId="4" hidden="1">#REF!</definedName>
    <definedName name="BExZZCHAVHW8C2H649KRGVQ0WVRT" localSheetId="6" hidden="1">#REF!</definedName>
    <definedName name="BExZZCHAVHW8C2H649KRGVQ0WVRT" localSheetId="21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localSheetId="4" hidden="1">#REF!</definedName>
    <definedName name="BExZZTK54OTLF2YB68BHGOS27GEN" localSheetId="6" hidden="1">#REF!</definedName>
    <definedName name="BExZZTK54OTLF2YB68BHGOS27GEN" localSheetId="21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localSheetId="4" hidden="1">#REF!</definedName>
    <definedName name="BExZZXB3JQQG4SIZS4MRU6NNW7HI" localSheetId="6" hidden="1">#REF!</definedName>
    <definedName name="BExZZXB3JQQG4SIZS4MRU6NNW7HI" localSheetId="21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localSheetId="4" hidden="1">#REF!</definedName>
    <definedName name="BExZZZEMIIFKMLLV4DJKX5TB9R5V" localSheetId="6" hidden="1">#REF!</definedName>
    <definedName name="BExZZZEMIIFKMLLV4DJKX5TB9R5V" localSheetId="21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localSheetId="4" hidden="1">#REF!</definedName>
    <definedName name="CBWorkbookPriority" hidden="1">-2060790043</definedName>
    <definedName name="de" localSheetId="6" hidden="1">#REF!</definedName>
    <definedName name="de" localSheetId="4" hidden="1">#REF!</definedName>
    <definedName name="DELETE01" localSheetId="23" hidden="1">{#N/A,#N/A,FALSE,"Coversheet";#N/A,#N/A,FALSE,"QA"}</definedName>
    <definedName name="DELETE01" localSheetId="19" hidden="1">{#N/A,#N/A,FALSE,"Coversheet";#N/A,#N/A,FALSE,"QA"}</definedName>
    <definedName name="DELETE01" localSheetId="14" hidden="1">{#N/A,#N/A,FALSE,"Coversheet";#N/A,#N/A,FALSE,"QA"}</definedName>
    <definedName name="DELETE01" localSheetId="11" hidden="1">{#N/A,#N/A,FALSE,"Coversheet";#N/A,#N/A,FALSE,"QA"}</definedName>
    <definedName name="DELETE01" localSheetId="10" hidden="1">{#N/A,#N/A,FALSE,"Coversheet";#N/A,#N/A,FALSE,"QA"}</definedName>
    <definedName name="DELETE01" localSheetId="6" hidden="1">{#N/A,#N/A,FALSE,"Coversheet";#N/A,#N/A,FALSE,"QA"}</definedName>
    <definedName name="DELETE01" localSheetId="20" hidden="1">{#N/A,#N/A,FALSE,"Coversheet";#N/A,#N/A,FALSE,"QA"}</definedName>
    <definedName name="DELETE01" localSheetId="25" hidden="1">{#N/A,#N/A,FALSE,"Coversheet";#N/A,#N/A,FALSE,"QA"}</definedName>
    <definedName name="DELETE01" localSheetId="3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localSheetId="9" hidden="1">{#N/A,#N/A,FALSE,"Coversheet";#N/A,#N/A,FALSE,"QA"}</definedName>
    <definedName name="DELETE01" localSheetId="17" hidden="1">{#N/A,#N/A,FALSE,"Coversheet";#N/A,#N/A,FALSE,"QA"}</definedName>
    <definedName name="DELETE01" localSheetId="8" hidden="1">{#N/A,#N/A,FALSE,"Coversheet";#N/A,#N/A,FALSE,"QA"}</definedName>
    <definedName name="DELETE01" localSheetId="7" hidden="1">{#N/A,#N/A,FALSE,"Coversheet";#N/A,#N/A,FALSE,"QA"}</definedName>
    <definedName name="DELETE01" localSheetId="4" hidden="1">{#N/A,#N/A,FALSE,"Coversheet";#N/A,#N/A,FALSE,"QA"}</definedName>
    <definedName name="DELETE02" localSheetId="23" hidden="1">{#N/A,#N/A,FALSE,"Schedule F";#N/A,#N/A,FALSE,"Schedule G"}</definedName>
    <definedName name="DELETE02" localSheetId="19" hidden="1">{#N/A,#N/A,FALSE,"Schedule F";#N/A,#N/A,FALSE,"Schedule G"}</definedName>
    <definedName name="DELETE02" localSheetId="14" hidden="1">{#N/A,#N/A,FALSE,"Schedule F";#N/A,#N/A,FALSE,"Schedule G"}</definedName>
    <definedName name="DELETE02" localSheetId="11" hidden="1">{#N/A,#N/A,FALSE,"Schedule F";#N/A,#N/A,FALSE,"Schedule G"}</definedName>
    <definedName name="DELETE02" localSheetId="10" hidden="1">{#N/A,#N/A,FALSE,"Schedule F";#N/A,#N/A,FALSE,"Schedule G"}</definedName>
    <definedName name="DELETE02" localSheetId="6" hidden="1">{#N/A,#N/A,FALSE,"Schedule F";#N/A,#N/A,FALSE,"Schedule G"}</definedName>
    <definedName name="DELETE02" localSheetId="20" hidden="1">{#N/A,#N/A,FALSE,"Schedule F";#N/A,#N/A,FALSE,"Schedule G"}</definedName>
    <definedName name="DELETE02" localSheetId="25" hidden="1">{#N/A,#N/A,FALSE,"Schedule F";#N/A,#N/A,FALSE,"Schedule G"}</definedName>
    <definedName name="DELETE02" localSheetId="3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localSheetId="9" hidden="1">{#N/A,#N/A,FALSE,"Schedule F";#N/A,#N/A,FALSE,"Schedule G"}</definedName>
    <definedName name="DELETE02" localSheetId="17" hidden="1">{#N/A,#N/A,FALSE,"Schedule F";#N/A,#N/A,FALSE,"Schedule G"}</definedName>
    <definedName name="DELETE02" localSheetId="8" hidden="1">{#N/A,#N/A,FALSE,"Schedule F";#N/A,#N/A,FALSE,"Schedule G"}</definedName>
    <definedName name="DELETE02" localSheetId="7" hidden="1">{#N/A,#N/A,FALSE,"Schedule F";#N/A,#N/A,FALSE,"Schedule G"}</definedName>
    <definedName name="DELETE02" localSheetId="4" hidden="1">{#N/A,#N/A,FALSE,"Schedule F";#N/A,#N/A,FALSE,"Schedule G"}</definedName>
    <definedName name="Delete06" localSheetId="23" hidden="1">{#N/A,#N/A,FALSE,"Coversheet";#N/A,#N/A,FALSE,"QA"}</definedName>
    <definedName name="Delete06" localSheetId="19" hidden="1">{#N/A,#N/A,FALSE,"Coversheet";#N/A,#N/A,FALSE,"QA"}</definedName>
    <definedName name="Delete06" localSheetId="14" hidden="1">{#N/A,#N/A,FALSE,"Coversheet";#N/A,#N/A,FALSE,"QA"}</definedName>
    <definedName name="Delete06" localSheetId="11" hidden="1">{#N/A,#N/A,FALSE,"Coversheet";#N/A,#N/A,FALSE,"QA"}</definedName>
    <definedName name="Delete06" localSheetId="10" hidden="1">{#N/A,#N/A,FALSE,"Coversheet";#N/A,#N/A,FALSE,"QA"}</definedName>
    <definedName name="Delete06" localSheetId="6" hidden="1">{#N/A,#N/A,FALSE,"Coversheet";#N/A,#N/A,FALSE,"QA"}</definedName>
    <definedName name="Delete06" localSheetId="20" hidden="1">{#N/A,#N/A,FALSE,"Coversheet";#N/A,#N/A,FALSE,"QA"}</definedName>
    <definedName name="Delete06" localSheetId="25" hidden="1">{#N/A,#N/A,FALSE,"Coversheet";#N/A,#N/A,FALSE,"QA"}</definedName>
    <definedName name="Delete06" localSheetId="3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localSheetId="9" hidden="1">{#N/A,#N/A,FALSE,"Coversheet";#N/A,#N/A,FALSE,"QA"}</definedName>
    <definedName name="Delete06" localSheetId="17" hidden="1">{#N/A,#N/A,FALSE,"Coversheet";#N/A,#N/A,FALSE,"QA"}</definedName>
    <definedName name="Delete06" localSheetId="8" hidden="1">{#N/A,#N/A,FALSE,"Coversheet";#N/A,#N/A,FALSE,"QA"}</definedName>
    <definedName name="Delete06" localSheetId="7" hidden="1">{#N/A,#N/A,FALSE,"Coversheet";#N/A,#N/A,FALSE,"QA"}</definedName>
    <definedName name="Delete06" localSheetId="4" hidden="1">{#N/A,#N/A,FALSE,"Coversheet";#N/A,#N/A,FALSE,"QA"}</definedName>
    <definedName name="Delete09" localSheetId="23" hidden="1">{#N/A,#N/A,FALSE,"Coversheet";#N/A,#N/A,FALSE,"QA"}</definedName>
    <definedName name="Delete09" localSheetId="19" hidden="1">{#N/A,#N/A,FALSE,"Coversheet";#N/A,#N/A,FALSE,"QA"}</definedName>
    <definedName name="Delete09" localSheetId="14" hidden="1">{#N/A,#N/A,FALSE,"Coversheet";#N/A,#N/A,FALSE,"QA"}</definedName>
    <definedName name="Delete09" localSheetId="26" hidden="1">{#N/A,#N/A,FALSE,"Coversheet";#N/A,#N/A,FALSE,"QA"}</definedName>
    <definedName name="Delete09" localSheetId="11" hidden="1">{#N/A,#N/A,FALSE,"Coversheet";#N/A,#N/A,FALSE,"QA"}</definedName>
    <definedName name="Delete09" localSheetId="10" hidden="1">{#N/A,#N/A,FALSE,"Coversheet";#N/A,#N/A,FALSE,"QA"}</definedName>
    <definedName name="Delete09" localSheetId="6" hidden="1">{#N/A,#N/A,FALSE,"Coversheet";#N/A,#N/A,FALSE,"QA"}</definedName>
    <definedName name="Delete09" localSheetId="20" hidden="1">{#N/A,#N/A,FALSE,"Coversheet";#N/A,#N/A,FALSE,"QA"}</definedName>
    <definedName name="Delete09" localSheetId="25" hidden="1">{#N/A,#N/A,FALSE,"Coversheet";#N/A,#N/A,FALSE,"QA"}</definedName>
    <definedName name="Delete09" localSheetId="3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localSheetId="9" hidden="1">{#N/A,#N/A,FALSE,"Coversheet";#N/A,#N/A,FALSE,"QA"}</definedName>
    <definedName name="Delete09" localSheetId="17" hidden="1">{#N/A,#N/A,FALSE,"Coversheet";#N/A,#N/A,FALSE,"QA"}</definedName>
    <definedName name="Delete09" localSheetId="8" hidden="1">{#N/A,#N/A,FALSE,"Coversheet";#N/A,#N/A,FALSE,"QA"}</definedName>
    <definedName name="Delete09" localSheetId="7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23" hidden="1">{#N/A,#N/A,FALSE,"Coversheet";#N/A,#N/A,FALSE,"QA"}</definedName>
    <definedName name="Delete1" localSheetId="19" hidden="1">{#N/A,#N/A,FALSE,"Coversheet";#N/A,#N/A,FALSE,"QA"}</definedName>
    <definedName name="Delete1" localSheetId="14" hidden="1">{#N/A,#N/A,FALSE,"Coversheet";#N/A,#N/A,FALSE,"QA"}</definedName>
    <definedName name="Delete1" localSheetId="11" hidden="1">{#N/A,#N/A,FALSE,"Coversheet";#N/A,#N/A,FALSE,"QA"}</definedName>
    <definedName name="Delete1" localSheetId="10" hidden="1">{#N/A,#N/A,FALSE,"Coversheet";#N/A,#N/A,FALSE,"QA"}</definedName>
    <definedName name="Delete1" localSheetId="6" hidden="1">{#N/A,#N/A,FALSE,"Coversheet";#N/A,#N/A,FALSE,"QA"}</definedName>
    <definedName name="Delete1" localSheetId="20" hidden="1">{#N/A,#N/A,FALSE,"Coversheet";#N/A,#N/A,FALSE,"QA"}</definedName>
    <definedName name="Delete1" localSheetId="25" hidden="1">{#N/A,#N/A,FALSE,"Coversheet";#N/A,#N/A,FALSE,"QA"}</definedName>
    <definedName name="Delete1" localSheetId="3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localSheetId="9" hidden="1">{#N/A,#N/A,FALSE,"Coversheet";#N/A,#N/A,FALSE,"QA"}</definedName>
    <definedName name="Delete1" localSheetId="17" hidden="1">{#N/A,#N/A,FALSE,"Coversheet";#N/A,#N/A,FALSE,"QA"}</definedName>
    <definedName name="Delete1" localSheetId="8" hidden="1">{#N/A,#N/A,FALSE,"Coversheet";#N/A,#N/A,FALSE,"QA"}</definedName>
    <definedName name="Delete1" localSheetId="7" hidden="1">{#N/A,#N/A,FALSE,"Coversheet";#N/A,#N/A,FALSE,"QA"}</definedName>
    <definedName name="Delete1" localSheetId="4" hidden="1">{#N/A,#N/A,FALSE,"Coversheet";#N/A,#N/A,FALSE,"QA"}</definedName>
    <definedName name="Delete10" localSheetId="23" hidden="1">{#N/A,#N/A,FALSE,"Schedule F";#N/A,#N/A,FALSE,"Schedule G"}</definedName>
    <definedName name="Delete10" localSheetId="19" hidden="1">{#N/A,#N/A,FALSE,"Schedule F";#N/A,#N/A,FALSE,"Schedule G"}</definedName>
    <definedName name="Delete10" localSheetId="14" hidden="1">{#N/A,#N/A,FALSE,"Schedule F";#N/A,#N/A,FALSE,"Schedule G"}</definedName>
    <definedName name="Delete10" localSheetId="26" hidden="1">{#N/A,#N/A,FALSE,"Schedule F";#N/A,#N/A,FALSE,"Schedule G"}</definedName>
    <definedName name="Delete10" localSheetId="11" hidden="1">{#N/A,#N/A,FALSE,"Schedule F";#N/A,#N/A,FALSE,"Schedule G"}</definedName>
    <definedName name="Delete10" localSheetId="10" hidden="1">{#N/A,#N/A,FALSE,"Schedule F";#N/A,#N/A,FALSE,"Schedule G"}</definedName>
    <definedName name="Delete10" localSheetId="6" hidden="1">{#N/A,#N/A,FALSE,"Schedule F";#N/A,#N/A,FALSE,"Schedule G"}</definedName>
    <definedName name="Delete10" localSheetId="20" hidden="1">{#N/A,#N/A,FALSE,"Schedule F";#N/A,#N/A,FALSE,"Schedule G"}</definedName>
    <definedName name="Delete10" localSheetId="25" hidden="1">{#N/A,#N/A,FALSE,"Schedule F";#N/A,#N/A,FALSE,"Schedule G"}</definedName>
    <definedName name="Delete10" localSheetId="3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localSheetId="9" hidden="1">{#N/A,#N/A,FALSE,"Schedule F";#N/A,#N/A,FALSE,"Schedule G"}</definedName>
    <definedName name="Delete10" localSheetId="17" hidden="1">{#N/A,#N/A,FALSE,"Schedule F";#N/A,#N/A,FALSE,"Schedule G"}</definedName>
    <definedName name="Delete10" localSheetId="8" hidden="1">{#N/A,#N/A,FALSE,"Schedule F";#N/A,#N/A,FALSE,"Schedule G"}</definedName>
    <definedName name="Delete10" localSheetId="7" hidden="1">{#N/A,#N/A,FALSE,"Schedule F";#N/A,#N/A,FALSE,"Schedule G"}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23" hidden="1">{#N/A,#N/A,FALSE,"Coversheet";#N/A,#N/A,FALSE,"QA"}</definedName>
    <definedName name="Delete21" localSheetId="19" hidden="1">{#N/A,#N/A,FALSE,"Coversheet";#N/A,#N/A,FALSE,"QA"}</definedName>
    <definedName name="Delete21" localSheetId="14" hidden="1">{#N/A,#N/A,FALSE,"Coversheet";#N/A,#N/A,FALSE,"QA"}</definedName>
    <definedName name="Delete21" localSheetId="11" hidden="1">{#N/A,#N/A,FALSE,"Coversheet";#N/A,#N/A,FALSE,"QA"}</definedName>
    <definedName name="Delete21" localSheetId="10" hidden="1">{#N/A,#N/A,FALSE,"Coversheet";#N/A,#N/A,FALSE,"QA"}</definedName>
    <definedName name="Delete21" localSheetId="6" hidden="1">{#N/A,#N/A,FALSE,"Coversheet";#N/A,#N/A,FALSE,"QA"}</definedName>
    <definedName name="Delete21" localSheetId="20" hidden="1">{#N/A,#N/A,FALSE,"Coversheet";#N/A,#N/A,FALSE,"QA"}</definedName>
    <definedName name="Delete21" localSheetId="25" hidden="1">{#N/A,#N/A,FALSE,"Coversheet";#N/A,#N/A,FALSE,"QA"}</definedName>
    <definedName name="Delete21" localSheetId="3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localSheetId="9" hidden="1">{#N/A,#N/A,FALSE,"Coversheet";#N/A,#N/A,FALSE,"QA"}</definedName>
    <definedName name="Delete21" localSheetId="17" hidden="1">{#N/A,#N/A,FALSE,"Coversheet";#N/A,#N/A,FALSE,"QA"}</definedName>
    <definedName name="Delete21" localSheetId="8" hidden="1">{#N/A,#N/A,FALSE,"Coversheet";#N/A,#N/A,FALSE,"QA"}</definedName>
    <definedName name="Delete21" localSheetId="7" hidden="1">{#N/A,#N/A,FALSE,"Coversheet";#N/A,#N/A,FALSE,"QA"}</definedName>
    <definedName name="Delete21" localSheetId="4" hidden="1">{#N/A,#N/A,FALSE,"Coversheet";#N/A,#N/A,FALSE,"QA"}</definedName>
    <definedName name="DFIT" localSheetId="23" hidden="1">{#N/A,#N/A,FALSE,"Coversheet";#N/A,#N/A,FALSE,"QA"}</definedName>
    <definedName name="DFIT" localSheetId="14" hidden="1">{#N/A,#N/A,FALSE,"Coversheet";#N/A,#N/A,FALSE,"QA"}</definedName>
    <definedName name="DFIT" localSheetId="26" hidden="1">{#N/A,#N/A,FALSE,"Coversheet";#N/A,#N/A,FALSE,"QA"}</definedName>
    <definedName name="DFIT" localSheetId="11" hidden="1">{#N/A,#N/A,FALSE,"Coversheet";#N/A,#N/A,FALSE,"QA"}</definedName>
    <definedName name="DFIT" localSheetId="10" hidden="1">{#N/A,#N/A,FALSE,"Coversheet";#N/A,#N/A,FALSE,"QA"}</definedName>
    <definedName name="DFIT" localSheetId="6" hidden="1">{#N/A,#N/A,FALSE,"Coversheet";#N/A,#N/A,FALSE,"QA"}</definedName>
    <definedName name="DFIT" localSheetId="20" hidden="1">{#N/A,#N/A,FALSE,"Coversheet";#N/A,#N/A,FALSE,"QA"}</definedName>
    <definedName name="DFIT" localSheetId="25" hidden="1">{#N/A,#N/A,FALSE,"Coversheet";#N/A,#N/A,FALSE,"QA"}</definedName>
    <definedName name="DFIT" localSheetId="3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localSheetId="9" hidden="1">{#N/A,#N/A,FALSE,"Coversheet";#N/A,#N/A,FALSE,"QA"}</definedName>
    <definedName name="DFIT" localSheetId="17" hidden="1">{#N/A,#N/A,FALSE,"Coversheet";#N/A,#N/A,FALSE,"QA"}</definedName>
    <definedName name="DFIT" localSheetId="8" hidden="1">{#N/A,#N/A,FALSE,"Coversheet";#N/A,#N/A,FALSE,"QA"}</definedName>
    <definedName name="DFIT" localSheetId="7" hidden="1">{#N/A,#N/A,FALSE,"Coversheet";#N/A,#N/A,FALSE,"QA"}</definedName>
    <definedName name="DFIT" localSheetId="4" hidden="1">{#N/A,#N/A,FALSE,"Coversheet";#N/A,#N/A,FALSE,"QA"}</definedName>
    <definedName name="DFIT" hidden="1">{#N/A,#N/A,FALSE,"Coversheet";#N/A,#N/A,FALSE,"QA"}</definedName>
    <definedName name="ee" localSheetId="26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3" hidden="1">{#N/A,#N/A,FALSE,"Summ";#N/A,#N/A,FALSE,"General"}</definedName>
    <definedName name="Estimate" localSheetId="26" hidden="1">{#N/A,#N/A,FALSE,"Summ";#N/A,#N/A,FALSE,"General"}</definedName>
    <definedName name="Estimate" localSheetId="11" hidden="1">{#N/A,#N/A,FALSE,"Summ";#N/A,#N/A,FALSE,"General"}</definedName>
    <definedName name="Estimate" localSheetId="10" hidden="1">{#N/A,#N/A,FALSE,"Summ";#N/A,#N/A,FALSE,"General"}</definedName>
    <definedName name="Estimate" localSheetId="6" hidden="1">{#N/A,#N/A,FALSE,"Summ";#N/A,#N/A,FALSE,"General"}</definedName>
    <definedName name="Estimate" localSheetId="25" hidden="1">{#N/A,#N/A,FALSE,"Summ";#N/A,#N/A,FALSE,"General"}</definedName>
    <definedName name="Estimate" localSheetId="3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12" hidden="1">{#N/A,#N/A,FALSE,"Summ";#N/A,#N/A,FALSE,"General"}</definedName>
    <definedName name="Estimate" localSheetId="13" hidden="1">{#N/A,#N/A,FALSE,"Summ";#N/A,#N/A,FALSE,"General"}</definedName>
    <definedName name="Estimate" localSheetId="9" hidden="1">{#N/A,#N/A,FALSE,"Summ";#N/A,#N/A,FALSE,"General"}</definedName>
    <definedName name="Estimate" localSheetId="17" hidden="1">{#N/A,#N/A,FALSE,"Summ";#N/A,#N/A,FALSE,"General"}</definedName>
    <definedName name="Estimate" localSheetId="8" hidden="1">{#N/A,#N/A,FALSE,"Summ";#N/A,#N/A,FALSE,"General"}</definedName>
    <definedName name="Estimate" localSheetId="7" hidden="1">{#N/A,#N/A,FALSE,"Summ";#N/A,#N/A,FALSE,"General"}</definedName>
    <definedName name="Estimate" localSheetId="4" hidden="1">{#N/A,#N/A,FALSE,"Summ";#N/A,#N/A,FALSE,"General"}</definedName>
    <definedName name="Estimate" hidden="1">{#N/A,#N/A,FALSE,"Summ";#N/A,#N/A,FALSE,"General"}</definedName>
    <definedName name="ex" localSheetId="23" hidden="1">{#N/A,#N/A,FALSE,"Summ";#N/A,#N/A,FALSE,"General"}</definedName>
    <definedName name="ex" localSheetId="26" hidden="1">{#N/A,#N/A,FALSE,"Summ";#N/A,#N/A,FALSE,"General"}</definedName>
    <definedName name="ex" localSheetId="11" hidden="1">{#N/A,#N/A,FALSE,"Summ";#N/A,#N/A,FALSE,"General"}</definedName>
    <definedName name="ex" localSheetId="10" hidden="1">{#N/A,#N/A,FALSE,"Summ";#N/A,#N/A,FALSE,"General"}</definedName>
    <definedName name="ex" localSheetId="6" hidden="1">{#N/A,#N/A,FALSE,"Summ";#N/A,#N/A,FALSE,"General"}</definedName>
    <definedName name="ex" localSheetId="25" hidden="1">{#N/A,#N/A,FALSE,"Summ";#N/A,#N/A,FALSE,"General"}</definedName>
    <definedName name="ex" localSheetId="3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12" hidden="1">{#N/A,#N/A,FALSE,"Summ";#N/A,#N/A,FALSE,"General"}</definedName>
    <definedName name="ex" localSheetId="13" hidden="1">{#N/A,#N/A,FALSE,"Summ";#N/A,#N/A,FALSE,"General"}</definedName>
    <definedName name="ex" localSheetId="9" hidden="1">{#N/A,#N/A,FALSE,"Summ";#N/A,#N/A,FALSE,"General"}</definedName>
    <definedName name="ex" localSheetId="17" hidden="1">{#N/A,#N/A,FALSE,"Summ";#N/A,#N/A,FALSE,"General"}</definedName>
    <definedName name="ex" localSheetId="8" hidden="1">{#N/A,#N/A,FALSE,"Summ";#N/A,#N/A,FALSE,"General"}</definedName>
    <definedName name="ex" localSheetId="7" hidden="1">{#N/A,#N/A,FALSE,"Summ";#N/A,#N/A,FALSE,"General"}</definedName>
    <definedName name="ex" localSheetId="4" hidden="1">{#N/A,#N/A,FALSE,"Summ";#N/A,#N/A,FALSE,"General"}</definedName>
    <definedName name="ex" hidden="1">{#N/A,#N/A,FALSE,"Summ";#N/A,#N/A,FALSE,"General"}</definedName>
    <definedName name="fdasfdas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6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26" hidden="1">{#N/A,#N/A,FALSE,"Coversheet";#N/A,#N/A,FALSE,"QA"}</definedName>
    <definedName name="ffff" localSheetId="6" hidden="1">{#N/A,#N/A,FALSE,"Coversheet";#N/A,#N/A,FALSE,"QA"}</definedName>
    <definedName name="ffff" localSheetId="4" hidden="1">{#N/A,#N/A,FALSE,"Coversheet";#N/A,#N/A,FALSE,"QA"}</definedName>
    <definedName name="ffff" hidden="1">{#N/A,#N/A,FALSE,"Coversheet";#N/A,#N/A,FALSE,"QA"}</definedName>
    <definedName name="fffgf" localSheetId="26" hidden="1">{#N/A,#N/A,FALSE,"Coversheet";#N/A,#N/A,FALSE,"QA"}</definedName>
    <definedName name="fffgf" localSheetId="6" hidden="1">{#N/A,#N/A,FALSE,"Coversheet";#N/A,#N/A,FALSE,"QA"}</definedName>
    <definedName name="fffgf" localSheetId="4" hidden="1">{#N/A,#N/A,FALSE,"Coversheet";#N/A,#N/A,FALSE,"QA"}</definedName>
    <definedName name="fffgf" hidden="1">{#N/A,#N/A,FALSE,"Coversheet";#N/A,#N/A,FALSE,"QA"}</definedName>
    <definedName name="helllo" localSheetId="26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6" hidden="1">{#N/A,#N/A,FALSE,"Coversheet";#N/A,#N/A,FALSE,"QA"}</definedName>
    <definedName name="HELP" localSheetId="11" hidden="1">{#N/A,#N/A,FALSE,"Coversheet";#N/A,#N/A,FALSE,"QA"}</definedName>
    <definedName name="HELP" localSheetId="6" hidden="1">{#N/A,#N/A,FALSE,"Coversheet";#N/A,#N/A,FALSE,"QA"}</definedName>
    <definedName name="HELP" localSheetId="3" hidden="1">{#N/A,#N/A,FALSE,"Coversheet";#N/A,#N/A,FALSE,"QA"}</definedName>
    <definedName name="HELP" localSheetId="21" hidden="1">{#N/A,#N/A,FALSE,"Coversheet";#N/A,#N/A,FALSE,"QA"}</definedName>
    <definedName name="HELP" localSheetId="13" hidden="1">{#N/A,#N/A,FALSE,"Coversheet";#N/A,#N/A,FALSE,"QA"}</definedName>
    <definedName name="HELP" localSheetId="8" hidden="1">{#N/A,#N/A,FALSE,"Coversheet";#N/A,#N/A,FALSE,"QA"}</definedName>
    <definedName name="HELP" localSheetId="7" hidden="1">{#N/A,#N/A,FALSE,"Coversheet";#N/A,#N/A,FALSE,"QA"}</definedName>
    <definedName name="HELP" localSheetId="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6" hidden="1">{"'Sheet1'!$A$1:$J$121"}</definedName>
    <definedName name="HTML_Control" localSheetId="6" hidden="1">{"'Sheet1'!$A$1:$J$121"}</definedName>
    <definedName name="HTML_Control" localSheetId="4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localSheetId="2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2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6" hidden="1">{#N/A,#N/A,FALSE,"Summ";#N/A,#N/A,FALSE,"General"}</definedName>
    <definedName name="jfkljsdkljiejgr" localSheetId="11" hidden="1">{#N/A,#N/A,FALSE,"Summ";#N/A,#N/A,FALSE,"General"}</definedName>
    <definedName name="jfkljsdkljiejgr" localSheetId="6" hidden="1">{#N/A,#N/A,FALSE,"Summ";#N/A,#N/A,FALSE,"General"}</definedName>
    <definedName name="jfkljsdkljiejgr" localSheetId="3" hidden="1">{#N/A,#N/A,FALSE,"Summ";#N/A,#N/A,FALSE,"General"}</definedName>
    <definedName name="jfkljsdkljiejgr" localSheetId="21" hidden="1">{#N/A,#N/A,FALSE,"Summ";#N/A,#N/A,FALSE,"General"}</definedName>
    <definedName name="jfkljsdkljiejgr" localSheetId="13" hidden="1">{#N/A,#N/A,FALSE,"Summ";#N/A,#N/A,FALSE,"General"}</definedName>
    <definedName name="jfkljsdkljiejgr" localSheetId="8" hidden="1">{#N/A,#N/A,FALSE,"Summ";#N/A,#N/A,FALSE,"General"}</definedName>
    <definedName name="jfkljsdkljiejgr" localSheetId="7" hidden="1">{#N/A,#N/A,FALSE,"Summ";#N/A,#N/A,FALSE,"General"}</definedName>
    <definedName name="jfkljsdkljiejgr" localSheetId="4" hidden="1">{#N/A,#N/A,FALSE,"Summ";#N/A,#N/A,FALSE,"General"}</definedName>
    <definedName name="jfkljsdkljiejgr" hidden="1">{#N/A,#N/A,FALSE,"Summ";#N/A,#N/A,FALSE,"General"}</definedName>
    <definedName name="k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6" hidden="1">{#N/A,#N/A,FALSE,"Coversheet";#N/A,#N/A,FALSE,"QA"}</definedName>
    <definedName name="lookup" localSheetId="11" hidden="1">{#N/A,#N/A,FALSE,"Coversheet";#N/A,#N/A,FALSE,"QA"}</definedName>
    <definedName name="lookup" localSheetId="6" hidden="1">{#N/A,#N/A,FALSE,"Coversheet";#N/A,#N/A,FALSE,"QA"}</definedName>
    <definedName name="lookup" localSheetId="3" hidden="1">{#N/A,#N/A,FALSE,"Coversheet";#N/A,#N/A,FALSE,"QA"}</definedName>
    <definedName name="lookup" localSheetId="21" hidden="1">{#N/A,#N/A,FALSE,"Coversheet";#N/A,#N/A,FALSE,"QA"}</definedName>
    <definedName name="lookup" localSheetId="13" hidden="1">{#N/A,#N/A,FALSE,"Coversheet";#N/A,#N/A,FALSE,"QA"}</definedName>
    <definedName name="lookup" localSheetId="8" hidden="1">{#N/A,#N/A,FALSE,"Coversheet";#N/A,#N/A,FALSE,"QA"}</definedName>
    <definedName name="lookup" localSheetId="7" hidden="1">{#N/A,#N/A,FALSE,"Coversheet";#N/A,#N/A,FALSE,"QA"}</definedName>
    <definedName name="lookup" localSheetId="4" hidden="1">{#N/A,#N/A,FALSE,"Coversheet";#N/A,#N/A,FALSE,"QA"}</definedName>
    <definedName name="lookup" hidden="1">{#N/A,#N/A,FALSE,"Coversheet";#N/A,#N/A,FALSE,"QA"}</definedName>
    <definedName name="Miller" localSheetId="26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3" hidden="1">{#N/A,#N/A,FALSE,"Summ";#N/A,#N/A,FALSE,"General"}</definedName>
    <definedName name="new" localSheetId="26" hidden="1">{#N/A,#N/A,FALSE,"Summ";#N/A,#N/A,FALSE,"General"}</definedName>
    <definedName name="new" localSheetId="11" hidden="1">{#N/A,#N/A,FALSE,"Summ";#N/A,#N/A,FALSE,"General"}</definedName>
    <definedName name="new" localSheetId="10" hidden="1">{#N/A,#N/A,FALSE,"Summ";#N/A,#N/A,FALSE,"General"}</definedName>
    <definedName name="new" localSheetId="6" hidden="1">{#N/A,#N/A,FALSE,"Summ";#N/A,#N/A,FALSE,"General"}</definedName>
    <definedName name="new" localSheetId="25" hidden="1">{#N/A,#N/A,FALSE,"Summ";#N/A,#N/A,FALSE,"General"}</definedName>
    <definedName name="new" localSheetId="3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12" hidden="1">{#N/A,#N/A,FALSE,"Summ";#N/A,#N/A,FALSE,"General"}</definedName>
    <definedName name="new" localSheetId="13" hidden="1">{#N/A,#N/A,FALSE,"Summ";#N/A,#N/A,FALSE,"General"}</definedName>
    <definedName name="new" localSheetId="9" hidden="1">{#N/A,#N/A,FALSE,"Summ";#N/A,#N/A,FALSE,"General"}</definedName>
    <definedName name="new" localSheetId="17" hidden="1">{#N/A,#N/A,FALSE,"Summ";#N/A,#N/A,FALSE,"General"}</definedName>
    <definedName name="new" localSheetId="8" hidden="1">{#N/A,#N/A,FALSE,"Summ";#N/A,#N/A,FALSE,"General"}</definedName>
    <definedName name="new" localSheetId="7" hidden="1">{#N/A,#N/A,FALSE,"Summ";#N/A,#N/A,FALSE,"General"}</definedName>
    <definedName name="new" localSheetId="4" hidden="1">{#N/A,#N/A,FALSE,"Summ";#N/A,#N/A,FALSE,"General"}</definedName>
    <definedName name="new" hidden="1">{#N/A,#N/A,FALSE,"Summ";#N/A,#N/A,FALSE,"General"}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26" hidden="1">{#N/A,#N/A,FALSE,"Coversheet";#N/A,#N/A,FALSE,"QA"}</definedName>
    <definedName name="q" hidden="1">{#N/A,#N/A,FALSE,"Coversheet";#N/A,#N/A,FALSE,"QA"}</definedName>
    <definedName name="qqq" localSheetId="26" hidden="1">{#N/A,#N/A,FALSE,"schA"}</definedName>
    <definedName name="qqq" localSheetId="11" hidden="1">{#N/A,#N/A,FALSE,"schA"}</definedName>
    <definedName name="qqq" localSheetId="6" hidden="1">{#N/A,#N/A,FALSE,"schA"}</definedName>
    <definedName name="qqq" localSheetId="25" hidden="1">{#N/A,#N/A,FALSE,"schA"}</definedName>
    <definedName name="qqq" localSheetId="3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12" hidden="1">{#N/A,#N/A,FALSE,"schA"}</definedName>
    <definedName name="qqq" localSheetId="13" hidden="1">{#N/A,#N/A,FALSE,"schA"}</definedName>
    <definedName name="qqq" localSheetId="9" hidden="1">{#N/A,#N/A,FALSE,"schA"}</definedName>
    <definedName name="qqq" localSheetId="8" hidden="1">{#N/A,#N/A,FALSE,"schA"}</definedName>
    <definedName name="qqq" localSheetId="7" hidden="1">{#N/A,#N/A,FALSE,"schA"}</definedName>
    <definedName name="qqq" localSheetId="4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26" hidden="1">{#N/A,#N/A,FALSE,"Summ";#N/A,#N/A,FALSE,"General"}</definedName>
    <definedName name="sdlfhsdlhfkl" localSheetId="11" hidden="1">{#N/A,#N/A,FALSE,"Summ";#N/A,#N/A,FALSE,"General"}</definedName>
    <definedName name="sdlfhsdlhfkl" localSheetId="6" hidden="1">{#N/A,#N/A,FALSE,"Summ";#N/A,#N/A,FALSE,"General"}</definedName>
    <definedName name="sdlfhsdlhfkl" localSheetId="3" hidden="1">{#N/A,#N/A,FALSE,"Summ";#N/A,#N/A,FALSE,"General"}</definedName>
    <definedName name="sdlfhsdlhfkl" localSheetId="21" hidden="1">{#N/A,#N/A,FALSE,"Summ";#N/A,#N/A,FALSE,"General"}</definedName>
    <definedName name="sdlfhsdlhfkl" localSheetId="13" hidden="1">{#N/A,#N/A,FALSE,"Summ";#N/A,#N/A,FALSE,"General"}</definedName>
    <definedName name="sdlfhsdlhfkl" localSheetId="8" hidden="1">{#N/A,#N/A,FALSE,"Summ";#N/A,#N/A,FALSE,"General"}</definedName>
    <definedName name="sdlfhsdlhfkl" localSheetId="7" hidden="1">{#N/A,#N/A,FALSE,"Summ";#N/A,#N/A,FALSE,"General"}</definedName>
    <definedName name="sdlfhsdlhfkl" localSheetId="4" hidden="1">{#N/A,#N/A,FALSE,"Summ";#N/A,#N/A,FALSE,"General"}</definedName>
    <definedName name="sdlfhsdlhfkl" hidden="1">{#N/A,#N/A,FALSE,"Summ";#N/A,#N/A,FALSE,"General"}</definedName>
    <definedName name="seven" localSheetId="26" hidden="1">{#N/A,#N/A,FALSE,"CRPT";#N/A,#N/A,FALSE,"TREND";#N/A,#N/A,FALSE,"%Curve"}</definedName>
    <definedName name="seven" localSheetId="11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13" hidden="1">{#N/A,#N/A,FALSE,"CRPT";#N/A,#N/A,FALSE,"TREND";#N/A,#N/A,FALSE,"%Curve"}</definedName>
    <definedName name="seven" localSheetId="8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4" hidden="1">{#N/A,#N/A,FALSE,"CRPT";#N/A,#N/A,FALSE,"TREND";#N/A,#N/A,FALSE,"%Curve"}</definedName>
    <definedName name="seven" hidden="1">{#N/A,#N/A,FALSE,"CRPT";#N/A,#N/A,FALSE,"TREND";#N/A,#N/A,FALSE,"%Curve"}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6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localSheetId="23" hidden="1">{#N/A,#N/A,FALSE,"CESTSUM";#N/A,#N/A,FALSE,"est sum A";#N/A,#N/A,FALSE,"est detail A"}</definedName>
    <definedName name="t" localSheetId="26" hidden="1">{#N/A,#N/A,FALSE,"CESTSUM";#N/A,#N/A,FALSE,"est sum A";#N/A,#N/A,FALSE,"est detail A"}</definedName>
    <definedName name="t" localSheetId="11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26" hidden="1">{#N/A,#N/A,FALSE,"Summ";#N/A,#N/A,FALSE,"General"}</definedName>
    <definedName name="tem" localSheetId="11" hidden="1">{#N/A,#N/A,FALSE,"Summ";#N/A,#N/A,FALSE,"General"}</definedName>
    <definedName name="tem" localSheetId="6" hidden="1">{#N/A,#N/A,FALSE,"Summ";#N/A,#N/A,FALSE,"General"}</definedName>
    <definedName name="tem" localSheetId="3" hidden="1">{#N/A,#N/A,FALSE,"Summ";#N/A,#N/A,FALSE,"General"}</definedName>
    <definedName name="tem" localSheetId="21" hidden="1">{#N/A,#N/A,FALSE,"Summ";#N/A,#N/A,FALSE,"General"}</definedName>
    <definedName name="tem" localSheetId="13" hidden="1">{#N/A,#N/A,FALSE,"Summ";#N/A,#N/A,FALSE,"General"}</definedName>
    <definedName name="tem" localSheetId="8" hidden="1">{#N/A,#N/A,FALSE,"Summ";#N/A,#N/A,FALSE,"General"}</definedName>
    <definedName name="tem" localSheetId="7" hidden="1">{#N/A,#N/A,FALSE,"Summ";#N/A,#N/A,FALSE,"General"}</definedName>
    <definedName name="tem" localSheetId="4" hidden="1">{#N/A,#N/A,FALSE,"Summ";#N/A,#N/A,FALSE,"General"}</definedName>
    <definedName name="tem" hidden="1">{#N/A,#N/A,FALSE,"Summ";#N/A,#N/A,FALSE,"General"}</definedName>
    <definedName name="TEMP" localSheetId="23" hidden="1">{#N/A,#N/A,FALSE,"Summ";#N/A,#N/A,FALSE,"General"}</definedName>
    <definedName name="TEMP" localSheetId="26" hidden="1">{#N/A,#N/A,FALSE,"Summ";#N/A,#N/A,FALSE,"General"}</definedName>
    <definedName name="TEMP" localSheetId="11" hidden="1">{#N/A,#N/A,FALSE,"Summ";#N/A,#N/A,FALSE,"General"}</definedName>
    <definedName name="TEMP" localSheetId="10" hidden="1">{#N/A,#N/A,FALSE,"Summ";#N/A,#N/A,FALSE,"General"}</definedName>
    <definedName name="TEMP" localSheetId="6" hidden="1">{#N/A,#N/A,FALSE,"Summ";#N/A,#N/A,FALSE,"General"}</definedName>
    <definedName name="TEMP" localSheetId="25" hidden="1">{#N/A,#N/A,FALSE,"Summ";#N/A,#N/A,FALSE,"General"}</definedName>
    <definedName name="TEMP" localSheetId="3" hidden="1">{#N/A,#N/A,FALSE,"Summ";#N/A,#N/A,FALSE,"General"}</definedName>
    <definedName name="TEMP" localSheetId="21" hidden="1">{#N/A,#N/A,FALSE,"Summ";#N/A,#N/A,FALSE,"General"}</definedName>
    <definedName name="TEMP" localSheetId="22" hidden="1">{#N/A,#N/A,FALSE,"Summ";#N/A,#N/A,FALSE,"General"}</definedName>
    <definedName name="TEMP" localSheetId="12" hidden="1">{#N/A,#N/A,FALSE,"Summ";#N/A,#N/A,FALSE,"General"}</definedName>
    <definedName name="TEMP" localSheetId="13" hidden="1">{#N/A,#N/A,FALSE,"Summ";#N/A,#N/A,FALSE,"General"}</definedName>
    <definedName name="TEMP" localSheetId="9" hidden="1">{#N/A,#N/A,FALSE,"Summ";#N/A,#N/A,FALSE,"General"}</definedName>
    <definedName name="TEMP" localSheetId="17" hidden="1">{#N/A,#N/A,FALSE,"Summ";#N/A,#N/A,FALSE,"General"}</definedName>
    <definedName name="TEMP" localSheetId="8" hidden="1">{#N/A,#N/A,FALSE,"Summ";#N/A,#N/A,FALSE,"General"}</definedName>
    <definedName name="TEMP" localSheetId="7" hidden="1">{#N/A,#N/A,FALSE,"Summ";#N/A,#N/A,FALSE,"General"}</definedName>
    <definedName name="TEMP" localSheetId="4" hidden="1">{#N/A,#N/A,FALSE,"Summ";#N/A,#N/A,FALSE,"General"}</definedName>
    <definedName name="TEMP" hidden="1">{#N/A,#N/A,FALSE,"Summ";#N/A,#N/A,FALSE,"General"}</definedName>
    <definedName name="Temp1" localSheetId="23" hidden="1">{#N/A,#N/A,FALSE,"CESTSUM";#N/A,#N/A,FALSE,"est sum A";#N/A,#N/A,FALSE,"est detail A"}</definedName>
    <definedName name="Temp1" localSheetId="26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6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13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26" hidden="1">{#N/A,#N/A,FALSE,"CESTSUM";#N/A,#N/A,FALSE,"est sum A";#N/A,#N/A,FALSE,"est detail A"}</definedName>
    <definedName name="tr" localSheetId="11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13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21" hidden="1">#REF!</definedName>
    <definedName name="Transfer" localSheetId="4" hidden="1">#REF!</definedName>
    <definedName name="Transfers" localSheetId="21" hidden="1">#REF!</definedName>
    <definedName name="Transfers" localSheetId="4" hidden="1">#REF!</definedName>
    <definedName name="u" localSheetId="23" hidden="1">{#N/A,#N/A,FALSE,"Summ";#N/A,#N/A,FALSE,"General"}</definedName>
    <definedName name="u" localSheetId="26" hidden="1">{#N/A,#N/A,FALSE,"Summ";#N/A,#N/A,FALSE,"General"}</definedName>
    <definedName name="u" localSheetId="11" hidden="1">{#N/A,#N/A,FALSE,"Summ";#N/A,#N/A,FALSE,"General"}</definedName>
    <definedName name="u" localSheetId="10" hidden="1">{#N/A,#N/A,FALSE,"Summ";#N/A,#N/A,FALSE,"General"}</definedName>
    <definedName name="u" localSheetId="6" hidden="1">{#N/A,#N/A,FALSE,"Summ";#N/A,#N/A,FALSE,"General"}</definedName>
    <definedName name="u" localSheetId="25" hidden="1">{#N/A,#N/A,FALSE,"Summ";#N/A,#N/A,FALSE,"General"}</definedName>
    <definedName name="u" localSheetId="3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12" hidden="1">{#N/A,#N/A,FALSE,"Summ";#N/A,#N/A,FALSE,"General"}</definedName>
    <definedName name="u" localSheetId="13" hidden="1">{#N/A,#N/A,FALSE,"Summ";#N/A,#N/A,FALSE,"General"}</definedName>
    <definedName name="u" localSheetId="9" hidden="1">{#N/A,#N/A,FALSE,"Summ";#N/A,#N/A,FALSE,"General"}</definedName>
    <definedName name="u" localSheetId="17" hidden="1">{#N/A,#N/A,FALSE,"Summ";#N/A,#N/A,FALSE,"General"}</definedName>
    <definedName name="u" localSheetId="8" hidden="1">{#N/A,#N/A,FALSE,"Summ";#N/A,#N/A,FALSE,"General"}</definedName>
    <definedName name="u" localSheetId="7" hidden="1">{#N/A,#N/A,FALSE,"Summ";#N/A,#N/A,FALSE,"General"}</definedName>
    <definedName name="u" localSheetId="4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6" hidden="1">{#N/A,#N/A,FALSE,"Coversheet";#N/A,#N/A,FALSE,"QA"}</definedName>
    <definedName name="v" localSheetId="11" hidden="1">{#N/A,#N/A,FALSE,"Coversheet";#N/A,#N/A,FALSE,"QA"}</definedName>
    <definedName name="v" localSheetId="10" hidden="1">{#N/A,#N/A,FALSE,"Coversheet";#N/A,#N/A,FALSE,"QA"}</definedName>
    <definedName name="v" localSheetId="6" hidden="1">{#N/A,#N/A,FALSE,"Coversheet";#N/A,#N/A,FALSE,"QA"}</definedName>
    <definedName name="v" localSheetId="25" hidden="1">{#N/A,#N/A,FALSE,"Coversheet";#N/A,#N/A,FALSE,"QA"}</definedName>
    <definedName name="v" localSheetId="3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12" hidden="1">{#N/A,#N/A,FALSE,"Coversheet";#N/A,#N/A,FALSE,"QA"}</definedName>
    <definedName name="v" localSheetId="13" hidden="1">{#N/A,#N/A,FALSE,"Coversheet";#N/A,#N/A,FALSE,"QA"}</definedName>
    <definedName name="v" localSheetId="9" hidden="1">{#N/A,#N/A,FALSE,"Coversheet";#N/A,#N/A,FALSE,"QA"}</definedName>
    <definedName name="v" localSheetId="8" hidden="1">{#N/A,#N/A,FALSE,"Coversheet";#N/A,#N/A,FALSE,"QA"}</definedName>
    <definedName name="v" localSheetId="7" hidden="1">{#N/A,#N/A,FALSE,"Coversheet";#N/A,#N/A,FALSE,"QA"}</definedName>
    <definedName name="v" localSheetId="4" hidden="1">{#N/A,#N/A,FALSE,"Coversheet";#N/A,#N/A,FALSE,"QA"}</definedName>
    <definedName name="v" hidden="1">{#N/A,#N/A,FALSE,"Coversheet";#N/A,#N/A,FALSE,"QA"}</definedName>
    <definedName name="Value" localSheetId="26" hidden="1">{#N/A,#N/A,FALSE,"Summ";#N/A,#N/A,FALSE,"General"}</definedName>
    <definedName name="Value" localSheetId="11" hidden="1">{#N/A,#N/A,FALSE,"Summ";#N/A,#N/A,FALSE,"General"}</definedName>
    <definedName name="Value" localSheetId="6" hidden="1">{#N/A,#N/A,FALSE,"Summ";#N/A,#N/A,FALSE,"General"}</definedName>
    <definedName name="Value" localSheetId="3" hidden="1">{#N/A,#N/A,FALSE,"Summ";#N/A,#N/A,FALSE,"General"}</definedName>
    <definedName name="Value" localSheetId="21" hidden="1">{#N/A,#N/A,FALSE,"Summ";#N/A,#N/A,FALSE,"General"}</definedName>
    <definedName name="Value" localSheetId="13" hidden="1">{#N/A,#N/A,FALSE,"Summ";#N/A,#N/A,FALSE,"General"}</definedName>
    <definedName name="Value" localSheetId="8" hidden="1">{#N/A,#N/A,FALSE,"Summ";#N/A,#N/A,FALSE,"General"}</definedName>
    <definedName name="Value" localSheetId="7" hidden="1">{#N/A,#N/A,FALSE,"Summ";#N/A,#N/A,FALSE,"General"}</definedName>
    <definedName name="Value" localSheetId="4" hidden="1">{#N/A,#N/A,FALSE,"Summ";#N/A,#N/A,FALSE,"General"}</definedName>
    <definedName name="Value" hidden="1">{#N/A,#N/A,FALSE,"Summ";#N/A,#N/A,FALSE,"General"}</definedName>
    <definedName name="w" localSheetId="26" hidden="1">{#N/A,#N/A,FALSE,"Schedule F";#N/A,#N/A,FALSE,"Schedule G"}</definedName>
    <definedName name="w" localSheetId="11" hidden="1">{#N/A,#N/A,FALSE,"Schedule F";#N/A,#N/A,FALSE,"Schedule G"}</definedName>
    <definedName name="w" localSheetId="10" hidden="1">{#N/A,#N/A,FALSE,"Schedule F";#N/A,#N/A,FALSE,"Schedule G"}</definedName>
    <definedName name="w" localSheetId="6" hidden="1">{#N/A,#N/A,FALSE,"Schedule F";#N/A,#N/A,FALSE,"Schedule G"}</definedName>
    <definedName name="w" localSheetId="25" hidden="1">{#N/A,#N/A,FALSE,"Schedule F";#N/A,#N/A,FALSE,"Schedule G"}</definedName>
    <definedName name="w" localSheetId="3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12" hidden="1">{#N/A,#N/A,FALSE,"Schedule F";#N/A,#N/A,FALSE,"Schedule G"}</definedName>
    <definedName name="w" localSheetId="13" hidden="1">{#N/A,#N/A,FALSE,"Schedule F";#N/A,#N/A,FALSE,"Schedule G"}</definedName>
    <definedName name="w" localSheetId="9" hidden="1">{#N/A,#N/A,FALSE,"Schedule F";#N/A,#N/A,FALSE,"Schedule G"}</definedName>
    <definedName name="w" localSheetId="8" hidden="1">{#N/A,#N/A,FALSE,"Schedule F";#N/A,#N/A,FALSE,"Schedule G"}</definedName>
    <definedName name="w" localSheetId="7" hidden="1">{#N/A,#N/A,FALSE,"Schedule F";#N/A,#N/A,FALSE,"Schedule G"}</definedName>
    <definedName name="w" localSheetId="4" hidden="1">{#N/A,#N/A,FALSE,"Schedule F";#N/A,#N/A,FALSE,"Schedule G"}</definedName>
    <definedName name="w" hidden="1">{#N/A,#N/A,FALSE,"Schedule F";#N/A,#N/A,FALSE,"Schedule G"}</definedName>
    <definedName name="we" localSheetId="26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6" hidden="1">{#N/A,#N/A,FALSE,"Coversheet";#N/A,#N/A,FALSE,"QA"}</definedName>
    <definedName name="WH" localSheetId="11" hidden="1">{#N/A,#N/A,FALSE,"Coversheet";#N/A,#N/A,FALSE,"QA"}</definedName>
    <definedName name="WH" localSheetId="6" hidden="1">{#N/A,#N/A,FALSE,"Coversheet";#N/A,#N/A,FALSE,"QA"}</definedName>
    <definedName name="WH" localSheetId="3" hidden="1">{#N/A,#N/A,FALSE,"Coversheet";#N/A,#N/A,FALSE,"QA"}</definedName>
    <definedName name="WH" localSheetId="21" hidden="1">{#N/A,#N/A,FALSE,"Coversheet";#N/A,#N/A,FALSE,"QA"}</definedName>
    <definedName name="WH" localSheetId="13" hidden="1">{#N/A,#N/A,FALSE,"Coversheet";#N/A,#N/A,FALSE,"QA"}</definedName>
    <definedName name="WH" localSheetId="8" hidden="1">{#N/A,#N/A,FALSE,"Coversheet";#N/A,#N/A,FALSE,"QA"}</definedName>
    <definedName name="WH" localSheetId="7" hidden="1">{#N/A,#N/A,FALSE,"Coversheet";#N/A,#N/A,FALSE,"QA"}</definedName>
    <definedName name="WH" localSheetId="4" hidden="1">{#N/A,#N/A,FALSE,"Coversheet";#N/A,#N/A,FALSE,"QA"}</definedName>
    <definedName name="WH" hidden="1">{#N/A,#N/A,FALSE,"Coversheet";#N/A,#N/A,FALSE,"QA"}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6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3" hidden="1">{#N/A,#N/A,FALSE,"CRPT";#N/A,#N/A,FALSE,"TREND";#N/A,#N/A,FALSE,"%Curve"}</definedName>
    <definedName name="wrn.AAI." localSheetId="26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3" hidden="1">{#N/A,#N/A,FALSE,"CRPT";#N/A,#N/A,FALSE,"TREND";#N/A,#N/A,FALSE,"% CURVE"}</definedName>
    <definedName name="wrn.AAI._.Report." localSheetId="26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6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6" hidden="1">{#N/A,#N/A,FALSE,"schA"}</definedName>
    <definedName name="wrn.ECR." localSheetId="11" hidden="1">{#N/A,#N/A,FALSE,"schA"}</definedName>
    <definedName name="wrn.ECR." localSheetId="6" hidden="1">{#N/A,#N/A,FALSE,"schA"}</definedName>
    <definedName name="wrn.ECR." localSheetId="25" hidden="1">{#N/A,#N/A,FALSE,"schA"}</definedName>
    <definedName name="wrn.ECR." localSheetId="3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12" hidden="1">{#N/A,#N/A,FALSE,"schA"}</definedName>
    <definedName name="wrn.ECR." localSheetId="13" hidden="1">{#N/A,#N/A,FALSE,"schA"}</definedName>
    <definedName name="wrn.ECR." localSheetId="9" hidden="1">{#N/A,#N/A,FALSE,"schA"}</definedName>
    <definedName name="wrn.ECR." localSheetId="8" hidden="1">{#N/A,#N/A,FALSE,"schA"}</definedName>
    <definedName name="wrn.ECR." localSheetId="7" hidden="1">{#N/A,#N/A,FALSE,"schA"}</definedName>
    <definedName name="wrn.ECR." localSheetId="4" hidden="1">{#N/A,#N/A,FALSE,"schA"}</definedName>
    <definedName name="wrn.ECR." hidden="1">{#N/A,#N/A,FALSE,"schA"}</definedName>
    <definedName name="wrn.ESTIMATE." localSheetId="23" hidden="1">{#N/A,#N/A,FALSE,"CESTSUM";#N/A,#N/A,FALSE,"est sum A";#N/A,#N/A,FALSE,"est detail A"}</definedName>
    <definedName name="wrn.ESTIMATE." localSheetId="26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3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26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6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3" hidden="1">{#N/A,#N/A,FALSE,"SUMMARY";#N/A,#N/A,FALSE,"AE7616";#N/A,#N/A,FALSE,"AE7617";#N/A,#N/A,FALSE,"AE7618";#N/A,#N/A,FALSE,"AE7619"}</definedName>
    <definedName name="wrn.IEO." localSheetId="26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3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4" hidden="1">{#N/A,#N/A,FALSE,"Coversheet";#N/A,#N/A,FALSE,"QA"}</definedName>
    <definedName name="wrn.limit_reports." localSheetId="23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4" hidden="1">{#N/A,#N/A,FALSE,"Schedule F";#N/A,#N/A,FALSE,"Schedule G"}</definedName>
    <definedName name="wrn.MARGIN_WO_QTR." localSheetId="23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3" hidden="1">{#N/A,#N/A,FALSE,"BASE";#N/A,#N/A,FALSE,"LOOPS";#N/A,#N/A,FALSE,"PLC"}</definedName>
    <definedName name="wrn.Project._.Services." localSheetId="26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3" hidden="1">{#N/A,#N/A,FALSE,"7617 Fab";#N/A,#N/A,FALSE,"7617 NSK"}</definedName>
    <definedName name="wrn.SCHEDULE." localSheetId="26" hidden="1">{#N/A,#N/A,FALSE,"7617 Fab";#N/A,#N/A,FALSE,"7617 NSK"}</definedName>
    <definedName name="wrn.SCHEDULE." localSheetId="11" hidden="1">{#N/A,#N/A,FALSE,"7617 Fab";#N/A,#N/A,FALSE,"7617 NSK"}</definedName>
    <definedName name="wrn.SCHEDULE." localSheetId="10" hidden="1">{#N/A,#N/A,FALSE,"7617 Fab";#N/A,#N/A,FALSE,"7617 NSK"}</definedName>
    <definedName name="wrn.SCHEDULE." localSheetId="6" hidden="1">{#N/A,#N/A,FALSE,"7617 Fab";#N/A,#N/A,FALSE,"7617 NSK"}</definedName>
    <definedName name="wrn.SCHEDULE." localSheetId="25" hidden="1">{#N/A,#N/A,FALSE,"7617 Fab";#N/A,#N/A,FALSE,"7617 NSK"}</definedName>
    <definedName name="wrn.SCHEDULE." localSheetId="3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12" hidden="1">{#N/A,#N/A,FALSE,"7617 Fab";#N/A,#N/A,FALSE,"7617 NSK"}</definedName>
    <definedName name="wrn.SCHEDULE." localSheetId="13" hidden="1">{#N/A,#N/A,FALSE,"7617 Fab";#N/A,#N/A,FALSE,"7617 NSK"}</definedName>
    <definedName name="wrn.SCHEDULE." localSheetId="9" hidden="1">{#N/A,#N/A,FALSE,"7617 Fab";#N/A,#N/A,FALSE,"7617 NSK"}</definedName>
    <definedName name="wrn.SCHEDULE." localSheetId="17" hidden="1">{#N/A,#N/A,FALSE,"7617 Fab";#N/A,#N/A,FALSE,"7617 NSK"}</definedName>
    <definedName name="wrn.SCHEDULE." localSheetId="8" hidden="1">{#N/A,#N/A,FALSE,"7617 Fab";#N/A,#N/A,FALSE,"7617 NSK"}</definedName>
    <definedName name="wrn.SCHEDULE." localSheetId="7" hidden="1">{#N/A,#N/A,FALSE,"7617 Fab";#N/A,#N/A,FALSE,"7617 NSK"}</definedName>
    <definedName name="wrn.SCHEDULE." localSheetId="4" hidden="1">{#N/A,#N/A,FALSE,"7617 Fab";#N/A,#N/A,FALSE,"7617 NSK"}</definedName>
    <definedName name="wrn.SCHEDULE." hidden="1">{#N/A,#N/A,FALSE,"7617 Fab";#N/A,#N/A,FALSE,"7617 NSK"}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6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3" hidden="1">{#N/A,#N/A,FALSE,"2002 Small Tool OH";#N/A,#N/A,FALSE,"QA"}</definedName>
    <definedName name="wrn.Small._.Tools._.Overhead." localSheetId="26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ummary." localSheetId="23" hidden="1">{#N/A,#N/A,FALSE,"Summ";#N/A,#N/A,FALSE,"General"}</definedName>
    <definedName name="wrn.Summary." localSheetId="26" hidden="1">{#N/A,#N/A,FALSE,"Summ";#N/A,#N/A,FALSE,"General"}</definedName>
    <definedName name="wrn.Summary." localSheetId="11" hidden="1">{#N/A,#N/A,FALSE,"Summ";#N/A,#N/A,FALSE,"General"}</definedName>
    <definedName name="wrn.Summary." localSheetId="10" hidden="1">{#N/A,#N/A,FALSE,"Summ";#N/A,#N/A,FALSE,"General"}</definedName>
    <definedName name="wrn.Summary." localSheetId="6" hidden="1">{#N/A,#N/A,FALSE,"Summ";#N/A,#N/A,FALSE,"General"}</definedName>
    <definedName name="wrn.Summary." localSheetId="25" hidden="1">{#N/A,#N/A,FALSE,"Summ";#N/A,#N/A,FALSE,"General"}</definedName>
    <definedName name="wrn.Summary." localSheetId="3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12" hidden="1">{#N/A,#N/A,FALSE,"Summ";#N/A,#N/A,FALSE,"General"}</definedName>
    <definedName name="wrn.Summary." localSheetId="13" hidden="1">{#N/A,#N/A,FALSE,"Summ";#N/A,#N/A,FALSE,"General"}</definedName>
    <definedName name="wrn.Summary." localSheetId="9" hidden="1">{#N/A,#N/A,FALSE,"Summ";#N/A,#N/A,FALSE,"General"}</definedName>
    <definedName name="wrn.Summary." localSheetId="17" hidden="1">{#N/A,#N/A,FALSE,"Summ";#N/A,#N/A,FALSE,"General"}</definedName>
    <definedName name="wrn.Summary." localSheetId="8" hidden="1">{#N/A,#N/A,FALSE,"Summ";#N/A,#N/A,FALSE,"General"}</definedName>
    <definedName name="wrn.Summary." localSheetId="7" hidden="1">{#N/A,#N/A,FALSE,"Summ";#N/A,#N/A,FALSE,"General"}</definedName>
    <definedName name="wrn.Summary." localSheetId="4" hidden="1">{#N/A,#N/A,FALSE,"Summ";#N/A,#N/A,FALSE,"General"}</definedName>
    <definedName name="wrn.Summary." hidden="1">{#N/A,#N/A,FALSE,"Summ";#N/A,#N/A,FALSE,"General"}</definedName>
    <definedName name="wrn.USIM_Data." localSheetId="2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6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26" hidden="1">{#N/A,#N/A,FALSE,"schA"}</definedName>
    <definedName name="www" localSheetId="11" hidden="1">{#N/A,#N/A,FALSE,"schA"}</definedName>
    <definedName name="www" localSheetId="6" hidden="1">{#N/A,#N/A,FALSE,"schA"}</definedName>
    <definedName name="www" localSheetId="25" hidden="1">{#N/A,#N/A,FALSE,"schA"}</definedName>
    <definedName name="www" localSheetId="3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12" hidden="1">{#N/A,#N/A,FALSE,"schA"}</definedName>
    <definedName name="www" localSheetId="13" hidden="1">{#N/A,#N/A,FALSE,"schA"}</definedName>
    <definedName name="www" localSheetId="9" hidden="1">{#N/A,#N/A,FALSE,"schA"}</definedName>
    <definedName name="www" localSheetId="8" hidden="1">{#N/A,#N/A,FALSE,"schA"}</definedName>
    <definedName name="www" localSheetId="7" hidden="1">{#N/A,#N/A,FALSE,"schA"}</definedName>
    <definedName name="www" localSheetId="4" hidden="1">{#N/A,#N/A,FALSE,"schA"}</definedName>
    <definedName name="www" hidden="1">{#N/A,#N/A,FALSE,"schA"}</definedName>
    <definedName name="x" localSheetId="26" hidden="1">{#N/A,#N/A,FALSE,"Coversheet";#N/A,#N/A,FALSE,"QA"}</definedName>
    <definedName name="x" localSheetId="11" hidden="1">{#N/A,#N/A,FALSE,"Coversheet";#N/A,#N/A,FALSE,"QA"}</definedName>
    <definedName name="x" localSheetId="10" hidden="1">{#N/A,#N/A,FALSE,"Coversheet";#N/A,#N/A,FALSE,"QA"}</definedName>
    <definedName name="x" localSheetId="6" hidden="1">{#N/A,#N/A,FALSE,"Coversheet";#N/A,#N/A,FALSE,"QA"}</definedName>
    <definedName name="x" localSheetId="25" hidden="1">{#N/A,#N/A,FALSE,"Coversheet";#N/A,#N/A,FALSE,"QA"}</definedName>
    <definedName name="x" localSheetId="3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12" hidden="1">{#N/A,#N/A,FALSE,"Coversheet";#N/A,#N/A,FALSE,"QA"}</definedName>
    <definedName name="x" localSheetId="13" hidden="1">{#N/A,#N/A,FALSE,"Coversheet";#N/A,#N/A,FALSE,"QA"}</definedName>
    <definedName name="x" localSheetId="9" hidden="1">{#N/A,#N/A,FALSE,"Coversheet";#N/A,#N/A,FALSE,"QA"}</definedName>
    <definedName name="x" localSheetId="8" hidden="1">{#N/A,#N/A,FALSE,"Coversheet";#N/A,#N/A,FALSE,"QA"}</definedName>
    <definedName name="x" localSheetId="7" hidden="1">{#N/A,#N/A,FALSE,"Coversheet";#N/A,#N/A,FALSE,"QA"}</definedName>
    <definedName name="x" localSheetId="4" hidden="1">{#N/A,#N/A,FALSE,"Coversheet";#N/A,#N/A,FALSE,"QA"}</definedName>
    <definedName name="x" hidden="1">{#N/A,#N/A,FALSE,"Coversheet";#N/A,#N/A,FALSE,"QA"}</definedName>
    <definedName name="xx" localSheetId="26" hidden="1">{#N/A,#N/A,FALSE,"Balance_Sheet";#N/A,#N/A,FALSE,"income_statement_monthly";#N/A,#N/A,FALSE,"income_statement_Quarter";#N/A,#N/A,FALSE,"income_statement_ytd";#N/A,#N/A,FALSE,"income_statement_12Months"}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6" hidden="1">{#N/A,#N/A,FALSE,"Summ";#N/A,#N/A,FALSE,"General"}</definedName>
    <definedName name="xxx" localSheetId="6" hidden="1">{#N/A,#N/A,FALSE,"Summ";#N/A,#N/A,FALSE,"General"}</definedName>
    <definedName name="xxx" localSheetId="4" hidden="1">{#N/A,#N/A,FALSE,"Summ";#N/A,#N/A,FALSE,"General"}</definedName>
    <definedName name="xxx" hidden="1">{#N/A,#N/A,FALSE,"Summ";#N/A,#N/A,FALSE,"General"}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26" hidden="1">{#N/A,#N/A,FALSE,"Summ";#N/A,#N/A,FALSE,"General"}</definedName>
    <definedName name="yuf" localSheetId="11" hidden="1">{#N/A,#N/A,FALSE,"Summ";#N/A,#N/A,FALSE,"General"}</definedName>
    <definedName name="yuf" localSheetId="6" hidden="1">{#N/A,#N/A,FALSE,"Summ";#N/A,#N/A,FALSE,"General"}</definedName>
    <definedName name="yuf" localSheetId="3" hidden="1">{#N/A,#N/A,FALSE,"Summ";#N/A,#N/A,FALSE,"General"}</definedName>
    <definedName name="yuf" localSheetId="21" hidden="1">{#N/A,#N/A,FALSE,"Summ";#N/A,#N/A,FALSE,"General"}</definedName>
    <definedName name="yuf" localSheetId="13" hidden="1">{#N/A,#N/A,FALSE,"Summ";#N/A,#N/A,FALSE,"General"}</definedName>
    <definedName name="yuf" localSheetId="8" hidden="1">{#N/A,#N/A,FALSE,"Summ";#N/A,#N/A,FALSE,"General"}</definedName>
    <definedName name="yuf" localSheetId="7" hidden="1">{#N/A,#N/A,FALSE,"Summ";#N/A,#N/A,FALSE,"General"}</definedName>
    <definedName name="yuf" localSheetId="4" hidden="1">{#N/A,#N/A,FALSE,"Summ";#N/A,#N/A,FALSE,"General"}</definedName>
    <definedName name="yuf" hidden="1">{#N/A,#N/A,FALSE,"Summ";#N/A,#N/A,FALSE,"General"}</definedName>
    <definedName name="z" localSheetId="26" hidden="1">{#N/A,#N/A,FALSE,"Coversheet";#N/A,#N/A,FALSE,"QA"}</definedName>
    <definedName name="z" localSheetId="11" hidden="1">{#N/A,#N/A,FALSE,"Coversheet";#N/A,#N/A,FALSE,"QA"}</definedName>
    <definedName name="z" localSheetId="10" hidden="1">{#N/A,#N/A,FALSE,"Coversheet";#N/A,#N/A,FALSE,"QA"}</definedName>
    <definedName name="z" localSheetId="6" hidden="1">{#N/A,#N/A,FALSE,"Coversheet";#N/A,#N/A,FALSE,"QA"}</definedName>
    <definedName name="z" localSheetId="25" hidden="1">{#N/A,#N/A,FALSE,"Coversheet";#N/A,#N/A,FALSE,"QA"}</definedName>
    <definedName name="z" localSheetId="3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12" hidden="1">{#N/A,#N/A,FALSE,"Coversheet";#N/A,#N/A,FALSE,"QA"}</definedName>
    <definedName name="z" localSheetId="13" hidden="1">{#N/A,#N/A,FALSE,"Coversheet";#N/A,#N/A,FALSE,"QA"}</definedName>
    <definedName name="z" localSheetId="9" hidden="1">{#N/A,#N/A,FALSE,"Coversheet";#N/A,#N/A,FALSE,"QA"}</definedName>
    <definedName name="z" localSheetId="8" hidden="1">{#N/A,#N/A,FALSE,"Coversheet";#N/A,#N/A,FALSE,"QA"}</definedName>
    <definedName name="z" localSheetId="7" hidden="1">{#N/A,#N/A,FALSE,"Coversheet";#N/A,#N/A,FALSE,"QA"}</definedName>
    <definedName name="z" localSheetId="4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H185" i="163" l="1"/>
  <c r="L200" i="163"/>
  <c r="L202" i="163" s="1"/>
  <c r="L204" i="163" s="1"/>
  <c r="H205" i="163"/>
  <c r="H207" i="163"/>
  <c r="K207" i="163"/>
  <c r="K281" i="163" s="1"/>
  <c r="H215" i="163"/>
  <c r="H223" i="163"/>
  <c r="L226" i="163"/>
  <c r="H231" i="163"/>
  <c r="L234" i="163"/>
  <c r="L236" i="163"/>
  <c r="L238" i="163" s="1"/>
  <c r="H239" i="163"/>
  <c r="H247" i="163"/>
  <c r="L250" i="163"/>
  <c r="L258" i="163"/>
  <c r="L260" i="163" s="1"/>
  <c r="H263" i="163"/>
  <c r="G281" i="163"/>
  <c r="S135" i="77" l="1"/>
  <c r="D30" i="162" l="1"/>
  <c r="C74" i="162" l="1"/>
  <c r="C73" i="162"/>
  <c r="C72" i="162"/>
  <c r="C71" i="162"/>
  <c r="C66" i="162"/>
  <c r="C65" i="162"/>
  <c r="C64" i="162"/>
  <c r="C59" i="162"/>
  <c r="C58" i="162"/>
  <c r="C53" i="162"/>
  <c r="C52" i="162"/>
  <c r="C51" i="162"/>
  <c r="C46" i="162"/>
  <c r="C42" i="162"/>
  <c r="C35" i="162"/>
  <c r="C21" i="162"/>
  <c r="C23" i="162"/>
  <c r="C24" i="162"/>
  <c r="C20" i="162"/>
  <c r="C19" i="162"/>
  <c r="C16" i="162"/>
  <c r="G89" i="148" l="1"/>
  <c r="E74" i="156" l="1"/>
  <c r="E73" i="156"/>
  <c r="G84" i="147"/>
  <c r="G90" i="148"/>
  <c r="G112" i="134" l="1"/>
  <c r="G111" i="134"/>
  <c r="G106" i="135"/>
  <c r="F103" i="133"/>
  <c r="H386" i="114"/>
  <c r="H385" i="114"/>
  <c r="J76" i="135"/>
  <c r="O116" i="78"/>
  <c r="Q116" i="78"/>
  <c r="D29" i="162" l="1"/>
  <c r="D87" i="162"/>
  <c r="D83" i="162"/>
  <c r="D79" i="162"/>
  <c r="D75" i="162"/>
  <c r="D67" i="162"/>
  <c r="D60" i="162"/>
  <c r="D47" i="162"/>
  <c r="D36" i="162"/>
  <c r="D28" i="162"/>
  <c r="D15" i="162"/>
  <c r="D88" i="162"/>
  <c r="D61" i="162"/>
  <c r="D76" i="162"/>
  <c r="H15" i="162"/>
  <c r="H14" i="162"/>
  <c r="D68" i="162"/>
  <c r="D48" i="162"/>
  <c r="D80" i="162"/>
  <c r="D84" i="162" l="1"/>
  <c r="I200" i="55" l="1"/>
  <c r="Q200" i="55" s="1"/>
  <c r="J200" i="55"/>
  <c r="K200" i="55"/>
  <c r="K201" i="55" s="1"/>
  <c r="R200" i="55"/>
  <c r="I201" i="55"/>
  <c r="N201" i="55" s="1"/>
  <c r="J201" i="55"/>
  <c r="Q201" i="55"/>
  <c r="I202" i="55"/>
  <c r="J202" i="55"/>
  <c r="I203" i="55"/>
  <c r="J203" i="55"/>
  <c r="I204" i="55"/>
  <c r="Q204" i="55" s="1"/>
  <c r="J204" i="55"/>
  <c r="I205" i="55"/>
  <c r="J205" i="55"/>
  <c r="Q205" i="55"/>
  <c r="I206" i="55"/>
  <c r="J206" i="55"/>
  <c r="G207" i="55"/>
  <c r="G208" i="55" s="1"/>
  <c r="G209" i="55" s="1"/>
  <c r="G210" i="55" s="1"/>
  <c r="G211" i="55" s="1"/>
  <c r="J207" i="55"/>
  <c r="J208" i="55"/>
  <c r="J209" i="55"/>
  <c r="J210" i="55"/>
  <c r="K70" i="148"/>
  <c r="L70" i="148" s="1"/>
  <c r="L71" i="148" s="1"/>
  <c r="K71" i="148"/>
  <c r="K72" i="148"/>
  <c r="I70" i="156"/>
  <c r="I71" i="156"/>
  <c r="P201" i="55" l="1"/>
  <c r="N202" i="55"/>
  <c r="P202" i="55" s="1"/>
  <c r="R201" i="55"/>
  <c r="K202" i="55"/>
  <c r="Q206" i="55"/>
  <c r="Q202" i="55"/>
  <c r="N200" i="55"/>
  <c r="P200" i="55" s="1"/>
  <c r="Q203" i="55"/>
  <c r="K203" i="55" l="1"/>
  <c r="R202" i="55"/>
  <c r="K204" i="55" l="1"/>
  <c r="R203" i="55"/>
  <c r="N203" i="55"/>
  <c r="P203" i="55" s="1"/>
  <c r="D50" i="159"/>
  <c r="C50" i="159"/>
  <c r="D49" i="159"/>
  <c r="C49" i="159"/>
  <c r="D48" i="159"/>
  <c r="C48" i="159"/>
  <c r="D51" i="159"/>
  <c r="D47" i="159"/>
  <c r="C47" i="159"/>
  <c r="K79" i="135"/>
  <c r="K80" i="135"/>
  <c r="K81" i="135"/>
  <c r="K82" i="135"/>
  <c r="K83" i="135"/>
  <c r="K84" i="135"/>
  <c r="K85" i="135"/>
  <c r="K78" i="135"/>
  <c r="K77" i="135"/>
  <c r="K76" i="135"/>
  <c r="K74" i="135"/>
  <c r="K73" i="135"/>
  <c r="K72" i="135"/>
  <c r="K71" i="135"/>
  <c r="K70" i="135"/>
  <c r="G105" i="135"/>
  <c r="C51" i="159"/>
  <c r="K205" i="55" l="1"/>
  <c r="R204" i="55"/>
  <c r="N204" i="55"/>
  <c r="P204" i="55" s="1"/>
  <c r="D46" i="159"/>
  <c r="C46" i="159"/>
  <c r="F104" i="133"/>
  <c r="I59" i="156"/>
  <c r="I69" i="156"/>
  <c r="I68" i="156"/>
  <c r="I67" i="156"/>
  <c r="I66" i="156"/>
  <c r="I65" i="156"/>
  <c r="I64" i="156"/>
  <c r="I63" i="156"/>
  <c r="I62" i="156"/>
  <c r="I61" i="156"/>
  <c r="I60" i="156"/>
  <c r="E59" i="156"/>
  <c r="R205" i="55" l="1"/>
  <c r="K206" i="55"/>
  <c r="N205" i="55"/>
  <c r="P205" i="55" s="1"/>
  <c r="K71" i="147"/>
  <c r="K70" i="147"/>
  <c r="I81" i="160"/>
  <c r="H81" i="160"/>
  <c r="K60" i="148"/>
  <c r="K69" i="148"/>
  <c r="K68" i="148"/>
  <c r="K67" i="148"/>
  <c r="K66" i="148"/>
  <c r="K65" i="148"/>
  <c r="K64" i="148"/>
  <c r="K63" i="148"/>
  <c r="K62" i="148"/>
  <c r="K61" i="148"/>
  <c r="I77" i="160"/>
  <c r="H77" i="160"/>
  <c r="K75" i="134"/>
  <c r="K74" i="134"/>
  <c r="K95" i="134"/>
  <c r="K94" i="134"/>
  <c r="K93" i="134"/>
  <c r="K92" i="134"/>
  <c r="K91" i="134"/>
  <c r="K90" i="134"/>
  <c r="K89" i="134"/>
  <c r="K88" i="134"/>
  <c r="K87" i="134"/>
  <c r="K86" i="134"/>
  <c r="K85" i="134"/>
  <c r="K84" i="134"/>
  <c r="K83" i="134"/>
  <c r="K82" i="134"/>
  <c r="K81" i="134"/>
  <c r="K80" i="134"/>
  <c r="K79" i="134"/>
  <c r="K78" i="134"/>
  <c r="K77" i="134"/>
  <c r="K76" i="134"/>
  <c r="O117" i="78"/>
  <c r="O118" i="78" s="1"/>
  <c r="O119" i="78" s="1"/>
  <c r="Q119" i="78" s="1"/>
  <c r="I62" i="160"/>
  <c r="Q118" i="78" l="1"/>
  <c r="Q117" i="78"/>
  <c r="R206" i="55"/>
  <c r="N206" i="55"/>
  <c r="P206" i="55" s="1"/>
  <c r="C207" i="55"/>
  <c r="C208" i="55" l="1"/>
  <c r="I207" i="55"/>
  <c r="Q207" i="55" s="1"/>
  <c r="K207" i="55"/>
  <c r="R207" i="55" s="1"/>
  <c r="N207" i="55"/>
  <c r="P207" i="55" s="1"/>
  <c r="H30" i="160"/>
  <c r="I17" i="160"/>
  <c r="H17" i="160"/>
  <c r="P118" i="78"/>
  <c r="K208" i="55" l="1"/>
  <c r="I208" i="55"/>
  <c r="Q208" i="55" s="1"/>
  <c r="C209" i="55"/>
  <c r="K209" i="55"/>
  <c r="P119" i="78"/>
  <c r="N208" i="55" l="1"/>
  <c r="P208" i="55" s="1"/>
  <c r="R208" i="55"/>
  <c r="I209" i="55"/>
  <c r="Q209" i="55" s="1"/>
  <c r="C210" i="55"/>
  <c r="R209" i="55"/>
  <c r="K210" i="55"/>
  <c r="N209" i="55"/>
  <c r="P122" i="78"/>
  <c r="P121" i="78"/>
  <c r="P209" i="55" l="1"/>
  <c r="C211" i="55"/>
  <c r="I211" i="55" s="1"/>
  <c r="I210" i="55"/>
  <c r="Q210" i="55" s="1"/>
  <c r="R210" i="55"/>
  <c r="K211" i="55"/>
  <c r="N210" i="55" l="1"/>
  <c r="P210" i="55" s="1"/>
  <c r="Q211" i="55"/>
  <c r="R211" i="55"/>
  <c r="N211" i="55"/>
  <c r="P138" i="77"/>
  <c r="P137" i="77"/>
  <c r="P211" i="55" l="1"/>
  <c r="D74" i="162"/>
  <c r="D73" i="162"/>
  <c r="D72" i="162"/>
  <c r="D71" i="162"/>
  <c r="D66" i="162"/>
  <c r="D65" i="162"/>
  <c r="D64" i="162"/>
  <c r="D59" i="162"/>
  <c r="D58" i="162"/>
  <c r="D53" i="162"/>
  <c r="D52" i="162"/>
  <c r="D51" i="162"/>
  <c r="D46" i="162"/>
  <c r="D42" i="162"/>
  <c r="D35" i="162"/>
  <c r="D24" i="162"/>
  <c r="D23" i="162"/>
  <c r="D21" i="162"/>
  <c r="D20" i="162"/>
  <c r="D19" i="162"/>
  <c r="D16" i="162"/>
  <c r="D9" i="162"/>
  <c r="C9" i="162"/>
  <c r="D5" i="162"/>
  <c r="D6" i="162"/>
  <c r="D4" i="162"/>
  <c r="D45" i="159" l="1"/>
  <c r="C45" i="159"/>
  <c r="G98" i="121"/>
  <c r="G97" i="121"/>
  <c r="D44" i="159"/>
  <c r="C44" i="159"/>
  <c r="D42" i="159"/>
  <c r="C42" i="159"/>
  <c r="F109" i="104"/>
  <c r="F108" i="104"/>
  <c r="L138" i="114" l="1"/>
  <c r="L139" i="114"/>
  <c r="L140" i="114" s="1"/>
  <c r="L141" i="114" s="1"/>
  <c r="L142" i="114" s="1"/>
  <c r="L143" i="114" s="1"/>
  <c r="L144" i="114" s="1"/>
  <c r="L145" i="114" s="1"/>
  <c r="L146" i="114" s="1"/>
  <c r="L147" i="114" s="1"/>
  <c r="L148" i="114" s="1"/>
  <c r="L149" i="114" s="1"/>
  <c r="L150" i="114" s="1"/>
  <c r="L151" i="114" s="1"/>
  <c r="L152" i="114" s="1"/>
  <c r="L153" i="114" s="1"/>
  <c r="L137" i="114"/>
  <c r="O108" i="78"/>
  <c r="L84" i="111" l="1"/>
  <c r="I40" i="160"/>
  <c r="H40" i="160"/>
  <c r="I32" i="160"/>
  <c r="H32" i="160"/>
  <c r="I37" i="160"/>
  <c r="H37" i="160"/>
  <c r="I30" i="160"/>
  <c r="M154" i="88"/>
  <c r="M155" i="88"/>
  <c r="M156" i="88"/>
  <c r="M157" i="88"/>
  <c r="M158" i="88"/>
  <c r="M159" i="88"/>
  <c r="M160" i="88"/>
  <c r="M161" i="88"/>
  <c r="M162" i="88"/>
  <c r="M163" i="88"/>
  <c r="M164" i="88"/>
  <c r="M153" i="88"/>
  <c r="O109" i="78" l="1"/>
  <c r="O110" i="78" s="1"/>
  <c r="O111" i="78" s="1"/>
  <c r="O112" i="78" s="1"/>
  <c r="O113" i="78" s="1"/>
  <c r="O114" i="78" s="1"/>
  <c r="O115" i="78" s="1"/>
  <c r="V109" i="78"/>
  <c r="P107" i="78" l="1"/>
  <c r="P108" i="78"/>
  <c r="P109" i="78"/>
  <c r="N107" i="78"/>
  <c r="L107" i="78"/>
  <c r="I107" i="78"/>
  <c r="H108" i="78"/>
  <c r="E199" i="55"/>
  <c r="S98" i="78" l="1"/>
  <c r="T98" i="78"/>
  <c r="S99" i="78"/>
  <c r="T99" i="78"/>
  <c r="S100" i="78"/>
  <c r="T100" i="78"/>
  <c r="S101" i="78"/>
  <c r="T101" i="78"/>
  <c r="S102" i="78"/>
  <c r="T102" i="78"/>
  <c r="S103" i="78"/>
  <c r="T103" i="78"/>
  <c r="S104" i="78"/>
  <c r="T104" i="78"/>
  <c r="S105" i="78"/>
  <c r="T105" i="78"/>
  <c r="S106" i="78"/>
  <c r="T106" i="78"/>
  <c r="S107" i="78"/>
  <c r="T107" i="78"/>
  <c r="S108" i="78"/>
  <c r="T108" i="78"/>
  <c r="S109" i="78"/>
  <c r="T109" i="78"/>
  <c r="S110" i="78"/>
  <c r="T110" i="78"/>
  <c r="S111" i="78"/>
  <c r="T111" i="78"/>
  <c r="S112" i="78"/>
  <c r="T112" i="78"/>
  <c r="S113" i="78"/>
  <c r="T113" i="78"/>
  <c r="S114" i="78"/>
  <c r="T114" i="78"/>
  <c r="S115" i="78"/>
  <c r="T115" i="78"/>
  <c r="S116" i="78"/>
  <c r="T116" i="78"/>
  <c r="S117" i="78"/>
  <c r="T117" i="78"/>
  <c r="S118" i="78"/>
  <c r="T118" i="78"/>
  <c r="S119" i="78"/>
  <c r="T119" i="78"/>
  <c r="D14" i="162" s="1"/>
  <c r="S120" i="78"/>
  <c r="T120" i="78"/>
  <c r="S121" i="78"/>
  <c r="T121" i="78"/>
  <c r="S122" i="78"/>
  <c r="T122" i="78"/>
  <c r="S123" i="78"/>
  <c r="S124" i="78"/>
  <c r="S125" i="78"/>
  <c r="D17" i="162" l="1"/>
  <c r="B51" i="159"/>
  <c r="B48" i="159"/>
  <c r="B50" i="159"/>
  <c r="B49" i="159"/>
  <c r="B47" i="159"/>
  <c r="B46" i="159"/>
  <c r="B45" i="159"/>
  <c r="B44" i="159"/>
  <c r="B42" i="159"/>
  <c r="K77" i="147" l="1"/>
  <c r="K76" i="147"/>
  <c r="K75" i="147"/>
  <c r="K74" i="147"/>
  <c r="K73" i="147"/>
  <c r="K72" i="147"/>
  <c r="D7" i="162" l="1"/>
  <c r="D21" i="159"/>
  <c r="I98" i="104"/>
  <c r="I99" i="104"/>
  <c r="I100" i="104"/>
  <c r="I101" i="104"/>
  <c r="I102" i="104"/>
  <c r="I103" i="104"/>
  <c r="I104" i="104"/>
  <c r="I105" i="104"/>
  <c r="I94" i="104"/>
  <c r="I95" i="104"/>
  <c r="I96" i="104"/>
  <c r="I97" i="104"/>
  <c r="K95" i="121"/>
  <c r="K94" i="121"/>
  <c r="K93" i="121"/>
  <c r="K92" i="121"/>
  <c r="K91" i="121"/>
  <c r="K90" i="121"/>
  <c r="K89" i="121"/>
  <c r="K88" i="121"/>
  <c r="K87" i="121"/>
  <c r="K86" i="121"/>
  <c r="K85" i="121"/>
  <c r="K84" i="121"/>
  <c r="K83" i="121"/>
  <c r="K82" i="121"/>
  <c r="K81" i="121"/>
  <c r="K80" i="121"/>
  <c r="K79" i="121"/>
  <c r="K78" i="121"/>
  <c r="K77" i="121"/>
  <c r="K76" i="121"/>
  <c r="K8" i="55"/>
  <c r="L196" i="55" s="1"/>
  <c r="L193" i="55" l="1"/>
  <c r="L197" i="55"/>
  <c r="L194" i="55"/>
  <c r="L198" i="55"/>
  <c r="L191" i="55"/>
  <c r="L195" i="55"/>
  <c r="L199" i="55"/>
  <c r="L192" i="55"/>
  <c r="D7" i="160" l="1"/>
  <c r="B39" i="159"/>
  <c r="B38" i="159"/>
  <c r="B37" i="159"/>
  <c r="A14" i="159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A59" i="159" s="1"/>
  <c r="A60" i="159" s="1"/>
  <c r="A61" i="159" s="1"/>
  <c r="A62" i="159" s="1"/>
  <c r="A63" i="159" s="1"/>
  <c r="A64" i="159" s="1"/>
  <c r="A65" i="159" s="1"/>
  <c r="A66" i="159" s="1"/>
  <c r="C14" i="159" l="1"/>
  <c r="N71" i="111" l="1"/>
  <c r="H105" i="112" s="1"/>
  <c r="O71" i="111" l="1"/>
  <c r="N70" i="111"/>
  <c r="H104" i="112" s="1"/>
  <c r="O70" i="111" l="1"/>
  <c r="N69" i="111" l="1"/>
  <c r="O69" i="111" s="1"/>
  <c r="H103" i="112" l="1"/>
  <c r="N68" i="111" l="1"/>
  <c r="O68" i="111" s="1"/>
  <c r="H102" i="112" l="1"/>
  <c r="N67" i="111" l="1"/>
  <c r="O67" i="111" s="1"/>
  <c r="H101" i="112" l="1"/>
  <c r="J199" i="55"/>
  <c r="K11" i="55" l="1"/>
  <c r="K12" i="55" s="1"/>
  <c r="N66" i="111" l="1"/>
  <c r="H100" i="112" s="1"/>
  <c r="O66" i="111" l="1"/>
  <c r="N65" i="111"/>
  <c r="O65" i="111" s="1"/>
  <c r="H99" i="112" l="1"/>
  <c r="N64" i="111"/>
  <c r="H98" i="112" s="1"/>
  <c r="O64" i="111" l="1"/>
  <c r="N63" i="111" l="1"/>
  <c r="H97" i="112" s="1"/>
  <c r="O63" i="111" l="1"/>
  <c r="N62" i="111" l="1"/>
  <c r="O62" i="111" s="1"/>
  <c r="H96" i="112" l="1"/>
  <c r="N61" i="111" l="1"/>
  <c r="O61" i="111" s="1"/>
  <c r="H95" i="112" l="1"/>
  <c r="N60" i="111" l="1"/>
  <c r="H94" i="112" l="1"/>
  <c r="O60" i="111"/>
  <c r="N59" i="111" l="1"/>
  <c r="H93" i="112" s="1"/>
  <c r="O59" i="111" l="1"/>
  <c r="N58" i="111" l="1"/>
  <c r="H92" i="112" s="1"/>
  <c r="O58" i="111" l="1"/>
  <c r="N57" i="111" l="1"/>
  <c r="H91" i="112" s="1"/>
  <c r="O57" i="111" l="1"/>
  <c r="N56" i="111" l="1"/>
  <c r="H90" i="112" s="1"/>
  <c r="N55" i="111"/>
  <c r="H89" i="112" s="1"/>
  <c r="O55" i="111" l="1"/>
  <c r="O56" i="111"/>
  <c r="N54" i="111" l="1"/>
  <c r="H88" i="112" s="1"/>
  <c r="O54" i="111" l="1"/>
  <c r="N53" i="111" l="1"/>
  <c r="H87" i="112" s="1"/>
  <c r="O53" i="111" l="1"/>
  <c r="N52" i="111" l="1"/>
  <c r="H86" i="112" s="1"/>
  <c r="O52" i="111" l="1"/>
  <c r="E23" i="156" l="1"/>
  <c r="E22" i="156"/>
  <c r="I24" i="156" l="1"/>
  <c r="K25" i="134"/>
  <c r="N51" i="111" l="1"/>
  <c r="H85" i="112" s="1"/>
  <c r="O51" i="111" l="1"/>
  <c r="N50" i="111" l="1"/>
  <c r="H84" i="112" s="1"/>
  <c r="O50" i="111" l="1"/>
  <c r="N49" i="111"/>
  <c r="H83" i="112" s="1"/>
  <c r="E25" i="156"/>
  <c r="E26" i="156" s="1"/>
  <c r="I26" i="156" s="1"/>
  <c r="E27" i="156" l="1"/>
  <c r="O49" i="111"/>
  <c r="E29" i="156" l="1"/>
  <c r="E30" i="156" s="1"/>
  <c r="E31" i="156" s="1"/>
  <c r="E32" i="156" s="1"/>
  <c r="E28" i="156"/>
  <c r="I28" i="156" s="1"/>
  <c r="D21" i="156"/>
  <c r="E34" i="156" l="1"/>
  <c r="E35" i="156" s="1"/>
  <c r="E33" i="156"/>
  <c r="E36" i="156" l="1"/>
  <c r="E37" i="156" s="1"/>
  <c r="E38" i="156" s="1"/>
  <c r="E39" i="156" s="1"/>
  <c r="E40" i="156" s="1"/>
  <c r="E41" i="156" s="1"/>
  <c r="E42" i="156" s="1"/>
  <c r="E43" i="156" s="1"/>
  <c r="E44" i="156" s="1"/>
  <c r="E45" i="156" s="1"/>
  <c r="E46" i="156" s="1"/>
  <c r="E47" i="156" s="1"/>
  <c r="E48" i="156" s="1"/>
  <c r="E49" i="156" s="1"/>
  <c r="E50" i="156" s="1"/>
  <c r="E51" i="156" s="1"/>
  <c r="E52" i="156" s="1"/>
  <c r="E53" i="156" s="1"/>
  <c r="E54" i="156" s="1"/>
  <c r="E55" i="156" s="1"/>
  <c r="E56" i="156" s="1"/>
  <c r="E57" i="156" s="1"/>
  <c r="E58" i="156" s="1"/>
  <c r="E19" i="156"/>
  <c r="I19" i="156" s="1"/>
  <c r="I18" i="156"/>
  <c r="F18" i="156"/>
  <c r="I17" i="156"/>
  <c r="J17" i="156" s="1"/>
  <c r="M17" i="156" s="1"/>
  <c r="H17" i="156"/>
  <c r="F19" i="156" l="1"/>
  <c r="G19" i="156" s="1"/>
  <c r="L17" i="156"/>
  <c r="D18" i="156"/>
  <c r="G18" i="156"/>
  <c r="E20" i="156"/>
  <c r="J18" i="156"/>
  <c r="M18" i="156" s="1"/>
  <c r="H18" i="156" l="1"/>
  <c r="E21" i="156"/>
  <c r="I21" i="156" s="1"/>
  <c r="I20" i="156"/>
  <c r="D19" i="156"/>
  <c r="H19" i="156" s="1"/>
  <c r="F20" i="156"/>
  <c r="J19" i="156"/>
  <c r="M19" i="156" s="1"/>
  <c r="K18" i="156"/>
  <c r="L18" i="156" l="1"/>
  <c r="F21" i="156"/>
  <c r="J20" i="156"/>
  <c r="M20" i="156" s="1"/>
  <c r="K19" i="156"/>
  <c r="L19" i="156" s="1"/>
  <c r="G20" i="156"/>
  <c r="D20" i="156"/>
  <c r="H20" i="156" l="1"/>
  <c r="C22" i="156"/>
  <c r="D22" i="156" s="1"/>
  <c r="G21" i="156"/>
  <c r="J21" i="156"/>
  <c r="K20" i="156"/>
  <c r="L20" i="156" s="1"/>
  <c r="I57" i="156" l="1"/>
  <c r="I55" i="156"/>
  <c r="I53" i="156"/>
  <c r="I51" i="156"/>
  <c r="I49" i="156"/>
  <c r="I45" i="156"/>
  <c r="I43" i="156"/>
  <c r="I41" i="156"/>
  <c r="I39" i="156"/>
  <c r="I37" i="156"/>
  <c r="I33" i="156"/>
  <c r="I31" i="156"/>
  <c r="I58" i="156"/>
  <c r="I56" i="156"/>
  <c r="I54" i="156"/>
  <c r="I52" i="156"/>
  <c r="I50" i="156"/>
  <c r="I48" i="156"/>
  <c r="I46" i="156"/>
  <c r="I44" i="156"/>
  <c r="I42" i="156"/>
  <c r="I40" i="156"/>
  <c r="I38" i="156"/>
  <c r="I36" i="156"/>
  <c r="I34" i="156"/>
  <c r="I32" i="156"/>
  <c r="I29" i="156"/>
  <c r="I27" i="156"/>
  <c r="I25" i="156"/>
  <c r="C23" i="156"/>
  <c r="D23" i="156" s="1"/>
  <c r="I30" i="156"/>
  <c r="K21" i="156"/>
  <c r="H21" i="156"/>
  <c r="M21" i="156"/>
  <c r="L21" i="156" l="1"/>
  <c r="I35" i="156"/>
  <c r="I47" i="156"/>
  <c r="J22" i="156"/>
  <c r="F22" i="156"/>
  <c r="C24" i="156"/>
  <c r="D24" i="156" s="1"/>
  <c r="G22" i="156" l="1"/>
  <c r="H22" i="156" s="1"/>
  <c r="J23" i="156"/>
  <c r="K23" i="156" s="1"/>
  <c r="K22" i="156"/>
  <c r="C25" i="156"/>
  <c r="F23" i="156"/>
  <c r="M22" i="156"/>
  <c r="C26" i="156" l="1"/>
  <c r="D26" i="156" s="1"/>
  <c r="D25" i="156"/>
  <c r="G23" i="156"/>
  <c r="H23" i="156" s="1"/>
  <c r="L22" i="156"/>
  <c r="F24" i="156"/>
  <c r="G24" i="156" s="1"/>
  <c r="M23" i="156"/>
  <c r="J24" i="156"/>
  <c r="F25" i="156" l="1"/>
  <c r="G25" i="156" s="1"/>
  <c r="H24" i="156"/>
  <c r="M24" i="156"/>
  <c r="J25" i="156"/>
  <c r="J26" i="156" s="1"/>
  <c r="J27" i="156" s="1"/>
  <c r="K24" i="156"/>
  <c r="C27" i="156"/>
  <c r="D27" i="156" s="1"/>
  <c r="L23" i="156"/>
  <c r="C28" i="156" l="1"/>
  <c r="D28" i="156" s="1"/>
  <c r="L24" i="156"/>
  <c r="K25" i="156"/>
  <c r="F26" i="156"/>
  <c r="G26" i="156" s="1"/>
  <c r="H25" i="156"/>
  <c r="M25" i="156"/>
  <c r="L25" i="156" l="1"/>
  <c r="K26" i="156"/>
  <c r="F27" i="156"/>
  <c r="G27" i="156" s="1"/>
  <c r="H26" i="156"/>
  <c r="M26" i="156"/>
  <c r="C29" i="156"/>
  <c r="D29" i="156" l="1"/>
  <c r="L26" i="156"/>
  <c r="C30" i="156"/>
  <c r="F28" i="156"/>
  <c r="H27" i="156"/>
  <c r="M27" i="156"/>
  <c r="J28" i="156"/>
  <c r="K27" i="156"/>
  <c r="G28" i="156" l="1"/>
  <c r="H28" i="156" s="1"/>
  <c r="J29" i="156"/>
  <c r="K28" i="156"/>
  <c r="L27" i="156"/>
  <c r="C31" i="156"/>
  <c r="D30" i="156"/>
  <c r="F29" i="156"/>
  <c r="M28" i="156"/>
  <c r="G29" i="156" l="1"/>
  <c r="H29" i="156" s="1"/>
  <c r="L28" i="156"/>
  <c r="F30" i="156"/>
  <c r="G30" i="156" s="1"/>
  <c r="M29" i="156"/>
  <c r="C32" i="156"/>
  <c r="D31" i="156"/>
  <c r="J30" i="156"/>
  <c r="K29" i="156"/>
  <c r="J31" i="156" l="1"/>
  <c r="K30" i="156"/>
  <c r="C33" i="156"/>
  <c r="D33" i="156" s="1"/>
  <c r="D32" i="156"/>
  <c r="F31" i="156"/>
  <c r="H30" i="156"/>
  <c r="M30" i="156"/>
  <c r="L29" i="156"/>
  <c r="G31" i="156" l="1"/>
  <c r="H31" i="156" s="1"/>
  <c r="L30" i="156"/>
  <c r="J32" i="156"/>
  <c r="K31" i="156"/>
  <c r="F32" i="156"/>
  <c r="M31" i="156"/>
  <c r="C34" i="156"/>
  <c r="L31" i="156" l="1"/>
  <c r="J33" i="156"/>
  <c r="K32" i="156"/>
  <c r="C35" i="156"/>
  <c r="D34" i="156"/>
  <c r="F33" i="156"/>
  <c r="G32" i="156"/>
  <c r="H32" i="156" s="1"/>
  <c r="L32" i="156" s="1"/>
  <c r="M32" i="156"/>
  <c r="F34" i="156" l="1"/>
  <c r="G33" i="156"/>
  <c r="H33" i="156" s="1"/>
  <c r="M33" i="156"/>
  <c r="C36" i="156"/>
  <c r="D35" i="156"/>
  <c r="J34" i="156"/>
  <c r="K33" i="156"/>
  <c r="C37" i="156" l="1"/>
  <c r="D36" i="156"/>
  <c r="F35" i="156"/>
  <c r="G34" i="156"/>
  <c r="H34" i="156" s="1"/>
  <c r="M34" i="156"/>
  <c r="J35" i="156"/>
  <c r="K34" i="156"/>
  <c r="L33" i="156"/>
  <c r="L34" i="156" l="1"/>
  <c r="J36" i="156"/>
  <c r="K35" i="156"/>
  <c r="F36" i="156"/>
  <c r="G35" i="156"/>
  <c r="H35" i="156" s="1"/>
  <c r="M35" i="156"/>
  <c r="C38" i="156"/>
  <c r="D37" i="156"/>
  <c r="L35" i="156" l="1"/>
  <c r="C39" i="156"/>
  <c r="D38" i="156"/>
  <c r="F37" i="156"/>
  <c r="G36" i="156"/>
  <c r="H36" i="156" s="1"/>
  <c r="M36" i="156"/>
  <c r="J37" i="156"/>
  <c r="K36" i="156"/>
  <c r="F38" i="156" l="1"/>
  <c r="G37" i="156"/>
  <c r="H37" i="156" s="1"/>
  <c r="M37" i="156"/>
  <c r="C40" i="156"/>
  <c r="D39" i="156"/>
  <c r="J38" i="156"/>
  <c r="K37" i="156"/>
  <c r="L36" i="156"/>
  <c r="J39" i="156" l="1"/>
  <c r="K38" i="156"/>
  <c r="C41" i="156"/>
  <c r="D40" i="156"/>
  <c r="F39" i="156"/>
  <c r="G38" i="156"/>
  <c r="H38" i="156" s="1"/>
  <c r="M38" i="156"/>
  <c r="L37" i="156"/>
  <c r="L38" i="156" l="1"/>
  <c r="J40" i="156"/>
  <c r="K39" i="156"/>
  <c r="F40" i="156"/>
  <c r="G39" i="156"/>
  <c r="H39" i="156" s="1"/>
  <c r="M39" i="156"/>
  <c r="C42" i="156"/>
  <c r="D41" i="156"/>
  <c r="L39" i="156" l="1"/>
  <c r="J41" i="156"/>
  <c r="K40" i="156"/>
  <c r="C43" i="156"/>
  <c r="D42" i="156"/>
  <c r="F41" i="156"/>
  <c r="G40" i="156"/>
  <c r="H40" i="156" s="1"/>
  <c r="L40" i="156" s="1"/>
  <c r="M40" i="156"/>
  <c r="F42" i="156" l="1"/>
  <c r="G41" i="156"/>
  <c r="H41" i="156" s="1"/>
  <c r="M41" i="156"/>
  <c r="C44" i="156"/>
  <c r="D43" i="156"/>
  <c r="J42" i="156"/>
  <c r="K41" i="156"/>
  <c r="J43" i="156" l="1"/>
  <c r="K42" i="156"/>
  <c r="C45" i="156"/>
  <c r="D44" i="156"/>
  <c r="F43" i="156"/>
  <c r="G42" i="156"/>
  <c r="H42" i="156" s="1"/>
  <c r="M42" i="156"/>
  <c r="L41" i="156"/>
  <c r="L42" i="156" l="1"/>
  <c r="J44" i="156"/>
  <c r="K43" i="156"/>
  <c r="F44" i="156"/>
  <c r="G43" i="156"/>
  <c r="H43" i="156" s="1"/>
  <c r="M43" i="156"/>
  <c r="C46" i="156"/>
  <c r="D45" i="156"/>
  <c r="L43" i="156" l="1"/>
  <c r="J45" i="156"/>
  <c r="K44" i="156"/>
  <c r="C47" i="156"/>
  <c r="D46" i="156"/>
  <c r="F45" i="156"/>
  <c r="G44" i="156"/>
  <c r="H44" i="156" s="1"/>
  <c r="M44" i="156"/>
  <c r="L44" i="156" l="1"/>
  <c r="F46" i="156"/>
  <c r="G45" i="156"/>
  <c r="H45" i="156" s="1"/>
  <c r="M45" i="156"/>
  <c r="C48" i="156"/>
  <c r="D47" i="156"/>
  <c r="J46" i="156"/>
  <c r="K45" i="156"/>
  <c r="L45" i="156" l="1"/>
  <c r="C49" i="156"/>
  <c r="D48" i="156"/>
  <c r="F47" i="156"/>
  <c r="G46" i="156"/>
  <c r="H46" i="156" s="1"/>
  <c r="M46" i="156"/>
  <c r="J47" i="156"/>
  <c r="K46" i="156"/>
  <c r="L46" i="156" l="1"/>
  <c r="J48" i="156"/>
  <c r="K47" i="156"/>
  <c r="F48" i="156"/>
  <c r="G47" i="156"/>
  <c r="H47" i="156" s="1"/>
  <c r="M47" i="156"/>
  <c r="C50" i="156"/>
  <c r="D49" i="156"/>
  <c r="L47" i="156" l="1"/>
  <c r="C51" i="156"/>
  <c r="D50" i="156"/>
  <c r="F49" i="156"/>
  <c r="G48" i="156"/>
  <c r="H48" i="156" s="1"/>
  <c r="M48" i="156"/>
  <c r="J49" i="156"/>
  <c r="K48" i="156"/>
  <c r="L48" i="156" l="1"/>
  <c r="J50" i="156"/>
  <c r="K49" i="156"/>
  <c r="F50" i="156"/>
  <c r="G49" i="156"/>
  <c r="H49" i="156" s="1"/>
  <c r="M49" i="156"/>
  <c r="C52" i="156"/>
  <c r="D51" i="156"/>
  <c r="L49" i="156" l="1"/>
  <c r="C53" i="156"/>
  <c r="D52" i="156"/>
  <c r="F51" i="156"/>
  <c r="G50" i="156"/>
  <c r="H50" i="156" s="1"/>
  <c r="M50" i="156"/>
  <c r="J51" i="156"/>
  <c r="K50" i="156"/>
  <c r="L50" i="156" l="1"/>
  <c r="C54" i="156"/>
  <c r="D53" i="156"/>
  <c r="J52" i="156"/>
  <c r="K51" i="156"/>
  <c r="F52" i="156"/>
  <c r="G51" i="156"/>
  <c r="H51" i="156" s="1"/>
  <c r="M51" i="156"/>
  <c r="L51" i="156" l="1"/>
  <c r="J53" i="156"/>
  <c r="K52" i="156"/>
  <c r="F53" i="156"/>
  <c r="G52" i="156"/>
  <c r="H52" i="156" s="1"/>
  <c r="M52" i="156"/>
  <c r="C55" i="156"/>
  <c r="D54" i="156"/>
  <c r="L52" i="156" l="1"/>
  <c r="C56" i="156"/>
  <c r="D55" i="156"/>
  <c r="F54" i="156"/>
  <c r="G53" i="156"/>
  <c r="H53" i="156" s="1"/>
  <c r="M53" i="156"/>
  <c r="J54" i="156"/>
  <c r="K53" i="156"/>
  <c r="L53" i="156" l="1"/>
  <c r="C57" i="156"/>
  <c r="D56" i="156"/>
  <c r="J55" i="156"/>
  <c r="K54" i="156"/>
  <c r="F55" i="156"/>
  <c r="G54" i="156"/>
  <c r="H54" i="156" s="1"/>
  <c r="M54" i="156"/>
  <c r="L54" i="156" l="1"/>
  <c r="F56" i="156"/>
  <c r="G55" i="156"/>
  <c r="H55" i="156" s="1"/>
  <c r="M55" i="156"/>
  <c r="J56" i="156"/>
  <c r="K55" i="156"/>
  <c r="C58" i="156"/>
  <c r="D57" i="156"/>
  <c r="J57" i="156" l="1"/>
  <c r="K56" i="156"/>
  <c r="F57" i="156"/>
  <c r="G56" i="156"/>
  <c r="H56" i="156" s="1"/>
  <c r="M56" i="156"/>
  <c r="C59" i="156"/>
  <c r="D58" i="156"/>
  <c r="L55" i="156"/>
  <c r="L56" i="156" l="1"/>
  <c r="C60" i="156"/>
  <c r="D59" i="156"/>
  <c r="F58" i="156"/>
  <c r="G57" i="156"/>
  <c r="H57" i="156" s="1"/>
  <c r="M57" i="156"/>
  <c r="J58" i="156"/>
  <c r="K57" i="156"/>
  <c r="E60" i="156" l="1"/>
  <c r="L57" i="156"/>
  <c r="C61" i="156"/>
  <c r="D60" i="156"/>
  <c r="J59" i="156"/>
  <c r="K58" i="156"/>
  <c r="F59" i="156"/>
  <c r="G58" i="156"/>
  <c r="H58" i="156" s="1"/>
  <c r="M58" i="156"/>
  <c r="E61" i="156" l="1"/>
  <c r="J60" i="156"/>
  <c r="L58" i="156"/>
  <c r="F60" i="156"/>
  <c r="G59" i="156"/>
  <c r="H59" i="156" s="1"/>
  <c r="M59" i="156"/>
  <c r="C62" i="156"/>
  <c r="D61" i="156"/>
  <c r="K59" i="156"/>
  <c r="E62" i="156" l="1"/>
  <c r="J61" i="156"/>
  <c r="K60" i="156"/>
  <c r="C63" i="156"/>
  <c r="D62" i="156"/>
  <c r="F61" i="156"/>
  <c r="G60" i="156"/>
  <c r="H60" i="156" s="1"/>
  <c r="M60" i="156"/>
  <c r="L59" i="156"/>
  <c r="E63" i="156" l="1"/>
  <c r="L60" i="156"/>
  <c r="F62" i="156"/>
  <c r="G61" i="156"/>
  <c r="H61" i="156" s="1"/>
  <c r="M61" i="156"/>
  <c r="J62" i="156"/>
  <c r="K61" i="156"/>
  <c r="C64" i="156"/>
  <c r="D63" i="156"/>
  <c r="E64" i="156" l="1"/>
  <c r="J63" i="156"/>
  <c r="L61" i="156"/>
  <c r="C65" i="156"/>
  <c r="D64" i="156"/>
  <c r="F63" i="156"/>
  <c r="G62" i="156"/>
  <c r="H62" i="156" s="1"/>
  <c r="M62" i="156"/>
  <c r="K62" i="156"/>
  <c r="E65" i="156" l="1"/>
  <c r="L62" i="156"/>
  <c r="C66" i="156"/>
  <c r="D65" i="156"/>
  <c r="J64" i="156"/>
  <c r="K63" i="156"/>
  <c r="F64" i="156"/>
  <c r="G63" i="156"/>
  <c r="H63" i="156" s="1"/>
  <c r="M63" i="156"/>
  <c r="E66" i="156" l="1"/>
  <c r="L63" i="156"/>
  <c r="F65" i="156"/>
  <c r="G64" i="156"/>
  <c r="H64" i="156" s="1"/>
  <c r="M64" i="156"/>
  <c r="J65" i="156"/>
  <c r="K64" i="156"/>
  <c r="C67" i="156"/>
  <c r="D66" i="156"/>
  <c r="E67" i="156" l="1"/>
  <c r="J66" i="156"/>
  <c r="K65" i="156"/>
  <c r="F66" i="156"/>
  <c r="G65" i="156"/>
  <c r="H65" i="156" s="1"/>
  <c r="M65" i="156"/>
  <c r="C68" i="156"/>
  <c r="D67" i="156"/>
  <c r="L64" i="156"/>
  <c r="E68" i="156" l="1"/>
  <c r="J67" i="156"/>
  <c r="L65" i="156"/>
  <c r="C69" i="156"/>
  <c r="D68" i="156"/>
  <c r="F67" i="156"/>
  <c r="G66" i="156"/>
  <c r="H66" i="156" s="1"/>
  <c r="M66" i="156"/>
  <c r="K66" i="156"/>
  <c r="E69" i="156" l="1"/>
  <c r="L66" i="156"/>
  <c r="C70" i="156"/>
  <c r="D69" i="156"/>
  <c r="J68" i="156"/>
  <c r="K67" i="156"/>
  <c r="F68" i="156"/>
  <c r="G67" i="156"/>
  <c r="H67" i="156" s="1"/>
  <c r="M67" i="156"/>
  <c r="J69" i="156" l="1"/>
  <c r="E51" i="159"/>
  <c r="L67" i="156"/>
  <c r="F69" i="156"/>
  <c r="G68" i="156"/>
  <c r="H68" i="156" s="1"/>
  <c r="M68" i="156"/>
  <c r="K68" i="156"/>
  <c r="C71" i="156"/>
  <c r="D70" i="156"/>
  <c r="J70" i="156" l="1"/>
  <c r="K69" i="156"/>
  <c r="F70" i="156"/>
  <c r="G69" i="156"/>
  <c r="H69" i="156" s="1"/>
  <c r="M69" i="156"/>
  <c r="D71" i="156"/>
  <c r="L68" i="156"/>
  <c r="L69" i="156" l="1"/>
  <c r="F71" i="156"/>
  <c r="G70" i="156"/>
  <c r="H70" i="156" s="1"/>
  <c r="M70" i="156"/>
  <c r="J71" i="156"/>
  <c r="K70" i="156"/>
  <c r="D89" i="162" l="1"/>
  <c r="L70" i="156"/>
  <c r="D30" i="159" s="1"/>
  <c r="K71" i="156"/>
  <c r="G71" i="156"/>
  <c r="H71" i="156" s="1"/>
  <c r="M71" i="156"/>
  <c r="L71" i="156" l="1"/>
  <c r="N48" i="111" l="1"/>
  <c r="H82" i="112" s="1"/>
  <c r="O48" i="111" l="1"/>
  <c r="N47" i="111" l="1"/>
  <c r="H81" i="112" s="1"/>
  <c r="O47" i="111" l="1"/>
  <c r="N46" i="111" l="1"/>
  <c r="H80" i="112" s="1"/>
  <c r="O46" i="111" l="1"/>
  <c r="N45" i="111" l="1"/>
  <c r="H79" i="112" l="1"/>
  <c r="N44" i="111" l="1"/>
  <c r="H78" i="112" s="1"/>
  <c r="N43" i="111" l="1"/>
  <c r="H77" i="112" l="1"/>
  <c r="N42" i="111" l="1"/>
  <c r="H76" i="112" s="1"/>
  <c r="O382" i="114" l="1"/>
  <c r="K24" i="134" l="1"/>
  <c r="K26" i="134"/>
  <c r="K27" i="134"/>
  <c r="K28" i="134"/>
  <c r="K29" i="134"/>
  <c r="K30" i="134"/>
  <c r="K31" i="134"/>
  <c r="K32" i="134"/>
  <c r="K33" i="134"/>
  <c r="K34" i="134"/>
  <c r="K35" i="134"/>
  <c r="K36" i="134"/>
  <c r="K107" i="134"/>
  <c r="K106" i="134"/>
  <c r="K105" i="134"/>
  <c r="K97" i="134"/>
  <c r="K98" i="134"/>
  <c r="K99" i="134"/>
  <c r="K100" i="134"/>
  <c r="K101" i="134"/>
  <c r="K102" i="134"/>
  <c r="K103" i="134"/>
  <c r="K104" i="134"/>
  <c r="K96" i="134"/>
  <c r="I60" i="111" l="1"/>
  <c r="M87" i="148" l="1"/>
  <c r="N87" i="148" s="1"/>
  <c r="K74" i="148"/>
  <c r="K73" i="148"/>
  <c r="K22" i="148"/>
  <c r="K21" i="148"/>
  <c r="K20" i="148"/>
  <c r="K19" i="148"/>
  <c r="K18" i="148"/>
  <c r="K17" i="148"/>
  <c r="K16" i="148"/>
  <c r="K15" i="148"/>
  <c r="L15" i="148" s="1"/>
  <c r="E15" i="148"/>
  <c r="K22" i="147"/>
  <c r="K21" i="147"/>
  <c r="K20" i="147"/>
  <c r="K19" i="147"/>
  <c r="K18" i="147"/>
  <c r="K17" i="147"/>
  <c r="K16" i="147"/>
  <c r="K15" i="147"/>
  <c r="K14" i="147"/>
  <c r="L14" i="147" s="1"/>
  <c r="E14" i="147"/>
  <c r="E16" i="148" l="1"/>
  <c r="E15" i="147"/>
  <c r="L15" i="147"/>
  <c r="E17" i="148"/>
  <c r="L16" i="148"/>
  <c r="O16" i="148" s="1"/>
  <c r="O15" i="147" l="1"/>
  <c r="E16" i="147"/>
  <c r="L16" i="147"/>
  <c r="L17" i="148"/>
  <c r="L18" i="148" s="1"/>
  <c r="E18" i="148"/>
  <c r="O16" i="147" l="1"/>
  <c r="E17" i="147"/>
  <c r="L17" i="147"/>
  <c r="O17" i="147" s="1"/>
  <c r="O18" i="148"/>
  <c r="O17" i="148"/>
  <c r="E18" i="147"/>
  <c r="E19" i="148"/>
  <c r="L18" i="147" l="1"/>
  <c r="O18" i="147" s="1"/>
  <c r="L19" i="148"/>
  <c r="O19" i="148" s="1"/>
  <c r="E20" i="148"/>
  <c r="E19" i="147"/>
  <c r="N41" i="111"/>
  <c r="H75" i="112" s="1"/>
  <c r="D77" i="113" s="1"/>
  <c r="D24" i="114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D43" i="114" s="1"/>
  <c r="D44" i="114" s="1"/>
  <c r="D45" i="114" s="1"/>
  <c r="D46" i="114" s="1"/>
  <c r="D47" i="114" s="1"/>
  <c r="D48" i="114" s="1"/>
  <c r="D49" i="114" s="1"/>
  <c r="D50" i="114" s="1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23" i="114"/>
  <c r="D76" i="114"/>
  <c r="D75" i="114"/>
  <c r="D74" i="114"/>
  <c r="D73" i="114"/>
  <c r="D72" i="114"/>
  <c r="D71" i="114"/>
  <c r="D70" i="114"/>
  <c r="J68" i="114"/>
  <c r="M86" i="114"/>
  <c r="M88" i="114"/>
  <c r="H89" i="114"/>
  <c r="H90" i="114"/>
  <c r="I74" i="112"/>
  <c r="C76" i="113" s="1"/>
  <c r="H76" i="113" s="1"/>
  <c r="B76" i="113" s="1"/>
  <c r="N40" i="111"/>
  <c r="H74" i="112" s="1"/>
  <c r="D76" i="113" s="1"/>
  <c r="G21" i="135"/>
  <c r="F19" i="133"/>
  <c r="G26" i="134"/>
  <c r="N39" i="111"/>
  <c r="H73" i="112" s="1"/>
  <c r="D75" i="113" s="1"/>
  <c r="H72" i="112"/>
  <c r="K12" i="134"/>
  <c r="L12" i="134" s="1"/>
  <c r="H19" i="135"/>
  <c r="I19" i="135" s="1"/>
  <c r="M87" i="114"/>
  <c r="H91" i="114"/>
  <c r="H92" i="114" s="1"/>
  <c r="H93" i="114" s="1"/>
  <c r="H71" i="112"/>
  <c r="E12" i="134"/>
  <c r="H70" i="112"/>
  <c r="K102" i="135"/>
  <c r="K101" i="135"/>
  <c r="K100" i="135"/>
  <c r="K99" i="135"/>
  <c r="K98" i="135"/>
  <c r="K97" i="135"/>
  <c r="K96" i="135"/>
  <c r="K95" i="135"/>
  <c r="K94" i="135"/>
  <c r="K93" i="135"/>
  <c r="K92" i="135"/>
  <c r="K91" i="135"/>
  <c r="K17" i="135"/>
  <c r="K11" i="135"/>
  <c r="L11" i="135" s="1"/>
  <c r="E11" i="135"/>
  <c r="K12" i="135"/>
  <c r="K14" i="135"/>
  <c r="K16" i="135"/>
  <c r="K18" i="135"/>
  <c r="K13" i="135"/>
  <c r="K15" i="135"/>
  <c r="K23" i="134"/>
  <c r="K22" i="134"/>
  <c r="K21" i="134"/>
  <c r="K20" i="134"/>
  <c r="K19" i="134"/>
  <c r="K18" i="134"/>
  <c r="K17" i="134"/>
  <c r="K16" i="134"/>
  <c r="H16" i="134"/>
  <c r="H17" i="134" s="1"/>
  <c r="H18" i="134" s="1"/>
  <c r="H19" i="134" s="1"/>
  <c r="H20" i="134" s="1"/>
  <c r="H21" i="134" s="1"/>
  <c r="H22" i="134" s="1"/>
  <c r="H23" i="134" s="1"/>
  <c r="H24" i="134" s="1"/>
  <c r="K15" i="134"/>
  <c r="K14" i="134"/>
  <c r="K13" i="134"/>
  <c r="E13" i="134"/>
  <c r="E14" i="134" s="1"/>
  <c r="E15" i="134" s="1"/>
  <c r="E16" i="134" s="1"/>
  <c r="E17" i="134" s="1"/>
  <c r="N101" i="133"/>
  <c r="J100" i="133"/>
  <c r="J99" i="133"/>
  <c r="J98" i="133"/>
  <c r="J97" i="133"/>
  <c r="J96" i="133"/>
  <c r="J95" i="133"/>
  <c r="J94" i="133"/>
  <c r="J93" i="133"/>
  <c r="J92" i="133"/>
  <c r="J91" i="133"/>
  <c r="J90" i="133"/>
  <c r="J89" i="133"/>
  <c r="G14" i="133"/>
  <c r="G15" i="133" s="1"/>
  <c r="G16" i="133" s="1"/>
  <c r="G17" i="133" s="1"/>
  <c r="H17" i="133" s="1"/>
  <c r="J16" i="133"/>
  <c r="J11" i="133"/>
  <c r="K11" i="133"/>
  <c r="D11" i="133"/>
  <c r="J13" i="133"/>
  <c r="J15" i="133"/>
  <c r="J12" i="133"/>
  <c r="J14" i="133"/>
  <c r="D12" i="133"/>
  <c r="D13" i="133" s="1"/>
  <c r="I70" i="112"/>
  <c r="C72" i="113" s="1"/>
  <c r="H72" i="113" s="1"/>
  <c r="B72" i="113" s="1"/>
  <c r="G70" i="112"/>
  <c r="N72" i="113" s="1"/>
  <c r="H69" i="112"/>
  <c r="G44" i="112"/>
  <c r="H68" i="112"/>
  <c r="D70" i="113" s="1"/>
  <c r="H67" i="112"/>
  <c r="H66" i="112"/>
  <c r="D68" i="113" s="1"/>
  <c r="H64" i="112"/>
  <c r="D66" i="113" s="1"/>
  <c r="H63" i="112"/>
  <c r="H62" i="112"/>
  <c r="D64" i="113" s="1"/>
  <c r="N295" i="113"/>
  <c r="N294" i="113"/>
  <c r="N293" i="113"/>
  <c r="N292" i="113"/>
  <c r="N291" i="113"/>
  <c r="N289" i="113"/>
  <c r="D289" i="113"/>
  <c r="C289" i="113"/>
  <c r="H289" i="113" s="1"/>
  <c r="B289" i="113" s="1"/>
  <c r="N288" i="113"/>
  <c r="D288" i="113"/>
  <c r="C288" i="113"/>
  <c r="H288" i="113" s="1"/>
  <c r="B288" i="113" s="1"/>
  <c r="N287" i="113"/>
  <c r="D287" i="113"/>
  <c r="C287" i="113"/>
  <c r="H287" i="113" s="1"/>
  <c r="B287" i="113" s="1"/>
  <c r="N286" i="113"/>
  <c r="C286" i="113"/>
  <c r="H286" i="113"/>
  <c r="B286" i="113" s="1"/>
  <c r="N285" i="113"/>
  <c r="N284" i="113"/>
  <c r="N283" i="113"/>
  <c r="N282" i="113"/>
  <c r="N281" i="113"/>
  <c r="N280" i="113"/>
  <c r="N279" i="113"/>
  <c r="N278" i="113"/>
  <c r="N277" i="113"/>
  <c r="N276" i="113"/>
  <c r="N275" i="113"/>
  <c r="N274" i="113"/>
  <c r="N273" i="113"/>
  <c r="N272" i="113"/>
  <c r="N271" i="113"/>
  <c r="N270" i="113"/>
  <c r="N269" i="113"/>
  <c r="N268" i="113"/>
  <c r="N267" i="113"/>
  <c r="N266" i="113"/>
  <c r="N265" i="113"/>
  <c r="N264" i="113"/>
  <c r="N263" i="113"/>
  <c r="N262" i="113"/>
  <c r="N261" i="113"/>
  <c r="N260" i="113"/>
  <c r="N259" i="113"/>
  <c r="N258" i="113"/>
  <c r="N257" i="113"/>
  <c r="N256" i="113"/>
  <c r="N255" i="113"/>
  <c r="N254" i="113"/>
  <c r="N253" i="113"/>
  <c r="N252" i="113"/>
  <c r="N251" i="113"/>
  <c r="N250" i="113"/>
  <c r="N249" i="113"/>
  <c r="N248" i="113"/>
  <c r="N247" i="113"/>
  <c r="N246" i="113"/>
  <c r="N245" i="113"/>
  <c r="N244" i="113"/>
  <c r="N243" i="113"/>
  <c r="N242" i="113"/>
  <c r="N241" i="113"/>
  <c r="N240" i="113"/>
  <c r="N239" i="113"/>
  <c r="N238" i="113"/>
  <c r="N237" i="113"/>
  <c r="N236" i="113"/>
  <c r="N235" i="113"/>
  <c r="N234" i="113"/>
  <c r="N233" i="113"/>
  <c r="N232" i="113"/>
  <c r="N231" i="113"/>
  <c r="N230" i="113"/>
  <c r="N229" i="113"/>
  <c r="N228" i="113"/>
  <c r="N227" i="113"/>
  <c r="N226" i="113"/>
  <c r="N225" i="113"/>
  <c r="N224" i="113"/>
  <c r="N223" i="113"/>
  <c r="N222" i="113"/>
  <c r="N221" i="113"/>
  <c r="B298" i="113"/>
  <c r="B297" i="113"/>
  <c r="B296" i="113"/>
  <c r="B295" i="113"/>
  <c r="B294" i="113"/>
  <c r="B293" i="113"/>
  <c r="B292" i="113"/>
  <c r="B291" i="113"/>
  <c r="B290" i="113"/>
  <c r="H284" i="112"/>
  <c r="D286" i="113"/>
  <c r="C285" i="112"/>
  <c r="C284" i="112"/>
  <c r="C283" i="112"/>
  <c r="C282" i="112"/>
  <c r="C281" i="112"/>
  <c r="C280" i="112"/>
  <c r="C279" i="112"/>
  <c r="C277" i="112"/>
  <c r="C276" i="112"/>
  <c r="C275" i="112"/>
  <c r="C274" i="112"/>
  <c r="C273" i="112"/>
  <c r="C272" i="112"/>
  <c r="C271" i="112"/>
  <c r="C270" i="112"/>
  <c r="C269" i="112"/>
  <c r="C268" i="112"/>
  <c r="C267" i="112"/>
  <c r="C265" i="112"/>
  <c r="C264" i="112"/>
  <c r="C263" i="112"/>
  <c r="C262" i="112"/>
  <c r="C261" i="112"/>
  <c r="C260" i="112"/>
  <c r="C259" i="112"/>
  <c r="C258" i="112"/>
  <c r="C257" i="112"/>
  <c r="C256" i="112"/>
  <c r="C255" i="112"/>
  <c r="C253" i="112"/>
  <c r="C252" i="112"/>
  <c r="C251" i="112"/>
  <c r="C250" i="112"/>
  <c r="C249" i="112"/>
  <c r="C248" i="112"/>
  <c r="C247" i="112"/>
  <c r="C246" i="112"/>
  <c r="C245" i="112"/>
  <c r="C244" i="112"/>
  <c r="C243" i="112"/>
  <c r="C241" i="112"/>
  <c r="C240" i="112"/>
  <c r="C239" i="112"/>
  <c r="C238" i="112"/>
  <c r="C237" i="112"/>
  <c r="C236" i="112"/>
  <c r="C235" i="112"/>
  <c r="C234" i="112"/>
  <c r="C233" i="112"/>
  <c r="C232" i="112"/>
  <c r="C231" i="112"/>
  <c r="C229" i="112"/>
  <c r="C228" i="112"/>
  <c r="C227" i="112"/>
  <c r="C226" i="112"/>
  <c r="C225" i="112"/>
  <c r="C224" i="112"/>
  <c r="C223" i="112"/>
  <c r="C222" i="112"/>
  <c r="C221" i="112"/>
  <c r="C220" i="112"/>
  <c r="C219" i="112"/>
  <c r="C217" i="112"/>
  <c r="C216" i="112"/>
  <c r="C215" i="112"/>
  <c r="C214" i="112"/>
  <c r="C213" i="112"/>
  <c r="C212" i="112"/>
  <c r="C211" i="112"/>
  <c r="C210" i="112"/>
  <c r="C209" i="112"/>
  <c r="C208" i="112"/>
  <c r="C207" i="112"/>
  <c r="C205" i="112"/>
  <c r="C204" i="112"/>
  <c r="C203" i="112"/>
  <c r="C202" i="112"/>
  <c r="C201" i="112"/>
  <c r="C200" i="112"/>
  <c r="C199" i="112"/>
  <c r="C198" i="112"/>
  <c r="C197" i="112"/>
  <c r="C196" i="112"/>
  <c r="C195" i="112"/>
  <c r="C193" i="112"/>
  <c r="C192" i="112"/>
  <c r="C191" i="112"/>
  <c r="C190" i="112"/>
  <c r="C189" i="112"/>
  <c r="C188" i="112"/>
  <c r="C187" i="112"/>
  <c r="C186" i="112"/>
  <c r="C185" i="112"/>
  <c r="C184" i="112"/>
  <c r="C183" i="112"/>
  <c r="C182" i="112"/>
  <c r="C181" i="112"/>
  <c r="C180" i="112"/>
  <c r="C179" i="112"/>
  <c r="C178" i="112"/>
  <c r="C177" i="112"/>
  <c r="C176" i="112"/>
  <c r="C175" i="112"/>
  <c r="C174" i="112"/>
  <c r="C173" i="112"/>
  <c r="C172" i="112"/>
  <c r="C171" i="112"/>
  <c r="C170" i="112"/>
  <c r="C169" i="112"/>
  <c r="C168" i="112"/>
  <c r="C167" i="112"/>
  <c r="C166" i="112"/>
  <c r="C165" i="112"/>
  <c r="C164" i="112"/>
  <c r="C163" i="112"/>
  <c r="C162" i="112"/>
  <c r="C161" i="112"/>
  <c r="C160" i="112"/>
  <c r="C159" i="112"/>
  <c r="C158" i="112"/>
  <c r="C157" i="112"/>
  <c r="C156" i="112"/>
  <c r="C155" i="112"/>
  <c r="C154" i="112"/>
  <c r="C153" i="112"/>
  <c r="C152" i="112"/>
  <c r="C151" i="112"/>
  <c r="C150" i="112"/>
  <c r="C149" i="112"/>
  <c r="C148" i="112"/>
  <c r="C147" i="112"/>
  <c r="C146" i="112"/>
  <c r="C145" i="112"/>
  <c r="C144" i="112"/>
  <c r="C143" i="112"/>
  <c r="C142" i="112"/>
  <c r="C141" i="112"/>
  <c r="C140" i="112"/>
  <c r="C139" i="112"/>
  <c r="C138" i="112"/>
  <c r="C137" i="112"/>
  <c r="C136" i="112"/>
  <c r="C135" i="112"/>
  <c r="C134" i="112"/>
  <c r="C133" i="112"/>
  <c r="C132" i="112"/>
  <c r="C131" i="112"/>
  <c r="C130" i="112"/>
  <c r="C129" i="112"/>
  <c r="C128" i="112"/>
  <c r="C127" i="112"/>
  <c r="C126" i="112"/>
  <c r="C125" i="112"/>
  <c r="C124" i="112"/>
  <c r="C123" i="112"/>
  <c r="C122" i="112"/>
  <c r="C121" i="112"/>
  <c r="C120" i="112"/>
  <c r="C119" i="112"/>
  <c r="C118" i="112"/>
  <c r="C117" i="112"/>
  <c r="C116" i="112"/>
  <c r="C115" i="112"/>
  <c r="C114" i="112"/>
  <c r="C113" i="112"/>
  <c r="C112" i="112"/>
  <c r="C111" i="112"/>
  <c r="C110" i="112"/>
  <c r="C109" i="112"/>
  <c r="C108" i="112"/>
  <c r="C107" i="112"/>
  <c r="C106" i="112"/>
  <c r="C105" i="112"/>
  <c r="C104" i="112"/>
  <c r="C103" i="112"/>
  <c r="C102" i="112"/>
  <c r="C101" i="112"/>
  <c r="C100" i="112"/>
  <c r="C99" i="112"/>
  <c r="C98" i="112"/>
  <c r="C97" i="112"/>
  <c r="C96" i="112"/>
  <c r="C95" i="112"/>
  <c r="C94" i="112"/>
  <c r="C93" i="112"/>
  <c r="C92" i="112"/>
  <c r="C91" i="112"/>
  <c r="C90" i="112"/>
  <c r="C89" i="112"/>
  <c r="C88" i="112"/>
  <c r="C87" i="112"/>
  <c r="C86" i="112"/>
  <c r="C85" i="112"/>
  <c r="C84" i="112"/>
  <c r="C83" i="112"/>
  <c r="C82" i="112"/>
  <c r="C81" i="112"/>
  <c r="C80" i="112"/>
  <c r="C79" i="112"/>
  <c r="C78" i="112"/>
  <c r="C77" i="112"/>
  <c r="C76" i="112"/>
  <c r="C75" i="112"/>
  <c r="C74" i="112"/>
  <c r="C73" i="112"/>
  <c r="C72" i="112"/>
  <c r="C71" i="112"/>
  <c r="C70" i="112"/>
  <c r="C69" i="112"/>
  <c r="C68" i="112"/>
  <c r="C67" i="112"/>
  <c r="C66" i="112"/>
  <c r="C65" i="112"/>
  <c r="C64" i="112"/>
  <c r="C63" i="112"/>
  <c r="C62" i="112"/>
  <c r="C61" i="112"/>
  <c r="C60" i="112"/>
  <c r="C59" i="112"/>
  <c r="C58" i="112"/>
  <c r="C57" i="112"/>
  <c r="C56" i="112"/>
  <c r="C55" i="112"/>
  <c r="C54" i="112"/>
  <c r="C53" i="112"/>
  <c r="C52" i="112"/>
  <c r="C51" i="112"/>
  <c r="C50" i="112"/>
  <c r="C49" i="112"/>
  <c r="C48" i="112"/>
  <c r="C47" i="112"/>
  <c r="C46" i="112"/>
  <c r="C45" i="112"/>
  <c r="C44" i="112"/>
  <c r="C43" i="112"/>
  <c r="C42" i="112"/>
  <c r="C41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C16" i="112"/>
  <c r="C15" i="112"/>
  <c r="C14" i="112"/>
  <c r="C13" i="112"/>
  <c r="C12" i="112"/>
  <c r="C11" i="112"/>
  <c r="C10" i="112"/>
  <c r="C9" i="112"/>
  <c r="C8" i="112"/>
  <c r="C7" i="112"/>
  <c r="C6" i="112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K75" i="121"/>
  <c r="K74" i="121"/>
  <c r="K73" i="121"/>
  <c r="K72" i="121"/>
  <c r="K71" i="121"/>
  <c r="K70" i="121"/>
  <c r="K69" i="121"/>
  <c r="K68" i="121"/>
  <c r="K67" i="121"/>
  <c r="K66" i="121"/>
  <c r="K65" i="121"/>
  <c r="K64" i="121"/>
  <c r="K35" i="121"/>
  <c r="K32" i="121"/>
  <c r="K31" i="121"/>
  <c r="K30" i="121"/>
  <c r="K29" i="121"/>
  <c r="K28" i="121"/>
  <c r="K27" i="121"/>
  <c r="K26" i="121"/>
  <c r="K25" i="121"/>
  <c r="K24" i="121"/>
  <c r="K23" i="121"/>
  <c r="K22" i="121"/>
  <c r="K21" i="121"/>
  <c r="G19" i="121"/>
  <c r="G17" i="121"/>
  <c r="G16" i="121"/>
  <c r="D16" i="121"/>
  <c r="D15" i="121"/>
  <c r="L13" i="121"/>
  <c r="L14" i="121" s="1"/>
  <c r="L15" i="121" s="1"/>
  <c r="M15" i="121" s="1"/>
  <c r="E13" i="121"/>
  <c r="O13" i="121" s="1"/>
  <c r="H58" i="112"/>
  <c r="H57" i="112"/>
  <c r="I22" i="111"/>
  <c r="I21" i="111"/>
  <c r="I20" i="111"/>
  <c r="I19" i="111"/>
  <c r="I18" i="111"/>
  <c r="I197" i="111"/>
  <c r="I196" i="111"/>
  <c r="H56" i="112"/>
  <c r="D58" i="113" s="1"/>
  <c r="I17" i="111"/>
  <c r="I16" i="111"/>
  <c r="I15" i="111"/>
  <c r="I14" i="111"/>
  <c r="H55" i="112"/>
  <c r="H54" i="112"/>
  <c r="I195" i="111"/>
  <c r="H53" i="112"/>
  <c r="D55" i="113" s="1"/>
  <c r="H52" i="112"/>
  <c r="N220" i="113"/>
  <c r="N219" i="113"/>
  <c r="N218" i="113"/>
  <c r="N217" i="113"/>
  <c r="N216" i="113"/>
  <c r="N215" i="113"/>
  <c r="N214" i="113"/>
  <c r="N213" i="113"/>
  <c r="N212" i="113"/>
  <c r="N211" i="113"/>
  <c r="N210" i="113"/>
  <c r="N209" i="113"/>
  <c r="N208" i="113"/>
  <c r="N207" i="113"/>
  <c r="N206" i="113"/>
  <c r="N205" i="113"/>
  <c r="N204" i="113"/>
  <c r="N203" i="113"/>
  <c r="N202" i="113"/>
  <c r="N201" i="113"/>
  <c r="N200" i="113"/>
  <c r="N199" i="113"/>
  <c r="N198" i="113"/>
  <c r="N197" i="113"/>
  <c r="N196" i="113"/>
  <c r="N195" i="113"/>
  <c r="N194" i="113"/>
  <c r="N193" i="113"/>
  <c r="N192" i="113"/>
  <c r="N191" i="113"/>
  <c r="N190" i="113"/>
  <c r="N189" i="113"/>
  <c r="N188" i="113"/>
  <c r="N187" i="113"/>
  <c r="N186" i="113"/>
  <c r="N185" i="113"/>
  <c r="N184" i="113"/>
  <c r="N183" i="113"/>
  <c r="N182" i="113"/>
  <c r="N181" i="113"/>
  <c r="N180" i="113"/>
  <c r="N179" i="113"/>
  <c r="N178" i="113"/>
  <c r="N177" i="113"/>
  <c r="N176" i="113"/>
  <c r="N175" i="113"/>
  <c r="N174" i="113"/>
  <c r="N173" i="113"/>
  <c r="N172" i="113"/>
  <c r="N171" i="113"/>
  <c r="N170" i="113"/>
  <c r="N169" i="113"/>
  <c r="N168" i="113"/>
  <c r="N167" i="113"/>
  <c r="N166" i="113"/>
  <c r="N165" i="113"/>
  <c r="N164" i="113"/>
  <c r="N163" i="113"/>
  <c r="N162" i="113"/>
  <c r="N161" i="113"/>
  <c r="N160" i="113"/>
  <c r="N159" i="113"/>
  <c r="N158" i="113"/>
  <c r="N157" i="113"/>
  <c r="N156" i="113"/>
  <c r="N155" i="113"/>
  <c r="N154" i="113"/>
  <c r="N153" i="113"/>
  <c r="N152" i="113"/>
  <c r="N151" i="113"/>
  <c r="N150" i="113"/>
  <c r="N149" i="113"/>
  <c r="N148" i="113"/>
  <c r="N147" i="113"/>
  <c r="N146" i="113"/>
  <c r="N145" i="113"/>
  <c r="N144" i="113"/>
  <c r="N143" i="113"/>
  <c r="N142" i="113"/>
  <c r="N141" i="113"/>
  <c r="N140" i="113"/>
  <c r="N139" i="113"/>
  <c r="N138" i="113"/>
  <c r="N137" i="113"/>
  <c r="N136" i="113"/>
  <c r="N135" i="113"/>
  <c r="N134" i="113"/>
  <c r="N133" i="113"/>
  <c r="N132" i="113"/>
  <c r="N131" i="113"/>
  <c r="N130" i="113"/>
  <c r="N129" i="113"/>
  <c r="N128" i="113"/>
  <c r="N127" i="113"/>
  <c r="N126" i="113"/>
  <c r="N125" i="113"/>
  <c r="N124" i="113"/>
  <c r="N123" i="113"/>
  <c r="N122" i="113"/>
  <c r="N121" i="113"/>
  <c r="N120" i="113"/>
  <c r="N119" i="113"/>
  <c r="N118" i="113"/>
  <c r="N117" i="113"/>
  <c r="N116" i="113"/>
  <c r="N115" i="113"/>
  <c r="N114" i="113"/>
  <c r="N113" i="113"/>
  <c r="N112" i="113"/>
  <c r="N111" i="113"/>
  <c r="N110" i="113"/>
  <c r="N109" i="113"/>
  <c r="N108" i="113"/>
  <c r="N107" i="113"/>
  <c r="N106" i="113"/>
  <c r="N105" i="113"/>
  <c r="N104" i="113"/>
  <c r="N103" i="113"/>
  <c r="N102" i="113"/>
  <c r="N101" i="113"/>
  <c r="N100" i="113"/>
  <c r="N99" i="113"/>
  <c r="N98" i="113"/>
  <c r="N97" i="113"/>
  <c r="N96" i="113"/>
  <c r="N95" i="113"/>
  <c r="N94" i="113"/>
  <c r="N93" i="113"/>
  <c r="N92" i="113"/>
  <c r="N91" i="113"/>
  <c r="N90" i="113"/>
  <c r="N89" i="113"/>
  <c r="N88" i="113"/>
  <c r="N87" i="113"/>
  <c r="N86" i="113"/>
  <c r="N85" i="113"/>
  <c r="N84" i="113"/>
  <c r="N83" i="113"/>
  <c r="N82" i="113"/>
  <c r="N81" i="113"/>
  <c r="N80" i="113"/>
  <c r="N79" i="113"/>
  <c r="N78" i="113"/>
  <c r="N77" i="113"/>
  <c r="N76" i="113"/>
  <c r="N75" i="113"/>
  <c r="N74" i="113"/>
  <c r="N73" i="113"/>
  <c r="N71" i="113"/>
  <c r="N70" i="113"/>
  <c r="N69" i="113"/>
  <c r="N68" i="113"/>
  <c r="N67" i="113"/>
  <c r="N66" i="113"/>
  <c r="N65" i="113"/>
  <c r="N64" i="113"/>
  <c r="N63" i="113"/>
  <c r="N62" i="113"/>
  <c r="N61" i="113"/>
  <c r="N60" i="113"/>
  <c r="N59" i="113"/>
  <c r="N58" i="113"/>
  <c r="N57" i="113"/>
  <c r="N56" i="113"/>
  <c r="N55" i="113"/>
  <c r="N54" i="113"/>
  <c r="N53" i="113"/>
  <c r="N52" i="113"/>
  <c r="N51" i="113"/>
  <c r="N50" i="113"/>
  <c r="N49" i="113"/>
  <c r="N48" i="113"/>
  <c r="N47" i="113"/>
  <c r="N46" i="113"/>
  <c r="N45" i="113"/>
  <c r="N44" i="113"/>
  <c r="N43" i="113"/>
  <c r="N42" i="113"/>
  <c r="N41" i="113"/>
  <c r="N40" i="113"/>
  <c r="N39" i="113"/>
  <c r="N38" i="113"/>
  <c r="N37" i="113"/>
  <c r="N36" i="113"/>
  <c r="N35" i="113"/>
  <c r="N34" i="113"/>
  <c r="N33" i="113"/>
  <c r="N32" i="113"/>
  <c r="N31" i="113"/>
  <c r="N30" i="113"/>
  <c r="N29" i="113"/>
  <c r="N28" i="113"/>
  <c r="N27" i="113"/>
  <c r="N26" i="113"/>
  <c r="N25" i="113"/>
  <c r="N24" i="113"/>
  <c r="N23" i="113"/>
  <c r="N22" i="113"/>
  <c r="N21" i="113"/>
  <c r="N20" i="113"/>
  <c r="N19" i="113"/>
  <c r="N18" i="113"/>
  <c r="N17" i="113"/>
  <c r="N16" i="113"/>
  <c r="N15" i="113"/>
  <c r="N14" i="113"/>
  <c r="N13" i="113"/>
  <c r="N12" i="113"/>
  <c r="N11" i="113"/>
  <c r="N10" i="113"/>
  <c r="N9" i="113"/>
  <c r="N8" i="113"/>
  <c r="P8" i="113" s="1"/>
  <c r="D54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F8" i="113" s="1"/>
  <c r="I8" i="113" s="1"/>
  <c r="C14" i="113"/>
  <c r="E14" i="113" s="1"/>
  <c r="B14" i="113" s="1"/>
  <c r="H50" i="112"/>
  <c r="D52" i="113" s="1"/>
  <c r="H49" i="112"/>
  <c r="D51" i="113" s="1"/>
  <c r="O381" i="114"/>
  <c r="O380" i="114"/>
  <c r="O379" i="114"/>
  <c r="O378" i="114"/>
  <c r="O377" i="114"/>
  <c r="O376" i="114"/>
  <c r="O375" i="114"/>
  <c r="O374" i="114"/>
  <c r="O373" i="114"/>
  <c r="O372" i="114"/>
  <c r="O371" i="114"/>
  <c r="O370" i="114"/>
  <c r="O369" i="114"/>
  <c r="O368" i="114"/>
  <c r="O367" i="114"/>
  <c r="O366" i="114"/>
  <c r="O365" i="114"/>
  <c r="O364" i="114"/>
  <c r="O363" i="114"/>
  <c r="O362" i="114"/>
  <c r="O361" i="114"/>
  <c r="O360" i="114"/>
  <c r="O359" i="114"/>
  <c r="O358" i="114"/>
  <c r="O357" i="114"/>
  <c r="O356" i="114"/>
  <c r="O355" i="114"/>
  <c r="O354" i="114"/>
  <c r="O353" i="114"/>
  <c r="O352" i="114"/>
  <c r="O351" i="114"/>
  <c r="O350" i="114"/>
  <c r="O349" i="114"/>
  <c r="O348" i="114"/>
  <c r="O347" i="114"/>
  <c r="O346" i="114"/>
  <c r="O345" i="114"/>
  <c r="O344" i="114"/>
  <c r="O343" i="114"/>
  <c r="O342" i="114"/>
  <c r="O341" i="114"/>
  <c r="O340" i="114"/>
  <c r="O339" i="114"/>
  <c r="O338" i="114"/>
  <c r="O337" i="114"/>
  <c r="O336" i="114"/>
  <c r="O335" i="114"/>
  <c r="O334" i="114"/>
  <c r="O333" i="114"/>
  <c r="O332" i="114"/>
  <c r="O331" i="114"/>
  <c r="O330" i="114"/>
  <c r="O329" i="114"/>
  <c r="O328" i="114"/>
  <c r="O327" i="114"/>
  <c r="O326" i="114"/>
  <c r="O325" i="114"/>
  <c r="O324" i="114"/>
  <c r="O323" i="114"/>
  <c r="O322" i="114"/>
  <c r="O321" i="114"/>
  <c r="O320" i="114"/>
  <c r="O319" i="114"/>
  <c r="O318" i="114"/>
  <c r="O317" i="114"/>
  <c r="O316" i="114"/>
  <c r="O315" i="114"/>
  <c r="O314" i="114"/>
  <c r="O313" i="114"/>
  <c r="O312" i="114"/>
  <c r="O311" i="114"/>
  <c r="O310" i="114"/>
  <c r="O309" i="114"/>
  <c r="O308" i="114"/>
  <c r="O307" i="114"/>
  <c r="O306" i="114"/>
  <c r="O305" i="114"/>
  <c r="O304" i="114"/>
  <c r="O303" i="114"/>
  <c r="O302" i="114"/>
  <c r="O301" i="114"/>
  <c r="O300" i="114"/>
  <c r="O299" i="114"/>
  <c r="O298" i="114"/>
  <c r="O297" i="114"/>
  <c r="O296" i="114"/>
  <c r="O295" i="114"/>
  <c r="O294" i="114"/>
  <c r="O293" i="114"/>
  <c r="O292" i="114"/>
  <c r="O291" i="114"/>
  <c r="O290" i="114"/>
  <c r="O289" i="114"/>
  <c r="O288" i="114"/>
  <c r="O287" i="114"/>
  <c r="O286" i="114"/>
  <c r="O285" i="114"/>
  <c r="O284" i="114"/>
  <c r="O283" i="114"/>
  <c r="O282" i="114"/>
  <c r="O281" i="114"/>
  <c r="O280" i="114"/>
  <c r="O279" i="114"/>
  <c r="O278" i="114"/>
  <c r="O277" i="114"/>
  <c r="O276" i="114"/>
  <c r="O275" i="114"/>
  <c r="O274" i="114"/>
  <c r="O273" i="114"/>
  <c r="O272" i="114"/>
  <c r="O271" i="114"/>
  <c r="O270" i="114"/>
  <c r="O269" i="114"/>
  <c r="O268" i="114"/>
  <c r="O267" i="114"/>
  <c r="O266" i="114"/>
  <c r="O265" i="114"/>
  <c r="O264" i="114"/>
  <c r="O263" i="114"/>
  <c r="O262" i="114"/>
  <c r="O261" i="114"/>
  <c r="O260" i="114"/>
  <c r="O259" i="114"/>
  <c r="O258" i="114"/>
  <c r="O257" i="114"/>
  <c r="O256" i="114"/>
  <c r="O255" i="114"/>
  <c r="O254" i="114"/>
  <c r="O253" i="114"/>
  <c r="O252" i="114"/>
  <c r="O251" i="114"/>
  <c r="O250" i="114"/>
  <c r="O249" i="114"/>
  <c r="O248" i="114"/>
  <c r="O247" i="114"/>
  <c r="O246" i="114"/>
  <c r="O245" i="114"/>
  <c r="O244" i="114"/>
  <c r="O243" i="114"/>
  <c r="O242" i="114"/>
  <c r="O241" i="114"/>
  <c r="O240" i="114"/>
  <c r="O239" i="114"/>
  <c r="O238" i="114"/>
  <c r="O237" i="114"/>
  <c r="O236" i="114"/>
  <c r="O235" i="114"/>
  <c r="O234" i="114"/>
  <c r="O233" i="114"/>
  <c r="O232" i="114"/>
  <c r="O231" i="114"/>
  <c r="O230" i="114"/>
  <c r="O229" i="114"/>
  <c r="O228" i="114"/>
  <c r="O227" i="114"/>
  <c r="O226" i="114"/>
  <c r="O225" i="114"/>
  <c r="O224" i="114"/>
  <c r="O223" i="114"/>
  <c r="O222" i="114"/>
  <c r="O221" i="114"/>
  <c r="O220" i="114"/>
  <c r="O219" i="114"/>
  <c r="O218" i="114"/>
  <c r="O217" i="114"/>
  <c r="O216" i="114"/>
  <c r="O215" i="114"/>
  <c r="O214" i="114"/>
  <c r="O213" i="114"/>
  <c r="O212" i="114"/>
  <c r="O211" i="114"/>
  <c r="O210" i="114"/>
  <c r="O209" i="114"/>
  <c r="O208" i="114"/>
  <c r="O207" i="114"/>
  <c r="O206" i="114"/>
  <c r="O205" i="114"/>
  <c r="O204" i="114"/>
  <c r="O203" i="114"/>
  <c r="O202" i="114"/>
  <c r="O201" i="114"/>
  <c r="O200" i="114"/>
  <c r="O199" i="114"/>
  <c r="O198" i="114"/>
  <c r="O197" i="114"/>
  <c r="O196" i="114"/>
  <c r="O195" i="114"/>
  <c r="O194" i="114"/>
  <c r="O193" i="114"/>
  <c r="O192" i="114"/>
  <c r="O191" i="114"/>
  <c r="O190" i="114"/>
  <c r="O189" i="114"/>
  <c r="O188" i="114"/>
  <c r="O187" i="114"/>
  <c r="O186" i="114"/>
  <c r="O185" i="114"/>
  <c r="O184" i="114"/>
  <c r="O183" i="114"/>
  <c r="O182" i="114"/>
  <c r="O181" i="114"/>
  <c r="O180" i="114"/>
  <c r="O179" i="114"/>
  <c r="O178" i="114"/>
  <c r="O177" i="114"/>
  <c r="O176" i="114"/>
  <c r="O175" i="114"/>
  <c r="O174" i="114"/>
  <c r="O173" i="114"/>
  <c r="O172" i="114"/>
  <c r="O171" i="114"/>
  <c r="O170" i="114"/>
  <c r="O169" i="114"/>
  <c r="O168" i="114"/>
  <c r="O167" i="114"/>
  <c r="O166" i="114"/>
  <c r="O165" i="114"/>
  <c r="O164" i="114"/>
  <c r="O163" i="114"/>
  <c r="O162" i="114"/>
  <c r="O161" i="114"/>
  <c r="O160" i="114"/>
  <c r="O159" i="114"/>
  <c r="O158" i="114"/>
  <c r="O157" i="114"/>
  <c r="O156" i="114"/>
  <c r="O155" i="114"/>
  <c r="O154" i="114"/>
  <c r="O153" i="114"/>
  <c r="O152" i="114"/>
  <c r="O151" i="114"/>
  <c r="O150" i="114"/>
  <c r="O149" i="114"/>
  <c r="O148" i="114"/>
  <c r="O147" i="114"/>
  <c r="O146" i="114"/>
  <c r="O145" i="114"/>
  <c r="O144" i="114"/>
  <c r="O143" i="114"/>
  <c r="O142" i="114"/>
  <c r="O141" i="114"/>
  <c r="O140" i="114"/>
  <c r="O139" i="114"/>
  <c r="O138" i="114"/>
  <c r="O137" i="114"/>
  <c r="O136" i="114"/>
  <c r="O135" i="114"/>
  <c r="O134" i="114"/>
  <c r="O133" i="114"/>
  <c r="O132" i="114"/>
  <c r="O131" i="114"/>
  <c r="O130" i="114"/>
  <c r="O129" i="114"/>
  <c r="O128" i="114"/>
  <c r="O127" i="114"/>
  <c r="O126" i="114"/>
  <c r="O125" i="114"/>
  <c r="O124" i="114"/>
  <c r="O123" i="114"/>
  <c r="O122" i="114"/>
  <c r="O121" i="114"/>
  <c r="O120" i="114"/>
  <c r="O119" i="114"/>
  <c r="O118" i="114"/>
  <c r="O117" i="114"/>
  <c r="O116" i="114"/>
  <c r="O115" i="114"/>
  <c r="O114" i="114"/>
  <c r="O113" i="114"/>
  <c r="O112" i="114"/>
  <c r="O111" i="114"/>
  <c r="O110" i="114"/>
  <c r="O109" i="114"/>
  <c r="O108" i="114"/>
  <c r="O107" i="114"/>
  <c r="O106" i="114"/>
  <c r="O105" i="114"/>
  <c r="F49" i="114"/>
  <c r="F50" i="114" s="1"/>
  <c r="F51" i="114" s="1"/>
  <c r="K51" i="114" s="1"/>
  <c r="N23" i="114"/>
  <c r="O23" i="114" s="1"/>
  <c r="P23" i="114" s="1"/>
  <c r="M8" i="113"/>
  <c r="M9" i="113" s="1"/>
  <c r="M10" i="113" s="1"/>
  <c r="M11" i="113" s="1"/>
  <c r="M12" i="113" s="1"/>
  <c r="M13" i="113" s="1"/>
  <c r="M14" i="113" s="1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D50" i="113"/>
  <c r="E44" i="112"/>
  <c r="E39" i="112"/>
  <c r="E34" i="112"/>
  <c r="F31" i="112"/>
  <c r="F32" i="112" s="1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F54" i="112" s="1"/>
  <c r="F55" i="112" s="1"/>
  <c r="F56" i="112" s="1"/>
  <c r="F57" i="112" s="1"/>
  <c r="F58" i="112" s="1"/>
  <c r="F59" i="112" s="1"/>
  <c r="F60" i="112" s="1"/>
  <c r="F61" i="112" s="1"/>
  <c r="F62" i="112" s="1"/>
  <c r="F63" i="112" s="1"/>
  <c r="F64" i="112" s="1"/>
  <c r="F65" i="112" s="1"/>
  <c r="F66" i="112" s="1"/>
  <c r="F67" i="112" s="1"/>
  <c r="F68" i="112" s="1"/>
  <c r="F69" i="112" s="1"/>
  <c r="F70" i="112" s="1"/>
  <c r="F71" i="112" s="1"/>
  <c r="F72" i="112" s="1"/>
  <c r="F73" i="112" s="1"/>
  <c r="F74" i="112" s="1"/>
  <c r="F75" i="112" s="1"/>
  <c r="F76" i="112" s="1"/>
  <c r="F77" i="112" s="1"/>
  <c r="F78" i="112" s="1"/>
  <c r="F79" i="112" s="1"/>
  <c r="F80" i="112" s="1"/>
  <c r="F81" i="112" s="1"/>
  <c r="F82" i="112" s="1"/>
  <c r="F83" i="112" s="1"/>
  <c r="F84" i="112" s="1"/>
  <c r="F85" i="112" s="1"/>
  <c r="F86" i="112" s="1"/>
  <c r="F87" i="112" s="1"/>
  <c r="F88" i="112" s="1"/>
  <c r="F89" i="112" s="1"/>
  <c r="F90" i="112" s="1"/>
  <c r="F91" i="112" s="1"/>
  <c r="F92" i="112" s="1"/>
  <c r="F93" i="112" s="1"/>
  <c r="F94" i="112" s="1"/>
  <c r="F95" i="112" s="1"/>
  <c r="F96" i="112" s="1"/>
  <c r="F97" i="112" s="1"/>
  <c r="F98" i="112" s="1"/>
  <c r="F99" i="112" s="1"/>
  <c r="F100" i="112" s="1"/>
  <c r="F101" i="112" s="1"/>
  <c r="F102" i="112" s="1"/>
  <c r="F103" i="112" s="1"/>
  <c r="F104" i="112" s="1"/>
  <c r="F105" i="112" s="1"/>
  <c r="F106" i="112" s="1"/>
  <c r="F107" i="112" s="1"/>
  <c r="F108" i="112" s="1"/>
  <c r="F109" i="112" s="1"/>
  <c r="F110" i="112" s="1"/>
  <c r="F111" i="112" s="1"/>
  <c r="F112" i="112" s="1"/>
  <c r="F113" i="112" s="1"/>
  <c r="F114" i="112" s="1"/>
  <c r="F115" i="112" s="1"/>
  <c r="F116" i="112" s="1"/>
  <c r="F117" i="112" s="1"/>
  <c r="F119" i="112" s="1"/>
  <c r="E31" i="112"/>
  <c r="E30" i="112"/>
  <c r="E20" i="112"/>
  <c r="E19" i="112"/>
  <c r="E17" i="112"/>
  <c r="E13" i="112"/>
  <c r="E12" i="112"/>
  <c r="E6" i="112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E15" i="111"/>
  <c r="E16" i="111" s="1"/>
  <c r="C15" i="11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L14" i="111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N40" i="110"/>
  <c r="N41" i="110" s="1"/>
  <c r="N42" i="110" s="1"/>
  <c r="N43" i="110" s="1"/>
  <c r="N44" i="110" s="1"/>
  <c r="N45" i="110" s="1"/>
  <c r="N46" i="110" s="1"/>
  <c r="N47" i="110" s="1"/>
  <c r="N48" i="110" s="1"/>
  <c r="N49" i="110" s="1"/>
  <c r="N50" i="110" s="1"/>
  <c r="N51" i="110" s="1"/>
  <c r="N52" i="110" s="1"/>
  <c r="N53" i="110" s="1"/>
  <c r="N54" i="110" s="1"/>
  <c r="N55" i="110" s="1"/>
  <c r="N56" i="110" s="1"/>
  <c r="N57" i="110" s="1"/>
  <c r="N58" i="110" s="1"/>
  <c r="N59" i="110" s="1"/>
  <c r="N60" i="110" s="1"/>
  <c r="N61" i="110" s="1"/>
  <c r="N62" i="110" s="1"/>
  <c r="N63" i="110" s="1"/>
  <c r="N64" i="110" s="1"/>
  <c r="N65" i="110" s="1"/>
  <c r="N66" i="110" s="1"/>
  <c r="N67" i="110" s="1"/>
  <c r="E12" i="110"/>
  <c r="E13" i="110" s="1"/>
  <c r="E14" i="110" s="1"/>
  <c r="E15" i="110" s="1"/>
  <c r="E16" i="110" s="1"/>
  <c r="E17" i="110" s="1"/>
  <c r="E18" i="110" s="1"/>
  <c r="E19" i="110" s="1"/>
  <c r="E20" i="110" s="1"/>
  <c r="E21" i="110" s="1"/>
  <c r="E22" i="110" s="1"/>
  <c r="E23" i="110" s="1"/>
  <c r="E24" i="110" s="1"/>
  <c r="E25" i="110" s="1"/>
  <c r="E26" i="110" s="1"/>
  <c r="E27" i="110" s="1"/>
  <c r="E28" i="110" s="1"/>
  <c r="E29" i="110" s="1"/>
  <c r="E30" i="110" s="1"/>
  <c r="E31" i="110" s="1"/>
  <c r="E32" i="110" s="1"/>
  <c r="E33" i="110" s="1"/>
  <c r="E34" i="110" s="1"/>
  <c r="E35" i="110" s="1"/>
  <c r="E36" i="110" s="1"/>
  <c r="E37" i="110" s="1"/>
  <c r="E38" i="110" s="1"/>
  <c r="E39" i="110" s="1"/>
  <c r="E40" i="110" s="1"/>
  <c r="E41" i="110" s="1"/>
  <c r="E42" i="110" s="1"/>
  <c r="E43" i="110" s="1"/>
  <c r="E44" i="110" s="1"/>
  <c r="E45" i="110" s="1"/>
  <c r="E46" i="110" s="1"/>
  <c r="E47" i="110" s="1"/>
  <c r="E48" i="110" s="1"/>
  <c r="E49" i="110" s="1"/>
  <c r="E50" i="110" s="1"/>
  <c r="E51" i="110" s="1"/>
  <c r="E52" i="110" s="1"/>
  <c r="E53" i="110" s="1"/>
  <c r="E54" i="110" s="1"/>
  <c r="E55" i="110" s="1"/>
  <c r="E56" i="110" s="1"/>
  <c r="E57" i="110" s="1"/>
  <c r="E58" i="110" s="1"/>
  <c r="E59" i="110" s="1"/>
  <c r="E60" i="110" s="1"/>
  <c r="E61" i="110" s="1"/>
  <c r="E62" i="110" s="1"/>
  <c r="E63" i="110" s="1"/>
  <c r="E64" i="110" s="1"/>
  <c r="E65" i="110" s="1"/>
  <c r="E66" i="110" s="1"/>
  <c r="E67" i="110" s="1"/>
  <c r="E68" i="110" s="1"/>
  <c r="E69" i="110" s="1"/>
  <c r="E70" i="110" s="1"/>
  <c r="E71" i="110" s="1"/>
  <c r="E72" i="110" s="1"/>
  <c r="E73" i="110" s="1"/>
  <c r="E74" i="110" s="1"/>
  <c r="E75" i="110" s="1"/>
  <c r="E76" i="110" s="1"/>
  <c r="E77" i="110" s="1"/>
  <c r="E78" i="110" s="1"/>
  <c r="E79" i="110" s="1"/>
  <c r="I2" i="110"/>
  <c r="I5" i="110"/>
  <c r="K53" i="95"/>
  <c r="E9" i="104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P39" i="77"/>
  <c r="P38" i="77"/>
  <c r="M69" i="88"/>
  <c r="N40" i="88"/>
  <c r="T22" i="78"/>
  <c r="K13" i="95"/>
  <c r="L13" i="95" s="1"/>
  <c r="T19" i="78"/>
  <c r="P16" i="78"/>
  <c r="T21" i="78"/>
  <c r="T20" i="78"/>
  <c r="T18" i="78"/>
  <c r="C14" i="78"/>
  <c r="C15" i="78" s="1"/>
  <c r="K14" i="95"/>
  <c r="K15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35" i="95"/>
  <c r="K36" i="95"/>
  <c r="K37" i="95"/>
  <c r="K38" i="95"/>
  <c r="K39" i="95"/>
  <c r="K40" i="95"/>
  <c r="K41" i="95"/>
  <c r="K42" i="95"/>
  <c r="K43" i="95"/>
  <c r="K44" i="95"/>
  <c r="K45" i="95"/>
  <c r="E13" i="95"/>
  <c r="E14" i="95" s="1"/>
  <c r="E15" i="95" s="1"/>
  <c r="E16" i="95" s="1"/>
  <c r="H28" i="95"/>
  <c r="H29" i="95" s="1"/>
  <c r="H30" i="95" s="1"/>
  <c r="H31" i="95" s="1"/>
  <c r="I14" i="78"/>
  <c r="B14" i="78"/>
  <c r="B15" i="78"/>
  <c r="B16" i="78" s="1"/>
  <c r="K16" i="78" s="1"/>
  <c r="H14" i="78"/>
  <c r="H15" i="78"/>
  <c r="H16" i="78" s="1"/>
  <c r="C13" i="77"/>
  <c r="C14" i="77" s="1"/>
  <c r="C15" i="77" s="1"/>
  <c r="C16" i="77" s="1"/>
  <c r="I26" i="77"/>
  <c r="I27" i="77" s="1"/>
  <c r="I28" i="77" s="1"/>
  <c r="I29" i="77" s="1"/>
  <c r="I30" i="77" s="1"/>
  <c r="I31" i="77" s="1"/>
  <c r="B13" i="77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T17" i="78"/>
  <c r="M74" i="88"/>
  <c r="C14" i="55"/>
  <c r="C15" i="55" s="1"/>
  <c r="C16" i="55" s="1"/>
  <c r="C17" i="55" s="1"/>
  <c r="C18" i="55" s="1"/>
  <c r="G13" i="55"/>
  <c r="E14" i="55"/>
  <c r="K13" i="55"/>
  <c r="K14" i="55" s="1"/>
  <c r="K15" i="55" s="1"/>
  <c r="K16" i="55" s="1"/>
  <c r="L14" i="78"/>
  <c r="Q14" i="78" s="1"/>
  <c r="R14" i="78" s="1"/>
  <c r="N41" i="88"/>
  <c r="M66" i="88"/>
  <c r="M67" i="88"/>
  <c r="M68" i="88"/>
  <c r="M70" i="88"/>
  <c r="M71" i="88"/>
  <c r="M72" i="88"/>
  <c r="M73" i="88"/>
  <c r="M75" i="88"/>
  <c r="M76" i="88"/>
  <c r="M77" i="88"/>
  <c r="M78" i="88"/>
  <c r="E12" i="88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E36" i="88" s="1"/>
  <c r="E37" i="88" s="1"/>
  <c r="E38" i="88" s="1"/>
  <c r="E39" i="88" s="1"/>
  <c r="E40" i="88" s="1"/>
  <c r="E41" i="88" s="1"/>
  <c r="E42" i="88" s="1"/>
  <c r="E43" i="88" s="1"/>
  <c r="E44" i="88" s="1"/>
  <c r="E45" i="88" s="1"/>
  <c r="E46" i="88" s="1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E75" i="88" s="1"/>
  <c r="E76" i="88" s="1"/>
  <c r="E77" i="88" s="1"/>
  <c r="E78" i="88" s="1"/>
  <c r="D27" i="93"/>
  <c r="E21" i="91"/>
  <c r="I21" i="91" s="1"/>
  <c r="K14" i="78"/>
  <c r="E14" i="78"/>
  <c r="E12" i="55"/>
  <c r="E11" i="55"/>
  <c r="E10" i="55"/>
  <c r="E13" i="55"/>
  <c r="I13" i="55"/>
  <c r="N13" i="55" s="1"/>
  <c r="G12" i="55"/>
  <c r="G11" i="55" s="1"/>
  <c r="I11" i="55" s="1"/>
  <c r="N11" i="55" s="1"/>
  <c r="P15" i="78"/>
  <c r="P17" i="78"/>
  <c r="K46" i="95"/>
  <c r="K47" i="95"/>
  <c r="P18" i="78"/>
  <c r="P19" i="78"/>
  <c r="P20" i="78"/>
  <c r="P21" i="78"/>
  <c r="P35" i="77"/>
  <c r="P34" i="77"/>
  <c r="P36" i="77"/>
  <c r="P22" i="78"/>
  <c r="P37" i="77"/>
  <c r="K48" i="95"/>
  <c r="K49" i="95"/>
  <c r="K50" i="95"/>
  <c r="K51" i="95"/>
  <c r="K52" i="95"/>
  <c r="E13" i="77"/>
  <c r="H13" i="77" s="1"/>
  <c r="D28" i="93"/>
  <c r="D29" i="93" s="1"/>
  <c r="D30" i="93" s="1"/>
  <c r="D31" i="93" s="1"/>
  <c r="D32" i="93" s="1"/>
  <c r="G14" i="55"/>
  <c r="E15" i="55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37" i="55" s="1"/>
  <c r="E38" i="55" s="1"/>
  <c r="E39" i="55" s="1"/>
  <c r="E40" i="55" s="1"/>
  <c r="E41" i="55" s="1"/>
  <c r="E42" i="55" s="1"/>
  <c r="E43" i="55" s="1"/>
  <c r="E44" i="55" s="1"/>
  <c r="E45" i="55" s="1"/>
  <c r="E46" i="55" s="1"/>
  <c r="E47" i="55" s="1"/>
  <c r="E48" i="55" s="1"/>
  <c r="E49" i="55" s="1"/>
  <c r="E50" i="55" s="1"/>
  <c r="E51" i="55" s="1"/>
  <c r="E52" i="55" s="1"/>
  <c r="E53" i="55" s="1"/>
  <c r="E54" i="55" s="1"/>
  <c r="E55" i="55" s="1"/>
  <c r="E56" i="55" s="1"/>
  <c r="E57" i="55" s="1"/>
  <c r="E58" i="55" s="1"/>
  <c r="E59" i="55" s="1"/>
  <c r="E60" i="55" s="1"/>
  <c r="E61" i="55" s="1"/>
  <c r="E62" i="55" s="1"/>
  <c r="E63" i="55" s="1"/>
  <c r="E64" i="55" s="1"/>
  <c r="E65" i="55" s="1"/>
  <c r="E66" i="55" s="1"/>
  <c r="E67" i="55" s="1"/>
  <c r="E68" i="55" s="1"/>
  <c r="E69" i="55" s="1"/>
  <c r="E70" i="55" s="1"/>
  <c r="E71" i="55" s="1"/>
  <c r="E72" i="55" s="1"/>
  <c r="E73" i="55" s="1"/>
  <c r="E74" i="55" s="1"/>
  <c r="E75" i="55" s="1"/>
  <c r="E76" i="55" s="1"/>
  <c r="E77" i="55" s="1"/>
  <c r="E78" i="55" s="1"/>
  <c r="E79" i="55" s="1"/>
  <c r="E80" i="55" s="1"/>
  <c r="E81" i="55" s="1"/>
  <c r="E82" i="55" s="1"/>
  <c r="E83" i="55" s="1"/>
  <c r="E84" i="55" s="1"/>
  <c r="E85" i="55" s="1"/>
  <c r="E86" i="55" s="1"/>
  <c r="E87" i="55" s="1"/>
  <c r="E88" i="55" s="1"/>
  <c r="E89" i="55" s="1"/>
  <c r="E90" i="55" s="1"/>
  <c r="E91" i="55" s="1"/>
  <c r="E92" i="55" s="1"/>
  <c r="E93" i="55" s="1"/>
  <c r="E94" i="55" s="1"/>
  <c r="E95" i="55" s="1"/>
  <c r="E96" i="55" s="1"/>
  <c r="E97" i="55" s="1"/>
  <c r="E98" i="55" s="1"/>
  <c r="E99" i="55" s="1"/>
  <c r="E100" i="55" s="1"/>
  <c r="E101" i="55" s="1"/>
  <c r="E102" i="55" s="1"/>
  <c r="E103" i="55" s="1"/>
  <c r="E104" i="55" s="1"/>
  <c r="E105" i="55" s="1"/>
  <c r="E106" i="55" s="1"/>
  <c r="E107" i="55" s="1"/>
  <c r="E108" i="55" s="1"/>
  <c r="E109" i="55" s="1"/>
  <c r="E110" i="55" s="1"/>
  <c r="I10" i="55"/>
  <c r="N10" i="55" s="1"/>
  <c r="P40" i="77"/>
  <c r="P41" i="77"/>
  <c r="P44" i="77"/>
  <c r="P45" i="77"/>
  <c r="P46" i="77"/>
  <c r="P47" i="77"/>
  <c r="P48" i="77"/>
  <c r="P49" i="77"/>
  <c r="P50" i="77"/>
  <c r="K54" i="95"/>
  <c r="G55" i="95"/>
  <c r="G56" i="95" s="1"/>
  <c r="K56" i="95" s="1"/>
  <c r="H17" i="78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50" i="78" s="1"/>
  <c r="H51" i="78" s="1"/>
  <c r="O14" i="111"/>
  <c r="D56" i="113"/>
  <c r="D57" i="113"/>
  <c r="D59" i="113"/>
  <c r="M67" i="114"/>
  <c r="U67" i="114" s="1"/>
  <c r="M68" i="114"/>
  <c r="N67" i="114"/>
  <c r="N68" i="114" s="1"/>
  <c r="O68" i="114" s="1"/>
  <c r="H51" i="112"/>
  <c r="D53" i="113" s="1"/>
  <c r="D60" i="113"/>
  <c r="E26" i="111"/>
  <c r="E27" i="111"/>
  <c r="H59" i="112"/>
  <c r="D61" i="113" s="1"/>
  <c r="H60" i="112"/>
  <c r="D62" i="113" s="1"/>
  <c r="L15" i="111"/>
  <c r="O15" i="111" s="1"/>
  <c r="C26" i="111"/>
  <c r="C27" i="111" s="1"/>
  <c r="L25" i="111"/>
  <c r="E17" i="111"/>
  <c r="E18" i="111" s="1"/>
  <c r="L16" i="111"/>
  <c r="L26" i="111"/>
  <c r="E28" i="111"/>
  <c r="L17" i="111"/>
  <c r="O17" i="111" s="1"/>
  <c r="O16" i="111"/>
  <c r="O25" i="111"/>
  <c r="E29" i="111"/>
  <c r="E30" i="111"/>
  <c r="E31" i="111" s="1"/>
  <c r="D69" i="113"/>
  <c r="D71" i="113"/>
  <c r="O290" i="113"/>
  <c r="O291" i="113"/>
  <c r="O292" i="113"/>
  <c r="O294" i="113"/>
  <c r="O293" i="113"/>
  <c r="O295" i="113"/>
  <c r="H61" i="112"/>
  <c r="D63" i="113" s="1"/>
  <c r="D65" i="113"/>
  <c r="C38" i="111"/>
  <c r="C39" i="111" s="1"/>
  <c r="C40" i="111" s="1"/>
  <c r="C41" i="111" s="1"/>
  <c r="C42" i="111" s="1"/>
  <c r="C43" i="111" s="1"/>
  <c r="C44" i="111" s="1"/>
  <c r="C45" i="111" s="1"/>
  <c r="C46" i="111" s="1"/>
  <c r="C47" i="111" s="1"/>
  <c r="C48" i="111" s="1"/>
  <c r="C49" i="111" s="1"/>
  <c r="C50" i="111" s="1"/>
  <c r="C51" i="111" s="1"/>
  <c r="C52" i="111" s="1"/>
  <c r="C53" i="111" s="1"/>
  <c r="C54" i="111" s="1"/>
  <c r="C55" i="111" s="1"/>
  <c r="C56" i="111" s="1"/>
  <c r="C57" i="111" s="1"/>
  <c r="C58" i="111" s="1"/>
  <c r="H65" i="112"/>
  <c r="D67" i="113" s="1"/>
  <c r="O26" i="111"/>
  <c r="J2" i="110"/>
  <c r="M2" i="110"/>
  <c r="H16" i="121"/>
  <c r="H17" i="121" s="1"/>
  <c r="H18" i="121" s="1"/>
  <c r="D72" i="113"/>
  <c r="D73" i="113"/>
  <c r="D74" i="113"/>
  <c r="K20" i="135"/>
  <c r="K21" i="135"/>
  <c r="K22" i="135"/>
  <c r="K23" i="135"/>
  <c r="K19" i="135"/>
  <c r="K25" i="135"/>
  <c r="K24" i="135"/>
  <c r="K26" i="135"/>
  <c r="J17" i="133"/>
  <c r="J18" i="133"/>
  <c r="K27" i="135"/>
  <c r="K28" i="135"/>
  <c r="K29" i="135"/>
  <c r="K30" i="135"/>
  <c r="G109" i="134"/>
  <c r="K36" i="121"/>
  <c r="K37" i="121"/>
  <c r="G38" i="121"/>
  <c r="G39" i="121" s="1"/>
  <c r="J19" i="133"/>
  <c r="F21" i="133"/>
  <c r="F22" i="133" s="1"/>
  <c r="J20" i="133"/>
  <c r="I28" i="95" l="1"/>
  <c r="L13" i="77"/>
  <c r="F120" i="112"/>
  <c r="F121" i="112" s="1"/>
  <c r="F122" i="112" s="1"/>
  <c r="F123" i="112" s="1"/>
  <c r="F124" i="112" s="1"/>
  <c r="F125" i="112" s="1"/>
  <c r="F126" i="112" s="1"/>
  <c r="F127" i="112" s="1"/>
  <c r="F128" i="112" s="1"/>
  <c r="F129" i="112" s="1"/>
  <c r="F130" i="112" s="1"/>
  <c r="F131" i="112" s="1"/>
  <c r="F132" i="112" s="1"/>
  <c r="F133" i="112" s="1"/>
  <c r="F134" i="112" s="1"/>
  <c r="F135" i="112" s="1"/>
  <c r="F136" i="112" s="1"/>
  <c r="F137" i="112" s="1"/>
  <c r="F138" i="112" s="1"/>
  <c r="F139" i="112" s="1"/>
  <c r="F140" i="112" s="1"/>
  <c r="F141" i="112" s="1"/>
  <c r="F142" i="112" s="1"/>
  <c r="F143" i="112" s="1"/>
  <c r="F144" i="112" s="1"/>
  <c r="F145" i="112" s="1"/>
  <c r="F146" i="112" s="1"/>
  <c r="F147" i="112" s="1"/>
  <c r="F148" i="112" s="1"/>
  <c r="F149" i="112" s="1"/>
  <c r="F150" i="112" s="1"/>
  <c r="F151" i="112" s="1"/>
  <c r="F152" i="112" s="1"/>
  <c r="F153" i="112" s="1"/>
  <c r="F154" i="112" s="1"/>
  <c r="F155" i="112" s="1"/>
  <c r="F156" i="112" s="1"/>
  <c r="F157" i="112" s="1"/>
  <c r="F158" i="112" s="1"/>
  <c r="F159" i="112" s="1"/>
  <c r="F160" i="112" s="1"/>
  <c r="F161" i="112" s="1"/>
  <c r="F162" i="112" s="1"/>
  <c r="F163" i="112" s="1"/>
  <c r="F164" i="112" s="1"/>
  <c r="F165" i="112" s="1"/>
  <c r="F166" i="112" s="1"/>
  <c r="F167" i="112" s="1"/>
  <c r="F168" i="112" s="1"/>
  <c r="F169" i="112" s="1"/>
  <c r="F170" i="112" s="1"/>
  <c r="F171" i="112" s="1"/>
  <c r="F172" i="112" s="1"/>
  <c r="F173" i="112" s="1"/>
  <c r="F174" i="112" s="1"/>
  <c r="F175" i="112" s="1"/>
  <c r="F176" i="112" s="1"/>
  <c r="F177" i="112" s="1"/>
  <c r="F178" i="112" s="1"/>
  <c r="F179" i="112" s="1"/>
  <c r="F180" i="112" s="1"/>
  <c r="F181" i="112" s="1"/>
  <c r="F182" i="112" s="1"/>
  <c r="F183" i="112" s="1"/>
  <c r="F184" i="112" s="1"/>
  <c r="F185" i="112" s="1"/>
  <c r="F186" i="112" s="1"/>
  <c r="F187" i="112" s="1"/>
  <c r="F188" i="112" s="1"/>
  <c r="F189" i="112" s="1"/>
  <c r="F190" i="112" s="1"/>
  <c r="F191" i="112" s="1"/>
  <c r="F192" i="112" s="1"/>
  <c r="F193" i="112" s="1"/>
  <c r="F194" i="112" s="1"/>
  <c r="F195" i="112" s="1"/>
  <c r="F196" i="112" s="1"/>
  <c r="F197" i="112" s="1"/>
  <c r="F198" i="112" s="1"/>
  <c r="F199" i="112" s="1"/>
  <c r="F200" i="112" s="1"/>
  <c r="F201" i="112" s="1"/>
  <c r="F202" i="112" s="1"/>
  <c r="F203" i="112" s="1"/>
  <c r="F204" i="112" s="1"/>
  <c r="F205" i="112" s="1"/>
  <c r="F206" i="112" s="1"/>
  <c r="F207" i="112" s="1"/>
  <c r="F208" i="112" s="1"/>
  <c r="F209" i="112" s="1"/>
  <c r="F210" i="112" s="1"/>
  <c r="F211" i="112" s="1"/>
  <c r="F212" i="112" s="1"/>
  <c r="F213" i="112" s="1"/>
  <c r="F214" i="112" s="1"/>
  <c r="F215" i="112" s="1"/>
  <c r="F216" i="112" s="1"/>
  <c r="F217" i="112" s="1"/>
  <c r="F218" i="112" s="1"/>
  <c r="F219" i="112" s="1"/>
  <c r="F220" i="112" s="1"/>
  <c r="F221" i="112" s="1"/>
  <c r="F222" i="112" s="1"/>
  <c r="F223" i="112" s="1"/>
  <c r="F224" i="112" s="1"/>
  <c r="F225" i="112" s="1"/>
  <c r="F226" i="112" s="1"/>
  <c r="F227" i="112" s="1"/>
  <c r="F228" i="112" s="1"/>
  <c r="F229" i="112" s="1"/>
  <c r="F230" i="112" s="1"/>
  <c r="F231" i="112" s="1"/>
  <c r="F232" i="112" s="1"/>
  <c r="F233" i="112" s="1"/>
  <c r="F234" i="112" s="1"/>
  <c r="F235" i="112" s="1"/>
  <c r="F236" i="112" s="1"/>
  <c r="F237" i="112" s="1"/>
  <c r="F238" i="112" s="1"/>
  <c r="F239" i="112" s="1"/>
  <c r="F240" i="112" s="1"/>
  <c r="F241" i="112" s="1"/>
  <c r="F242" i="112" s="1"/>
  <c r="F243" i="112" s="1"/>
  <c r="F244" i="112" s="1"/>
  <c r="F245" i="112" s="1"/>
  <c r="F246" i="112" s="1"/>
  <c r="F247" i="112" s="1"/>
  <c r="F248" i="112" s="1"/>
  <c r="F249" i="112" s="1"/>
  <c r="F250" i="112" s="1"/>
  <c r="F251" i="112" s="1"/>
  <c r="F252" i="112" s="1"/>
  <c r="F253" i="112" s="1"/>
  <c r="F254" i="112" s="1"/>
  <c r="F255" i="112" s="1"/>
  <c r="F256" i="112" s="1"/>
  <c r="F257" i="112" s="1"/>
  <c r="F258" i="112" s="1"/>
  <c r="F259" i="112" s="1"/>
  <c r="F260" i="112" s="1"/>
  <c r="F261" i="112" s="1"/>
  <c r="F262" i="112" s="1"/>
  <c r="F263" i="112" s="1"/>
  <c r="F264" i="112" s="1"/>
  <c r="F265" i="112" s="1"/>
  <c r="F266" i="112" s="1"/>
  <c r="F267" i="112" s="1"/>
  <c r="F268" i="112" s="1"/>
  <c r="F269" i="112" s="1"/>
  <c r="F270" i="112" s="1"/>
  <c r="F271" i="112" s="1"/>
  <c r="F272" i="112" s="1"/>
  <c r="F273" i="112" s="1"/>
  <c r="F274" i="112" s="1"/>
  <c r="F275" i="112" s="1"/>
  <c r="F276" i="112" s="1"/>
  <c r="F277" i="112" s="1"/>
  <c r="F278" i="112" s="1"/>
  <c r="F279" i="112" s="1"/>
  <c r="F280" i="112" s="1"/>
  <c r="F281" i="112" s="1"/>
  <c r="F282" i="112" s="1"/>
  <c r="F283" i="112" s="1"/>
  <c r="F284" i="112" s="1"/>
  <c r="F285" i="112" s="1"/>
  <c r="I6" i="112"/>
  <c r="P9" i="113"/>
  <c r="P10" i="113" s="1"/>
  <c r="P11" i="113" s="1"/>
  <c r="P12" i="113" s="1"/>
  <c r="P13" i="113" s="1"/>
  <c r="P14" i="113" s="1"/>
  <c r="P15" i="113" s="1"/>
  <c r="P16" i="113" s="1"/>
  <c r="P17" i="113" s="1"/>
  <c r="P18" i="113" s="1"/>
  <c r="P19" i="113" s="1"/>
  <c r="P20" i="113" s="1"/>
  <c r="I30" i="95"/>
  <c r="I14" i="55"/>
  <c r="I12" i="55"/>
  <c r="N12" i="55" s="1"/>
  <c r="G15" i="55"/>
  <c r="I15" i="55" s="1"/>
  <c r="N15" i="55" s="1"/>
  <c r="L14" i="77"/>
  <c r="J21" i="133"/>
  <c r="K38" i="121"/>
  <c r="N24" i="114"/>
  <c r="O24" i="114" s="1"/>
  <c r="P24" i="114" s="1"/>
  <c r="F12" i="110"/>
  <c r="L19" i="147"/>
  <c r="K49" i="114"/>
  <c r="E22" i="91"/>
  <c r="E23" i="91" s="1"/>
  <c r="E24" i="91" s="1"/>
  <c r="F12" i="88"/>
  <c r="F13" i="88" s="1"/>
  <c r="L13" i="88" s="1"/>
  <c r="K15" i="78"/>
  <c r="N14" i="78"/>
  <c r="I29" i="95"/>
  <c r="E14" i="121"/>
  <c r="E15" i="121" s="1"/>
  <c r="O15" i="121" s="1"/>
  <c r="M14" i="121"/>
  <c r="E57" i="114"/>
  <c r="N25" i="114"/>
  <c r="O25" i="114" s="1"/>
  <c r="P25" i="114" s="1"/>
  <c r="E59" i="114"/>
  <c r="H20" i="135"/>
  <c r="I20" i="135" s="1"/>
  <c r="F13" i="134"/>
  <c r="J13" i="134" s="1"/>
  <c r="F17" i="134"/>
  <c r="J17" i="134" s="1"/>
  <c r="F15" i="134"/>
  <c r="J15" i="134" s="1"/>
  <c r="F12" i="134"/>
  <c r="J12" i="134" s="1"/>
  <c r="F14" i="134"/>
  <c r="J14" i="134" s="1"/>
  <c r="F16" i="134"/>
  <c r="J16" i="134" s="1"/>
  <c r="F23" i="133"/>
  <c r="J22" i="133"/>
  <c r="E58" i="114"/>
  <c r="N14" i="55"/>
  <c r="C19" i="55"/>
  <c r="L15" i="77"/>
  <c r="L14" i="95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M24" i="95" s="1"/>
  <c r="E80" i="110"/>
  <c r="M79" i="110"/>
  <c r="N68" i="110"/>
  <c r="F22" i="104"/>
  <c r="G22" i="104" s="1"/>
  <c r="F23" i="104"/>
  <c r="U68" i="114"/>
  <c r="V68" i="114" s="1"/>
  <c r="K50" i="114"/>
  <c r="H19" i="121"/>
  <c r="H20" i="121" s="1"/>
  <c r="I18" i="121"/>
  <c r="L16" i="121"/>
  <c r="L17" i="121" s="1"/>
  <c r="M17" i="121" s="1"/>
  <c r="G18" i="133"/>
  <c r="C16" i="78"/>
  <c r="F15" i="78"/>
  <c r="I15" i="78" s="1"/>
  <c r="B17" i="78"/>
  <c r="G288" i="112"/>
  <c r="O11" i="135"/>
  <c r="O19" i="147"/>
  <c r="N299" i="113"/>
  <c r="L18" i="111"/>
  <c r="O18" i="111" s="1"/>
  <c r="E19" i="111"/>
  <c r="C59" i="111"/>
  <c r="C62" i="111" s="1"/>
  <c r="C63" i="111" s="1"/>
  <c r="C64" i="111" s="1"/>
  <c r="C65" i="111" s="1"/>
  <c r="C66" i="111" s="1"/>
  <c r="C67" i="111" s="1"/>
  <c r="C68" i="111" s="1"/>
  <c r="C69" i="111" s="1"/>
  <c r="C70" i="111" s="1"/>
  <c r="C71" i="111" s="1"/>
  <c r="C72" i="111" s="1"/>
  <c r="C73" i="111" s="1"/>
  <c r="C74" i="111" s="1"/>
  <c r="C75" i="111" s="1"/>
  <c r="C76" i="111" s="1"/>
  <c r="C77" i="111" s="1"/>
  <c r="C78" i="111" s="1"/>
  <c r="C79" i="111" s="1"/>
  <c r="C80" i="111" s="1"/>
  <c r="C81" i="111" s="1"/>
  <c r="C82" i="111" s="1"/>
  <c r="C83" i="111" s="1"/>
  <c r="O67" i="114"/>
  <c r="F52" i="114"/>
  <c r="V67" i="114"/>
  <c r="J8" i="113"/>
  <c r="Q20" i="113"/>
  <c r="P21" i="113"/>
  <c r="H22" i="104"/>
  <c r="I22" i="104" s="1"/>
  <c r="G23" i="104"/>
  <c r="H23" i="104" s="1"/>
  <c r="I23" i="104" s="1"/>
  <c r="G22" i="91"/>
  <c r="H22" i="91" s="1"/>
  <c r="I22" i="91" s="1"/>
  <c r="E79" i="88"/>
  <c r="S78" i="88"/>
  <c r="L12" i="88"/>
  <c r="G12" i="88"/>
  <c r="K12" i="88" s="1"/>
  <c r="P12" i="88" s="1"/>
  <c r="N42" i="88"/>
  <c r="O41" i="88"/>
  <c r="O40" i="88"/>
  <c r="L16" i="77"/>
  <c r="C17" i="77"/>
  <c r="L15" i="78"/>
  <c r="Q15" i="78" s="1"/>
  <c r="B56" i="77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H14" i="77"/>
  <c r="K13" i="77"/>
  <c r="K12" i="133"/>
  <c r="K13" i="133" s="1"/>
  <c r="K14" i="133" s="1"/>
  <c r="E12" i="135"/>
  <c r="E13" i="135" s="1"/>
  <c r="E14" i="135" s="1"/>
  <c r="E15" i="135" s="1"/>
  <c r="L12" i="135"/>
  <c r="O12" i="134"/>
  <c r="I24" i="134"/>
  <c r="H25" i="134"/>
  <c r="H26" i="134" s="1"/>
  <c r="O14" i="121"/>
  <c r="G57" i="95"/>
  <c r="E20" i="147"/>
  <c r="E21" i="148"/>
  <c r="L20" i="148"/>
  <c r="O20" i="148" s="1"/>
  <c r="L20" i="147"/>
  <c r="H94" i="114"/>
  <c r="H95" i="114" s="1"/>
  <c r="H96" i="114" s="1"/>
  <c r="H97" i="114" s="1"/>
  <c r="H98" i="114" s="1"/>
  <c r="H99" i="114" s="1"/>
  <c r="H100" i="114" s="1"/>
  <c r="H101" i="114" s="1"/>
  <c r="K39" i="121"/>
  <c r="G40" i="121"/>
  <c r="E18" i="134"/>
  <c r="F18" i="134" s="1"/>
  <c r="J18" i="134" s="1"/>
  <c r="E111" i="55"/>
  <c r="E112" i="55" s="1"/>
  <c r="E113" i="55" s="1"/>
  <c r="E114" i="55" s="1"/>
  <c r="E115" i="55" s="1"/>
  <c r="E116" i="55" s="1"/>
  <c r="E117" i="55" s="1"/>
  <c r="E118" i="55" s="1"/>
  <c r="E119" i="55" s="1"/>
  <c r="E120" i="55" s="1"/>
  <c r="E121" i="55" s="1"/>
  <c r="E122" i="55" s="1"/>
  <c r="E32" i="111"/>
  <c r="C28" i="111"/>
  <c r="L27" i="111"/>
  <c r="L18" i="121"/>
  <c r="H52" i="78"/>
  <c r="H53" i="78" s="1"/>
  <c r="H54" i="78" s="1"/>
  <c r="H55" i="78" s="1"/>
  <c r="H56" i="78" s="1"/>
  <c r="H57" i="78" s="1"/>
  <c r="H58" i="78" s="1"/>
  <c r="H59" i="78" s="1"/>
  <c r="H60" i="78" s="1"/>
  <c r="H61" i="78" s="1"/>
  <c r="H62" i="78" s="1"/>
  <c r="H63" i="78" s="1"/>
  <c r="H64" i="78" s="1"/>
  <c r="H65" i="78" s="1"/>
  <c r="H66" i="78" s="1"/>
  <c r="H67" i="78" s="1"/>
  <c r="H68" i="78" s="1"/>
  <c r="H69" i="78" s="1"/>
  <c r="H70" i="78" s="1"/>
  <c r="H71" i="78" s="1"/>
  <c r="H72" i="78" s="1"/>
  <c r="H73" i="78" s="1"/>
  <c r="H74" i="78" s="1"/>
  <c r="H75" i="78" s="1"/>
  <c r="H76" i="78" s="1"/>
  <c r="H77" i="78" s="1"/>
  <c r="H78" i="78" s="1"/>
  <c r="H79" i="78" s="1"/>
  <c r="H80" i="78" s="1"/>
  <c r="H81" i="78" s="1"/>
  <c r="H82" i="78" s="1"/>
  <c r="H83" i="78" s="1"/>
  <c r="H84" i="78" s="1"/>
  <c r="H85" i="78" s="1"/>
  <c r="H86" i="78" s="1"/>
  <c r="H87" i="78" s="1"/>
  <c r="H88" i="78" s="1"/>
  <c r="H89" i="78" s="1"/>
  <c r="H90" i="78" s="1"/>
  <c r="H91" i="78" s="1"/>
  <c r="H92" i="78" s="1"/>
  <c r="H93" i="78" s="1"/>
  <c r="H94" i="78" s="1"/>
  <c r="H95" i="78" s="1"/>
  <c r="H96" i="78" s="1"/>
  <c r="H97" i="78" s="1"/>
  <c r="H98" i="78" s="1"/>
  <c r="H99" i="78" s="1"/>
  <c r="H100" i="78" s="1"/>
  <c r="H101" i="78" s="1"/>
  <c r="H102" i="78" s="1"/>
  <c r="H103" i="78" s="1"/>
  <c r="H104" i="78" s="1"/>
  <c r="H105" i="78" s="1"/>
  <c r="H106" i="78" s="1"/>
  <c r="H107" i="78" s="1"/>
  <c r="H109" i="78" s="1"/>
  <c r="H110" i="78" s="1"/>
  <c r="H111" i="78" s="1"/>
  <c r="H112" i="78" s="1"/>
  <c r="H113" i="78" s="1"/>
  <c r="H114" i="78" s="1"/>
  <c r="H115" i="78" s="1"/>
  <c r="H116" i="78" s="1"/>
  <c r="H117" i="78" s="1"/>
  <c r="H118" i="78" s="1"/>
  <c r="H119" i="78" s="1"/>
  <c r="H120" i="78" s="1"/>
  <c r="H121" i="78" s="1"/>
  <c r="H122" i="78" s="1"/>
  <c r="E16" i="121"/>
  <c r="N15" i="78"/>
  <c r="D33" i="93"/>
  <c r="F24" i="104"/>
  <c r="E25" i="104"/>
  <c r="E17" i="95"/>
  <c r="H32" i="95"/>
  <c r="I31" i="95"/>
  <c r="D14" i="133"/>
  <c r="L13" i="134"/>
  <c r="M12" i="134" s="1"/>
  <c r="N13" i="133"/>
  <c r="N13" i="77" l="1"/>
  <c r="O13" i="77" s="1"/>
  <c r="P13" i="77" s="1"/>
  <c r="I19" i="121"/>
  <c r="C8" i="113"/>
  <c r="E8" i="113" s="1"/>
  <c r="J6" i="112"/>
  <c r="K6" i="112" s="1"/>
  <c r="I7" i="112" s="1"/>
  <c r="F14" i="88"/>
  <c r="G14" i="88" s="1"/>
  <c r="K14" i="88" s="1"/>
  <c r="P14" i="88" s="1"/>
  <c r="G13" i="88"/>
  <c r="K13" i="88" s="1"/>
  <c r="P13" i="88" s="1"/>
  <c r="G16" i="55"/>
  <c r="L25" i="95"/>
  <c r="M16" i="121"/>
  <c r="F13" i="110"/>
  <c r="L12" i="110"/>
  <c r="G23" i="91"/>
  <c r="N26" i="114"/>
  <c r="O26" i="114" s="1"/>
  <c r="P26" i="114" s="1"/>
  <c r="N27" i="114"/>
  <c r="N28" i="114" s="1"/>
  <c r="F13" i="135"/>
  <c r="J14" i="135" s="1"/>
  <c r="H21" i="135"/>
  <c r="H22" i="135" s="1"/>
  <c r="F12" i="135"/>
  <c r="F14" i="135"/>
  <c r="N12" i="134"/>
  <c r="I25" i="134"/>
  <c r="J23" i="133"/>
  <c r="F24" i="133"/>
  <c r="G17" i="55"/>
  <c r="I16" i="55"/>
  <c r="N16" i="55" s="1"/>
  <c r="C20" i="55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E81" i="110"/>
  <c r="M80" i="110"/>
  <c r="N69" i="110"/>
  <c r="G19" i="133"/>
  <c r="H18" i="133"/>
  <c r="C17" i="78"/>
  <c r="F16" i="78"/>
  <c r="I16" i="78" s="1"/>
  <c r="B18" i="78"/>
  <c r="K17" i="78"/>
  <c r="F15" i="135"/>
  <c r="E16" i="135"/>
  <c r="F16" i="135" s="1"/>
  <c r="O20" i="147"/>
  <c r="C85" i="111"/>
  <c r="C86" i="111" s="1"/>
  <c r="C87" i="111" s="1"/>
  <c r="C88" i="111" s="1"/>
  <c r="C89" i="111" s="1"/>
  <c r="C90" i="111" s="1"/>
  <c r="C91" i="111" s="1"/>
  <c r="C92" i="111" s="1"/>
  <c r="C93" i="111" s="1"/>
  <c r="C94" i="111" s="1"/>
  <c r="C95" i="111" s="1"/>
  <c r="C96" i="111" s="1"/>
  <c r="C97" i="111" s="1"/>
  <c r="C98" i="111" s="1"/>
  <c r="C99" i="111" s="1"/>
  <c r="C100" i="111" s="1"/>
  <c r="C101" i="111" s="1"/>
  <c r="C102" i="111" s="1"/>
  <c r="C103" i="111" s="1"/>
  <c r="C104" i="111" s="1"/>
  <c r="C105" i="111" s="1"/>
  <c r="C106" i="111" s="1"/>
  <c r="C107" i="111" s="1"/>
  <c r="C108" i="111" s="1"/>
  <c r="C109" i="111" s="1"/>
  <c r="C110" i="111" s="1"/>
  <c r="C111" i="111" s="1"/>
  <c r="C112" i="111" s="1"/>
  <c r="C113" i="111" s="1"/>
  <c r="C114" i="111" s="1"/>
  <c r="C115" i="111" s="1"/>
  <c r="C116" i="111" s="1"/>
  <c r="C117" i="111" s="1"/>
  <c r="C118" i="111" s="1"/>
  <c r="C119" i="111" s="1"/>
  <c r="C120" i="111" s="1"/>
  <c r="C121" i="111" s="1"/>
  <c r="C122" i="111" s="1"/>
  <c r="C123" i="111" s="1"/>
  <c r="C124" i="111" s="1"/>
  <c r="C125" i="111" s="1"/>
  <c r="C126" i="111" s="1"/>
  <c r="C127" i="111" s="1"/>
  <c r="C128" i="111" s="1"/>
  <c r="C129" i="111" s="1"/>
  <c r="C130" i="111" s="1"/>
  <c r="C131" i="111" s="1"/>
  <c r="C132" i="111" s="1"/>
  <c r="C133" i="111" s="1"/>
  <c r="C134" i="111" s="1"/>
  <c r="C135" i="111" s="1"/>
  <c r="C136" i="111" s="1"/>
  <c r="C137" i="111" s="1"/>
  <c r="C138" i="111" s="1"/>
  <c r="C139" i="111" s="1"/>
  <c r="C140" i="111" s="1"/>
  <c r="C141" i="111" s="1"/>
  <c r="C142" i="111" s="1"/>
  <c r="C143" i="111" s="1"/>
  <c r="C144" i="111" s="1"/>
  <c r="C145" i="111" s="1"/>
  <c r="C146" i="111" s="1"/>
  <c r="C147" i="111" s="1"/>
  <c r="C148" i="111" s="1"/>
  <c r="C149" i="111" s="1"/>
  <c r="C150" i="111" s="1"/>
  <c r="C151" i="111" s="1"/>
  <c r="C152" i="111" s="1"/>
  <c r="C153" i="111" s="1"/>
  <c r="C154" i="111" s="1"/>
  <c r="C155" i="111" s="1"/>
  <c r="C156" i="111" s="1"/>
  <c r="C157" i="111" s="1"/>
  <c r="C158" i="111" s="1"/>
  <c r="C159" i="111" s="1"/>
  <c r="C160" i="111" s="1"/>
  <c r="C161" i="111" s="1"/>
  <c r="C162" i="111" s="1"/>
  <c r="C163" i="111" s="1"/>
  <c r="C164" i="111" s="1"/>
  <c r="C165" i="111" s="1"/>
  <c r="C166" i="111" s="1"/>
  <c r="C167" i="111" s="1"/>
  <c r="C168" i="111" s="1"/>
  <c r="C169" i="111" s="1"/>
  <c r="C170" i="111" s="1"/>
  <c r="C171" i="111" s="1"/>
  <c r="C172" i="111" s="1"/>
  <c r="C173" i="111" s="1"/>
  <c r="C174" i="111" s="1"/>
  <c r="C175" i="111" s="1"/>
  <c r="C176" i="111" s="1"/>
  <c r="C177" i="111" s="1"/>
  <c r="C178" i="111" s="1"/>
  <c r="C179" i="111" s="1"/>
  <c r="C180" i="111" s="1"/>
  <c r="C181" i="111" s="1"/>
  <c r="C182" i="111" s="1"/>
  <c r="C183" i="111" s="1"/>
  <c r="C184" i="111" s="1"/>
  <c r="C185" i="111" s="1"/>
  <c r="C186" i="111" s="1"/>
  <c r="C187" i="111" s="1"/>
  <c r="C188" i="111" s="1"/>
  <c r="C189" i="111" s="1"/>
  <c r="C190" i="111" s="1"/>
  <c r="C191" i="111" s="1"/>
  <c r="C192" i="111" s="1"/>
  <c r="C193" i="111" s="1"/>
  <c r="C194" i="111" s="1"/>
  <c r="C195" i="111" s="1"/>
  <c r="C196" i="111" s="1"/>
  <c r="C197" i="111" s="1"/>
  <c r="C198" i="111" s="1"/>
  <c r="C199" i="111" s="1"/>
  <c r="C200" i="111" s="1"/>
  <c r="C201" i="111" s="1"/>
  <c r="C202" i="111" s="1"/>
  <c r="C203" i="111" s="1"/>
  <c r="C204" i="111" s="1"/>
  <c r="C205" i="111" s="1"/>
  <c r="C206" i="111" s="1"/>
  <c r="C207" i="111" s="1"/>
  <c r="C208" i="111" s="1"/>
  <c r="C209" i="111" s="1"/>
  <c r="C210" i="111" s="1"/>
  <c r="C211" i="111" s="1"/>
  <c r="C212" i="111" s="1"/>
  <c r="C213" i="111" s="1"/>
  <c r="C214" i="111" s="1"/>
  <c r="C215" i="111" s="1"/>
  <c r="C216" i="111" s="1"/>
  <c r="C217" i="111" s="1"/>
  <c r="C218" i="111" s="1"/>
  <c r="C219" i="111" s="1"/>
  <c r="C220" i="111" s="1"/>
  <c r="C221" i="111" s="1"/>
  <c r="C222" i="111" s="1"/>
  <c r="C223" i="111" s="1"/>
  <c r="C224" i="111" s="1"/>
  <c r="C225" i="111" s="1"/>
  <c r="C226" i="111" s="1"/>
  <c r="C227" i="111" s="1"/>
  <c r="C228" i="111" s="1"/>
  <c r="C229" i="111" s="1"/>
  <c r="C230" i="111" s="1"/>
  <c r="C231" i="111" s="1"/>
  <c r="C232" i="111" s="1"/>
  <c r="C233" i="111" s="1"/>
  <c r="C234" i="111" s="1"/>
  <c r="C235" i="111" s="1"/>
  <c r="C236" i="111" s="1"/>
  <c r="C237" i="111" s="1"/>
  <c r="C238" i="111" s="1"/>
  <c r="C239" i="111" s="1"/>
  <c r="C240" i="111" s="1"/>
  <c r="C241" i="111" s="1"/>
  <c r="C242" i="111" s="1"/>
  <c r="C243" i="111" s="1"/>
  <c r="C244" i="111" s="1"/>
  <c r="C245" i="111" s="1"/>
  <c r="C246" i="111" s="1"/>
  <c r="C247" i="111" s="1"/>
  <c r="C248" i="111" s="1"/>
  <c r="C249" i="111" s="1"/>
  <c r="C250" i="111" s="1"/>
  <c r="C251" i="111" s="1"/>
  <c r="E20" i="111"/>
  <c r="L19" i="111"/>
  <c r="O19" i="111" s="1"/>
  <c r="F53" i="114"/>
  <c r="K52" i="114"/>
  <c r="Q21" i="113"/>
  <c r="P22" i="113"/>
  <c r="H23" i="91"/>
  <c r="I23" i="91" s="1"/>
  <c r="G24" i="91"/>
  <c r="E25" i="91"/>
  <c r="E80" i="88"/>
  <c r="M79" i="88"/>
  <c r="N43" i="88"/>
  <c r="O42" i="88"/>
  <c r="L14" i="88"/>
  <c r="L17" i="77"/>
  <c r="C18" i="77"/>
  <c r="L16" i="78"/>
  <c r="H15" i="77"/>
  <c r="K14" i="77"/>
  <c r="N14" i="77" s="1"/>
  <c r="O14" i="77" s="1"/>
  <c r="O12" i="135"/>
  <c r="L13" i="135"/>
  <c r="M13" i="134"/>
  <c r="N13" i="134" s="1"/>
  <c r="H21" i="121"/>
  <c r="I20" i="121"/>
  <c r="G58" i="95"/>
  <c r="K57" i="95"/>
  <c r="L21" i="147"/>
  <c r="L22" i="147" s="1"/>
  <c r="L21" i="148"/>
  <c r="O21" i="148" s="1"/>
  <c r="E22" i="148"/>
  <c r="F22" i="148" s="1"/>
  <c r="E21" i="147"/>
  <c r="D15" i="133"/>
  <c r="N14" i="133"/>
  <c r="H33" i="95"/>
  <c r="I32" i="95"/>
  <c r="F25" i="104"/>
  <c r="E26" i="104"/>
  <c r="M18" i="121"/>
  <c r="L19" i="121"/>
  <c r="C29" i="111"/>
  <c r="L28" i="111"/>
  <c r="K17" i="55"/>
  <c r="I26" i="134"/>
  <c r="H27" i="134"/>
  <c r="E19" i="134"/>
  <c r="F19" i="134" s="1"/>
  <c r="J19" i="134" s="1"/>
  <c r="H102" i="114"/>
  <c r="H103" i="114" s="1"/>
  <c r="H104" i="114" s="1"/>
  <c r="H105" i="114" s="1"/>
  <c r="H106" i="114" s="1"/>
  <c r="H107" i="114" s="1"/>
  <c r="H108" i="114" s="1"/>
  <c r="H109" i="114" s="1"/>
  <c r="H110" i="114" s="1"/>
  <c r="O13" i="134"/>
  <c r="L14" i="134"/>
  <c r="K15" i="133"/>
  <c r="E18" i="95"/>
  <c r="G24" i="104"/>
  <c r="D34" i="93"/>
  <c r="E33" i="93"/>
  <c r="R15" i="78"/>
  <c r="O16" i="121"/>
  <c r="E17" i="121"/>
  <c r="O27" i="111"/>
  <c r="E33" i="111"/>
  <c r="E123" i="55"/>
  <c r="E124" i="55" s="1"/>
  <c r="E125" i="55" s="1"/>
  <c r="E126" i="55" s="1"/>
  <c r="E127" i="55" s="1"/>
  <c r="E128" i="55" s="1"/>
  <c r="E129" i="55" s="1"/>
  <c r="E130" i="55" s="1"/>
  <c r="E131" i="55" s="1"/>
  <c r="E132" i="55" s="1"/>
  <c r="E133" i="55" s="1"/>
  <c r="E134" i="55" s="1"/>
  <c r="B93" i="77"/>
  <c r="G41" i="121"/>
  <c r="K40" i="121"/>
  <c r="Q13" i="77" l="1"/>
  <c r="R13" i="77" s="1"/>
  <c r="P14" i="77"/>
  <c r="J7" i="112"/>
  <c r="C9" i="113"/>
  <c r="E9" i="113" s="1"/>
  <c r="B9" i="113" s="1"/>
  <c r="B8" i="113"/>
  <c r="G8" i="113"/>
  <c r="F15" i="88"/>
  <c r="G15" i="88" s="1"/>
  <c r="K15" i="88" s="1"/>
  <c r="P15" i="88" s="1"/>
  <c r="M25" i="95"/>
  <c r="L26" i="95"/>
  <c r="O27" i="114"/>
  <c r="P27" i="114" s="1"/>
  <c r="F14" i="110"/>
  <c r="L13" i="110"/>
  <c r="O21" i="147"/>
  <c r="H111" i="114"/>
  <c r="H112" i="114" s="1"/>
  <c r="H113" i="114" s="1"/>
  <c r="J13" i="135"/>
  <c r="J15" i="135"/>
  <c r="E17" i="135"/>
  <c r="F17" i="135" s="1"/>
  <c r="I21" i="135"/>
  <c r="J17" i="135"/>
  <c r="J16" i="135"/>
  <c r="J12" i="135"/>
  <c r="F25" i="133"/>
  <c r="J24" i="133"/>
  <c r="G18" i="55"/>
  <c r="I17" i="55"/>
  <c r="N17" i="55" s="1"/>
  <c r="E82" i="110"/>
  <c r="M81" i="110"/>
  <c r="N70" i="110"/>
  <c r="G20" i="133"/>
  <c r="H19" i="133"/>
  <c r="K18" i="78"/>
  <c r="B19" i="78"/>
  <c r="C18" i="78"/>
  <c r="F17" i="78"/>
  <c r="I17" i="78" s="1"/>
  <c r="L17" i="78" s="1"/>
  <c r="M14" i="134"/>
  <c r="N14" i="134" s="1"/>
  <c r="M22" i="147"/>
  <c r="E21" i="111"/>
  <c r="L20" i="111"/>
  <c r="O20" i="111" s="1"/>
  <c r="F54" i="114"/>
  <c r="K53" i="114"/>
  <c r="P23" i="113"/>
  <c r="Q22" i="113"/>
  <c r="H24" i="91"/>
  <c r="I24" i="91" s="1"/>
  <c r="E26" i="91"/>
  <c r="G25" i="91"/>
  <c r="E81" i="88"/>
  <c r="M80" i="88"/>
  <c r="N44" i="88"/>
  <c r="O43" i="88"/>
  <c r="L15" i="88"/>
  <c r="C19" i="77"/>
  <c r="L18" i="77"/>
  <c r="Q16" i="78"/>
  <c r="R16" i="78" s="1"/>
  <c r="N16" i="78"/>
  <c r="Q14" i="77"/>
  <c r="K15" i="77"/>
  <c r="N15" i="77" s="1"/>
  <c r="O15" i="77" s="1"/>
  <c r="H16" i="77"/>
  <c r="L14" i="135"/>
  <c r="O13" i="135"/>
  <c r="I22" i="135"/>
  <c r="H23" i="135"/>
  <c r="H22" i="121"/>
  <c r="I21" i="121"/>
  <c r="G59" i="95"/>
  <c r="K58" i="95"/>
  <c r="E22" i="147"/>
  <c r="E23" i="148"/>
  <c r="L22" i="148"/>
  <c r="K41" i="121"/>
  <c r="G42" i="121"/>
  <c r="C32" i="55"/>
  <c r="E135" i="55"/>
  <c r="E136" i="55" s="1"/>
  <c r="E137" i="55" s="1"/>
  <c r="E138" i="55" s="1"/>
  <c r="E139" i="55" s="1"/>
  <c r="E140" i="55" s="1"/>
  <c r="E141" i="55" s="1"/>
  <c r="E142" i="55" s="1"/>
  <c r="E143" i="55" s="1"/>
  <c r="E144" i="55" s="1"/>
  <c r="E145" i="55" s="1"/>
  <c r="E146" i="55" s="1"/>
  <c r="O14" i="134"/>
  <c r="L15" i="134"/>
  <c r="H114" i="114"/>
  <c r="H115" i="114" s="1"/>
  <c r="H116" i="114" s="1"/>
  <c r="H117" i="114" s="1"/>
  <c r="H118" i="114" s="1"/>
  <c r="H119" i="114" s="1"/>
  <c r="H120" i="114" s="1"/>
  <c r="H121" i="114" s="1"/>
  <c r="H122" i="114" s="1"/>
  <c r="H123" i="114" s="1"/>
  <c r="H124" i="114" s="1"/>
  <c r="H125" i="114" s="1"/>
  <c r="K18" i="55"/>
  <c r="C30" i="111"/>
  <c r="L29" i="111"/>
  <c r="M19" i="121"/>
  <c r="L20" i="121"/>
  <c r="E27" i="104"/>
  <c r="F26" i="104"/>
  <c r="H34" i="95"/>
  <c r="I33" i="95"/>
  <c r="B94" i="77"/>
  <c r="E34" i="111"/>
  <c r="O17" i="121"/>
  <c r="E18" i="121"/>
  <c r="E34" i="93"/>
  <c r="D35" i="93"/>
  <c r="G25" i="104"/>
  <c r="H24" i="104"/>
  <c r="E19" i="95"/>
  <c r="O28" i="114"/>
  <c r="P28" i="114" s="1"/>
  <c r="N29" i="114"/>
  <c r="K16" i="133"/>
  <c r="E20" i="134"/>
  <c r="F20" i="134" s="1"/>
  <c r="J20" i="134" s="1"/>
  <c r="I27" i="134"/>
  <c r="H28" i="134"/>
  <c r="O28" i="111"/>
  <c r="D16" i="133"/>
  <c r="N15" i="133"/>
  <c r="R14" i="77" l="1"/>
  <c r="K7" i="112"/>
  <c r="I8" i="112" s="1"/>
  <c r="C10" i="113" s="1"/>
  <c r="E10" i="113" s="1"/>
  <c r="B10" i="113" s="1"/>
  <c r="F9" i="113"/>
  <c r="I9" i="113" s="1"/>
  <c r="J9" i="113" s="1"/>
  <c r="G9" i="113"/>
  <c r="F16" i="88"/>
  <c r="G16" i="88" s="1"/>
  <c r="K16" i="88" s="1"/>
  <c r="P16" i="88" s="1"/>
  <c r="M26" i="95"/>
  <c r="L27" i="95"/>
  <c r="M12" i="135"/>
  <c r="N12" i="135" s="1"/>
  <c r="L14" i="110"/>
  <c r="F15" i="110"/>
  <c r="O22" i="148"/>
  <c r="M22" i="148"/>
  <c r="N22" i="148" s="1"/>
  <c r="G23" i="148"/>
  <c r="K23" i="148" s="1"/>
  <c r="F23" i="148"/>
  <c r="M13" i="135"/>
  <c r="N13" i="135" s="1"/>
  <c r="J18" i="135"/>
  <c r="E18" i="135"/>
  <c r="F18" i="135" s="1"/>
  <c r="J25" i="133"/>
  <c r="F26" i="133"/>
  <c r="G19" i="55"/>
  <c r="I18" i="55"/>
  <c r="N18" i="55" s="1"/>
  <c r="M82" i="110"/>
  <c r="E83" i="110"/>
  <c r="N71" i="110"/>
  <c r="H20" i="133"/>
  <c r="G21" i="133"/>
  <c r="F18" i="78"/>
  <c r="I18" i="78" s="1"/>
  <c r="C19" i="78"/>
  <c r="K19" i="78"/>
  <c r="B20" i="78"/>
  <c r="M15" i="134"/>
  <c r="N15" i="134" s="1"/>
  <c r="O22" i="147"/>
  <c r="F22" i="147"/>
  <c r="E22" i="111"/>
  <c r="L21" i="111"/>
  <c r="O21" i="111" s="1"/>
  <c r="F55" i="114"/>
  <c r="K54" i="114"/>
  <c r="P24" i="113"/>
  <c r="Q23" i="113"/>
  <c r="H25" i="91"/>
  <c r="E27" i="91"/>
  <c r="G26" i="91"/>
  <c r="M81" i="88"/>
  <c r="E82" i="88"/>
  <c r="N45" i="88"/>
  <c r="O44" i="88"/>
  <c r="L16" i="88"/>
  <c r="C20" i="77"/>
  <c r="L19" i="77"/>
  <c r="Q17" i="78"/>
  <c r="R17" i="78" s="1"/>
  <c r="N17" i="78"/>
  <c r="S17" i="78"/>
  <c r="Q15" i="77"/>
  <c r="R15" i="77" s="1"/>
  <c r="P15" i="77"/>
  <c r="K16" i="77"/>
  <c r="N16" i="77" s="1"/>
  <c r="O16" i="77" s="1"/>
  <c r="H17" i="77"/>
  <c r="I23" i="135"/>
  <c r="H24" i="135"/>
  <c r="O14" i="135"/>
  <c r="M14" i="135"/>
  <c r="N14" i="135" s="1"/>
  <c r="L15" i="135"/>
  <c r="I22" i="121"/>
  <c r="H23" i="121"/>
  <c r="G60" i="95"/>
  <c r="K59" i="95"/>
  <c r="E24" i="148"/>
  <c r="F24" i="148" s="1"/>
  <c r="E23" i="147"/>
  <c r="D17" i="133"/>
  <c r="N16" i="133"/>
  <c r="O29" i="114"/>
  <c r="P29" i="114" s="1"/>
  <c r="N30" i="114"/>
  <c r="G26" i="104"/>
  <c r="H25" i="104"/>
  <c r="E35" i="93"/>
  <c r="D36" i="93"/>
  <c r="B95" i="77"/>
  <c r="M20" i="121"/>
  <c r="L21" i="121"/>
  <c r="O29" i="111"/>
  <c r="K19" i="55"/>
  <c r="I28" i="134"/>
  <c r="H29" i="134"/>
  <c r="E21" i="134"/>
  <c r="F21" i="134" s="1"/>
  <c r="J21" i="134" s="1"/>
  <c r="K17" i="133"/>
  <c r="E20" i="95"/>
  <c r="I24" i="104"/>
  <c r="O18" i="121"/>
  <c r="F18" i="121"/>
  <c r="J18" i="121" s="1"/>
  <c r="N18" i="121" s="1"/>
  <c r="E19" i="121"/>
  <c r="E35" i="111"/>
  <c r="H35" i="95"/>
  <c r="I34" i="95"/>
  <c r="F27" i="104"/>
  <c r="E28" i="104"/>
  <c r="L30" i="111"/>
  <c r="C31" i="111"/>
  <c r="H126" i="114"/>
  <c r="H127" i="114" s="1"/>
  <c r="H128" i="114" s="1"/>
  <c r="H129" i="114" s="1"/>
  <c r="H130" i="114" s="1"/>
  <c r="H131" i="114" s="1"/>
  <c r="H132" i="114" s="1"/>
  <c r="H133" i="114" s="1"/>
  <c r="H134" i="114" s="1"/>
  <c r="H135" i="114" s="1"/>
  <c r="H136" i="114" s="1"/>
  <c r="H137" i="114" s="1"/>
  <c r="L16" i="134"/>
  <c r="O15" i="134"/>
  <c r="E147" i="55"/>
  <c r="E148" i="55" s="1"/>
  <c r="E149" i="55" s="1"/>
  <c r="E150" i="55" s="1"/>
  <c r="E151" i="55" s="1"/>
  <c r="E152" i="55" s="1"/>
  <c r="E153" i="55" s="1"/>
  <c r="E154" i="55" s="1"/>
  <c r="E155" i="55" s="1"/>
  <c r="E156" i="55" s="1"/>
  <c r="E157" i="55" s="1"/>
  <c r="E158" i="55" s="1"/>
  <c r="C33" i="55"/>
  <c r="G43" i="121"/>
  <c r="K42" i="121"/>
  <c r="F10" i="113" l="1"/>
  <c r="I10" i="113" s="1"/>
  <c r="J10" i="113" s="1"/>
  <c r="J8" i="112"/>
  <c r="F17" i="88"/>
  <c r="G17" i="88" s="1"/>
  <c r="K17" i="88" s="1"/>
  <c r="P17" i="88" s="1"/>
  <c r="M27" i="95"/>
  <c r="L28" i="95"/>
  <c r="L15" i="110"/>
  <c r="F16" i="110"/>
  <c r="H26" i="91"/>
  <c r="I26" i="91" s="1"/>
  <c r="H138" i="114"/>
  <c r="H139" i="114" s="1"/>
  <c r="H140" i="114" s="1"/>
  <c r="H141" i="114" s="1"/>
  <c r="H142" i="114" s="1"/>
  <c r="H143" i="114" s="1"/>
  <c r="H144" i="114" s="1"/>
  <c r="H145" i="114" s="1"/>
  <c r="H146" i="114" s="1"/>
  <c r="H147" i="114" s="1"/>
  <c r="H148" i="114" s="1"/>
  <c r="H149" i="114" s="1"/>
  <c r="H150" i="114" s="1"/>
  <c r="H151" i="114" s="1"/>
  <c r="H152" i="114" s="1"/>
  <c r="E44" i="159"/>
  <c r="G23" i="147"/>
  <c r="F23" i="147"/>
  <c r="E19" i="135"/>
  <c r="F19" i="135" s="1"/>
  <c r="J19" i="135" s="1"/>
  <c r="F27" i="133"/>
  <c r="J26" i="133"/>
  <c r="G20" i="55"/>
  <c r="I19" i="55"/>
  <c r="N19" i="55" s="1"/>
  <c r="N72" i="110"/>
  <c r="E84" i="110"/>
  <c r="M83" i="110"/>
  <c r="H21" i="133"/>
  <c r="G22" i="133"/>
  <c r="L18" i="78"/>
  <c r="B21" i="78"/>
  <c r="K20" i="78"/>
  <c r="F19" i="78"/>
  <c r="I19" i="78" s="1"/>
  <c r="C20" i="78"/>
  <c r="M16" i="134"/>
  <c r="N16" i="134" s="1"/>
  <c r="J22" i="147"/>
  <c r="N22" i="147" s="1"/>
  <c r="E23" i="111"/>
  <c r="L22" i="111"/>
  <c r="O22" i="111" s="1"/>
  <c r="F56" i="114"/>
  <c r="K55" i="114"/>
  <c r="P25" i="113"/>
  <c r="Q24" i="113"/>
  <c r="I25" i="91"/>
  <c r="G27" i="91"/>
  <c r="H27" i="91" s="1"/>
  <c r="E28" i="91"/>
  <c r="E83" i="88"/>
  <c r="M82" i="88"/>
  <c r="N46" i="88"/>
  <c r="O45" i="88"/>
  <c r="L17" i="88"/>
  <c r="L20" i="77"/>
  <c r="C21" i="77"/>
  <c r="Q18" i="78"/>
  <c r="R18" i="78" s="1"/>
  <c r="P16" i="77"/>
  <c r="Q16" i="77"/>
  <c r="R16" i="77" s="1"/>
  <c r="H18" i="77"/>
  <c r="K17" i="77"/>
  <c r="N17" i="77" s="1"/>
  <c r="O17" i="77" s="1"/>
  <c r="H25" i="135"/>
  <c r="I24" i="135"/>
  <c r="O15" i="135"/>
  <c r="M15" i="135"/>
  <c r="N15" i="135" s="1"/>
  <c r="L16" i="135"/>
  <c r="H24" i="121"/>
  <c r="I23" i="121"/>
  <c r="G61" i="95"/>
  <c r="K60" i="95"/>
  <c r="E24" i="147"/>
  <c r="F24" i="147" s="1"/>
  <c r="E25" i="148"/>
  <c r="F25" i="148" s="1"/>
  <c r="G24" i="148"/>
  <c r="L23" i="148"/>
  <c r="M23" i="148" s="1"/>
  <c r="H23" i="148"/>
  <c r="G44" i="121"/>
  <c r="K43" i="121"/>
  <c r="C34" i="55"/>
  <c r="E159" i="55"/>
  <c r="E160" i="55" s="1"/>
  <c r="E161" i="55" s="1"/>
  <c r="E162" i="55" s="1"/>
  <c r="E163" i="55" s="1"/>
  <c r="E164" i="55" s="1"/>
  <c r="E165" i="55" s="1"/>
  <c r="E166" i="55" s="1"/>
  <c r="E167" i="55" s="1"/>
  <c r="E168" i="55" s="1"/>
  <c r="E169" i="55" s="1"/>
  <c r="E170" i="55" s="1"/>
  <c r="O16" i="134"/>
  <c r="L17" i="134"/>
  <c r="O30" i="111"/>
  <c r="F28" i="104"/>
  <c r="E29" i="104"/>
  <c r="H36" i="95"/>
  <c r="I35" i="95"/>
  <c r="E36" i="111"/>
  <c r="E21" i="95"/>
  <c r="K18" i="133"/>
  <c r="L17" i="133"/>
  <c r="K20" i="55"/>
  <c r="L22" i="121"/>
  <c r="M21" i="121"/>
  <c r="B96" i="77"/>
  <c r="G27" i="104"/>
  <c r="H26" i="104"/>
  <c r="O30" i="114"/>
  <c r="P30" i="114" s="1"/>
  <c r="N31" i="114"/>
  <c r="D18" i="133"/>
  <c r="N17" i="133"/>
  <c r="E17" i="133"/>
  <c r="I17" i="133" s="1"/>
  <c r="C32" i="111"/>
  <c r="L31" i="111"/>
  <c r="O19" i="121"/>
  <c r="E20" i="121"/>
  <c r="F19" i="121"/>
  <c r="J19" i="121" s="1"/>
  <c r="N19" i="121" s="1"/>
  <c r="E22" i="134"/>
  <c r="F22" i="134" s="1"/>
  <c r="J22" i="134" s="1"/>
  <c r="I29" i="134"/>
  <c r="H30" i="134"/>
  <c r="D37" i="93"/>
  <c r="E36" i="93"/>
  <c r="I25" i="104"/>
  <c r="K8" i="112" l="1"/>
  <c r="I9" i="112" s="1"/>
  <c r="C11" i="113" s="1"/>
  <c r="E11" i="113" s="1"/>
  <c r="B11" i="113" s="1"/>
  <c r="G10" i="113"/>
  <c r="F18" i="88"/>
  <c r="G18" i="88" s="1"/>
  <c r="K18" i="88" s="1"/>
  <c r="P18" i="88" s="1"/>
  <c r="L29" i="95"/>
  <c r="M28" i="95"/>
  <c r="H153" i="114"/>
  <c r="H154" i="114" s="1"/>
  <c r="H155" i="114" s="1"/>
  <c r="H156" i="114" s="1"/>
  <c r="H157" i="114" s="1"/>
  <c r="H158" i="114" s="1"/>
  <c r="H159" i="114" s="1"/>
  <c r="H160" i="114" s="1"/>
  <c r="H161" i="114" s="1"/>
  <c r="H162" i="114" s="1"/>
  <c r="H163" i="114" s="1"/>
  <c r="H164" i="114" s="1"/>
  <c r="H165" i="114" s="1"/>
  <c r="H166" i="114" s="1"/>
  <c r="H167" i="114" s="1"/>
  <c r="H168" i="114" s="1"/>
  <c r="H169" i="114" s="1"/>
  <c r="H170" i="114" s="1"/>
  <c r="H171" i="114" s="1"/>
  <c r="H172" i="114" s="1"/>
  <c r="H173" i="114" s="1"/>
  <c r="H174" i="114" s="1"/>
  <c r="H175" i="114" s="1"/>
  <c r="H176" i="114" s="1"/>
  <c r="H177" i="114" s="1"/>
  <c r="H178" i="114" s="1"/>
  <c r="H179" i="114" s="1"/>
  <c r="H180" i="114" s="1"/>
  <c r="H181" i="114" s="1"/>
  <c r="H182" i="114" s="1"/>
  <c r="H183" i="114" s="1"/>
  <c r="H184" i="114" s="1"/>
  <c r="H185" i="114" s="1"/>
  <c r="H186" i="114" s="1"/>
  <c r="H187" i="114" s="1"/>
  <c r="H188" i="114" s="1"/>
  <c r="H189" i="114" s="1"/>
  <c r="H190" i="114" s="1"/>
  <c r="H191" i="114" s="1"/>
  <c r="H192" i="114" s="1"/>
  <c r="H193" i="114" s="1"/>
  <c r="H194" i="114" s="1"/>
  <c r="H195" i="114" s="1"/>
  <c r="H196" i="114" s="1"/>
  <c r="H197" i="114" s="1"/>
  <c r="H198" i="114" s="1"/>
  <c r="H199" i="114" s="1"/>
  <c r="H200" i="114" s="1"/>
  <c r="H201" i="114" s="1"/>
  <c r="H202" i="114" s="1"/>
  <c r="H203" i="114" s="1"/>
  <c r="H204" i="114" s="1"/>
  <c r="H205" i="114" s="1"/>
  <c r="H206" i="114" s="1"/>
  <c r="H207" i="114" s="1"/>
  <c r="H208" i="114" s="1"/>
  <c r="H209" i="114" s="1"/>
  <c r="H210" i="114" s="1"/>
  <c r="H211" i="114" s="1"/>
  <c r="H212" i="114" s="1"/>
  <c r="H213" i="114" s="1"/>
  <c r="H214" i="114" s="1"/>
  <c r="H215" i="114" s="1"/>
  <c r="H216" i="114" s="1"/>
  <c r="H217" i="114" s="1"/>
  <c r="H218" i="114" s="1"/>
  <c r="H219" i="114" s="1"/>
  <c r="H220" i="114" s="1"/>
  <c r="H221" i="114" s="1"/>
  <c r="H222" i="114" s="1"/>
  <c r="H223" i="114" s="1"/>
  <c r="H224" i="114" s="1"/>
  <c r="H225" i="114" s="1"/>
  <c r="H226" i="114" s="1"/>
  <c r="H227" i="114" s="1"/>
  <c r="H228" i="114" s="1"/>
  <c r="H229" i="114" s="1"/>
  <c r="H230" i="114" s="1"/>
  <c r="H231" i="114" s="1"/>
  <c r="H232" i="114" s="1"/>
  <c r="H233" i="114" s="1"/>
  <c r="H234" i="114" s="1"/>
  <c r="H235" i="114" s="1"/>
  <c r="H236" i="114" s="1"/>
  <c r="H237" i="114" s="1"/>
  <c r="H238" i="114" s="1"/>
  <c r="H239" i="114" s="1"/>
  <c r="H240" i="114" s="1"/>
  <c r="H241" i="114" s="1"/>
  <c r="H242" i="114" s="1"/>
  <c r="H243" i="114" s="1"/>
  <c r="H244" i="114" s="1"/>
  <c r="H245" i="114" s="1"/>
  <c r="H246" i="114" s="1"/>
  <c r="H247" i="114" s="1"/>
  <c r="H248" i="114" s="1"/>
  <c r="H249" i="114" s="1"/>
  <c r="H250" i="114" s="1"/>
  <c r="H251" i="114" s="1"/>
  <c r="H252" i="114" s="1"/>
  <c r="H253" i="114" s="1"/>
  <c r="H254" i="114" s="1"/>
  <c r="H255" i="114" s="1"/>
  <c r="H256" i="114" s="1"/>
  <c r="H257" i="114" s="1"/>
  <c r="H258" i="114" s="1"/>
  <c r="H259" i="114" s="1"/>
  <c r="H260" i="114" s="1"/>
  <c r="H261" i="114" s="1"/>
  <c r="H262" i="114" s="1"/>
  <c r="H263" i="114" s="1"/>
  <c r="H264" i="114" s="1"/>
  <c r="H265" i="114" s="1"/>
  <c r="H266" i="114" s="1"/>
  <c r="H267" i="114" s="1"/>
  <c r="H268" i="114" s="1"/>
  <c r="H269" i="114" s="1"/>
  <c r="H270" i="114" s="1"/>
  <c r="H271" i="114" s="1"/>
  <c r="H272" i="114" s="1"/>
  <c r="H273" i="114" s="1"/>
  <c r="H274" i="114" s="1"/>
  <c r="H275" i="114" s="1"/>
  <c r="H276" i="114" s="1"/>
  <c r="H277" i="114" s="1"/>
  <c r="H278" i="114" s="1"/>
  <c r="H279" i="114" s="1"/>
  <c r="H280" i="114" s="1"/>
  <c r="H281" i="114" s="1"/>
  <c r="H282" i="114" s="1"/>
  <c r="H283" i="114" s="1"/>
  <c r="H284" i="114" s="1"/>
  <c r="H285" i="114" s="1"/>
  <c r="H286" i="114" s="1"/>
  <c r="H287" i="114" s="1"/>
  <c r="H288" i="114" s="1"/>
  <c r="H289" i="114" s="1"/>
  <c r="H290" i="114" s="1"/>
  <c r="H291" i="114" s="1"/>
  <c r="H292" i="114" s="1"/>
  <c r="H293" i="114" s="1"/>
  <c r="H294" i="114" s="1"/>
  <c r="H295" i="114" s="1"/>
  <c r="H296" i="114" s="1"/>
  <c r="H297" i="114" s="1"/>
  <c r="H298" i="114" s="1"/>
  <c r="H299" i="114" s="1"/>
  <c r="H300" i="114" s="1"/>
  <c r="H301" i="114" s="1"/>
  <c r="H302" i="114" s="1"/>
  <c r="H303" i="114" s="1"/>
  <c r="H304" i="114" s="1"/>
  <c r="H305" i="114" s="1"/>
  <c r="H306" i="114" s="1"/>
  <c r="H307" i="114" s="1"/>
  <c r="H308" i="114" s="1"/>
  <c r="H309" i="114" s="1"/>
  <c r="H310" i="114" s="1"/>
  <c r="H311" i="114" s="1"/>
  <c r="H312" i="114" s="1"/>
  <c r="H313" i="114" s="1"/>
  <c r="H314" i="114" s="1"/>
  <c r="H315" i="114" s="1"/>
  <c r="H316" i="114" s="1"/>
  <c r="H317" i="114" s="1"/>
  <c r="H318" i="114" s="1"/>
  <c r="H319" i="114" s="1"/>
  <c r="H320" i="114" s="1"/>
  <c r="H321" i="114" s="1"/>
  <c r="H322" i="114" s="1"/>
  <c r="H323" i="114" s="1"/>
  <c r="H324" i="114" s="1"/>
  <c r="H325" i="114" s="1"/>
  <c r="H326" i="114" s="1"/>
  <c r="H327" i="114" s="1"/>
  <c r="H328" i="114" s="1"/>
  <c r="H329" i="114" s="1"/>
  <c r="H330" i="114" s="1"/>
  <c r="H331" i="114" s="1"/>
  <c r="H332" i="114" s="1"/>
  <c r="H333" i="114" s="1"/>
  <c r="H334" i="114" s="1"/>
  <c r="H335" i="114" s="1"/>
  <c r="H336" i="114" s="1"/>
  <c r="H337" i="114" s="1"/>
  <c r="H338" i="114" s="1"/>
  <c r="H339" i="114" s="1"/>
  <c r="H340" i="114" s="1"/>
  <c r="H341" i="114" s="1"/>
  <c r="H342" i="114" s="1"/>
  <c r="H343" i="114" s="1"/>
  <c r="H344" i="114" s="1"/>
  <c r="H345" i="114" s="1"/>
  <c r="H346" i="114" s="1"/>
  <c r="H347" i="114" s="1"/>
  <c r="H348" i="114" s="1"/>
  <c r="H349" i="114" s="1"/>
  <c r="H350" i="114" s="1"/>
  <c r="H351" i="114" s="1"/>
  <c r="H352" i="114" s="1"/>
  <c r="H353" i="114" s="1"/>
  <c r="H354" i="114" s="1"/>
  <c r="H355" i="114" s="1"/>
  <c r="H356" i="114" s="1"/>
  <c r="H357" i="114" s="1"/>
  <c r="H358" i="114" s="1"/>
  <c r="H359" i="114" s="1"/>
  <c r="H360" i="114" s="1"/>
  <c r="H361" i="114" s="1"/>
  <c r="H362" i="114" s="1"/>
  <c r="H363" i="114" s="1"/>
  <c r="H364" i="114" s="1"/>
  <c r="H365" i="114" s="1"/>
  <c r="H366" i="114" s="1"/>
  <c r="H367" i="114" s="1"/>
  <c r="H368" i="114" s="1"/>
  <c r="H369" i="114" s="1"/>
  <c r="F17" i="110"/>
  <c r="L16" i="110"/>
  <c r="E20" i="135"/>
  <c r="E21" i="135" s="1"/>
  <c r="F28" i="133"/>
  <c r="J27" i="133"/>
  <c r="G21" i="55"/>
  <c r="I20" i="55"/>
  <c r="N20" i="55" s="1"/>
  <c r="S18" i="78"/>
  <c r="N18" i="78"/>
  <c r="M84" i="110"/>
  <c r="E85" i="110"/>
  <c r="N73" i="110"/>
  <c r="G23" i="133"/>
  <c r="H22" i="133"/>
  <c r="L19" i="78"/>
  <c r="K21" i="78"/>
  <c r="B22" i="78"/>
  <c r="C21" i="78"/>
  <c r="F20" i="78"/>
  <c r="I20" i="78" s="1"/>
  <c r="M17" i="134"/>
  <c r="N17" i="134" s="1"/>
  <c r="E24" i="111"/>
  <c r="L24" i="111" s="1"/>
  <c r="O24" i="111" s="1"/>
  <c r="L23" i="111"/>
  <c r="O23" i="111" s="1"/>
  <c r="F57" i="114"/>
  <c r="K56" i="114"/>
  <c r="P26" i="113"/>
  <c r="Q25" i="113"/>
  <c r="I27" i="91"/>
  <c r="E29" i="91"/>
  <c r="G28" i="91"/>
  <c r="H28" i="91" s="1"/>
  <c r="M83" i="88"/>
  <c r="E84" i="88"/>
  <c r="N47" i="88"/>
  <c r="O46" i="88"/>
  <c r="C22" i="77"/>
  <c r="L21" i="77"/>
  <c r="K18" i="77"/>
  <c r="N18" i="77" s="1"/>
  <c r="O18" i="77" s="1"/>
  <c r="H19" i="77"/>
  <c r="Q17" i="77"/>
  <c r="R17" i="77" s="1"/>
  <c r="P17" i="77"/>
  <c r="M16" i="135"/>
  <c r="N16" i="135" s="1"/>
  <c r="O16" i="135"/>
  <c r="L17" i="135"/>
  <c r="I25" i="135"/>
  <c r="H26" i="135"/>
  <c r="I24" i="121"/>
  <c r="H25" i="121"/>
  <c r="K61" i="95"/>
  <c r="G62" i="95"/>
  <c r="K24" i="148"/>
  <c r="L24" i="148" s="1"/>
  <c r="M24" i="148" s="1"/>
  <c r="I23" i="148"/>
  <c r="O23" i="148"/>
  <c r="H23" i="147"/>
  <c r="K23" i="147"/>
  <c r="L23" i="147" s="1"/>
  <c r="H24" i="148"/>
  <c r="E26" i="148"/>
  <c r="F26" i="148" s="1"/>
  <c r="G25" i="148"/>
  <c r="K25" i="148" s="1"/>
  <c r="G24" i="147"/>
  <c r="K24" i="147" s="1"/>
  <c r="E25" i="147"/>
  <c r="F25" i="147" s="1"/>
  <c r="I30" i="134"/>
  <c r="H31" i="134"/>
  <c r="E23" i="134"/>
  <c r="F23" i="134" s="1"/>
  <c r="J23" i="134" s="1"/>
  <c r="F20" i="121"/>
  <c r="J20" i="121" s="1"/>
  <c r="N20" i="121" s="1"/>
  <c r="O20" i="121"/>
  <c r="E21" i="121"/>
  <c r="O31" i="111"/>
  <c r="O31" i="114"/>
  <c r="P31" i="114" s="1"/>
  <c r="N32" i="114"/>
  <c r="I26" i="104"/>
  <c r="M22" i="121"/>
  <c r="L23" i="121"/>
  <c r="K21" i="55"/>
  <c r="K19" i="133"/>
  <c r="L18" i="133"/>
  <c r="E37" i="111"/>
  <c r="F20" i="135"/>
  <c r="J20" i="135" s="1"/>
  <c r="H37" i="95"/>
  <c r="I36" i="95"/>
  <c r="F29" i="104"/>
  <c r="E30" i="104"/>
  <c r="L18" i="134"/>
  <c r="O17" i="134"/>
  <c r="E171" i="55"/>
  <c r="E172" i="55" s="1"/>
  <c r="E173" i="55" s="1"/>
  <c r="E174" i="55" s="1"/>
  <c r="E175" i="55" s="1"/>
  <c r="E176" i="55" s="1"/>
  <c r="E177" i="55" s="1"/>
  <c r="E178" i="55" s="1"/>
  <c r="E179" i="55" s="1"/>
  <c r="E180" i="55" s="1"/>
  <c r="E181" i="55" s="1"/>
  <c r="E182" i="55" s="1"/>
  <c r="K44" i="121"/>
  <c r="G45" i="121"/>
  <c r="D38" i="93"/>
  <c r="E37" i="93"/>
  <c r="C33" i="111"/>
  <c r="L32" i="111"/>
  <c r="D19" i="133"/>
  <c r="N18" i="133"/>
  <c r="E18" i="133"/>
  <c r="I18" i="133" s="1"/>
  <c r="G28" i="104"/>
  <c r="H27" i="104"/>
  <c r="B97" i="77"/>
  <c r="M17" i="133"/>
  <c r="E22" i="95"/>
  <c r="C35" i="55"/>
  <c r="F11" i="113" l="1"/>
  <c r="I11" i="113" s="1"/>
  <c r="J11" i="113" s="1"/>
  <c r="G11" i="113"/>
  <c r="F12" i="113" s="1"/>
  <c r="J9" i="112"/>
  <c r="K9" i="112" s="1"/>
  <c r="I10" i="112" s="1"/>
  <c r="L18" i="88"/>
  <c r="F19" i="88"/>
  <c r="G19" i="88" s="1"/>
  <c r="K19" i="88" s="1"/>
  <c r="P19" i="88" s="1"/>
  <c r="M29" i="95"/>
  <c r="L30" i="95"/>
  <c r="F18" i="110"/>
  <c r="L17" i="110"/>
  <c r="O23" i="147"/>
  <c r="M23" i="147"/>
  <c r="J23" i="148"/>
  <c r="N23" i="148" s="1"/>
  <c r="J28" i="133"/>
  <c r="F29" i="133"/>
  <c r="I21" i="55"/>
  <c r="N21" i="55" s="1"/>
  <c r="G22" i="55"/>
  <c r="N19" i="78"/>
  <c r="N74" i="110"/>
  <c r="E86" i="110"/>
  <c r="M85" i="110"/>
  <c r="G24" i="133"/>
  <c r="H23" i="133"/>
  <c r="L20" i="78"/>
  <c r="F21" i="78"/>
  <c r="I21" i="78" s="1"/>
  <c r="C22" i="78"/>
  <c r="K22" i="78"/>
  <c r="B23" i="78"/>
  <c r="Q19" i="78"/>
  <c r="R19" i="78" s="1"/>
  <c r="S19" i="78"/>
  <c r="M18" i="134"/>
  <c r="N18" i="134" s="1"/>
  <c r="F58" i="114"/>
  <c r="K57" i="114"/>
  <c r="P27" i="113"/>
  <c r="Q26" i="113"/>
  <c r="E30" i="91"/>
  <c r="G29" i="91"/>
  <c r="H29" i="91" s="1"/>
  <c r="I29" i="91" s="1"/>
  <c r="I28" i="91"/>
  <c r="M84" i="88"/>
  <c r="E85" i="88"/>
  <c r="N48" i="88"/>
  <c r="O47" i="88"/>
  <c r="L19" i="88"/>
  <c r="F20" i="88"/>
  <c r="G20" i="88" s="1"/>
  <c r="K20" i="88" s="1"/>
  <c r="P20" i="88" s="1"/>
  <c r="L22" i="77"/>
  <c r="C23" i="77"/>
  <c r="H20" i="77"/>
  <c r="K19" i="77"/>
  <c r="N19" i="77" s="1"/>
  <c r="O19" i="77" s="1"/>
  <c r="Q18" i="77"/>
  <c r="R18" i="77" s="1"/>
  <c r="P18" i="77"/>
  <c r="I26" i="135"/>
  <c r="H27" i="135"/>
  <c r="M17" i="135"/>
  <c r="N17" i="135" s="1"/>
  <c r="O17" i="135"/>
  <c r="L18" i="135"/>
  <c r="H26" i="121"/>
  <c r="I25" i="121"/>
  <c r="K62" i="95"/>
  <c r="G63" i="95"/>
  <c r="O24" i="148"/>
  <c r="G26" i="148"/>
  <c r="K26" i="148" s="1"/>
  <c r="E27" i="148"/>
  <c r="F27" i="148" s="1"/>
  <c r="L24" i="147"/>
  <c r="L25" i="148"/>
  <c r="M25" i="148" s="1"/>
  <c r="G25" i="147"/>
  <c r="K25" i="147" s="1"/>
  <c r="E26" i="147"/>
  <c r="F26" i="147" s="1"/>
  <c r="I24" i="148"/>
  <c r="J24" i="148" s="1"/>
  <c r="H25" i="148"/>
  <c r="O25" i="148" s="1"/>
  <c r="H24" i="147"/>
  <c r="I23" i="147"/>
  <c r="J23" i="147" s="1"/>
  <c r="I27" i="104"/>
  <c r="O32" i="111"/>
  <c r="G46" i="121"/>
  <c r="K45" i="121"/>
  <c r="L19" i="134"/>
  <c r="O18" i="134"/>
  <c r="E31" i="104"/>
  <c r="F30" i="104"/>
  <c r="L37" i="111"/>
  <c r="E38" i="111"/>
  <c r="M18" i="133"/>
  <c r="L19" i="133"/>
  <c r="K20" i="133"/>
  <c r="K22" i="55"/>
  <c r="L24" i="121"/>
  <c r="M23" i="121"/>
  <c r="I12" i="113"/>
  <c r="J12" i="113" s="1"/>
  <c r="E22" i="121"/>
  <c r="O21" i="121"/>
  <c r="F21" i="121"/>
  <c r="J21" i="121" s="1"/>
  <c r="N21" i="121" s="1"/>
  <c r="I31" i="134"/>
  <c r="H32" i="134"/>
  <c r="C36" i="55"/>
  <c r="E23" i="95"/>
  <c r="B98" i="77"/>
  <c r="G29" i="104"/>
  <c r="H28" i="104"/>
  <c r="N19" i="133"/>
  <c r="D20" i="133"/>
  <c r="E19" i="133"/>
  <c r="I19" i="133" s="1"/>
  <c r="C34" i="111"/>
  <c r="L33" i="111"/>
  <c r="E38" i="93"/>
  <c r="D39" i="93"/>
  <c r="E183" i="55"/>
  <c r="E184" i="55" s="1"/>
  <c r="E185" i="55" s="1"/>
  <c r="E186" i="55" s="1"/>
  <c r="E187" i="55" s="1"/>
  <c r="H38" i="95"/>
  <c r="I37" i="95"/>
  <c r="F21" i="135"/>
  <c r="J21" i="135" s="1"/>
  <c r="E22" i="135"/>
  <c r="O32" i="114"/>
  <c r="P32" i="114" s="1"/>
  <c r="N33" i="114"/>
  <c r="E24" i="134"/>
  <c r="F24" i="134" s="1"/>
  <c r="J10" i="112" l="1"/>
  <c r="C12" i="113"/>
  <c r="E12" i="113" s="1"/>
  <c r="L31" i="95"/>
  <c r="M30" i="95"/>
  <c r="L18" i="110"/>
  <c r="F19" i="110"/>
  <c r="M24" i="147"/>
  <c r="I22" i="55"/>
  <c r="Q22" i="55" s="1"/>
  <c r="G23" i="55"/>
  <c r="E87" i="110"/>
  <c r="M86" i="110"/>
  <c r="N75" i="110"/>
  <c r="G25" i="133"/>
  <c r="H24" i="133"/>
  <c r="L21" i="78"/>
  <c r="F22" i="78"/>
  <c r="I22" i="78" s="1"/>
  <c r="C23" i="78"/>
  <c r="N20" i="78"/>
  <c r="Q20" i="78"/>
  <c r="R20" i="78" s="1"/>
  <c r="S20" i="78"/>
  <c r="B24" i="78"/>
  <c r="K23" i="78"/>
  <c r="M19" i="134"/>
  <c r="N19" i="134" s="1"/>
  <c r="O24" i="147"/>
  <c r="G58" i="114"/>
  <c r="K58" i="114"/>
  <c r="F59" i="114"/>
  <c r="Q27" i="113"/>
  <c r="P28" i="113"/>
  <c r="E31" i="91"/>
  <c r="G30" i="91"/>
  <c r="H30" i="91" s="1"/>
  <c r="M85" i="88"/>
  <c r="E86" i="88"/>
  <c r="N49" i="88"/>
  <c r="O48" i="88"/>
  <c r="L20" i="88"/>
  <c r="F21" i="88"/>
  <c r="G21" i="88" s="1"/>
  <c r="K21" i="88" s="1"/>
  <c r="P21" i="88" s="1"/>
  <c r="C24" i="77"/>
  <c r="L23" i="77"/>
  <c r="P19" i="77"/>
  <c r="Q19" i="77"/>
  <c r="R19" i="77" s="1"/>
  <c r="K20" i="77"/>
  <c r="N20" i="77" s="1"/>
  <c r="O20" i="77" s="1"/>
  <c r="H21" i="77"/>
  <c r="M18" i="135"/>
  <c r="N18" i="135" s="1"/>
  <c r="O18" i="135"/>
  <c r="L19" i="135"/>
  <c r="I27" i="135"/>
  <c r="H28" i="135"/>
  <c r="I26" i="121"/>
  <c r="H27" i="121"/>
  <c r="K63" i="95"/>
  <c r="G64" i="95"/>
  <c r="H25" i="147"/>
  <c r="I24" i="147"/>
  <c r="J24" i="147" s="1"/>
  <c r="N24" i="148"/>
  <c r="I25" i="148"/>
  <c r="J25" i="148" s="1"/>
  <c r="N25" i="148" s="1"/>
  <c r="H26" i="148"/>
  <c r="E27" i="147"/>
  <c r="F27" i="147" s="1"/>
  <c r="G26" i="147"/>
  <c r="K26" i="147" s="1"/>
  <c r="L26" i="148"/>
  <c r="M26" i="148" s="1"/>
  <c r="N23" i="147"/>
  <c r="L25" i="147"/>
  <c r="E28" i="148"/>
  <c r="F28" i="148" s="1"/>
  <c r="G27" i="148"/>
  <c r="K27" i="148" s="1"/>
  <c r="J24" i="134"/>
  <c r="E25" i="134"/>
  <c r="O33" i="114"/>
  <c r="P33" i="114" s="1"/>
  <c r="N34" i="114"/>
  <c r="E23" i="135"/>
  <c r="F22" i="135"/>
  <c r="J22" i="135" s="1"/>
  <c r="H39" i="95"/>
  <c r="I38" i="95"/>
  <c r="D40" i="93"/>
  <c r="E39" i="93"/>
  <c r="O33" i="111"/>
  <c r="N20" i="133"/>
  <c r="D21" i="133"/>
  <c r="E20" i="133"/>
  <c r="I20" i="133" s="1"/>
  <c r="G30" i="104"/>
  <c r="H29" i="104"/>
  <c r="B99" i="77"/>
  <c r="C37" i="55"/>
  <c r="I32" i="134"/>
  <c r="H33" i="134"/>
  <c r="M19" i="133"/>
  <c r="L38" i="111"/>
  <c r="E39" i="111"/>
  <c r="L20" i="134"/>
  <c r="O19" i="134"/>
  <c r="K46" i="121"/>
  <c r="G47" i="121"/>
  <c r="C35" i="111"/>
  <c r="L34" i="111"/>
  <c r="I28" i="104"/>
  <c r="E24" i="95"/>
  <c r="F22" i="121"/>
  <c r="J22" i="121" s="1"/>
  <c r="N22" i="121" s="1"/>
  <c r="O22" i="121"/>
  <c r="E23" i="121"/>
  <c r="L25" i="121"/>
  <c r="M24" i="121"/>
  <c r="K23" i="55"/>
  <c r="L20" i="133"/>
  <c r="K21" i="133"/>
  <c r="O37" i="111"/>
  <c r="E32" i="104"/>
  <c r="F31" i="104"/>
  <c r="B12" i="113" l="1"/>
  <c r="G12" i="113"/>
  <c r="F13" i="113" s="1"/>
  <c r="I13" i="113" s="1"/>
  <c r="J13" i="113" s="1"/>
  <c r="K10" i="112"/>
  <c r="I11" i="112" s="1"/>
  <c r="C13" i="113" s="1"/>
  <c r="E13" i="113" s="1"/>
  <c r="B13" i="113" s="1"/>
  <c r="J11" i="112"/>
  <c r="L32" i="95"/>
  <c r="M31" i="95"/>
  <c r="L19" i="110"/>
  <c r="F20" i="110"/>
  <c r="N24" i="147"/>
  <c r="N22" i="55"/>
  <c r="M25" i="147"/>
  <c r="E188" i="55"/>
  <c r="E189" i="55" s="1"/>
  <c r="E190" i="55" s="1"/>
  <c r="E191" i="55" s="1"/>
  <c r="E192" i="55" s="1"/>
  <c r="E193" i="55" s="1"/>
  <c r="E194" i="55" s="1"/>
  <c r="E195" i="55" s="1"/>
  <c r="E196" i="55" s="1"/>
  <c r="E197" i="55" s="1"/>
  <c r="G24" i="55"/>
  <c r="I23" i="55"/>
  <c r="Q23" i="55" s="1"/>
  <c r="M87" i="110"/>
  <c r="E88" i="110"/>
  <c r="N76" i="110"/>
  <c r="G26" i="133"/>
  <c r="H25" i="133"/>
  <c r="L22" i="78"/>
  <c r="N21" i="78"/>
  <c r="K24" i="78"/>
  <c r="B25" i="78"/>
  <c r="F23" i="78"/>
  <c r="I23" i="78" s="1"/>
  <c r="C24" i="78"/>
  <c r="S21" i="78"/>
  <c r="Q21" i="78"/>
  <c r="R21" i="78" s="1"/>
  <c r="M20" i="134"/>
  <c r="N20" i="134" s="1"/>
  <c r="O25" i="147"/>
  <c r="K59" i="114"/>
  <c r="F60" i="114"/>
  <c r="G59" i="114"/>
  <c r="Q28" i="113"/>
  <c r="P29" i="113"/>
  <c r="I30" i="91"/>
  <c r="G31" i="91"/>
  <c r="E32" i="91"/>
  <c r="E87" i="88"/>
  <c r="M86" i="88"/>
  <c r="N50" i="88"/>
  <c r="O49" i="88"/>
  <c r="F22" i="88"/>
  <c r="G22" i="88" s="1"/>
  <c r="K22" i="88" s="1"/>
  <c r="P22" i="88" s="1"/>
  <c r="L21" i="88"/>
  <c r="C25" i="77"/>
  <c r="L24" i="77"/>
  <c r="P20" i="77"/>
  <c r="Q20" i="77"/>
  <c r="R20" i="77" s="1"/>
  <c r="H22" i="77"/>
  <c r="K21" i="77"/>
  <c r="N21" i="77" s="1"/>
  <c r="O21" i="77" s="1"/>
  <c r="M20" i="133"/>
  <c r="I28" i="135"/>
  <c r="H29" i="135"/>
  <c r="L20" i="135"/>
  <c r="M19" i="135"/>
  <c r="N19" i="135" s="1"/>
  <c r="O19" i="135"/>
  <c r="H28" i="121"/>
  <c r="I27" i="121"/>
  <c r="G65" i="95"/>
  <c r="K64" i="95"/>
  <c r="O26" i="148"/>
  <c r="E29" i="148"/>
  <c r="F29" i="148" s="1"/>
  <c r="G28" i="148"/>
  <c r="K28" i="148" s="1"/>
  <c r="L26" i="147"/>
  <c r="L27" i="148"/>
  <c r="M27" i="148" s="1"/>
  <c r="E28" i="147"/>
  <c r="F28" i="147" s="1"/>
  <c r="G27" i="147"/>
  <c r="K27" i="147" s="1"/>
  <c r="H27" i="148"/>
  <c r="I26" i="148"/>
  <c r="J26" i="148" s="1"/>
  <c r="H26" i="147"/>
  <c r="O26" i="147" s="1"/>
  <c r="I25" i="147"/>
  <c r="J25" i="147" s="1"/>
  <c r="L21" i="133"/>
  <c r="K22" i="133"/>
  <c r="L26" i="121"/>
  <c r="M25" i="121"/>
  <c r="C36" i="111"/>
  <c r="L36" i="111" s="1"/>
  <c r="L35" i="111"/>
  <c r="G48" i="121"/>
  <c r="K47" i="121"/>
  <c r="O38" i="111"/>
  <c r="C38" i="55"/>
  <c r="G31" i="104"/>
  <c r="H30" i="104"/>
  <c r="D22" i="133"/>
  <c r="N21" i="133"/>
  <c r="E21" i="133"/>
  <c r="I21" i="133" s="1"/>
  <c r="H40" i="95"/>
  <c r="I39" i="95"/>
  <c r="E24" i="135"/>
  <c r="F23" i="135"/>
  <c r="J23" i="135" s="1"/>
  <c r="E26" i="134"/>
  <c r="F25" i="134"/>
  <c r="J25" i="134" s="1"/>
  <c r="K24" i="55"/>
  <c r="N23" i="55"/>
  <c r="F32" i="104"/>
  <c r="E33" i="104"/>
  <c r="O23" i="121"/>
  <c r="F23" i="121"/>
  <c r="J23" i="121" s="1"/>
  <c r="N23" i="121" s="1"/>
  <c r="E24" i="121"/>
  <c r="F24" i="95"/>
  <c r="J24" i="95" s="1"/>
  <c r="N24" i="95" s="1"/>
  <c r="E25" i="95"/>
  <c r="O24" i="95"/>
  <c r="O34" i="111"/>
  <c r="L21" i="134"/>
  <c r="O20" i="134"/>
  <c r="L39" i="111"/>
  <c r="E40" i="111"/>
  <c r="I33" i="134"/>
  <c r="H34" i="134"/>
  <c r="B100" i="77"/>
  <c r="I29" i="104"/>
  <c r="D41" i="93"/>
  <c r="E40" i="93"/>
  <c r="O34" i="114"/>
  <c r="P34" i="114" s="1"/>
  <c r="N35" i="114"/>
  <c r="G13" i="113"/>
  <c r="K11" i="112" l="1"/>
  <c r="I13" i="112" s="1"/>
  <c r="C15" i="113" s="1"/>
  <c r="E15" i="113" s="1"/>
  <c r="B15" i="113" s="1"/>
  <c r="J12" i="112"/>
  <c r="L33" i="95"/>
  <c r="M32" i="95"/>
  <c r="F21" i="110"/>
  <c r="L20" i="110"/>
  <c r="N22" i="78"/>
  <c r="M26" i="147"/>
  <c r="I24" i="55"/>
  <c r="Q24" i="55" s="1"/>
  <c r="G25" i="55"/>
  <c r="E198" i="55"/>
  <c r="N77" i="110"/>
  <c r="M88" i="110"/>
  <c r="E89" i="110"/>
  <c r="G27" i="133"/>
  <c r="H26" i="133"/>
  <c r="L23" i="78"/>
  <c r="S23" i="78" s="1"/>
  <c r="Q22" i="78"/>
  <c r="R22" i="78" s="1"/>
  <c r="K25" i="78"/>
  <c r="B26" i="78"/>
  <c r="S22" i="78"/>
  <c r="F24" i="78"/>
  <c r="I24" i="78" s="1"/>
  <c r="C25" i="78"/>
  <c r="M21" i="134"/>
  <c r="N21" i="134" s="1"/>
  <c r="G60" i="114"/>
  <c r="K60" i="114"/>
  <c r="F61" i="114"/>
  <c r="Q29" i="113"/>
  <c r="P30" i="113"/>
  <c r="H31" i="91"/>
  <c r="G32" i="91"/>
  <c r="E33" i="91"/>
  <c r="E88" i="88"/>
  <c r="M87" i="88"/>
  <c r="N51" i="88"/>
  <c r="O50" i="88"/>
  <c r="L22" i="88"/>
  <c r="F23" i="88"/>
  <c r="G23" i="88" s="1"/>
  <c r="K23" i="88" s="1"/>
  <c r="P23" i="88" s="1"/>
  <c r="L25" i="77"/>
  <c r="C26" i="77"/>
  <c r="H23" i="77"/>
  <c r="K22" i="77"/>
  <c r="N22" i="77" s="1"/>
  <c r="O22" i="77" s="1"/>
  <c r="Q21" i="77"/>
  <c r="R21" i="77" s="1"/>
  <c r="P21" i="77"/>
  <c r="I29" i="135"/>
  <c r="H30" i="135"/>
  <c r="I30" i="135" s="1"/>
  <c r="O20" i="135"/>
  <c r="L21" i="135"/>
  <c r="M20" i="135"/>
  <c r="N20" i="135" s="1"/>
  <c r="I28" i="121"/>
  <c r="H29" i="121"/>
  <c r="K65" i="95"/>
  <c r="G66" i="95"/>
  <c r="O27" i="148"/>
  <c r="H27" i="147"/>
  <c r="I26" i="147"/>
  <c r="J26" i="147" s="1"/>
  <c r="E29" i="147"/>
  <c r="F29" i="147" s="1"/>
  <c r="G28" i="147"/>
  <c r="K28" i="147" s="1"/>
  <c r="N25" i="147"/>
  <c r="L27" i="147"/>
  <c r="H28" i="148"/>
  <c r="I27" i="148"/>
  <c r="J27" i="148" s="1"/>
  <c r="N26" i="148"/>
  <c r="L28" i="148"/>
  <c r="E30" i="148"/>
  <c r="G29" i="148"/>
  <c r="K29" i="148" s="1"/>
  <c r="F14" i="113"/>
  <c r="G14" i="113" s="1"/>
  <c r="N36" i="114"/>
  <c r="O35" i="114"/>
  <c r="B101" i="77"/>
  <c r="O39" i="111"/>
  <c r="L22" i="134"/>
  <c r="O21" i="134"/>
  <c r="F33" i="104"/>
  <c r="E34" i="104"/>
  <c r="K25" i="55"/>
  <c r="E25" i="135"/>
  <c r="F24" i="135"/>
  <c r="J24" i="135" s="1"/>
  <c r="E22" i="133"/>
  <c r="I22" i="133" s="1"/>
  <c r="N22" i="133"/>
  <c r="D23" i="133"/>
  <c r="I30" i="104"/>
  <c r="K48" i="121"/>
  <c r="G49" i="121"/>
  <c r="O35" i="111"/>
  <c r="M26" i="121"/>
  <c r="L27" i="121"/>
  <c r="L22" i="133"/>
  <c r="K23" i="133"/>
  <c r="E41" i="93"/>
  <c r="D42" i="93"/>
  <c r="I34" i="134"/>
  <c r="H35" i="134"/>
  <c r="E41" i="111"/>
  <c r="L40" i="111"/>
  <c r="E26" i="95"/>
  <c r="F25" i="95"/>
  <c r="J25" i="95" s="1"/>
  <c r="N25" i="95" s="1"/>
  <c r="O25" i="95"/>
  <c r="F24" i="121"/>
  <c r="J24" i="121" s="1"/>
  <c r="N24" i="121" s="1"/>
  <c r="O24" i="121"/>
  <c r="E25" i="121"/>
  <c r="E27" i="134"/>
  <c r="F26" i="134"/>
  <c r="J26" i="134" s="1"/>
  <c r="H41" i="95"/>
  <c r="I40" i="95"/>
  <c r="G32" i="104"/>
  <c r="H31" i="104"/>
  <c r="C39" i="55"/>
  <c r="O36" i="111"/>
  <c r="M21" i="133"/>
  <c r="K12" i="112" l="1"/>
  <c r="J13" i="112"/>
  <c r="L34" i="95"/>
  <c r="M33" i="95"/>
  <c r="L21" i="110"/>
  <c r="F22" i="110"/>
  <c r="N23" i="78"/>
  <c r="O23" i="78" s="1"/>
  <c r="N24" i="55"/>
  <c r="M27" i="147"/>
  <c r="G26" i="55"/>
  <c r="I25" i="55"/>
  <c r="Q25" i="55" s="1"/>
  <c r="N78" i="110"/>
  <c r="M89" i="110"/>
  <c r="E90" i="110"/>
  <c r="H27" i="133"/>
  <c r="G28" i="133"/>
  <c r="H28" i="133" s="1"/>
  <c r="Q23" i="78"/>
  <c r="R23" i="78" s="1"/>
  <c r="C26" i="78"/>
  <c r="F25" i="78"/>
  <c r="I25" i="78" s="1"/>
  <c r="L25" i="78" s="1"/>
  <c r="B27" i="78"/>
  <c r="K26" i="78"/>
  <c r="L24" i="78"/>
  <c r="S24" i="78" s="1"/>
  <c r="M22" i="134"/>
  <c r="N22" i="134" s="1"/>
  <c r="N26" i="147"/>
  <c r="O27" i="147"/>
  <c r="F62" i="114"/>
  <c r="G61" i="114"/>
  <c r="W61" i="114" s="1"/>
  <c r="K61" i="114"/>
  <c r="P31" i="113"/>
  <c r="Q30" i="113"/>
  <c r="E34" i="91"/>
  <c r="G33" i="91"/>
  <c r="H32" i="91"/>
  <c r="I31" i="91"/>
  <c r="E89" i="88"/>
  <c r="M88" i="88"/>
  <c r="N52" i="88"/>
  <c r="O51" i="88"/>
  <c r="L23" i="88"/>
  <c r="F24" i="88"/>
  <c r="G24" i="88" s="1"/>
  <c r="K24" i="88" s="1"/>
  <c r="P24" i="88" s="1"/>
  <c r="C27" i="77"/>
  <c r="L26" i="77"/>
  <c r="P23" i="78"/>
  <c r="T23" i="78"/>
  <c r="Q22" i="77"/>
  <c r="R22" i="77" s="1"/>
  <c r="P22" i="77"/>
  <c r="H24" i="77"/>
  <c r="K23" i="77"/>
  <c r="N23" i="77" s="1"/>
  <c r="O23" i="77" s="1"/>
  <c r="M22" i="133"/>
  <c r="O21" i="135"/>
  <c r="M21" i="135"/>
  <c r="N21" i="135" s="1"/>
  <c r="L22" i="135"/>
  <c r="H30" i="121"/>
  <c r="I29" i="121"/>
  <c r="G67" i="95"/>
  <c r="K66" i="95"/>
  <c r="N27" i="148"/>
  <c r="O28" i="148"/>
  <c r="E31" i="148"/>
  <c r="G30" i="148"/>
  <c r="K30" i="148" s="1"/>
  <c r="F30" i="148"/>
  <c r="L28" i="147"/>
  <c r="E30" i="147"/>
  <c r="G29" i="147"/>
  <c r="L29" i="148"/>
  <c r="M28" i="148"/>
  <c r="H29" i="148"/>
  <c r="O29" i="148" s="1"/>
  <c r="I28" i="148"/>
  <c r="J28" i="148" s="1"/>
  <c r="H28" i="147"/>
  <c r="I27" i="147"/>
  <c r="J27" i="147" s="1"/>
  <c r="F25" i="121"/>
  <c r="J25" i="121" s="1"/>
  <c r="N25" i="121" s="1"/>
  <c r="E26" i="121"/>
  <c r="O25" i="121"/>
  <c r="F26" i="95"/>
  <c r="J26" i="95" s="1"/>
  <c r="N26" i="95" s="1"/>
  <c r="E27" i="95"/>
  <c r="O26" i="95"/>
  <c r="O40" i="111"/>
  <c r="I35" i="134"/>
  <c r="E35" i="104"/>
  <c r="F34" i="104"/>
  <c r="L23" i="134"/>
  <c r="O22" i="134"/>
  <c r="F15" i="113"/>
  <c r="G15" i="113" s="1"/>
  <c r="G33" i="104"/>
  <c r="H32" i="104"/>
  <c r="C40" i="55"/>
  <c r="I31" i="104"/>
  <c r="H42" i="95"/>
  <c r="I41" i="95"/>
  <c r="E28" i="134"/>
  <c r="F27" i="134"/>
  <c r="J27" i="134" s="1"/>
  <c r="L41" i="111"/>
  <c r="E42" i="111"/>
  <c r="D43" i="93"/>
  <c r="E42" i="93"/>
  <c r="L23" i="133"/>
  <c r="K24" i="133"/>
  <c r="L28" i="121"/>
  <c r="M27" i="121"/>
  <c r="G50" i="121"/>
  <c r="K49" i="121"/>
  <c r="N23" i="133"/>
  <c r="D24" i="133"/>
  <c r="E23" i="133"/>
  <c r="I23" i="133" s="1"/>
  <c r="F25" i="135"/>
  <c r="J25" i="135" s="1"/>
  <c r="E26" i="135"/>
  <c r="K26" i="55"/>
  <c r="N25" i="55"/>
  <c r="B102" i="77"/>
  <c r="N37" i="114"/>
  <c r="O36" i="114"/>
  <c r="I14" i="113"/>
  <c r="J14" i="113" s="1"/>
  <c r="K13" i="112" l="1"/>
  <c r="I14" i="112" s="1"/>
  <c r="C16" i="113" s="1"/>
  <c r="E16" i="113" s="1"/>
  <c r="B16" i="113" s="1"/>
  <c r="J14" i="112"/>
  <c r="L35" i="95"/>
  <c r="M34" i="95"/>
  <c r="L22" i="110"/>
  <c r="F23" i="110"/>
  <c r="M28" i="147"/>
  <c r="G27" i="55"/>
  <c r="I26" i="55"/>
  <c r="Q26" i="55" s="1"/>
  <c r="N24" i="78"/>
  <c r="O24" i="78" s="1"/>
  <c r="N79" i="110"/>
  <c r="M90" i="110"/>
  <c r="E91" i="110"/>
  <c r="B28" i="78"/>
  <c r="K27" i="78"/>
  <c r="F26" i="78"/>
  <c r="I26" i="78" s="1"/>
  <c r="L26" i="78" s="1"/>
  <c r="C27" i="78"/>
  <c r="F30" i="147"/>
  <c r="M23" i="134"/>
  <c r="N23" i="134" s="1"/>
  <c r="O28" i="147"/>
  <c r="K29" i="147"/>
  <c r="L29" i="147" s="1"/>
  <c r="G62" i="114"/>
  <c r="W62" i="114" s="1"/>
  <c r="K62" i="114"/>
  <c r="F63" i="114"/>
  <c r="P32" i="113"/>
  <c r="Q31" i="113"/>
  <c r="I32" i="91"/>
  <c r="H33" i="91"/>
  <c r="G34" i="91"/>
  <c r="E35" i="91"/>
  <c r="M89" i="88"/>
  <c r="E90" i="88"/>
  <c r="N53" i="88"/>
  <c r="O52" i="88"/>
  <c r="F25" i="88"/>
  <c r="L24" i="88"/>
  <c r="F104" i="77"/>
  <c r="F91" i="77"/>
  <c r="F48" i="77"/>
  <c r="F61" i="77"/>
  <c r="F60" i="77"/>
  <c r="F81" i="77"/>
  <c r="F107" i="77"/>
  <c r="F101" i="77"/>
  <c r="F36" i="77"/>
  <c r="F47" i="77"/>
  <c r="F42" i="77"/>
  <c r="F59" i="77"/>
  <c r="F53" i="77"/>
  <c r="F73" i="77"/>
  <c r="F94" i="77"/>
  <c r="F89" i="77"/>
  <c r="F119" i="77"/>
  <c r="F118" i="77"/>
  <c r="F76" i="77"/>
  <c r="F45" i="77"/>
  <c r="F40" i="77"/>
  <c r="F109" i="77"/>
  <c r="F130" i="77"/>
  <c r="F113" i="77"/>
  <c r="F124" i="77"/>
  <c r="F123" i="77"/>
  <c r="F132" i="77"/>
  <c r="F128" i="77"/>
  <c r="F84" i="77"/>
  <c r="F111" i="77"/>
  <c r="F46" i="77"/>
  <c r="F64" i="77"/>
  <c r="F110" i="77"/>
  <c r="F96" i="77"/>
  <c r="F62" i="77"/>
  <c r="F75" i="77"/>
  <c r="F69" i="77"/>
  <c r="F102" i="77"/>
  <c r="F82" i="77"/>
  <c r="F115" i="77"/>
  <c r="F51" i="77"/>
  <c r="F129" i="77"/>
  <c r="F50" i="77"/>
  <c r="F77" i="77"/>
  <c r="F43" i="77"/>
  <c r="F79" i="77"/>
  <c r="F44" i="77"/>
  <c r="F37" i="77"/>
  <c r="F114" i="77"/>
  <c r="F100" i="77"/>
  <c r="F133" i="77"/>
  <c r="L27" i="77"/>
  <c r="F54" i="77"/>
  <c r="F49" i="77"/>
  <c r="F85" i="77"/>
  <c r="F32" i="77"/>
  <c r="I32" i="77" s="1"/>
  <c r="F65" i="77"/>
  <c r="F80" i="77"/>
  <c r="F70" i="77"/>
  <c r="F33" i="77"/>
  <c r="F35" i="77"/>
  <c r="F68" i="77"/>
  <c r="F78" i="77"/>
  <c r="F72" i="77"/>
  <c r="F52" i="77"/>
  <c r="F66" i="77"/>
  <c r="F67" i="77"/>
  <c r="F88" i="77"/>
  <c r="F97" i="77"/>
  <c r="F83" i="77"/>
  <c r="F121" i="77"/>
  <c r="F117" i="77"/>
  <c r="F125" i="77"/>
  <c r="F116" i="77"/>
  <c r="F103" i="77"/>
  <c r="F105" i="77"/>
  <c r="F99" i="77"/>
  <c r="F95" i="77"/>
  <c r="F93" i="77"/>
  <c r="F87" i="77"/>
  <c r="F98" i="77"/>
  <c r="F38" i="77"/>
  <c r="F131" i="77"/>
  <c r="F39" i="77"/>
  <c r="F63" i="77"/>
  <c r="F74" i="77"/>
  <c r="F126" i="77"/>
  <c r="F106" i="77"/>
  <c r="F55" i="77"/>
  <c r="F92" i="77"/>
  <c r="F71" i="77"/>
  <c r="F90" i="77"/>
  <c r="F34" i="77"/>
  <c r="F122" i="77"/>
  <c r="F58" i="77"/>
  <c r="F57" i="77"/>
  <c r="F108" i="77"/>
  <c r="F41" i="77"/>
  <c r="F120" i="77"/>
  <c r="F86" i="77"/>
  <c r="F127" i="77"/>
  <c r="C28" i="77"/>
  <c r="F56" i="77"/>
  <c r="F112" i="77"/>
  <c r="P24" i="78"/>
  <c r="T24" i="78"/>
  <c r="S25" i="78"/>
  <c r="N25" i="78"/>
  <c r="O25" i="78" s="1"/>
  <c r="Q24" i="78"/>
  <c r="R24" i="78" s="1"/>
  <c r="K24" i="77"/>
  <c r="N24" i="77" s="1"/>
  <c r="O24" i="77" s="1"/>
  <c r="H25" i="77"/>
  <c r="P23" i="77"/>
  <c r="Q23" i="77"/>
  <c r="R23" i="77" s="1"/>
  <c r="L23" i="135"/>
  <c r="O22" i="135"/>
  <c r="M22" i="135"/>
  <c r="N22" i="135" s="1"/>
  <c r="I30" i="121"/>
  <c r="H31" i="121"/>
  <c r="G68" i="95"/>
  <c r="K67" i="95"/>
  <c r="H29" i="147"/>
  <c r="I28" i="147"/>
  <c r="J28" i="147" s="1"/>
  <c r="N28" i="148"/>
  <c r="L30" i="148"/>
  <c r="M29" i="148"/>
  <c r="N27" i="147"/>
  <c r="H30" i="148"/>
  <c r="I29" i="148"/>
  <c r="J29" i="148" s="1"/>
  <c r="E31" i="147"/>
  <c r="G30" i="147"/>
  <c r="K30" i="147" s="1"/>
  <c r="E32" i="148"/>
  <c r="G31" i="148"/>
  <c r="K31" i="148" s="1"/>
  <c r="F31" i="148"/>
  <c r="O37" i="114"/>
  <c r="N38" i="114"/>
  <c r="K27" i="55"/>
  <c r="N26" i="55"/>
  <c r="M23" i="133"/>
  <c r="E43" i="93"/>
  <c r="D44" i="93"/>
  <c r="O41" i="111"/>
  <c r="F28" i="134"/>
  <c r="J28" i="134" s="1"/>
  <c r="E29" i="134"/>
  <c r="H43" i="95"/>
  <c r="I42" i="95"/>
  <c r="I32" i="104"/>
  <c r="F16" i="113"/>
  <c r="G16" i="113" s="1"/>
  <c r="L24" i="134"/>
  <c r="O23" i="134"/>
  <c r="E36" i="104"/>
  <c r="F35" i="104"/>
  <c r="O26" i="121"/>
  <c r="E27" i="121"/>
  <c r="F26" i="121"/>
  <c r="J26" i="121" s="1"/>
  <c r="N26" i="121" s="1"/>
  <c r="B103" i="77"/>
  <c r="D25" i="133"/>
  <c r="E24" i="133"/>
  <c r="I24" i="133" s="1"/>
  <c r="N24" i="133"/>
  <c r="K50" i="121"/>
  <c r="G51" i="121"/>
  <c r="F26" i="135"/>
  <c r="J26" i="135" s="1"/>
  <c r="E27" i="135"/>
  <c r="M28" i="121"/>
  <c r="L29" i="121"/>
  <c r="K25" i="133"/>
  <c r="L24" i="133"/>
  <c r="E43" i="111"/>
  <c r="L42" i="111"/>
  <c r="O42" i="111" s="1"/>
  <c r="C41" i="55"/>
  <c r="G34" i="104"/>
  <c r="H33" i="104"/>
  <c r="I15" i="113"/>
  <c r="J15" i="113" s="1"/>
  <c r="E28" i="95"/>
  <c r="F27" i="95"/>
  <c r="J27" i="95" s="1"/>
  <c r="N27" i="95" s="1"/>
  <c r="O27" i="95"/>
  <c r="M24" i="133" l="1"/>
  <c r="K14" i="112"/>
  <c r="I15" i="112" s="1"/>
  <c r="C17" i="113" s="1"/>
  <c r="E17" i="113" s="1"/>
  <c r="B17" i="113" s="1"/>
  <c r="J15" i="112"/>
  <c r="K15" i="112" s="1"/>
  <c r="I16" i="112" s="1"/>
  <c r="C18" i="113" s="1"/>
  <c r="E18" i="113" s="1"/>
  <c r="B18" i="113" s="1"/>
  <c r="L36" i="95"/>
  <c r="M35" i="95"/>
  <c r="L23" i="110"/>
  <c r="F24" i="110"/>
  <c r="G28" i="55"/>
  <c r="I27" i="55"/>
  <c r="Q27" i="55" s="1"/>
  <c r="M91" i="110"/>
  <c r="E92" i="110"/>
  <c r="N80" i="110"/>
  <c r="O79" i="110"/>
  <c r="C28" i="78"/>
  <c r="F27" i="78"/>
  <c r="I27" i="78" s="1"/>
  <c r="Q25" i="78"/>
  <c r="R25" i="78" s="1"/>
  <c r="B29" i="78"/>
  <c r="K28" i="78"/>
  <c r="M29" i="147"/>
  <c r="O30" i="148"/>
  <c r="N28" i="147"/>
  <c r="O29" i="147"/>
  <c r="G63" i="114"/>
  <c r="W63" i="114" s="1"/>
  <c r="F64" i="114"/>
  <c r="K63" i="114"/>
  <c r="Q32" i="113"/>
  <c r="P33" i="113"/>
  <c r="E36" i="91"/>
  <c r="G35" i="91"/>
  <c r="I33" i="91"/>
  <c r="H34" i="91"/>
  <c r="M90" i="88"/>
  <c r="E91" i="88"/>
  <c r="N54" i="88"/>
  <c r="O53" i="88"/>
  <c r="L25" i="88"/>
  <c r="G25" i="88"/>
  <c r="K25" i="88" s="1"/>
  <c r="P25" i="88" s="1"/>
  <c r="F26" i="88"/>
  <c r="C29" i="77"/>
  <c r="L28" i="77"/>
  <c r="I33" i="77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125" i="77" s="1"/>
  <c r="I126" i="77" s="1"/>
  <c r="I127" i="77" s="1"/>
  <c r="I128" i="77" s="1"/>
  <c r="I129" i="77" s="1"/>
  <c r="I130" i="77" s="1"/>
  <c r="I131" i="77" s="1"/>
  <c r="I132" i="77" s="1"/>
  <c r="I133" i="77" s="1"/>
  <c r="I134" i="77" s="1"/>
  <c r="I135" i="77" s="1"/>
  <c r="I136" i="77" s="1"/>
  <c r="I137" i="77" s="1"/>
  <c r="I138" i="77" s="1"/>
  <c r="I139" i="77" s="1"/>
  <c r="I140" i="77" s="1"/>
  <c r="I141" i="77" s="1"/>
  <c r="I142" i="77" s="1"/>
  <c r="I143" i="77" s="1"/>
  <c r="I144" i="77" s="1"/>
  <c r="I145" i="77" s="1"/>
  <c r="T25" i="78"/>
  <c r="P25" i="78"/>
  <c r="L27" i="78"/>
  <c r="S26" i="78"/>
  <c r="N26" i="78"/>
  <c r="O26" i="78" s="1"/>
  <c r="K25" i="77"/>
  <c r="N25" i="77" s="1"/>
  <c r="O25" i="77" s="1"/>
  <c r="H26" i="77"/>
  <c r="P24" i="77"/>
  <c r="Q24" i="77"/>
  <c r="R24" i="77" s="1"/>
  <c r="O23" i="135"/>
  <c r="L24" i="135"/>
  <c r="M23" i="135"/>
  <c r="N23" i="135" s="1"/>
  <c r="O24" i="134"/>
  <c r="M24" i="134"/>
  <c r="N24" i="134" s="1"/>
  <c r="H32" i="121"/>
  <c r="I31" i="121"/>
  <c r="K68" i="95"/>
  <c r="G69" i="95"/>
  <c r="N29" i="148"/>
  <c r="E33" i="148"/>
  <c r="G32" i="148"/>
  <c r="K32" i="148" s="1"/>
  <c r="F32" i="148"/>
  <c r="H31" i="148"/>
  <c r="I30" i="148"/>
  <c r="J30" i="148" s="1"/>
  <c r="E32" i="147"/>
  <c r="G31" i="147"/>
  <c r="K31" i="147" s="1"/>
  <c r="F31" i="147"/>
  <c r="L30" i="147"/>
  <c r="L31" i="148"/>
  <c r="M30" i="148"/>
  <c r="H30" i="147"/>
  <c r="I29" i="147"/>
  <c r="J29" i="147" s="1"/>
  <c r="F17" i="113"/>
  <c r="G17" i="113" s="1"/>
  <c r="G35" i="104"/>
  <c r="H34" i="104"/>
  <c r="E29" i="95"/>
  <c r="O28" i="95"/>
  <c r="F28" i="95"/>
  <c r="J28" i="95" s="1"/>
  <c r="N28" i="95" s="1"/>
  <c r="I33" i="104"/>
  <c r="C42" i="55"/>
  <c r="K26" i="133"/>
  <c r="L25" i="133"/>
  <c r="E28" i="135"/>
  <c r="F27" i="135"/>
  <c r="J27" i="135" s="1"/>
  <c r="K51" i="121"/>
  <c r="G52" i="121"/>
  <c r="E30" i="134"/>
  <c r="F29" i="134"/>
  <c r="J29" i="134" s="1"/>
  <c r="D45" i="93"/>
  <c r="E44" i="93"/>
  <c r="N39" i="114"/>
  <c r="O38" i="114"/>
  <c r="L43" i="111"/>
  <c r="O43" i="111" s="1"/>
  <c r="E44" i="111"/>
  <c r="M29" i="121"/>
  <c r="L30" i="121"/>
  <c r="E25" i="133"/>
  <c r="I25" i="133" s="1"/>
  <c r="D26" i="133"/>
  <c r="N25" i="133"/>
  <c r="B104" i="77"/>
  <c r="E28" i="121"/>
  <c r="O27" i="121"/>
  <c r="F27" i="121"/>
  <c r="J27" i="121" s="1"/>
  <c r="N27" i="121" s="1"/>
  <c r="E37" i="104"/>
  <c r="F36" i="104"/>
  <c r="L25" i="134"/>
  <c r="I16" i="113"/>
  <c r="J16" i="113" s="1"/>
  <c r="H44" i="95"/>
  <c r="I43" i="95"/>
  <c r="K28" i="55"/>
  <c r="N27" i="55"/>
  <c r="J16" i="112" l="1"/>
  <c r="M36" i="95"/>
  <c r="L37" i="95"/>
  <c r="G24" i="110"/>
  <c r="L24" i="110"/>
  <c r="F25" i="110"/>
  <c r="I28" i="55"/>
  <c r="Q28" i="55" s="1"/>
  <c r="G29" i="55"/>
  <c r="N81" i="110"/>
  <c r="O80" i="110"/>
  <c r="M92" i="110"/>
  <c r="E93" i="110"/>
  <c r="B30" i="78"/>
  <c r="K29" i="78"/>
  <c r="F28" i="78"/>
  <c r="I28" i="78" s="1"/>
  <c r="L28" i="78" s="1"/>
  <c r="C29" i="78"/>
  <c r="Q26" i="78"/>
  <c r="R26" i="78" s="1"/>
  <c r="O30" i="147"/>
  <c r="M30" i="147"/>
  <c r="X64" i="114"/>
  <c r="K64" i="114"/>
  <c r="G64" i="114"/>
  <c r="W64" i="114" s="1"/>
  <c r="F65" i="114"/>
  <c r="P34" i="113"/>
  <c r="Q33" i="113"/>
  <c r="E37" i="91"/>
  <c r="G36" i="91"/>
  <c r="I34" i="91"/>
  <c r="J34" i="91" s="1"/>
  <c r="H35" i="91"/>
  <c r="M91" i="88"/>
  <c r="E92" i="88"/>
  <c r="N55" i="88"/>
  <c r="O54" i="88"/>
  <c r="F27" i="88"/>
  <c r="G26" i="88"/>
  <c r="K26" i="88" s="1"/>
  <c r="P26" i="88" s="1"/>
  <c r="L26" i="88"/>
  <c r="L29" i="77"/>
  <c r="C30" i="77"/>
  <c r="T26" i="78"/>
  <c r="P26" i="78"/>
  <c r="N27" i="78"/>
  <c r="O27" i="78" s="1"/>
  <c r="S27" i="78"/>
  <c r="H27" i="77"/>
  <c r="K26" i="77"/>
  <c r="N26" i="77" s="1"/>
  <c r="O26" i="77" s="1"/>
  <c r="P25" i="77"/>
  <c r="Q25" i="77"/>
  <c r="R25" i="77" s="1"/>
  <c r="O25" i="134"/>
  <c r="O24" i="135"/>
  <c r="L25" i="135"/>
  <c r="M24" i="135"/>
  <c r="N24" i="135" s="1"/>
  <c r="H33" i="121"/>
  <c r="I32" i="121"/>
  <c r="G70" i="95"/>
  <c r="K69" i="95"/>
  <c r="N30" i="148"/>
  <c r="O31" i="148"/>
  <c r="H31" i="147"/>
  <c r="I30" i="147"/>
  <c r="J30" i="147" s="1"/>
  <c r="N29" i="147"/>
  <c r="L31" i="147"/>
  <c r="H32" i="148"/>
  <c r="I31" i="148"/>
  <c r="J31" i="148" s="1"/>
  <c r="L32" i="148"/>
  <c r="M31" i="148"/>
  <c r="E33" i="147"/>
  <c r="G32" i="147"/>
  <c r="K32" i="147" s="1"/>
  <c r="F32" i="147"/>
  <c r="E34" i="148"/>
  <c r="G33" i="148"/>
  <c r="F33" i="148"/>
  <c r="H45" i="95"/>
  <c r="I44" i="95"/>
  <c r="L26" i="134"/>
  <c r="M25" i="134"/>
  <c r="N25" i="134" s="1"/>
  <c r="F37" i="104"/>
  <c r="E38" i="104"/>
  <c r="L44" i="111"/>
  <c r="O44" i="111" s="1"/>
  <c r="E45" i="111"/>
  <c r="D46" i="93"/>
  <c r="E45" i="93"/>
  <c r="E31" i="134"/>
  <c r="F30" i="134"/>
  <c r="J30" i="134" s="1"/>
  <c r="G53" i="121"/>
  <c r="K52" i="121"/>
  <c r="M25" i="133"/>
  <c r="K27" i="133"/>
  <c r="L26" i="133"/>
  <c r="E30" i="95"/>
  <c r="O29" i="95"/>
  <c r="F29" i="95"/>
  <c r="J29" i="95" s="1"/>
  <c r="N29" i="95" s="1"/>
  <c r="G36" i="104"/>
  <c r="H35" i="104"/>
  <c r="F18" i="113"/>
  <c r="G18" i="113" s="1"/>
  <c r="K29" i="55"/>
  <c r="N28" i="55"/>
  <c r="O28" i="121"/>
  <c r="E29" i="121"/>
  <c r="F28" i="121"/>
  <c r="J28" i="121" s="1"/>
  <c r="N28" i="121" s="1"/>
  <c r="B105" i="77"/>
  <c r="D27" i="133"/>
  <c r="N26" i="133"/>
  <c r="E26" i="133"/>
  <c r="I26" i="133" s="1"/>
  <c r="L31" i="121"/>
  <c r="M30" i="121"/>
  <c r="D79" i="113"/>
  <c r="N40" i="114"/>
  <c r="O39" i="114"/>
  <c r="E29" i="135"/>
  <c r="F28" i="135"/>
  <c r="J28" i="135" s="1"/>
  <c r="K16" i="112"/>
  <c r="I17" i="112" s="1"/>
  <c r="C19" i="113" s="1"/>
  <c r="E19" i="113" s="1"/>
  <c r="B19" i="113" s="1"/>
  <c r="D78" i="113"/>
  <c r="C43" i="55"/>
  <c r="I34" i="104"/>
  <c r="I17" i="113"/>
  <c r="J17" i="113" s="1"/>
  <c r="L38" i="95" l="1"/>
  <c r="M37" i="95"/>
  <c r="G25" i="110"/>
  <c r="F26" i="110"/>
  <c r="L25" i="110"/>
  <c r="Q27" i="78"/>
  <c r="R27" i="78" s="1"/>
  <c r="K33" i="148"/>
  <c r="N31" i="148"/>
  <c r="I29" i="55"/>
  <c r="Q29" i="55" s="1"/>
  <c r="G30" i="55"/>
  <c r="E94" i="110"/>
  <c r="M93" i="110"/>
  <c r="N82" i="110"/>
  <c r="O81" i="110"/>
  <c r="B31" i="78"/>
  <c r="K30" i="78"/>
  <c r="C30" i="78"/>
  <c r="F29" i="78"/>
  <c r="I29" i="78" s="1"/>
  <c r="M31" i="147"/>
  <c r="N30" i="147"/>
  <c r="O31" i="147"/>
  <c r="K65" i="114"/>
  <c r="F66" i="114"/>
  <c r="G65" i="114"/>
  <c r="W65" i="114" s="1"/>
  <c r="X65" i="114"/>
  <c r="P35" i="113"/>
  <c r="Q34" i="113"/>
  <c r="I35" i="91"/>
  <c r="J35" i="91" s="1"/>
  <c r="H36" i="91"/>
  <c r="G37" i="91"/>
  <c r="E38" i="91"/>
  <c r="E93" i="88"/>
  <c r="M92" i="88"/>
  <c r="N56" i="88"/>
  <c r="O55" i="88"/>
  <c r="F28" i="88"/>
  <c r="L27" i="88"/>
  <c r="G27" i="88"/>
  <c r="K27" i="88" s="1"/>
  <c r="P27" i="88" s="1"/>
  <c r="C31" i="77"/>
  <c r="L30" i="77"/>
  <c r="N28" i="78"/>
  <c r="O28" i="78" s="1"/>
  <c r="S28" i="78"/>
  <c r="T27" i="78"/>
  <c r="P27" i="78"/>
  <c r="L29" i="78"/>
  <c r="K27" i="77"/>
  <c r="N27" i="77" s="1"/>
  <c r="O27" i="77" s="1"/>
  <c r="H28" i="77"/>
  <c r="Q26" i="77"/>
  <c r="R26" i="77" s="1"/>
  <c r="P26" i="77"/>
  <c r="O25" i="135"/>
  <c r="M25" i="135"/>
  <c r="N25" i="135" s="1"/>
  <c r="L26" i="135"/>
  <c r="H34" i="121"/>
  <c r="I33" i="121"/>
  <c r="G71" i="95"/>
  <c r="K70" i="95"/>
  <c r="O32" i="148"/>
  <c r="E35" i="148"/>
  <c r="G34" i="148"/>
  <c r="K34" i="148" s="1"/>
  <c r="F34" i="148"/>
  <c r="L33" i="148"/>
  <c r="M32" i="148"/>
  <c r="E34" i="147"/>
  <c r="G33" i="147"/>
  <c r="F33" i="147"/>
  <c r="H33" i="148"/>
  <c r="I32" i="148"/>
  <c r="J32" i="148" s="1"/>
  <c r="L32" i="147"/>
  <c r="H32" i="147"/>
  <c r="I31" i="147"/>
  <c r="J31" i="147" s="1"/>
  <c r="J17" i="112"/>
  <c r="N41" i="114"/>
  <c r="O40" i="114"/>
  <c r="K30" i="55"/>
  <c r="I18" i="113"/>
  <c r="J18" i="113" s="1"/>
  <c r="G37" i="104"/>
  <c r="H36" i="104"/>
  <c r="E31" i="95"/>
  <c r="O30" i="95"/>
  <c r="F30" i="95"/>
  <c r="J30" i="95" s="1"/>
  <c r="N30" i="95" s="1"/>
  <c r="K28" i="133"/>
  <c r="L27" i="133"/>
  <c r="E32" i="134"/>
  <c r="F31" i="134"/>
  <c r="J31" i="134" s="1"/>
  <c r="D47" i="93"/>
  <c r="E46" i="93"/>
  <c r="E39" i="104"/>
  <c r="F38" i="104"/>
  <c r="L27" i="134"/>
  <c r="M26" i="134"/>
  <c r="N26" i="134" s="1"/>
  <c r="O26" i="134"/>
  <c r="C44" i="55"/>
  <c r="E30" i="135"/>
  <c r="F29" i="135"/>
  <c r="J29" i="135" s="1"/>
  <c r="L32" i="121"/>
  <c r="M31" i="121"/>
  <c r="D28" i="133"/>
  <c r="N27" i="133"/>
  <c r="E27" i="133"/>
  <c r="I27" i="133" s="1"/>
  <c r="B106" i="77"/>
  <c r="E30" i="121"/>
  <c r="O29" i="121"/>
  <c r="F29" i="121"/>
  <c r="J29" i="121" s="1"/>
  <c r="N29" i="121" s="1"/>
  <c r="F19" i="113"/>
  <c r="G19" i="113" s="1"/>
  <c r="I35" i="104"/>
  <c r="M26" i="133"/>
  <c r="G54" i="121"/>
  <c r="K53" i="121"/>
  <c r="L45" i="111"/>
  <c r="O45" i="111" s="1"/>
  <c r="E46" i="111"/>
  <c r="H46" i="95"/>
  <c r="I45" i="95"/>
  <c r="L39" i="95" l="1"/>
  <c r="M38" i="95"/>
  <c r="O33" i="148"/>
  <c r="F27" i="110"/>
  <c r="G26" i="110"/>
  <c r="L26" i="110"/>
  <c r="N29" i="55"/>
  <c r="K33" i="147"/>
  <c r="L33" i="147" s="1"/>
  <c r="G31" i="55"/>
  <c r="I30" i="55"/>
  <c r="Q30" i="55" s="1"/>
  <c r="M94" i="110"/>
  <c r="E95" i="110"/>
  <c r="N83" i="110"/>
  <c r="O82" i="110"/>
  <c r="K31" i="78"/>
  <c r="B32" i="78"/>
  <c r="C31" i="78"/>
  <c r="F30" i="78"/>
  <c r="I30" i="78" s="1"/>
  <c r="L30" i="78" s="1"/>
  <c r="Q28" i="78"/>
  <c r="R28" i="78" s="1"/>
  <c r="O32" i="147"/>
  <c r="K66" i="114"/>
  <c r="G66" i="114"/>
  <c r="W66" i="114" s="1"/>
  <c r="X66" i="114"/>
  <c r="F67" i="114"/>
  <c r="P36" i="113"/>
  <c r="Q35" i="113"/>
  <c r="E39" i="91"/>
  <c r="G38" i="91"/>
  <c r="F38" i="91" s="1"/>
  <c r="H37" i="91"/>
  <c r="I36" i="91"/>
  <c r="J36" i="91" s="1"/>
  <c r="M93" i="88"/>
  <c r="E94" i="88"/>
  <c r="N57" i="88"/>
  <c r="O56" i="88"/>
  <c r="G28" i="88"/>
  <c r="K28" i="88" s="1"/>
  <c r="P28" i="88" s="1"/>
  <c r="L28" i="88"/>
  <c r="F29" i="88"/>
  <c r="L31" i="77"/>
  <c r="C32" i="77"/>
  <c r="N29" i="78"/>
  <c r="O29" i="78" s="1"/>
  <c r="S29" i="78"/>
  <c r="P28" i="78"/>
  <c r="T28" i="78"/>
  <c r="Q27" i="77"/>
  <c r="R27" i="77" s="1"/>
  <c r="P27" i="77"/>
  <c r="H29" i="77"/>
  <c r="K28" i="77"/>
  <c r="N28" i="77" s="1"/>
  <c r="O28" i="77" s="1"/>
  <c r="L27" i="135"/>
  <c r="O26" i="135"/>
  <c r="M26" i="135"/>
  <c r="N26" i="135" s="1"/>
  <c r="I34" i="121"/>
  <c r="H35" i="121"/>
  <c r="G72" i="95"/>
  <c r="K71" i="95"/>
  <c r="H33" i="147"/>
  <c r="I32" i="147"/>
  <c r="J32" i="147" s="1"/>
  <c r="H34" i="148"/>
  <c r="I34" i="148" s="1"/>
  <c r="I33" i="148"/>
  <c r="J33" i="148" s="1"/>
  <c r="N32" i="148"/>
  <c r="L34" i="148"/>
  <c r="M34" i="148" s="1"/>
  <c r="M33" i="148"/>
  <c r="N31" i="147"/>
  <c r="M32" i="147"/>
  <c r="E35" i="147"/>
  <c r="G34" i="147"/>
  <c r="K34" i="147" s="1"/>
  <c r="F34" i="147"/>
  <c r="E36" i="148"/>
  <c r="G36" i="148" s="1"/>
  <c r="G35" i="148"/>
  <c r="F35" i="148"/>
  <c r="F20" i="113"/>
  <c r="H47" i="95"/>
  <c r="I46" i="95"/>
  <c r="E47" i="111"/>
  <c r="L46" i="111"/>
  <c r="K54" i="121"/>
  <c r="G55" i="121"/>
  <c r="L28" i="134"/>
  <c r="M27" i="134"/>
  <c r="N27" i="134" s="1"/>
  <c r="O27" i="134"/>
  <c r="E33" i="134"/>
  <c r="F32" i="134"/>
  <c r="J32" i="134" s="1"/>
  <c r="I36" i="104"/>
  <c r="N42" i="114"/>
  <c r="O41" i="114"/>
  <c r="K17" i="112"/>
  <c r="I18" i="112" s="1"/>
  <c r="C20" i="113" s="1"/>
  <c r="E20" i="113" s="1"/>
  <c r="B20" i="113" s="1"/>
  <c r="D81" i="113"/>
  <c r="I19" i="113"/>
  <c r="J19" i="113" s="1"/>
  <c r="O30" i="121"/>
  <c r="E31" i="121"/>
  <c r="F30" i="121"/>
  <c r="J30" i="121" s="1"/>
  <c r="N30" i="121" s="1"/>
  <c r="B107" i="77"/>
  <c r="N28" i="133"/>
  <c r="D29" i="133"/>
  <c r="E28" i="133"/>
  <c r="I28" i="133" s="1"/>
  <c r="L33" i="121"/>
  <c r="M32" i="121"/>
  <c r="E31" i="135"/>
  <c r="F30" i="135"/>
  <c r="J30" i="135" s="1"/>
  <c r="C45" i="55"/>
  <c r="E40" i="104"/>
  <c r="F39" i="104"/>
  <c r="D80" i="113"/>
  <c r="D48" i="93"/>
  <c r="E47" i="93"/>
  <c r="M27" i="133"/>
  <c r="L28" i="133"/>
  <c r="E32" i="95"/>
  <c r="O31" i="95"/>
  <c r="F31" i="95"/>
  <c r="J31" i="95" s="1"/>
  <c r="N31" i="95" s="1"/>
  <c r="G38" i="104"/>
  <c r="H37" i="104"/>
  <c r="K31" i="55"/>
  <c r="M39" i="95" l="1"/>
  <c r="L40" i="95"/>
  <c r="N32" i="147"/>
  <c r="G27" i="110"/>
  <c r="L27" i="110"/>
  <c r="F28" i="110"/>
  <c r="N30" i="55"/>
  <c r="I31" i="55"/>
  <c r="Q31" i="55" s="1"/>
  <c r="G32" i="55"/>
  <c r="N84" i="110"/>
  <c r="O83" i="110"/>
  <c r="E96" i="110"/>
  <c r="M95" i="110"/>
  <c r="F31" i="78"/>
  <c r="I31" i="78" s="1"/>
  <c r="L31" i="78" s="1"/>
  <c r="C32" i="78"/>
  <c r="Q29" i="78"/>
  <c r="R29" i="78" s="1"/>
  <c r="B33" i="78"/>
  <c r="K32" i="78"/>
  <c r="O33" i="147"/>
  <c r="F68" i="114"/>
  <c r="G67" i="114"/>
  <c r="W67" i="114" s="1"/>
  <c r="K67" i="114"/>
  <c r="X67" i="114"/>
  <c r="P37" i="113"/>
  <c r="Q36" i="113"/>
  <c r="H38" i="91"/>
  <c r="I37" i="91"/>
  <c r="J37" i="91" s="1"/>
  <c r="E40" i="91"/>
  <c r="G39" i="91"/>
  <c r="M94" i="88"/>
  <c r="E95" i="88"/>
  <c r="N58" i="88"/>
  <c r="O57" i="88"/>
  <c r="F30" i="88"/>
  <c r="G29" i="88"/>
  <c r="K29" i="88" s="1"/>
  <c r="P29" i="88" s="1"/>
  <c r="L29" i="88"/>
  <c r="L32" i="77"/>
  <c r="C33" i="77"/>
  <c r="N30" i="78"/>
  <c r="O30" i="78" s="1"/>
  <c r="S30" i="78"/>
  <c r="T29" i="78"/>
  <c r="P29" i="78"/>
  <c r="Q28" i="77"/>
  <c r="R28" i="77" s="1"/>
  <c r="P28" i="77"/>
  <c r="K29" i="77"/>
  <c r="N29" i="77" s="1"/>
  <c r="O29" i="77" s="1"/>
  <c r="H30" i="77"/>
  <c r="M28" i="133"/>
  <c r="O27" i="135"/>
  <c r="M27" i="135"/>
  <c r="N27" i="135" s="1"/>
  <c r="L28" i="135"/>
  <c r="I35" i="121"/>
  <c r="H36" i="121"/>
  <c r="K72" i="95"/>
  <c r="G73" i="95"/>
  <c r="K35" i="148"/>
  <c r="L35" i="148" s="1"/>
  <c r="N33" i="148"/>
  <c r="O34" i="148"/>
  <c r="E37" i="148"/>
  <c r="F36" i="148"/>
  <c r="L34" i="147"/>
  <c r="M33" i="147"/>
  <c r="H35" i="148"/>
  <c r="J34" i="148"/>
  <c r="E36" i="147"/>
  <c r="G35" i="147"/>
  <c r="F35" i="147"/>
  <c r="H34" i="147"/>
  <c r="O34" i="147" s="1"/>
  <c r="I33" i="147"/>
  <c r="J33" i="147" s="1"/>
  <c r="K32" i="55"/>
  <c r="I37" i="104"/>
  <c r="G39" i="104"/>
  <c r="H38" i="104"/>
  <c r="E33" i="95"/>
  <c r="O32" i="95"/>
  <c r="F32" i="95"/>
  <c r="J32" i="95" s="1"/>
  <c r="N32" i="95" s="1"/>
  <c r="D49" i="93"/>
  <c r="E48" i="93"/>
  <c r="E32" i="135"/>
  <c r="F31" i="135"/>
  <c r="L34" i="121"/>
  <c r="M33" i="121"/>
  <c r="D30" i="133"/>
  <c r="E29" i="133"/>
  <c r="J29" i="133"/>
  <c r="K29" i="133" s="1"/>
  <c r="G29" i="133"/>
  <c r="F30" i="133" s="1"/>
  <c r="O31" i="121"/>
  <c r="E32" i="121"/>
  <c r="F31" i="121"/>
  <c r="J31" i="121" s="1"/>
  <c r="N31" i="121" s="1"/>
  <c r="J18" i="112"/>
  <c r="N43" i="114"/>
  <c r="O42" i="114"/>
  <c r="H48" i="95"/>
  <c r="I47" i="95"/>
  <c r="G20" i="113"/>
  <c r="E41" i="104"/>
  <c r="F40" i="104"/>
  <c r="C46" i="55"/>
  <c r="H31" i="135"/>
  <c r="G32" i="135" s="1"/>
  <c r="K31" i="135"/>
  <c r="B108" i="77"/>
  <c r="E34" i="134"/>
  <c r="F33" i="134"/>
  <c r="J33" i="134" s="1"/>
  <c r="L29" i="134"/>
  <c r="M28" i="134"/>
  <c r="O28" i="134"/>
  <c r="G56" i="121"/>
  <c r="K55" i="121"/>
  <c r="E48" i="111"/>
  <c r="L47" i="111"/>
  <c r="I20" i="113"/>
  <c r="L41" i="95" l="1"/>
  <c r="M40" i="95"/>
  <c r="G28" i="110"/>
  <c r="F29" i="110"/>
  <c r="L28" i="110"/>
  <c r="N31" i="55"/>
  <c r="G33" i="55"/>
  <c r="I32" i="55"/>
  <c r="Q32" i="55" s="1"/>
  <c r="N85" i="110"/>
  <c r="O84" i="110"/>
  <c r="E97" i="110"/>
  <c r="M96" i="110"/>
  <c r="B34" i="78"/>
  <c r="K33" i="78"/>
  <c r="F32" i="78"/>
  <c r="I32" i="78" s="1"/>
  <c r="C33" i="78"/>
  <c r="O35" i="148"/>
  <c r="K35" i="147"/>
  <c r="L35" i="147" s="1"/>
  <c r="X68" i="114"/>
  <c r="G68" i="114"/>
  <c r="W68" i="114" s="1"/>
  <c r="K68" i="114"/>
  <c r="F69" i="114"/>
  <c r="P38" i="113"/>
  <c r="Q37" i="113"/>
  <c r="G40" i="91"/>
  <c r="E41" i="91"/>
  <c r="I38" i="91"/>
  <c r="J38" i="91" s="1"/>
  <c r="H39" i="91"/>
  <c r="E96" i="88"/>
  <c r="M95" i="88"/>
  <c r="N59" i="88"/>
  <c r="O58" i="88"/>
  <c r="L30" i="88"/>
  <c r="G30" i="88"/>
  <c r="K30" i="88" s="1"/>
  <c r="P30" i="88" s="1"/>
  <c r="F31" i="88"/>
  <c r="L33" i="77"/>
  <c r="C34" i="77"/>
  <c r="N31" i="78"/>
  <c r="O31" i="78" s="1"/>
  <c r="S31" i="78"/>
  <c r="P30" i="78"/>
  <c r="T30" i="78"/>
  <c r="Q30" i="78"/>
  <c r="R30" i="78" s="1"/>
  <c r="P29" i="77"/>
  <c r="Q29" i="77"/>
  <c r="H31" i="77"/>
  <c r="K30" i="77"/>
  <c r="N30" i="77" s="1"/>
  <c r="O30" i="77" s="1"/>
  <c r="O31" i="77" s="1"/>
  <c r="O28" i="135"/>
  <c r="M28" i="135"/>
  <c r="N28" i="135" s="1"/>
  <c r="L29" i="135"/>
  <c r="H37" i="121"/>
  <c r="I36" i="121"/>
  <c r="G74" i="95"/>
  <c r="K73" i="95"/>
  <c r="N29" i="133"/>
  <c r="K36" i="148"/>
  <c r="L36" i="148" s="1"/>
  <c r="H35" i="147"/>
  <c r="I34" i="147"/>
  <c r="J34" i="147" s="1"/>
  <c r="H36" i="148"/>
  <c r="I35" i="148"/>
  <c r="J35" i="148" s="1"/>
  <c r="N33" i="147"/>
  <c r="M34" i="147"/>
  <c r="E37" i="147"/>
  <c r="G36" i="147"/>
  <c r="F36" i="147"/>
  <c r="N34" i="148"/>
  <c r="M35" i="148"/>
  <c r="E38" i="148"/>
  <c r="G37" i="148"/>
  <c r="F37" i="148"/>
  <c r="D83" i="113"/>
  <c r="G57" i="121"/>
  <c r="K56" i="121"/>
  <c r="I31" i="135"/>
  <c r="J31" i="135" s="1"/>
  <c r="H32" i="135"/>
  <c r="C47" i="55"/>
  <c r="F21" i="113"/>
  <c r="N44" i="114"/>
  <c r="O43" i="114"/>
  <c r="J30" i="133"/>
  <c r="K30" i="133" s="1"/>
  <c r="F31" i="133"/>
  <c r="D31" i="133"/>
  <c r="E30" i="133"/>
  <c r="L35" i="121"/>
  <c r="M34" i="121"/>
  <c r="D50" i="93"/>
  <c r="E49" i="93"/>
  <c r="E34" i="95"/>
  <c r="O33" i="95"/>
  <c r="F33" i="95"/>
  <c r="J33" i="95" s="1"/>
  <c r="N33" i="95" s="1"/>
  <c r="G40" i="104"/>
  <c r="H39" i="104"/>
  <c r="K33" i="55"/>
  <c r="J20" i="113"/>
  <c r="E49" i="111"/>
  <c r="L48" i="111"/>
  <c r="N28" i="134"/>
  <c r="L30" i="134"/>
  <c r="M29" i="134"/>
  <c r="N29" i="134" s="1"/>
  <c r="O29" i="134"/>
  <c r="E35" i="134"/>
  <c r="F34" i="134"/>
  <c r="J34" i="134" s="1"/>
  <c r="B109" i="77"/>
  <c r="G33" i="135"/>
  <c r="K32" i="135"/>
  <c r="F41" i="104"/>
  <c r="E42" i="104"/>
  <c r="H49" i="95"/>
  <c r="I48" i="95"/>
  <c r="D82" i="113"/>
  <c r="K18" i="112"/>
  <c r="I19" i="112" s="1"/>
  <c r="C21" i="113" s="1"/>
  <c r="E21" i="113" s="1"/>
  <c r="B21" i="113" s="1"/>
  <c r="O32" i="121"/>
  <c r="E33" i="121"/>
  <c r="F32" i="121"/>
  <c r="J32" i="121" s="1"/>
  <c r="N32" i="121" s="1"/>
  <c r="H29" i="133"/>
  <c r="I29" i="133" s="1"/>
  <c r="G30" i="133"/>
  <c r="L29" i="133"/>
  <c r="E33" i="135"/>
  <c r="F32" i="135"/>
  <c r="I38" i="104"/>
  <c r="N32" i="55" l="1"/>
  <c r="L42" i="95"/>
  <c r="M41" i="95"/>
  <c r="F30" i="110"/>
  <c r="L29" i="110"/>
  <c r="G29" i="110"/>
  <c r="H36" i="147"/>
  <c r="K37" i="148"/>
  <c r="G34" i="55"/>
  <c r="I33" i="55"/>
  <c r="Q33" i="55" s="1"/>
  <c r="N86" i="110"/>
  <c r="O85" i="110"/>
  <c r="M97" i="110"/>
  <c r="E98" i="110"/>
  <c r="J19" i="112"/>
  <c r="L32" i="78"/>
  <c r="N32" i="78" s="1"/>
  <c r="O32" i="78" s="1"/>
  <c r="F33" i="78"/>
  <c r="I33" i="78" s="1"/>
  <c r="C34" i="78"/>
  <c r="B35" i="78"/>
  <c r="K34" i="78"/>
  <c r="Q31" i="78"/>
  <c r="K36" i="147"/>
  <c r="L36" i="147" s="1"/>
  <c r="N34" i="147"/>
  <c r="O35" i="147"/>
  <c r="H69" i="114"/>
  <c r="I69" i="114" s="1"/>
  <c r="K69" i="114" s="1"/>
  <c r="G69" i="114"/>
  <c r="F70" i="114"/>
  <c r="P39" i="113"/>
  <c r="Q38" i="113"/>
  <c r="H40" i="91"/>
  <c r="I39" i="91"/>
  <c r="J39" i="91" s="1"/>
  <c r="G41" i="91"/>
  <c r="E42" i="91"/>
  <c r="M96" i="88"/>
  <c r="E97" i="88"/>
  <c r="N60" i="88"/>
  <c r="O59" i="88"/>
  <c r="L31" i="88"/>
  <c r="G31" i="88"/>
  <c r="K31" i="88" s="1"/>
  <c r="P31" i="88" s="1"/>
  <c r="F32" i="88"/>
  <c r="Q33" i="77"/>
  <c r="C35" i="77"/>
  <c r="L34" i="77"/>
  <c r="R31" i="78"/>
  <c r="T31" i="78"/>
  <c r="P31" i="78"/>
  <c r="H32" i="77"/>
  <c r="K31" i="77"/>
  <c r="N31" i="77" s="1"/>
  <c r="R29" i="77"/>
  <c r="P30" i="77"/>
  <c r="Q30" i="77"/>
  <c r="O29" i="135"/>
  <c r="M29" i="135"/>
  <c r="N29" i="135" s="1"/>
  <c r="L30" i="135"/>
  <c r="I37" i="121"/>
  <c r="H38" i="121"/>
  <c r="G75" i="95"/>
  <c r="K74" i="95"/>
  <c r="N35" i="148"/>
  <c r="M29" i="133"/>
  <c r="O36" i="148"/>
  <c r="E39" i="148"/>
  <c r="G38" i="148"/>
  <c r="K38" i="148" s="1"/>
  <c r="F38" i="148"/>
  <c r="M35" i="147"/>
  <c r="H37" i="148"/>
  <c r="I36" i="148"/>
  <c r="J36" i="148" s="1"/>
  <c r="L37" i="148"/>
  <c r="M36" i="148"/>
  <c r="E38" i="147"/>
  <c r="G37" i="147"/>
  <c r="K37" i="147" s="1"/>
  <c r="F37" i="147"/>
  <c r="I35" i="147"/>
  <c r="J35" i="147" s="1"/>
  <c r="O33" i="121"/>
  <c r="E34" i="121"/>
  <c r="F33" i="121"/>
  <c r="J33" i="121" s="1"/>
  <c r="N33" i="121" s="1"/>
  <c r="K19" i="112"/>
  <c r="I20" i="112" s="1"/>
  <c r="C22" i="113" s="1"/>
  <c r="E22" i="113" s="1"/>
  <c r="B22" i="113" s="1"/>
  <c r="E43" i="104"/>
  <c r="F42" i="104"/>
  <c r="L31" i="134"/>
  <c r="M30" i="134"/>
  <c r="N30" i="134" s="1"/>
  <c r="O30" i="134"/>
  <c r="E50" i="111"/>
  <c r="L49" i="111"/>
  <c r="I39" i="104"/>
  <c r="D51" i="93"/>
  <c r="E50" i="93"/>
  <c r="L36" i="121"/>
  <c r="M35" i="121"/>
  <c r="J31" i="133"/>
  <c r="K31" i="133" s="1"/>
  <c r="F32" i="133"/>
  <c r="N45" i="114"/>
  <c r="O44" i="114"/>
  <c r="G21" i="113"/>
  <c r="I32" i="135"/>
  <c r="J32" i="135" s="1"/>
  <c r="H33" i="135"/>
  <c r="E34" i="135"/>
  <c r="F33" i="135"/>
  <c r="L30" i="133"/>
  <c r="H30" i="133"/>
  <c r="I30" i="133" s="1"/>
  <c r="G31" i="133"/>
  <c r="H50" i="95"/>
  <c r="I49" i="95"/>
  <c r="G34" i="135"/>
  <c r="K33" i="135"/>
  <c r="B110" i="77"/>
  <c r="E36" i="134"/>
  <c r="F35" i="134"/>
  <c r="J35" i="134" s="1"/>
  <c r="J69" i="114"/>
  <c r="K34" i="55"/>
  <c r="G41" i="104"/>
  <c r="H40" i="104"/>
  <c r="E35" i="95"/>
  <c r="O34" i="95"/>
  <c r="F34" i="95"/>
  <c r="J34" i="95" s="1"/>
  <c r="N34" i="95" s="1"/>
  <c r="N30" i="133"/>
  <c r="D32" i="133"/>
  <c r="E31" i="133"/>
  <c r="I21" i="113"/>
  <c r="C48" i="55"/>
  <c r="K57" i="121"/>
  <c r="G58" i="121"/>
  <c r="N33" i="55" l="1"/>
  <c r="L43" i="95"/>
  <c r="M42" i="95"/>
  <c r="G30" i="110"/>
  <c r="L30" i="110"/>
  <c r="F31" i="110"/>
  <c r="O36" i="147"/>
  <c r="I34" i="55"/>
  <c r="Q34" i="55" s="1"/>
  <c r="G35" i="55"/>
  <c r="N87" i="110"/>
  <c r="O86" i="110"/>
  <c r="E99" i="110"/>
  <c r="M98" i="110"/>
  <c r="Q32" i="78"/>
  <c r="R32" i="78" s="1"/>
  <c r="L33" i="78"/>
  <c r="S32" i="78"/>
  <c r="C35" i="78"/>
  <c r="F34" i="78"/>
  <c r="I34" i="78" s="1"/>
  <c r="K35" i="78"/>
  <c r="B36" i="78"/>
  <c r="H70" i="114"/>
  <c r="I70" i="114" s="1"/>
  <c r="K70" i="114" s="1"/>
  <c r="G70" i="114"/>
  <c r="F71" i="114"/>
  <c r="P40" i="113"/>
  <c r="Q39" i="113"/>
  <c r="H41" i="91"/>
  <c r="I40" i="91"/>
  <c r="J40" i="91" s="1"/>
  <c r="E43" i="91"/>
  <c r="G42" i="91"/>
  <c r="M97" i="88"/>
  <c r="E98" i="88"/>
  <c r="N61" i="88"/>
  <c r="O60" i="88"/>
  <c r="G32" i="88"/>
  <c r="K32" i="88" s="1"/>
  <c r="P32" i="88" s="1"/>
  <c r="L32" i="88"/>
  <c r="F33" i="88"/>
  <c r="C36" i="77"/>
  <c r="L35" i="77"/>
  <c r="Q34" i="77"/>
  <c r="N33" i="78"/>
  <c r="O33" i="78" s="1"/>
  <c r="S33" i="78"/>
  <c r="T32" i="78"/>
  <c r="P32" i="78"/>
  <c r="R30" i="77"/>
  <c r="Q31" i="77"/>
  <c r="P31" i="77"/>
  <c r="O32" i="77"/>
  <c r="H33" i="77"/>
  <c r="K32" i="77"/>
  <c r="N32" i="77" s="1"/>
  <c r="O30" i="135"/>
  <c r="M30" i="135"/>
  <c r="N30" i="135" s="1"/>
  <c r="L31" i="135"/>
  <c r="I38" i="121"/>
  <c r="H39" i="121"/>
  <c r="G76" i="95"/>
  <c r="K75" i="95"/>
  <c r="N31" i="133"/>
  <c r="O37" i="148"/>
  <c r="E39" i="147"/>
  <c r="G39" i="147" s="1"/>
  <c r="G38" i="147"/>
  <c r="K38" i="147" s="1"/>
  <c r="F38" i="147"/>
  <c r="H38" i="148"/>
  <c r="I37" i="148"/>
  <c r="J37" i="148" s="1"/>
  <c r="E40" i="148"/>
  <c r="G39" i="148"/>
  <c r="K39" i="148" s="1"/>
  <c r="F39" i="148"/>
  <c r="H37" i="147"/>
  <c r="I36" i="147"/>
  <c r="J36" i="147" s="1"/>
  <c r="N36" i="148"/>
  <c r="L38" i="148"/>
  <c r="M37" i="148"/>
  <c r="N37" i="148" s="1"/>
  <c r="N35" i="147"/>
  <c r="L37" i="147"/>
  <c r="M36" i="147"/>
  <c r="D33" i="133"/>
  <c r="E32" i="133"/>
  <c r="I40" i="104"/>
  <c r="J21" i="113"/>
  <c r="D84" i="113"/>
  <c r="Y69" i="114"/>
  <c r="H51" i="95"/>
  <c r="I50" i="95"/>
  <c r="E35" i="135"/>
  <c r="F34" i="135"/>
  <c r="H34" i="135"/>
  <c r="I33" i="135"/>
  <c r="J33" i="135" s="1"/>
  <c r="F22" i="113"/>
  <c r="G22" i="113" s="1"/>
  <c r="N46" i="114"/>
  <c r="O45" i="114"/>
  <c r="J32" i="133"/>
  <c r="K32" i="133" s="1"/>
  <c r="F33" i="133"/>
  <c r="L50" i="111"/>
  <c r="E51" i="111"/>
  <c r="G59" i="121"/>
  <c r="K58" i="121"/>
  <c r="C49" i="55"/>
  <c r="E36" i="95"/>
  <c r="O35" i="95"/>
  <c r="F35" i="95"/>
  <c r="J35" i="95" s="1"/>
  <c r="N35" i="95" s="1"/>
  <c r="G42" i="104"/>
  <c r="H41" i="104"/>
  <c r="K35" i="55"/>
  <c r="L69" i="114"/>
  <c r="H36" i="134"/>
  <c r="G37" i="134" s="1"/>
  <c r="K37" i="134" s="1"/>
  <c r="E37" i="134"/>
  <c r="F36" i="134"/>
  <c r="B111" i="77"/>
  <c r="K34" i="135"/>
  <c r="G35" i="135"/>
  <c r="G32" i="133"/>
  <c r="H31" i="133"/>
  <c r="I31" i="133" s="1"/>
  <c r="M30" i="133"/>
  <c r="L31" i="133"/>
  <c r="L37" i="121"/>
  <c r="M36" i="121"/>
  <c r="D52" i="93"/>
  <c r="E51" i="93"/>
  <c r="D85" i="113"/>
  <c r="L32" i="134"/>
  <c r="M31" i="134"/>
  <c r="N31" i="134" s="1"/>
  <c r="O31" i="134"/>
  <c r="F43" i="104"/>
  <c r="E44" i="104"/>
  <c r="J20" i="112"/>
  <c r="E35" i="121"/>
  <c r="O34" i="121"/>
  <c r="F34" i="121"/>
  <c r="J34" i="121" s="1"/>
  <c r="N34" i="121" s="1"/>
  <c r="T35" i="77" l="1"/>
  <c r="P33" i="77"/>
  <c r="M43" i="95"/>
  <c r="L44" i="95"/>
  <c r="G31" i="110"/>
  <c r="F32" i="110"/>
  <c r="L31" i="110"/>
  <c r="J70" i="114"/>
  <c r="Y70" i="114" s="1"/>
  <c r="N34" i="55"/>
  <c r="N36" i="147"/>
  <c r="G36" i="55"/>
  <c r="I35" i="55"/>
  <c r="Q35" i="55" s="1"/>
  <c r="N88" i="110"/>
  <c r="O87" i="110"/>
  <c r="E100" i="110"/>
  <c r="M99" i="110"/>
  <c r="L34" i="78"/>
  <c r="N34" i="78" s="1"/>
  <c r="O34" i="78" s="1"/>
  <c r="B37" i="78"/>
  <c r="K36" i="78"/>
  <c r="Q33" i="78"/>
  <c r="R33" i="78" s="1"/>
  <c r="C36" i="78"/>
  <c r="F35" i="78"/>
  <c r="I35" i="78" s="1"/>
  <c r="L35" i="78" s="1"/>
  <c r="O37" i="147"/>
  <c r="H71" i="114"/>
  <c r="I71" i="114" s="1"/>
  <c r="K71" i="114" s="1"/>
  <c r="F72" i="114"/>
  <c r="G71" i="114"/>
  <c r="Q40" i="113"/>
  <c r="P41" i="113"/>
  <c r="G43" i="91"/>
  <c r="E44" i="91"/>
  <c r="H42" i="91"/>
  <c r="I41" i="91"/>
  <c r="J41" i="91" s="1"/>
  <c r="M98" i="88"/>
  <c r="E99" i="88"/>
  <c r="N62" i="88"/>
  <c r="O61" i="88"/>
  <c r="L33" i="88"/>
  <c r="F34" i="88"/>
  <c r="G33" i="88"/>
  <c r="K33" i="88" s="1"/>
  <c r="P33" i="88" s="1"/>
  <c r="C37" i="77"/>
  <c r="L36" i="77"/>
  <c r="Q35" i="77"/>
  <c r="S34" i="78"/>
  <c r="P33" i="78"/>
  <c r="T33" i="78"/>
  <c r="P32" i="77"/>
  <c r="Q32" i="77"/>
  <c r="R34" i="77" s="1"/>
  <c r="T36" i="77"/>
  <c r="T37" i="77"/>
  <c r="T39" i="77"/>
  <c r="T33" i="77"/>
  <c r="T38" i="77"/>
  <c r="T34" i="77"/>
  <c r="T41" i="77"/>
  <c r="T40" i="77"/>
  <c r="R31" i="77"/>
  <c r="K33" i="77"/>
  <c r="N33" i="77" s="1"/>
  <c r="S33" i="77" s="1"/>
  <c r="H34" i="77"/>
  <c r="N32" i="133"/>
  <c r="M31" i="135"/>
  <c r="N31" i="135" s="1"/>
  <c r="O31" i="135"/>
  <c r="L32" i="135"/>
  <c r="I39" i="121"/>
  <c r="H40" i="121"/>
  <c r="G77" i="95"/>
  <c r="K76" i="95"/>
  <c r="O38" i="148"/>
  <c r="E41" i="148"/>
  <c r="G40" i="148"/>
  <c r="K40" i="148" s="1"/>
  <c r="F40" i="148"/>
  <c r="E40" i="147"/>
  <c r="K39" i="147"/>
  <c r="F39" i="147"/>
  <c r="L38" i="147"/>
  <c r="M37" i="147"/>
  <c r="L39" i="148"/>
  <c r="M38" i="148"/>
  <c r="H38" i="147"/>
  <c r="O38" i="147" s="1"/>
  <c r="I37" i="147"/>
  <c r="J37" i="147" s="1"/>
  <c r="H39" i="148"/>
  <c r="O39" i="148" s="1"/>
  <c r="I38" i="148"/>
  <c r="J38" i="148" s="1"/>
  <c r="F23" i="113"/>
  <c r="E36" i="121"/>
  <c r="O35" i="121"/>
  <c r="F35" i="121"/>
  <c r="J35" i="121" s="1"/>
  <c r="N35" i="121" s="1"/>
  <c r="F44" i="104"/>
  <c r="E45" i="104"/>
  <c r="L33" i="134"/>
  <c r="M32" i="134"/>
  <c r="N32" i="134" s="1"/>
  <c r="O32" i="134"/>
  <c r="B112" i="77"/>
  <c r="E38" i="134"/>
  <c r="F37" i="134"/>
  <c r="I36" i="134"/>
  <c r="J36" i="134" s="1"/>
  <c r="H37" i="134"/>
  <c r="G38" i="134"/>
  <c r="K38" i="134" s="1"/>
  <c r="N69" i="114"/>
  <c r="M69" i="114"/>
  <c r="U69" i="114" s="1"/>
  <c r="K36" i="55"/>
  <c r="N35" i="55"/>
  <c r="G43" i="104"/>
  <c r="H42" i="104"/>
  <c r="E37" i="95"/>
  <c r="O36" i="95"/>
  <c r="F36" i="95"/>
  <c r="J36" i="95" s="1"/>
  <c r="N36" i="95" s="1"/>
  <c r="C50" i="55"/>
  <c r="G60" i="121"/>
  <c r="K59" i="121"/>
  <c r="L51" i="111"/>
  <c r="E52" i="111"/>
  <c r="N47" i="114"/>
  <c r="O46" i="114"/>
  <c r="I34" i="135"/>
  <c r="H35" i="135"/>
  <c r="E36" i="135"/>
  <c r="F35" i="135"/>
  <c r="D34" i="133"/>
  <c r="E33" i="133"/>
  <c r="K20" i="112"/>
  <c r="I21" i="112" s="1"/>
  <c r="C23" i="113" s="1"/>
  <c r="E23" i="113" s="1"/>
  <c r="B23" i="113" s="1"/>
  <c r="D53" i="93"/>
  <c r="E52" i="93"/>
  <c r="L38" i="121"/>
  <c r="M37" i="121"/>
  <c r="M31" i="133"/>
  <c r="L32" i="133"/>
  <c r="G33" i="133"/>
  <c r="H32" i="133"/>
  <c r="I32" i="133" s="1"/>
  <c r="G36" i="135"/>
  <c r="K35" i="135"/>
  <c r="L70" i="114"/>
  <c r="M70" i="114" s="1"/>
  <c r="I41" i="104"/>
  <c r="D86" i="113"/>
  <c r="J33" i="133"/>
  <c r="K33" i="133" s="1"/>
  <c r="F34" i="133"/>
  <c r="I22" i="113"/>
  <c r="J34" i="135"/>
  <c r="H52" i="95"/>
  <c r="I51" i="95"/>
  <c r="M44" i="95" l="1"/>
  <c r="L45" i="95"/>
  <c r="L32" i="110"/>
  <c r="G32" i="110"/>
  <c r="F33" i="110"/>
  <c r="J71" i="114"/>
  <c r="Y71" i="114" s="1"/>
  <c r="J22" i="113"/>
  <c r="G37" i="55"/>
  <c r="I36" i="55"/>
  <c r="Q36" i="55" s="1"/>
  <c r="R35" i="77"/>
  <c r="M100" i="110"/>
  <c r="E101" i="110"/>
  <c r="N89" i="110"/>
  <c r="O88" i="110"/>
  <c r="B38" i="78"/>
  <c r="K37" i="78"/>
  <c r="C37" i="78"/>
  <c r="F36" i="78"/>
  <c r="I36" i="78" s="1"/>
  <c r="F73" i="114"/>
  <c r="H72" i="114"/>
  <c r="I72" i="114" s="1"/>
  <c r="G72" i="114"/>
  <c r="Q41" i="113"/>
  <c r="P42" i="113"/>
  <c r="I42" i="91"/>
  <c r="J42" i="91" s="1"/>
  <c r="H43" i="91"/>
  <c r="G44" i="91"/>
  <c r="E45" i="91"/>
  <c r="M99" i="88"/>
  <c r="E100" i="88"/>
  <c r="N63" i="88"/>
  <c r="O62" i="88"/>
  <c r="L34" i="88"/>
  <c r="G34" i="88"/>
  <c r="K34" i="88" s="1"/>
  <c r="P34" i="88" s="1"/>
  <c r="F35" i="88"/>
  <c r="L37" i="77"/>
  <c r="C38" i="77"/>
  <c r="Q36" i="77"/>
  <c r="R36" i="77" s="1"/>
  <c r="N35" i="78"/>
  <c r="O35" i="78" s="1"/>
  <c r="S35" i="78"/>
  <c r="Q34" i="78"/>
  <c r="R34" i="78" s="1"/>
  <c r="T34" i="78"/>
  <c r="P34" i="78"/>
  <c r="R32" i="77"/>
  <c r="R33" i="77"/>
  <c r="K34" i="77"/>
  <c r="N34" i="77" s="1"/>
  <c r="S34" i="77" s="1"/>
  <c r="H35" i="77"/>
  <c r="M32" i="135"/>
  <c r="N32" i="135" s="1"/>
  <c r="O32" i="135"/>
  <c r="L33" i="135"/>
  <c r="I40" i="121"/>
  <c r="H41" i="121"/>
  <c r="K77" i="95"/>
  <c r="G78" i="95"/>
  <c r="N38" i="148"/>
  <c r="H40" i="148"/>
  <c r="I39" i="148"/>
  <c r="J39" i="148" s="1"/>
  <c r="L40" i="148"/>
  <c r="M39" i="148"/>
  <c r="E41" i="147"/>
  <c r="G40" i="147"/>
  <c r="K40" i="147" s="1"/>
  <c r="F40" i="147"/>
  <c r="H39" i="147"/>
  <c r="I38" i="147"/>
  <c r="J38" i="147" s="1"/>
  <c r="N37" i="147"/>
  <c r="L39" i="147"/>
  <c r="M38" i="147"/>
  <c r="E42" i="148"/>
  <c r="G41" i="148"/>
  <c r="K41" i="148" s="1"/>
  <c r="F41" i="148"/>
  <c r="N33" i="133"/>
  <c r="L33" i="133"/>
  <c r="J34" i="133"/>
  <c r="K34" i="133" s="1"/>
  <c r="F35" i="133"/>
  <c r="L71" i="114"/>
  <c r="M71" i="114" s="1"/>
  <c r="M32" i="133"/>
  <c r="L39" i="121"/>
  <c r="M38" i="121"/>
  <c r="D54" i="93"/>
  <c r="E53" i="93"/>
  <c r="J21" i="112"/>
  <c r="D35" i="133"/>
  <c r="E34" i="133"/>
  <c r="I35" i="135"/>
  <c r="J35" i="135" s="1"/>
  <c r="H36" i="135"/>
  <c r="D87" i="113"/>
  <c r="G61" i="121"/>
  <c r="K60" i="121"/>
  <c r="C51" i="55"/>
  <c r="E38" i="95"/>
  <c r="O37" i="95"/>
  <c r="F37" i="95"/>
  <c r="J37" i="95" s="1"/>
  <c r="N37" i="95" s="1"/>
  <c r="G44" i="104"/>
  <c r="H43" i="104"/>
  <c r="K37" i="55"/>
  <c r="O69" i="114"/>
  <c r="P69" i="114" s="1"/>
  <c r="N70" i="114"/>
  <c r="G39" i="134"/>
  <c r="K39" i="134" s="1"/>
  <c r="E39" i="134"/>
  <c r="F38" i="134"/>
  <c r="F45" i="104"/>
  <c r="E46" i="104"/>
  <c r="G23" i="113"/>
  <c r="H53" i="95"/>
  <c r="I52" i="95"/>
  <c r="G37" i="135"/>
  <c r="K36" i="135"/>
  <c r="G34" i="133"/>
  <c r="H33" i="133"/>
  <c r="I33" i="133" s="1"/>
  <c r="E37" i="135"/>
  <c r="F36" i="135"/>
  <c r="N48" i="114"/>
  <c r="O48" i="114" s="1"/>
  <c r="O47" i="114"/>
  <c r="L52" i="111"/>
  <c r="E53" i="111"/>
  <c r="I42" i="104"/>
  <c r="V69" i="114"/>
  <c r="W69" i="114" s="1"/>
  <c r="U70" i="114"/>
  <c r="X69" i="114"/>
  <c r="I37" i="134"/>
  <c r="J37" i="134" s="1"/>
  <c r="H38" i="134"/>
  <c r="B113" i="77"/>
  <c r="L34" i="134"/>
  <c r="M33" i="134"/>
  <c r="N33" i="134" s="1"/>
  <c r="O33" i="134"/>
  <c r="E37" i="121"/>
  <c r="O36" i="121"/>
  <c r="F36" i="121"/>
  <c r="J36" i="121" s="1"/>
  <c r="N36" i="121" s="1"/>
  <c r="I23" i="113"/>
  <c r="J23" i="113" s="1"/>
  <c r="N36" i="55" l="1"/>
  <c r="L46" i="95"/>
  <c r="M45" i="95"/>
  <c r="N39" i="148"/>
  <c r="L33" i="110"/>
  <c r="F34" i="110"/>
  <c r="G33" i="110"/>
  <c r="I37" i="55"/>
  <c r="Q37" i="55" s="1"/>
  <c r="G38" i="55"/>
  <c r="Q35" i="78"/>
  <c r="R35" i="78" s="1"/>
  <c r="N90" i="110"/>
  <c r="O89" i="110"/>
  <c r="E102" i="110"/>
  <c r="M101" i="110"/>
  <c r="L36" i="78"/>
  <c r="S36" i="78" s="1"/>
  <c r="C38" i="78"/>
  <c r="F37" i="78"/>
  <c r="I37" i="78" s="1"/>
  <c r="B39" i="78"/>
  <c r="K38" i="78"/>
  <c r="N38" i="147"/>
  <c r="O39" i="147"/>
  <c r="K72" i="114"/>
  <c r="L72" i="114" s="1"/>
  <c r="M72" i="114" s="1"/>
  <c r="J72" i="114"/>
  <c r="Y72" i="114" s="1"/>
  <c r="H73" i="114"/>
  <c r="I73" i="114" s="1"/>
  <c r="G73" i="114"/>
  <c r="F74" i="114"/>
  <c r="P43" i="113"/>
  <c r="Q42" i="113"/>
  <c r="G45" i="91"/>
  <c r="E46" i="91"/>
  <c r="H44" i="91"/>
  <c r="I43" i="91"/>
  <c r="J43" i="91" s="1"/>
  <c r="E101" i="88"/>
  <c r="M100" i="88"/>
  <c r="N64" i="88"/>
  <c r="O63" i="88"/>
  <c r="L35" i="88"/>
  <c r="F36" i="88"/>
  <c r="G35" i="88"/>
  <c r="K35" i="88" s="1"/>
  <c r="P35" i="88" s="1"/>
  <c r="Q37" i="77"/>
  <c r="R37" i="77" s="1"/>
  <c r="L38" i="77"/>
  <c r="C39" i="77"/>
  <c r="T35" i="78"/>
  <c r="P35" i="78"/>
  <c r="H36" i="77"/>
  <c r="K35" i="77"/>
  <c r="N35" i="77" s="1"/>
  <c r="S35" i="77" s="1"/>
  <c r="O33" i="135"/>
  <c r="M33" i="135"/>
  <c r="N33" i="135" s="1"/>
  <c r="L34" i="135"/>
  <c r="H42" i="121"/>
  <c r="I41" i="121"/>
  <c r="G79" i="95"/>
  <c r="K78" i="95"/>
  <c r="O40" i="148"/>
  <c r="E43" i="148"/>
  <c r="G42" i="148"/>
  <c r="K42" i="148" s="1"/>
  <c r="F42" i="148"/>
  <c r="E42" i="147"/>
  <c r="G41" i="147"/>
  <c r="K41" i="147" s="1"/>
  <c r="F41" i="147"/>
  <c r="L40" i="147"/>
  <c r="M39" i="147"/>
  <c r="H40" i="147"/>
  <c r="I39" i="147"/>
  <c r="J39" i="147" s="1"/>
  <c r="L41" i="148"/>
  <c r="M40" i="148"/>
  <c r="H41" i="148"/>
  <c r="I40" i="148"/>
  <c r="J40" i="148" s="1"/>
  <c r="L34" i="133"/>
  <c r="E38" i="121"/>
  <c r="O37" i="121"/>
  <c r="F37" i="121"/>
  <c r="J37" i="121" s="1"/>
  <c r="N37" i="121" s="1"/>
  <c r="L35" i="134"/>
  <c r="M34" i="134"/>
  <c r="N34" i="134" s="1"/>
  <c r="O34" i="134"/>
  <c r="B114" i="77"/>
  <c r="H39" i="134"/>
  <c r="I38" i="134"/>
  <c r="J38" i="134" s="1"/>
  <c r="D88" i="113"/>
  <c r="E38" i="135"/>
  <c r="F37" i="135"/>
  <c r="G35" i="133"/>
  <c r="H34" i="133"/>
  <c r="I34" i="133" s="1"/>
  <c r="H54" i="95"/>
  <c r="I53" i="95"/>
  <c r="E40" i="134"/>
  <c r="F39" i="134"/>
  <c r="G40" i="134"/>
  <c r="K40" i="134" s="1"/>
  <c r="O70" i="114"/>
  <c r="P70" i="114" s="1"/>
  <c r="N71" i="114"/>
  <c r="I43" i="104"/>
  <c r="E39" i="95"/>
  <c r="O38" i="95"/>
  <c r="F38" i="95"/>
  <c r="J38" i="95" s="1"/>
  <c r="N38" i="95" s="1"/>
  <c r="C52" i="55"/>
  <c r="H37" i="135"/>
  <c r="I36" i="135"/>
  <c r="J36" i="135" s="1"/>
  <c r="N34" i="133"/>
  <c r="D36" i="133"/>
  <c r="E35" i="133"/>
  <c r="K21" i="112"/>
  <c r="I22" i="112" s="1"/>
  <c r="C24" i="113" s="1"/>
  <c r="E24" i="113" s="1"/>
  <c r="B24" i="113" s="1"/>
  <c r="L40" i="121"/>
  <c r="M39" i="121"/>
  <c r="V70" i="114"/>
  <c r="W70" i="114" s="1"/>
  <c r="U71" i="114"/>
  <c r="X70" i="114"/>
  <c r="E54" i="111"/>
  <c r="L53" i="111"/>
  <c r="K37" i="135"/>
  <c r="G38" i="135"/>
  <c r="F24" i="113"/>
  <c r="E47" i="104"/>
  <c r="F46" i="104"/>
  <c r="K38" i="55"/>
  <c r="G45" i="104"/>
  <c r="H44" i="104"/>
  <c r="G62" i="121"/>
  <c r="K61" i="121"/>
  <c r="D55" i="93"/>
  <c r="E54" i="93"/>
  <c r="J35" i="133"/>
  <c r="K35" i="133" s="1"/>
  <c r="F36" i="133"/>
  <c r="M33" i="133"/>
  <c r="N37" i="55" l="1"/>
  <c r="L47" i="95"/>
  <c r="M46" i="95"/>
  <c r="F35" i="110"/>
  <c r="G34" i="110"/>
  <c r="L34" i="110"/>
  <c r="O40" i="147"/>
  <c r="H40" i="134"/>
  <c r="G39" i="55"/>
  <c r="I38" i="55"/>
  <c r="Q38" i="55" s="1"/>
  <c r="N91" i="110"/>
  <c r="O90" i="110"/>
  <c r="E103" i="110"/>
  <c r="M102" i="110"/>
  <c r="O41" i="148"/>
  <c r="L37" i="78"/>
  <c r="N37" i="78" s="1"/>
  <c r="O37" i="78" s="1"/>
  <c r="N36" i="78"/>
  <c r="O36" i="78" s="1"/>
  <c r="C39" i="78"/>
  <c r="F38" i="78"/>
  <c r="I38" i="78" s="1"/>
  <c r="B40" i="78"/>
  <c r="K39" i="78"/>
  <c r="K73" i="114"/>
  <c r="J73" i="114"/>
  <c r="Y73" i="114" s="1"/>
  <c r="F75" i="114"/>
  <c r="H74" i="114"/>
  <c r="I74" i="114" s="1"/>
  <c r="G74" i="114"/>
  <c r="G24" i="113"/>
  <c r="F25" i="113" s="1"/>
  <c r="Q43" i="113"/>
  <c r="P44" i="113"/>
  <c r="E47" i="91"/>
  <c r="G46" i="91"/>
  <c r="I44" i="91"/>
  <c r="J44" i="91" s="1"/>
  <c r="H45" i="91"/>
  <c r="M101" i="88"/>
  <c r="E102" i="88"/>
  <c r="N65" i="88"/>
  <c r="O64" i="88"/>
  <c r="F37" i="88"/>
  <c r="G36" i="88"/>
  <c r="K36" i="88" s="1"/>
  <c r="P36" i="88" s="1"/>
  <c r="L36" i="88"/>
  <c r="Q38" i="77"/>
  <c r="R38" i="77" s="1"/>
  <c r="L39" i="77"/>
  <c r="C40" i="77"/>
  <c r="K36" i="77"/>
  <c r="N36" i="77" s="1"/>
  <c r="S36" i="77" s="1"/>
  <c r="H37" i="77"/>
  <c r="O34" i="135"/>
  <c r="M34" i="135"/>
  <c r="N34" i="135" s="1"/>
  <c r="L35" i="135"/>
  <c r="I42" i="121"/>
  <c r="H43" i="121"/>
  <c r="K79" i="95"/>
  <c r="G80" i="95"/>
  <c r="H42" i="148"/>
  <c r="I41" i="148"/>
  <c r="J41" i="148" s="1"/>
  <c r="L41" i="147"/>
  <c r="M40" i="147"/>
  <c r="E43" i="147"/>
  <c r="G42" i="147"/>
  <c r="K42" i="147" s="1"/>
  <c r="F42" i="147"/>
  <c r="N40" i="148"/>
  <c r="L42" i="148"/>
  <c r="M41" i="148"/>
  <c r="N41" i="148" s="1"/>
  <c r="H41" i="147"/>
  <c r="O41" i="147" s="1"/>
  <c r="I40" i="147"/>
  <c r="J40" i="147" s="1"/>
  <c r="N39" i="147"/>
  <c r="E44" i="148"/>
  <c r="G43" i="148"/>
  <c r="K43" i="148" s="1"/>
  <c r="F43" i="148"/>
  <c r="L35" i="133"/>
  <c r="N35" i="133"/>
  <c r="K62" i="121"/>
  <c r="J36" i="133"/>
  <c r="K36" i="133" s="1"/>
  <c r="F37" i="133"/>
  <c r="L73" i="114"/>
  <c r="M73" i="114" s="1"/>
  <c r="D56" i="93"/>
  <c r="E55" i="93"/>
  <c r="I44" i="104"/>
  <c r="E48" i="104"/>
  <c r="F47" i="104"/>
  <c r="I24" i="113"/>
  <c r="J24" i="113" s="1"/>
  <c r="G39" i="135"/>
  <c r="K38" i="135"/>
  <c r="E55" i="111"/>
  <c r="L54" i="111"/>
  <c r="V71" i="114"/>
  <c r="W71" i="114" s="1"/>
  <c r="U72" i="114"/>
  <c r="X71" i="114"/>
  <c r="L41" i="121"/>
  <c r="M40" i="121"/>
  <c r="J22" i="112"/>
  <c r="D37" i="133"/>
  <c r="E36" i="133"/>
  <c r="H38" i="135"/>
  <c r="I37" i="135"/>
  <c r="J37" i="135" s="1"/>
  <c r="C53" i="55"/>
  <c r="E40" i="95"/>
  <c r="O39" i="95"/>
  <c r="F39" i="95"/>
  <c r="J39" i="95" s="1"/>
  <c r="N39" i="95" s="1"/>
  <c r="E41" i="134"/>
  <c r="F40" i="134"/>
  <c r="E39" i="135"/>
  <c r="F38" i="135"/>
  <c r="M34" i="133"/>
  <c r="G46" i="104"/>
  <c r="H45" i="104"/>
  <c r="K39" i="55"/>
  <c r="D89" i="113"/>
  <c r="O71" i="114"/>
  <c r="P71" i="114" s="1"/>
  <c r="N72" i="114"/>
  <c r="G41" i="134"/>
  <c r="K41" i="134" s="1"/>
  <c r="H55" i="95"/>
  <c r="I54" i="95"/>
  <c r="G36" i="133"/>
  <c r="H35" i="133"/>
  <c r="I35" i="133" s="1"/>
  <c r="I39" i="134"/>
  <c r="J39" i="134" s="1"/>
  <c r="B115" i="77"/>
  <c r="L36" i="134"/>
  <c r="M35" i="134"/>
  <c r="N35" i="134" s="1"/>
  <c r="O35" i="134"/>
  <c r="E39" i="121"/>
  <c r="O38" i="121"/>
  <c r="F38" i="121"/>
  <c r="J38" i="121" s="1"/>
  <c r="M47" i="95" l="1"/>
  <c r="L48" i="95"/>
  <c r="G35" i="110"/>
  <c r="L35" i="110"/>
  <c r="F36" i="110"/>
  <c r="N38" i="55"/>
  <c r="G40" i="55"/>
  <c r="I39" i="55"/>
  <c r="Q39" i="55" s="1"/>
  <c r="T36" i="78"/>
  <c r="Q36" i="78"/>
  <c r="R36" i="78" s="1"/>
  <c r="P36" i="78"/>
  <c r="N92" i="110"/>
  <c r="O91" i="110"/>
  <c r="E104" i="110"/>
  <c r="M103" i="110"/>
  <c r="L38" i="78"/>
  <c r="S37" i="78"/>
  <c r="F39" i="78"/>
  <c r="I39" i="78" s="1"/>
  <c r="L39" i="78" s="1"/>
  <c r="C40" i="78"/>
  <c r="B41" i="78"/>
  <c r="K40" i="78"/>
  <c r="J74" i="114"/>
  <c r="Y74" i="114" s="1"/>
  <c r="K74" i="114"/>
  <c r="L74" i="114" s="1"/>
  <c r="M74" i="114" s="1"/>
  <c r="F76" i="114"/>
  <c r="G75" i="114"/>
  <c r="H75" i="114"/>
  <c r="I75" i="114" s="1"/>
  <c r="P45" i="113"/>
  <c r="Q44" i="113"/>
  <c r="G47" i="91"/>
  <c r="E48" i="91"/>
  <c r="H46" i="91"/>
  <c r="I45" i="91"/>
  <c r="M102" i="88"/>
  <c r="E103" i="88"/>
  <c r="N66" i="88"/>
  <c r="O65" i="88"/>
  <c r="G37" i="88"/>
  <c r="K37" i="88" s="1"/>
  <c r="P37" i="88" s="1"/>
  <c r="L37" i="88"/>
  <c r="F38" i="88"/>
  <c r="Q39" i="77"/>
  <c r="R39" i="77" s="1"/>
  <c r="C41" i="77"/>
  <c r="L40" i="77"/>
  <c r="T37" i="78"/>
  <c r="P37" i="78"/>
  <c r="Q37" i="78"/>
  <c r="N38" i="78"/>
  <c r="O38" i="78" s="1"/>
  <c r="S38" i="78"/>
  <c r="H38" i="77"/>
  <c r="K37" i="77"/>
  <c r="N37" i="77" s="1"/>
  <c r="S37" i="77" s="1"/>
  <c r="O35" i="135"/>
  <c r="M35" i="135"/>
  <c r="N35" i="135" s="1"/>
  <c r="L36" i="135"/>
  <c r="H44" i="121"/>
  <c r="I43" i="121"/>
  <c r="G81" i="95"/>
  <c r="K80" i="95"/>
  <c r="O42" i="148"/>
  <c r="E45" i="148"/>
  <c r="G44" i="148"/>
  <c r="F44" i="148"/>
  <c r="H42" i="147"/>
  <c r="I41" i="147"/>
  <c r="J41" i="147" s="1"/>
  <c r="N40" i="147"/>
  <c r="L42" i="147"/>
  <c r="M41" i="147"/>
  <c r="L43" i="148"/>
  <c r="M42" i="148"/>
  <c r="E44" i="147"/>
  <c r="G43" i="147"/>
  <c r="K43" i="147" s="1"/>
  <c r="F43" i="147"/>
  <c r="H43" i="148"/>
  <c r="I42" i="148"/>
  <c r="J42" i="148" s="1"/>
  <c r="L36" i="133"/>
  <c r="N38" i="121"/>
  <c r="E40" i="121"/>
  <c r="O39" i="121"/>
  <c r="F39" i="121"/>
  <c r="J39" i="121" s="1"/>
  <c r="N39" i="121" s="1"/>
  <c r="H41" i="134"/>
  <c r="I40" i="134"/>
  <c r="J40" i="134" s="1"/>
  <c r="G37" i="133"/>
  <c r="H36" i="133"/>
  <c r="I36" i="133" s="1"/>
  <c r="H56" i="95"/>
  <c r="I55" i="95"/>
  <c r="G42" i="134"/>
  <c r="K42" i="134" s="1"/>
  <c r="I45" i="104"/>
  <c r="E40" i="135"/>
  <c r="F39" i="135"/>
  <c r="E41" i="95"/>
  <c r="O40" i="95"/>
  <c r="F40" i="95"/>
  <c r="J40" i="95" s="1"/>
  <c r="N40" i="95" s="1"/>
  <c r="C54" i="55"/>
  <c r="H39" i="135"/>
  <c r="I38" i="135"/>
  <c r="J38" i="135" s="1"/>
  <c r="N36" i="133"/>
  <c r="D38" i="133"/>
  <c r="E37" i="133"/>
  <c r="D90" i="113"/>
  <c r="F48" i="104"/>
  <c r="E49" i="104"/>
  <c r="J37" i="133"/>
  <c r="K37" i="133" s="1"/>
  <c r="F38" i="133"/>
  <c r="L37" i="134"/>
  <c r="M36" i="134"/>
  <c r="N36" i="134" s="1"/>
  <c r="O36" i="134"/>
  <c r="B116" i="77"/>
  <c r="O72" i="114"/>
  <c r="P72" i="114" s="1"/>
  <c r="N73" i="114"/>
  <c r="I25" i="113"/>
  <c r="K40" i="55"/>
  <c r="G47" i="104"/>
  <c r="H46" i="104"/>
  <c r="E42" i="134"/>
  <c r="F41" i="134"/>
  <c r="K22" i="112"/>
  <c r="I23" i="112" s="1"/>
  <c r="C25" i="113" s="1"/>
  <c r="E25" i="113" s="1"/>
  <c r="L42" i="121"/>
  <c r="M41" i="121"/>
  <c r="U73" i="114"/>
  <c r="V72" i="114"/>
  <c r="W72" i="114" s="1"/>
  <c r="X72" i="114"/>
  <c r="E56" i="111"/>
  <c r="L55" i="111"/>
  <c r="G40" i="135"/>
  <c r="K39" i="135"/>
  <c r="D57" i="93"/>
  <c r="E56" i="93"/>
  <c r="M35" i="133"/>
  <c r="N39" i="55" l="1"/>
  <c r="L49" i="95"/>
  <c r="M48" i="95"/>
  <c r="G36" i="110"/>
  <c r="L36" i="110"/>
  <c r="F37" i="110"/>
  <c r="R37" i="78"/>
  <c r="K44" i="148"/>
  <c r="G41" i="55"/>
  <c r="I40" i="55"/>
  <c r="Q40" i="55" s="1"/>
  <c r="E105" i="110"/>
  <c r="M104" i="110"/>
  <c r="N93" i="110"/>
  <c r="O92" i="110"/>
  <c r="J23" i="112"/>
  <c r="K23" i="112" s="1"/>
  <c r="I24" i="112" s="1"/>
  <c r="C26" i="113" s="1"/>
  <c r="E26" i="113" s="1"/>
  <c r="B26" i="113" s="1"/>
  <c r="F40" i="78"/>
  <c r="I40" i="78" s="1"/>
  <c r="L40" i="78" s="1"/>
  <c r="C41" i="78"/>
  <c r="K41" i="78"/>
  <c r="B42" i="78"/>
  <c r="N41" i="147"/>
  <c r="O42" i="147"/>
  <c r="J75" i="114"/>
  <c r="Y75" i="114" s="1"/>
  <c r="K75" i="114"/>
  <c r="L75" i="114" s="1"/>
  <c r="M75" i="114" s="1"/>
  <c r="F77" i="114"/>
  <c r="G76" i="114"/>
  <c r="H76" i="114"/>
  <c r="I76" i="114" s="1"/>
  <c r="J76" i="114" s="1"/>
  <c r="J25" i="113"/>
  <c r="Q45" i="113"/>
  <c r="P46" i="113"/>
  <c r="I46" i="91"/>
  <c r="H47" i="91"/>
  <c r="J45" i="91"/>
  <c r="E49" i="91"/>
  <c r="G48" i="91"/>
  <c r="E104" i="88"/>
  <c r="M103" i="88"/>
  <c r="N67" i="88"/>
  <c r="O66" i="88"/>
  <c r="G38" i="88"/>
  <c r="K38" i="88" s="1"/>
  <c r="P38" i="88" s="1"/>
  <c r="F39" i="88"/>
  <c r="L38" i="88"/>
  <c r="C42" i="77"/>
  <c r="L41" i="77"/>
  <c r="Q40" i="77"/>
  <c r="R40" i="77" s="1"/>
  <c r="Q38" i="78"/>
  <c r="R38" i="78" s="1"/>
  <c r="P38" i="78"/>
  <c r="T38" i="78"/>
  <c r="S39" i="78"/>
  <c r="N39" i="78"/>
  <c r="O39" i="78" s="1"/>
  <c r="K38" i="77"/>
  <c r="N38" i="77" s="1"/>
  <c r="S38" i="77" s="1"/>
  <c r="H39" i="77"/>
  <c r="M36" i="135"/>
  <c r="O36" i="135"/>
  <c r="L37" i="135"/>
  <c r="I44" i="121"/>
  <c r="H45" i="121"/>
  <c r="G82" i="95"/>
  <c r="K81" i="95"/>
  <c r="O43" i="148"/>
  <c r="E45" i="147"/>
  <c r="G44" i="147"/>
  <c r="F44" i="147"/>
  <c r="H44" i="148"/>
  <c r="I43" i="148"/>
  <c r="J43" i="148" s="1"/>
  <c r="N42" i="148"/>
  <c r="L44" i="148"/>
  <c r="M43" i="148"/>
  <c r="L43" i="147"/>
  <c r="M42" i="147"/>
  <c r="H43" i="147"/>
  <c r="O43" i="147" s="1"/>
  <c r="I42" i="147"/>
  <c r="J42" i="147" s="1"/>
  <c r="E46" i="148"/>
  <c r="G45" i="148"/>
  <c r="K45" i="148" s="1"/>
  <c r="F45" i="148"/>
  <c r="L37" i="133"/>
  <c r="N37" i="133"/>
  <c r="D58" i="93"/>
  <c r="E57" i="93"/>
  <c r="G41" i="135"/>
  <c r="K40" i="135"/>
  <c r="E57" i="111"/>
  <c r="L56" i="111"/>
  <c r="U74" i="114"/>
  <c r="V73" i="114"/>
  <c r="W73" i="114" s="1"/>
  <c r="X73" i="114"/>
  <c r="L43" i="121"/>
  <c r="M42" i="121"/>
  <c r="G48" i="104"/>
  <c r="H47" i="104"/>
  <c r="K41" i="55"/>
  <c r="B117" i="77"/>
  <c r="J38" i="133"/>
  <c r="K38" i="133" s="1"/>
  <c r="F39" i="133"/>
  <c r="D39" i="133"/>
  <c r="E38" i="133"/>
  <c r="H40" i="135"/>
  <c r="I39" i="135"/>
  <c r="J39" i="135" s="1"/>
  <c r="C55" i="55"/>
  <c r="E42" i="95"/>
  <c r="O41" i="95"/>
  <c r="F41" i="95"/>
  <c r="J41" i="95" s="1"/>
  <c r="N41" i="95" s="1"/>
  <c r="E41" i="135"/>
  <c r="F40" i="135"/>
  <c r="G38" i="133"/>
  <c r="H37" i="133"/>
  <c r="I37" i="133" s="1"/>
  <c r="E41" i="121"/>
  <c r="O40" i="121"/>
  <c r="F40" i="121"/>
  <c r="J40" i="121" s="1"/>
  <c r="N40" i="121" s="1"/>
  <c r="D91" i="113"/>
  <c r="B25" i="113"/>
  <c r="G25" i="113"/>
  <c r="E43" i="134"/>
  <c r="F42" i="134"/>
  <c r="I46" i="104"/>
  <c r="O73" i="114"/>
  <c r="P73" i="114" s="1"/>
  <c r="N74" i="114"/>
  <c r="L38" i="134"/>
  <c r="M37" i="134"/>
  <c r="N37" i="134" s="1"/>
  <c r="O37" i="134"/>
  <c r="F49" i="104"/>
  <c r="E50" i="104"/>
  <c r="G43" i="134"/>
  <c r="K43" i="134" s="1"/>
  <c r="H57" i="95"/>
  <c r="I56" i="95"/>
  <c r="H42" i="134"/>
  <c r="I41" i="134"/>
  <c r="J41" i="134" s="1"/>
  <c r="M36" i="133"/>
  <c r="N40" i="55" l="1"/>
  <c r="L50" i="95"/>
  <c r="M49" i="95"/>
  <c r="F38" i="110"/>
  <c r="G37" i="110"/>
  <c r="L37" i="110"/>
  <c r="N43" i="148"/>
  <c r="K44" i="147"/>
  <c r="L44" i="147" s="1"/>
  <c r="G42" i="55"/>
  <c r="I41" i="55"/>
  <c r="Q41" i="55" s="1"/>
  <c r="M105" i="110"/>
  <c r="E106" i="110"/>
  <c r="N94" i="110"/>
  <c r="O93" i="110"/>
  <c r="B43" i="78"/>
  <c r="K42" i="78"/>
  <c r="C42" i="78"/>
  <c r="F41" i="78"/>
  <c r="I41" i="78" s="1"/>
  <c r="L41" i="78" s="1"/>
  <c r="O44" i="148"/>
  <c r="N36" i="135"/>
  <c r="O38" i="134"/>
  <c r="K76" i="114"/>
  <c r="L76" i="114" s="1"/>
  <c r="M76" i="114" s="1"/>
  <c r="H77" i="114"/>
  <c r="I77" i="114" s="1"/>
  <c r="J77" i="114" s="1"/>
  <c r="G77" i="114"/>
  <c r="F78" i="114"/>
  <c r="P47" i="113"/>
  <c r="Q46" i="113"/>
  <c r="J46" i="91"/>
  <c r="G49" i="91"/>
  <c r="E50" i="91"/>
  <c r="H48" i="91"/>
  <c r="I47" i="91"/>
  <c r="E105" i="88"/>
  <c r="M104" i="88"/>
  <c r="N68" i="88"/>
  <c r="O67" i="88"/>
  <c r="G39" i="88"/>
  <c r="K39" i="88" s="1"/>
  <c r="P39" i="88" s="1"/>
  <c r="L39" i="88"/>
  <c r="F40" i="88"/>
  <c r="C43" i="77"/>
  <c r="L42" i="77"/>
  <c r="Q41" i="77"/>
  <c r="R41" i="77" s="1"/>
  <c r="N40" i="78"/>
  <c r="O40" i="78" s="1"/>
  <c r="S40" i="78"/>
  <c r="Q39" i="78"/>
  <c r="R39" i="78" s="1"/>
  <c r="T39" i="78"/>
  <c r="P39" i="78"/>
  <c r="H40" i="77"/>
  <c r="K39" i="77"/>
  <c r="N39" i="77" s="1"/>
  <c r="S39" i="77" s="1"/>
  <c r="M37" i="135"/>
  <c r="N37" i="135" s="1"/>
  <c r="O37" i="135"/>
  <c r="L38" i="135"/>
  <c r="I45" i="121"/>
  <c r="H46" i="121"/>
  <c r="K82" i="95"/>
  <c r="G83" i="95"/>
  <c r="H44" i="147"/>
  <c r="I43" i="147"/>
  <c r="J43" i="147" s="1"/>
  <c r="L45" i="148"/>
  <c r="M44" i="148"/>
  <c r="H45" i="148"/>
  <c r="I44" i="148"/>
  <c r="J44" i="148" s="1"/>
  <c r="E47" i="148"/>
  <c r="G46" i="148"/>
  <c r="K46" i="148" s="1"/>
  <c r="F46" i="148"/>
  <c r="N42" i="147"/>
  <c r="M43" i="147"/>
  <c r="N43" i="147" s="1"/>
  <c r="E46" i="147"/>
  <c r="G45" i="147"/>
  <c r="K45" i="147" s="1"/>
  <c r="F45" i="147"/>
  <c r="L38" i="133"/>
  <c r="H43" i="134"/>
  <c r="I42" i="134"/>
  <c r="J42" i="134" s="1"/>
  <c r="H58" i="95"/>
  <c r="I57" i="95"/>
  <c r="G44" i="134"/>
  <c r="K44" i="134" s="1"/>
  <c r="F50" i="104"/>
  <c r="E51" i="104"/>
  <c r="L39" i="134"/>
  <c r="M38" i="134"/>
  <c r="N38" i="134" s="1"/>
  <c r="O74" i="114"/>
  <c r="P74" i="114" s="1"/>
  <c r="N75" i="114"/>
  <c r="E42" i="121"/>
  <c r="O41" i="121"/>
  <c r="F41" i="121"/>
  <c r="J41" i="121" s="1"/>
  <c r="N41" i="121" s="1"/>
  <c r="E42" i="135"/>
  <c r="F41" i="135"/>
  <c r="I40" i="135"/>
  <c r="J40" i="135" s="1"/>
  <c r="H41" i="135"/>
  <c r="D40" i="133"/>
  <c r="E39" i="133"/>
  <c r="B118" i="77"/>
  <c r="I47" i="104"/>
  <c r="J24" i="112"/>
  <c r="V74" i="114"/>
  <c r="W74" i="114" s="1"/>
  <c r="U75" i="114"/>
  <c r="X74" i="114"/>
  <c r="E58" i="111"/>
  <c r="L57" i="111"/>
  <c r="K41" i="135"/>
  <c r="G42" i="135"/>
  <c r="E44" i="134"/>
  <c r="F43" i="134"/>
  <c r="F26" i="113"/>
  <c r="G26" i="113" s="1"/>
  <c r="G39" i="133"/>
  <c r="H38" i="133"/>
  <c r="I38" i="133" s="1"/>
  <c r="E43" i="95"/>
  <c r="O42" i="95"/>
  <c r="F42" i="95"/>
  <c r="J42" i="95" s="1"/>
  <c r="N42" i="95" s="1"/>
  <c r="C56" i="55"/>
  <c r="N38" i="133"/>
  <c r="J39" i="133"/>
  <c r="K39" i="133" s="1"/>
  <c r="F40" i="133"/>
  <c r="K42" i="55"/>
  <c r="G49" i="104"/>
  <c r="H48" i="104"/>
  <c r="L44" i="121"/>
  <c r="M43" i="121"/>
  <c r="D92" i="113"/>
  <c r="D59" i="93"/>
  <c r="E58" i="93"/>
  <c r="Y76" i="114"/>
  <c r="M37" i="133"/>
  <c r="L51" i="95" l="1"/>
  <c r="M50" i="95"/>
  <c r="O45" i="148"/>
  <c r="F39" i="110"/>
  <c r="G38" i="110"/>
  <c r="L38" i="110"/>
  <c r="N41" i="55"/>
  <c r="G43" i="55"/>
  <c r="I42" i="55"/>
  <c r="Q42" i="55" s="1"/>
  <c r="N95" i="110"/>
  <c r="O94" i="110"/>
  <c r="E107" i="110"/>
  <c r="M106" i="110"/>
  <c r="K77" i="114"/>
  <c r="L77" i="114" s="1"/>
  <c r="M77" i="114" s="1"/>
  <c r="K43" i="78"/>
  <c r="B44" i="78"/>
  <c r="C43" i="78"/>
  <c r="F42" i="78"/>
  <c r="I42" i="78" s="1"/>
  <c r="O44" i="147"/>
  <c r="F79" i="114"/>
  <c r="G78" i="114"/>
  <c r="H78" i="114"/>
  <c r="I78" i="114" s="1"/>
  <c r="J78" i="114" s="1"/>
  <c r="Q47" i="113"/>
  <c r="P48" i="113"/>
  <c r="H49" i="91"/>
  <c r="I48" i="91"/>
  <c r="J47" i="91"/>
  <c r="G50" i="91"/>
  <c r="E51" i="91"/>
  <c r="E106" i="88"/>
  <c r="M105" i="88"/>
  <c r="N69" i="88"/>
  <c r="O68" i="88"/>
  <c r="L40" i="88"/>
  <c r="G40" i="88"/>
  <c r="K40" i="88" s="1"/>
  <c r="P40" i="88" s="1"/>
  <c r="F41" i="88"/>
  <c r="C44" i="77"/>
  <c r="L43" i="77"/>
  <c r="L42" i="78"/>
  <c r="T40" i="78"/>
  <c r="P40" i="78"/>
  <c r="S41" i="78"/>
  <c r="N41" i="78"/>
  <c r="O41" i="78" s="1"/>
  <c r="Q40" i="78"/>
  <c r="R40" i="78" s="1"/>
  <c r="H41" i="77"/>
  <c r="K40" i="77"/>
  <c r="N40" i="77" s="1"/>
  <c r="S40" i="77" s="1"/>
  <c r="M38" i="135"/>
  <c r="N38" i="135" s="1"/>
  <c r="O38" i="135"/>
  <c r="L39" i="135"/>
  <c r="H47" i="121"/>
  <c r="I46" i="121"/>
  <c r="G84" i="95"/>
  <c r="K83" i="95"/>
  <c r="N44" i="148"/>
  <c r="E48" i="148"/>
  <c r="G47" i="148"/>
  <c r="F47" i="148"/>
  <c r="L46" i="148"/>
  <c r="M45" i="148"/>
  <c r="H45" i="147"/>
  <c r="I44" i="147"/>
  <c r="J44" i="147" s="1"/>
  <c r="E47" i="147"/>
  <c r="G46" i="147"/>
  <c r="K46" i="147" s="1"/>
  <c r="F46" i="147"/>
  <c r="L45" i="147"/>
  <c r="M44" i="147"/>
  <c r="H46" i="148"/>
  <c r="I45" i="148"/>
  <c r="J45" i="148" s="1"/>
  <c r="F27" i="113"/>
  <c r="L39" i="133"/>
  <c r="D60" i="93"/>
  <c r="E59" i="93"/>
  <c r="Y77" i="114"/>
  <c r="G50" i="104"/>
  <c r="H49" i="104"/>
  <c r="K43" i="55"/>
  <c r="N42" i="55"/>
  <c r="C57" i="55"/>
  <c r="E44" i="95"/>
  <c r="O43" i="95"/>
  <c r="F43" i="95"/>
  <c r="J43" i="95" s="1"/>
  <c r="N43" i="95" s="1"/>
  <c r="E45" i="134"/>
  <c r="F44" i="134"/>
  <c r="G43" i="135"/>
  <c r="K42" i="135"/>
  <c r="D93" i="113"/>
  <c r="U76" i="114"/>
  <c r="V75" i="114"/>
  <c r="W75" i="114" s="1"/>
  <c r="X75" i="114"/>
  <c r="K24" i="112"/>
  <c r="I25" i="112" s="1"/>
  <c r="C27" i="113" s="1"/>
  <c r="E27" i="113" s="1"/>
  <c r="B27" i="113" s="1"/>
  <c r="B119" i="77"/>
  <c r="D41" i="133"/>
  <c r="E40" i="133"/>
  <c r="I41" i="135"/>
  <c r="J41" i="135" s="1"/>
  <c r="H42" i="135"/>
  <c r="E43" i="121"/>
  <c r="O42" i="121"/>
  <c r="F42" i="121"/>
  <c r="J42" i="121" s="1"/>
  <c r="N42" i="121" s="1"/>
  <c r="O75" i="114"/>
  <c r="P75" i="114" s="1"/>
  <c r="N76" i="114"/>
  <c r="L40" i="134"/>
  <c r="M39" i="134"/>
  <c r="N39" i="134" s="1"/>
  <c r="O39" i="134"/>
  <c r="G45" i="134"/>
  <c r="K45" i="134" s="1"/>
  <c r="H59" i="95"/>
  <c r="I58" i="95"/>
  <c r="M38" i="133"/>
  <c r="L45" i="121"/>
  <c r="M44" i="121"/>
  <c r="I48" i="104"/>
  <c r="J40" i="133"/>
  <c r="K40" i="133" s="1"/>
  <c r="F41" i="133"/>
  <c r="G40" i="133"/>
  <c r="H39" i="133"/>
  <c r="I39" i="133" s="1"/>
  <c r="I26" i="113"/>
  <c r="J26" i="113" s="1"/>
  <c r="E59" i="111"/>
  <c r="E60" i="111" s="1"/>
  <c r="L60" i="111" s="1"/>
  <c r="L58" i="111"/>
  <c r="N39" i="133"/>
  <c r="E43" i="135"/>
  <c r="F42" i="135"/>
  <c r="E52" i="104"/>
  <c r="F51" i="104"/>
  <c r="H44" i="134"/>
  <c r="I43" i="134"/>
  <c r="J43" i="134" s="1"/>
  <c r="M51" i="95" l="1"/>
  <c r="L52" i="95"/>
  <c r="F40" i="110"/>
  <c r="G39" i="110"/>
  <c r="L39" i="110"/>
  <c r="N44" i="147"/>
  <c r="O45" i="147"/>
  <c r="G44" i="55"/>
  <c r="I43" i="55"/>
  <c r="Q43" i="55" s="1"/>
  <c r="N96" i="110"/>
  <c r="O95" i="110"/>
  <c r="E108" i="110"/>
  <c r="M107" i="110"/>
  <c r="O46" i="148"/>
  <c r="F43" i="78"/>
  <c r="I43" i="78" s="1"/>
  <c r="C44" i="78"/>
  <c r="B45" i="78"/>
  <c r="K44" i="78"/>
  <c r="K78" i="114"/>
  <c r="L78" i="114" s="1"/>
  <c r="M78" i="114" s="1"/>
  <c r="G79" i="114"/>
  <c r="F80" i="114"/>
  <c r="H79" i="114"/>
  <c r="I79" i="114" s="1"/>
  <c r="P49" i="113"/>
  <c r="Q48" i="113"/>
  <c r="I49" i="91"/>
  <c r="H50" i="91"/>
  <c r="G51" i="91"/>
  <c r="E52" i="91"/>
  <c r="J48" i="91"/>
  <c r="E107" i="88"/>
  <c r="M106" i="88"/>
  <c r="N70" i="88"/>
  <c r="O69" i="88"/>
  <c r="L41" i="88"/>
  <c r="G41" i="88"/>
  <c r="K41" i="88" s="1"/>
  <c r="P41" i="88" s="1"/>
  <c r="F42" i="88"/>
  <c r="L44" i="77"/>
  <c r="C45" i="77"/>
  <c r="Q43" i="77"/>
  <c r="Q41" i="78"/>
  <c r="R41" i="78" s="1"/>
  <c r="P41" i="78"/>
  <c r="T41" i="78"/>
  <c r="N42" i="78"/>
  <c r="O42" i="78" s="1"/>
  <c r="S42" i="78"/>
  <c r="H42" i="77"/>
  <c r="K41" i="77"/>
  <c r="N41" i="77" s="1"/>
  <c r="S41" i="77" s="1"/>
  <c r="O39" i="135"/>
  <c r="M39" i="135"/>
  <c r="L40" i="135"/>
  <c r="H48" i="121"/>
  <c r="I47" i="121"/>
  <c r="K84" i="95"/>
  <c r="G85" i="95"/>
  <c r="K47" i="148"/>
  <c r="H47" i="148"/>
  <c r="I46" i="148"/>
  <c r="J46" i="148" s="1"/>
  <c r="L46" i="147"/>
  <c r="M45" i="147"/>
  <c r="E48" i="147"/>
  <c r="G47" i="147"/>
  <c r="F47" i="147"/>
  <c r="H46" i="147"/>
  <c r="I45" i="147"/>
  <c r="J45" i="147" s="1"/>
  <c r="N45" i="148"/>
  <c r="L47" i="148"/>
  <c r="M46" i="148"/>
  <c r="E49" i="148"/>
  <c r="G48" i="148"/>
  <c r="F48" i="148"/>
  <c r="L40" i="133"/>
  <c r="H45" i="134"/>
  <c r="I44" i="134"/>
  <c r="J44" i="134" s="1"/>
  <c r="E44" i="135"/>
  <c r="F43" i="135"/>
  <c r="D94" i="113"/>
  <c r="G41" i="133"/>
  <c r="H40" i="133"/>
  <c r="I40" i="133" s="1"/>
  <c r="J41" i="133"/>
  <c r="K41" i="133" s="1"/>
  <c r="F42" i="133"/>
  <c r="F43" i="133" s="1"/>
  <c r="H60" i="95"/>
  <c r="I59" i="95"/>
  <c r="G46" i="134"/>
  <c r="K46" i="134" s="1"/>
  <c r="O76" i="114"/>
  <c r="P76" i="114" s="1"/>
  <c r="N77" i="114"/>
  <c r="E44" i="121"/>
  <c r="O43" i="121"/>
  <c r="F43" i="121"/>
  <c r="J43" i="121" s="1"/>
  <c r="N43" i="121" s="1"/>
  <c r="D42" i="133"/>
  <c r="E41" i="133"/>
  <c r="J25" i="112"/>
  <c r="E46" i="134"/>
  <c r="F45" i="134"/>
  <c r="C58" i="55"/>
  <c r="I49" i="104"/>
  <c r="D61" i="93"/>
  <c r="E60" i="93"/>
  <c r="G27" i="113"/>
  <c r="F52" i="104"/>
  <c r="E53" i="104"/>
  <c r="L59" i="111"/>
  <c r="L46" i="121"/>
  <c r="M45" i="121"/>
  <c r="L41" i="134"/>
  <c r="M40" i="134"/>
  <c r="O40" i="134"/>
  <c r="H43" i="135"/>
  <c r="I42" i="135"/>
  <c r="J42" i="135" s="1"/>
  <c r="N40" i="133"/>
  <c r="B120" i="77"/>
  <c r="V76" i="114"/>
  <c r="W76" i="114" s="1"/>
  <c r="U77" i="114"/>
  <c r="X76" i="114"/>
  <c r="K43" i="135"/>
  <c r="G44" i="135"/>
  <c r="E45" i="95"/>
  <c r="O44" i="95"/>
  <c r="F44" i="95"/>
  <c r="J44" i="95" s="1"/>
  <c r="N44" i="95" s="1"/>
  <c r="K44" i="55"/>
  <c r="G51" i="104"/>
  <c r="H50" i="104"/>
  <c r="Y78" i="114"/>
  <c r="M39" i="133"/>
  <c r="I27" i="113"/>
  <c r="J27" i="113" s="1"/>
  <c r="N43" i="55" l="1"/>
  <c r="M52" i="95"/>
  <c r="L53" i="95"/>
  <c r="L40" i="110"/>
  <c r="G40" i="110"/>
  <c r="F41" i="110"/>
  <c r="O46" i="147"/>
  <c r="N46" i="148"/>
  <c r="G45" i="55"/>
  <c r="I44" i="55"/>
  <c r="Q44" i="55" s="1"/>
  <c r="Q42" i="78"/>
  <c r="R42" i="78" s="1"/>
  <c r="E109" i="110"/>
  <c r="M108" i="110"/>
  <c r="N97" i="110"/>
  <c r="O96" i="110"/>
  <c r="I44" i="78"/>
  <c r="L44" i="78" s="1"/>
  <c r="L43" i="78"/>
  <c r="K45" i="78"/>
  <c r="B46" i="78"/>
  <c r="C45" i="78"/>
  <c r="F44" i="78"/>
  <c r="N39" i="135"/>
  <c r="N40" i="134"/>
  <c r="K47" i="147"/>
  <c r="L47" i="147" s="1"/>
  <c r="J79" i="114"/>
  <c r="K79" i="114"/>
  <c r="L79" i="114" s="1"/>
  <c r="M79" i="114" s="1"/>
  <c r="G80" i="114"/>
  <c r="F81" i="114"/>
  <c r="H80" i="114"/>
  <c r="I80" i="114" s="1"/>
  <c r="J80" i="114" s="1"/>
  <c r="P50" i="113"/>
  <c r="Q49" i="113"/>
  <c r="J49" i="91"/>
  <c r="G52" i="91"/>
  <c r="E53" i="91"/>
  <c r="I50" i="91"/>
  <c r="H51" i="91"/>
  <c r="M107" i="88"/>
  <c r="E108" i="88"/>
  <c r="N71" i="88"/>
  <c r="O70" i="88"/>
  <c r="G42" i="88"/>
  <c r="K42" i="88" s="1"/>
  <c r="P42" i="88" s="1"/>
  <c r="F43" i="88"/>
  <c r="L42" i="88"/>
  <c r="Q44" i="77"/>
  <c r="C46" i="77"/>
  <c r="L45" i="77"/>
  <c r="T42" i="78"/>
  <c r="P42" i="78"/>
  <c r="S43" i="78"/>
  <c r="N43" i="78"/>
  <c r="O43" i="78" s="1"/>
  <c r="K42" i="77"/>
  <c r="N42" i="77" s="1"/>
  <c r="H43" i="77"/>
  <c r="M40" i="135"/>
  <c r="N40" i="135" s="1"/>
  <c r="O40" i="135"/>
  <c r="L41" i="135"/>
  <c r="H49" i="121"/>
  <c r="I48" i="121"/>
  <c r="G86" i="95"/>
  <c r="K85" i="95"/>
  <c r="O47" i="148"/>
  <c r="K48" i="148"/>
  <c r="L48" i="148" s="1"/>
  <c r="M47" i="148"/>
  <c r="N45" i="147"/>
  <c r="E50" i="148"/>
  <c r="G49" i="148"/>
  <c r="K49" i="148" s="1"/>
  <c r="F49" i="148"/>
  <c r="H47" i="147"/>
  <c r="I46" i="147"/>
  <c r="J46" i="147" s="1"/>
  <c r="E49" i="147"/>
  <c r="G48" i="147"/>
  <c r="F48" i="147"/>
  <c r="M46" i="147"/>
  <c r="N46" i="147" s="1"/>
  <c r="H48" i="148"/>
  <c r="I47" i="148"/>
  <c r="J47" i="148" s="1"/>
  <c r="L41" i="133"/>
  <c r="N41" i="133"/>
  <c r="K45" i="55"/>
  <c r="I50" i="104"/>
  <c r="G45" i="135"/>
  <c r="K44" i="135"/>
  <c r="V77" i="114"/>
  <c r="W77" i="114" s="1"/>
  <c r="U78" i="114"/>
  <c r="X77" i="114"/>
  <c r="B121" i="77"/>
  <c r="H44" i="135"/>
  <c r="I43" i="135"/>
  <c r="J43" i="135" s="1"/>
  <c r="L42" i="134"/>
  <c r="M41" i="134"/>
  <c r="N41" i="134" s="1"/>
  <c r="O41" i="134"/>
  <c r="L47" i="121"/>
  <c r="M46" i="121"/>
  <c r="D95" i="113"/>
  <c r="F28" i="113"/>
  <c r="Y79" i="114"/>
  <c r="C59" i="55"/>
  <c r="N78" i="114"/>
  <c r="O77" i="114"/>
  <c r="P77" i="114" s="1"/>
  <c r="H61" i="95"/>
  <c r="I60" i="95"/>
  <c r="E45" i="135"/>
  <c r="F44" i="135"/>
  <c r="H46" i="134"/>
  <c r="I45" i="134"/>
  <c r="J45" i="134" s="1"/>
  <c r="M40" i="133"/>
  <c r="G52" i="104"/>
  <c r="H51" i="104"/>
  <c r="E46" i="95"/>
  <c r="O45" i="95"/>
  <c r="F45" i="95"/>
  <c r="J45" i="95" s="1"/>
  <c r="N45" i="95" s="1"/>
  <c r="E61" i="111"/>
  <c r="F53" i="104"/>
  <c r="E54" i="104"/>
  <c r="D62" i="93"/>
  <c r="E61" i="93"/>
  <c r="E47" i="134"/>
  <c r="F46" i="134"/>
  <c r="K25" i="112"/>
  <c r="I26" i="112" s="1"/>
  <c r="C28" i="113" s="1"/>
  <c r="E28" i="113" s="1"/>
  <c r="B28" i="113" s="1"/>
  <c r="D43" i="133"/>
  <c r="E42" i="133"/>
  <c r="E45" i="121"/>
  <c r="O44" i="121"/>
  <c r="F44" i="121"/>
  <c r="J44" i="121" s="1"/>
  <c r="N44" i="121" s="1"/>
  <c r="G47" i="134"/>
  <c r="J42" i="133"/>
  <c r="K42" i="133" s="1"/>
  <c r="G42" i="133"/>
  <c r="H41" i="133"/>
  <c r="I41" i="133" s="1"/>
  <c r="N42" i="133" l="1"/>
  <c r="L54" i="95"/>
  <c r="M53" i="95"/>
  <c r="F42" i="110"/>
  <c r="L41" i="110"/>
  <c r="G41" i="110"/>
  <c r="N44" i="55"/>
  <c r="K47" i="134"/>
  <c r="G46" i="55"/>
  <c r="I45" i="55"/>
  <c r="Q45" i="55" s="1"/>
  <c r="M109" i="110"/>
  <c r="E110" i="110"/>
  <c r="N98" i="110"/>
  <c r="O97" i="110"/>
  <c r="J26" i="112"/>
  <c r="K46" i="78"/>
  <c r="B47" i="78"/>
  <c r="C46" i="78"/>
  <c r="F45" i="78"/>
  <c r="I45" i="78" s="1"/>
  <c r="L45" i="78" s="1"/>
  <c r="O47" i="147"/>
  <c r="K48" i="147"/>
  <c r="L48" i="147" s="1"/>
  <c r="K80" i="114"/>
  <c r="L80" i="114" s="1"/>
  <c r="M80" i="114" s="1"/>
  <c r="F82" i="114"/>
  <c r="H81" i="114"/>
  <c r="I81" i="114" s="1"/>
  <c r="J81" i="114" s="1"/>
  <c r="G81" i="114"/>
  <c r="Q50" i="113"/>
  <c r="P51" i="113"/>
  <c r="J50" i="91"/>
  <c r="H52" i="91"/>
  <c r="I51" i="91"/>
  <c r="G53" i="91"/>
  <c r="E54" i="91"/>
  <c r="M108" i="88"/>
  <c r="E109" i="88"/>
  <c r="N72" i="88"/>
  <c r="O71" i="88"/>
  <c r="F44" i="88"/>
  <c r="L43" i="88"/>
  <c r="G43" i="88"/>
  <c r="K43" i="88" s="1"/>
  <c r="P43" i="88" s="1"/>
  <c r="L46" i="77"/>
  <c r="C47" i="77"/>
  <c r="Q45" i="77"/>
  <c r="Q43" i="78"/>
  <c r="R43" i="78" s="1"/>
  <c r="P43" i="78"/>
  <c r="T43" i="78"/>
  <c r="N44" i="78"/>
  <c r="O44" i="78" s="1"/>
  <c r="S44" i="78"/>
  <c r="S42" i="77"/>
  <c r="O42" i="77"/>
  <c r="H44" i="77"/>
  <c r="K43" i="77"/>
  <c r="N43" i="77" s="1"/>
  <c r="S43" i="77" s="1"/>
  <c r="M41" i="135"/>
  <c r="N41" i="135" s="1"/>
  <c r="O41" i="135"/>
  <c r="L42" i="135"/>
  <c r="I49" i="121"/>
  <c r="H50" i="121"/>
  <c r="K86" i="95"/>
  <c r="G87" i="95"/>
  <c r="O48" i="148"/>
  <c r="H49" i="148"/>
  <c r="I48" i="148"/>
  <c r="J48" i="148" s="1"/>
  <c r="M47" i="147"/>
  <c r="E50" i="147"/>
  <c r="G49" i="147"/>
  <c r="K49" i="147" s="1"/>
  <c r="F49" i="147"/>
  <c r="H48" i="147"/>
  <c r="I47" i="147"/>
  <c r="J47" i="147" s="1"/>
  <c r="E51" i="148"/>
  <c r="G50" i="148"/>
  <c r="K50" i="148" s="1"/>
  <c r="F50" i="148"/>
  <c r="N47" i="148"/>
  <c r="L49" i="148"/>
  <c r="M48" i="148"/>
  <c r="L42" i="133"/>
  <c r="K26" i="112"/>
  <c r="I27" i="112" s="1"/>
  <c r="C29" i="113" s="1"/>
  <c r="E29" i="113" s="1"/>
  <c r="B29" i="113" s="1"/>
  <c r="E48" i="134"/>
  <c r="F47" i="134"/>
  <c r="F54" i="104"/>
  <c r="E55" i="104"/>
  <c r="D96" i="113"/>
  <c r="E47" i="95"/>
  <c r="O46" i="95"/>
  <c r="F46" i="95"/>
  <c r="J46" i="95" s="1"/>
  <c r="N46" i="95" s="1"/>
  <c r="G53" i="104"/>
  <c r="H52" i="104"/>
  <c r="E46" i="135"/>
  <c r="F45" i="135"/>
  <c r="O78" i="114"/>
  <c r="P78" i="114" s="1"/>
  <c r="N79" i="114"/>
  <c r="G28" i="113"/>
  <c r="L43" i="134"/>
  <c r="M42" i="134"/>
  <c r="N42" i="134" s="1"/>
  <c r="O42" i="134"/>
  <c r="H45" i="135"/>
  <c r="I44" i="135"/>
  <c r="J44" i="135" s="1"/>
  <c r="B122" i="77"/>
  <c r="V78" i="114"/>
  <c r="W78" i="114" s="1"/>
  <c r="U79" i="114"/>
  <c r="X78" i="114"/>
  <c r="K45" i="135"/>
  <c r="G46" i="135"/>
  <c r="G43" i="133"/>
  <c r="H42" i="133"/>
  <c r="I42" i="133" s="1"/>
  <c r="J43" i="133"/>
  <c r="K43" i="133" s="1"/>
  <c r="F44" i="133"/>
  <c r="G48" i="134"/>
  <c r="K48" i="134" s="1"/>
  <c r="E46" i="121"/>
  <c r="O45" i="121"/>
  <c r="F45" i="121"/>
  <c r="J45" i="121" s="1"/>
  <c r="N45" i="121" s="1"/>
  <c r="D44" i="133"/>
  <c r="E43" i="133"/>
  <c r="D63" i="93"/>
  <c r="E62" i="93"/>
  <c r="Y80" i="114"/>
  <c r="L61" i="111"/>
  <c r="E62" i="111"/>
  <c r="I51" i="104"/>
  <c r="H47" i="134"/>
  <c r="I46" i="134"/>
  <c r="J46" i="134" s="1"/>
  <c r="H62" i="95"/>
  <c r="I61" i="95"/>
  <c r="C60" i="55"/>
  <c r="I28" i="113"/>
  <c r="J28" i="113" s="1"/>
  <c r="L48" i="121"/>
  <c r="M47" i="121"/>
  <c r="K46" i="55"/>
  <c r="M41" i="133"/>
  <c r="N45" i="55" l="1"/>
  <c r="L55" i="95"/>
  <c r="M54" i="95"/>
  <c r="L42" i="110"/>
  <c r="G42" i="110"/>
  <c r="F43" i="110"/>
  <c r="G47" i="55"/>
  <c r="I46" i="55"/>
  <c r="Q46" i="55" s="1"/>
  <c r="N99" i="110"/>
  <c r="O98" i="110"/>
  <c r="E111" i="110"/>
  <c r="M110" i="110"/>
  <c r="N48" i="148"/>
  <c r="F46" i="78"/>
  <c r="I46" i="78" s="1"/>
  <c r="C47" i="78"/>
  <c r="K47" i="78"/>
  <c r="B48" i="78"/>
  <c r="O48" i="147"/>
  <c r="K81" i="114"/>
  <c r="L81" i="114" s="1"/>
  <c r="M81" i="114" s="1"/>
  <c r="F83" i="114"/>
  <c r="G82" i="114"/>
  <c r="H82" i="114"/>
  <c r="I82" i="114" s="1"/>
  <c r="K82" i="114" s="1"/>
  <c r="Q51" i="113"/>
  <c r="P52" i="113"/>
  <c r="I52" i="91"/>
  <c r="H53" i="91"/>
  <c r="E55" i="91"/>
  <c r="G54" i="91"/>
  <c r="J51" i="91"/>
  <c r="M109" i="88"/>
  <c r="E110" i="88"/>
  <c r="N73" i="88"/>
  <c r="O72" i="88"/>
  <c r="G44" i="88"/>
  <c r="K44" i="88" s="1"/>
  <c r="P44" i="88" s="1"/>
  <c r="L44" i="88"/>
  <c r="F45" i="88"/>
  <c r="Q46" i="77"/>
  <c r="C48" i="77"/>
  <c r="L47" i="77"/>
  <c r="N45" i="78"/>
  <c r="O45" i="78" s="1"/>
  <c r="S45" i="78"/>
  <c r="Q44" i="78"/>
  <c r="R44" i="78" s="1"/>
  <c r="P44" i="78"/>
  <c r="T44" i="78"/>
  <c r="K44" i="77"/>
  <c r="N44" i="77" s="1"/>
  <c r="S44" i="77" s="1"/>
  <c r="H45" i="77"/>
  <c r="P43" i="77"/>
  <c r="P42" i="77"/>
  <c r="T49" i="77"/>
  <c r="T43" i="77"/>
  <c r="T46" i="77"/>
  <c r="T47" i="77"/>
  <c r="T48" i="77"/>
  <c r="T50" i="77"/>
  <c r="T42" i="77"/>
  <c r="T44" i="77"/>
  <c r="T45" i="77"/>
  <c r="Q42" i="77"/>
  <c r="M42" i="135"/>
  <c r="N42" i="135" s="1"/>
  <c r="O42" i="135"/>
  <c r="L43" i="135"/>
  <c r="I50" i="121"/>
  <c r="H51" i="121"/>
  <c r="K87" i="95"/>
  <c r="G88" i="95"/>
  <c r="O49" i="148"/>
  <c r="N47" i="147"/>
  <c r="L50" i="148"/>
  <c r="M49" i="148"/>
  <c r="E52" i="148"/>
  <c r="G51" i="148"/>
  <c r="K51" i="148" s="1"/>
  <c r="F51" i="148"/>
  <c r="H49" i="147"/>
  <c r="I48" i="147"/>
  <c r="J48" i="147" s="1"/>
  <c r="E51" i="147"/>
  <c r="G50" i="147"/>
  <c r="K50" i="147" s="1"/>
  <c r="F50" i="147"/>
  <c r="L49" i="147"/>
  <c r="M48" i="147"/>
  <c r="H50" i="148"/>
  <c r="O50" i="148" s="1"/>
  <c r="I49" i="148"/>
  <c r="J49" i="148" s="1"/>
  <c r="L43" i="133"/>
  <c r="N43" i="133"/>
  <c r="H63" i="95"/>
  <c r="I62" i="95"/>
  <c r="E63" i="111"/>
  <c r="L62" i="111"/>
  <c r="D64" i="93"/>
  <c r="E63" i="93"/>
  <c r="E47" i="121"/>
  <c r="O46" i="121"/>
  <c r="F46" i="121"/>
  <c r="J46" i="121" s="1"/>
  <c r="N46" i="121" s="1"/>
  <c r="G49" i="134"/>
  <c r="K49" i="134" s="1"/>
  <c r="G44" i="133"/>
  <c r="H43" i="133"/>
  <c r="I43" i="133" s="1"/>
  <c r="K46" i="135"/>
  <c r="G47" i="135"/>
  <c r="U80" i="114"/>
  <c r="V79" i="114"/>
  <c r="W79" i="114" s="1"/>
  <c r="X79" i="114"/>
  <c r="H46" i="135"/>
  <c r="I45" i="135"/>
  <c r="J45" i="135" s="1"/>
  <c r="L44" i="134"/>
  <c r="M43" i="134"/>
  <c r="N43" i="134" s="1"/>
  <c r="O43" i="134"/>
  <c r="I52" i="104"/>
  <c r="E56" i="104"/>
  <c r="F55" i="104"/>
  <c r="Y81" i="114"/>
  <c r="E49" i="134"/>
  <c r="F48" i="134"/>
  <c r="K47" i="55"/>
  <c r="L49" i="121"/>
  <c r="L50" i="121" s="1"/>
  <c r="M50" i="121" s="1"/>
  <c r="M48" i="121"/>
  <c r="C61" i="55"/>
  <c r="H48" i="134"/>
  <c r="I47" i="134"/>
  <c r="J47" i="134" s="1"/>
  <c r="D97" i="113"/>
  <c r="D45" i="133"/>
  <c r="E44" i="133"/>
  <c r="J44" i="133"/>
  <c r="K44" i="133" s="1"/>
  <c r="F45" i="133"/>
  <c r="B123" i="77"/>
  <c r="F29" i="113"/>
  <c r="N80" i="114"/>
  <c r="O79" i="114"/>
  <c r="P79" i="114" s="1"/>
  <c r="E47" i="135"/>
  <c r="F46" i="135"/>
  <c r="G54" i="104"/>
  <c r="H53" i="104"/>
  <c r="E48" i="95"/>
  <c r="O47" i="95"/>
  <c r="F47" i="95"/>
  <c r="J47" i="95" s="1"/>
  <c r="N47" i="95" s="1"/>
  <c r="J27" i="112"/>
  <c r="M42" i="133"/>
  <c r="N46" i="55" l="1"/>
  <c r="L56" i="95"/>
  <c r="M55" i="95"/>
  <c r="G43" i="110"/>
  <c r="L43" i="110"/>
  <c r="F44" i="110"/>
  <c r="G48" i="55"/>
  <c r="I47" i="55"/>
  <c r="Q47" i="55" s="1"/>
  <c r="Q45" i="78"/>
  <c r="R45" i="78" s="1"/>
  <c r="N100" i="110"/>
  <c r="O99" i="110"/>
  <c r="E112" i="110"/>
  <c r="M111" i="110"/>
  <c r="L46" i="78"/>
  <c r="S46" i="78" s="1"/>
  <c r="B49" i="78"/>
  <c r="K48" i="78"/>
  <c r="C48" i="78"/>
  <c r="F47" i="78"/>
  <c r="I47" i="78" s="1"/>
  <c r="L47" i="78" s="1"/>
  <c r="N48" i="147"/>
  <c r="O49" i="147"/>
  <c r="J82" i="114"/>
  <c r="Y82" i="114" s="1"/>
  <c r="L82" i="114"/>
  <c r="M82" i="114" s="1"/>
  <c r="G83" i="114"/>
  <c r="F84" i="114"/>
  <c r="H83" i="114"/>
  <c r="I83" i="114" s="1"/>
  <c r="Q52" i="113"/>
  <c r="P53" i="113"/>
  <c r="G55" i="91"/>
  <c r="E56" i="91"/>
  <c r="J52" i="91"/>
  <c r="I53" i="91"/>
  <c r="H54" i="91"/>
  <c r="M110" i="88"/>
  <c r="E111" i="88"/>
  <c r="N74" i="88"/>
  <c r="O73" i="88"/>
  <c r="F46" i="88"/>
  <c r="L45" i="88"/>
  <c r="G45" i="88"/>
  <c r="K45" i="88" s="1"/>
  <c r="P45" i="88" s="1"/>
  <c r="C49" i="77"/>
  <c r="L48" i="77"/>
  <c r="Q47" i="77"/>
  <c r="P45" i="78"/>
  <c r="T45" i="78"/>
  <c r="N46" i="78"/>
  <c r="O46" i="78" s="1"/>
  <c r="R43" i="77"/>
  <c r="R44" i="77"/>
  <c r="R42" i="77"/>
  <c r="R45" i="77"/>
  <c r="R46" i="77"/>
  <c r="R47" i="77"/>
  <c r="H46" i="77"/>
  <c r="K45" i="77"/>
  <c r="N45" i="77" s="1"/>
  <c r="S45" i="77" s="1"/>
  <c r="M43" i="135"/>
  <c r="N43" i="135" s="1"/>
  <c r="O43" i="135"/>
  <c r="L44" i="135"/>
  <c r="H52" i="121"/>
  <c r="I51" i="121"/>
  <c r="K88" i="95"/>
  <c r="G89" i="95"/>
  <c r="H51" i="148"/>
  <c r="I50" i="148"/>
  <c r="J50" i="148" s="1"/>
  <c r="N49" i="148"/>
  <c r="L50" i="147"/>
  <c r="M49" i="147"/>
  <c r="E52" i="147"/>
  <c r="G51" i="147"/>
  <c r="K51" i="147" s="1"/>
  <c r="F51" i="147"/>
  <c r="H50" i="147"/>
  <c r="I49" i="147"/>
  <c r="J49" i="147" s="1"/>
  <c r="E53" i="148"/>
  <c r="G52" i="148"/>
  <c r="K52" i="148" s="1"/>
  <c r="F52" i="148"/>
  <c r="L51" i="148"/>
  <c r="M50" i="148"/>
  <c r="L44" i="133"/>
  <c r="N44" i="133"/>
  <c r="I53" i="104"/>
  <c r="E48" i="135"/>
  <c r="F47" i="135"/>
  <c r="O80" i="114"/>
  <c r="P80" i="114" s="1"/>
  <c r="N81" i="114"/>
  <c r="I29" i="113"/>
  <c r="J29" i="113" s="1"/>
  <c r="F46" i="133"/>
  <c r="J45" i="133"/>
  <c r="K45" i="133" s="1"/>
  <c r="H49" i="134"/>
  <c r="I48" i="134"/>
  <c r="J48" i="134" s="1"/>
  <c r="C62" i="55"/>
  <c r="K48" i="55"/>
  <c r="E57" i="104"/>
  <c r="F56" i="104"/>
  <c r="H47" i="135"/>
  <c r="I46" i="135"/>
  <c r="J46" i="135" s="1"/>
  <c r="V80" i="114"/>
  <c r="W80" i="114" s="1"/>
  <c r="U81" i="114"/>
  <c r="X80" i="114"/>
  <c r="E48" i="121"/>
  <c r="O47" i="121"/>
  <c r="F47" i="121"/>
  <c r="J47" i="121" s="1"/>
  <c r="N47" i="121" s="1"/>
  <c r="D98" i="113"/>
  <c r="K27" i="112"/>
  <c r="I28" i="112" s="1"/>
  <c r="C30" i="113" s="1"/>
  <c r="E30" i="113" s="1"/>
  <c r="E49" i="95"/>
  <c r="O48" i="95"/>
  <c r="F48" i="95"/>
  <c r="J48" i="95" s="1"/>
  <c r="N48" i="95" s="1"/>
  <c r="G55" i="104"/>
  <c r="H54" i="104"/>
  <c r="G29" i="113"/>
  <c r="B124" i="77"/>
  <c r="D46" i="133"/>
  <c r="E45" i="133"/>
  <c r="M49" i="121"/>
  <c r="E50" i="134"/>
  <c r="F49" i="134"/>
  <c r="L45" i="134"/>
  <c r="M44" i="134"/>
  <c r="O44" i="134"/>
  <c r="G48" i="135"/>
  <c r="K47" i="135"/>
  <c r="G45" i="133"/>
  <c r="H44" i="133"/>
  <c r="I44" i="133" s="1"/>
  <c r="G50" i="134"/>
  <c r="D65" i="93"/>
  <c r="E64" i="93"/>
  <c r="L63" i="111"/>
  <c r="E64" i="111"/>
  <c r="H64" i="95"/>
  <c r="I63" i="95"/>
  <c r="M43" i="133"/>
  <c r="J28" i="112" l="1"/>
  <c r="N47" i="55"/>
  <c r="M56" i="95"/>
  <c r="L57" i="95"/>
  <c r="O50" i="147"/>
  <c r="N45" i="133"/>
  <c r="L44" i="110"/>
  <c r="G44" i="110"/>
  <c r="F45" i="110"/>
  <c r="G49" i="55"/>
  <c r="I48" i="55"/>
  <c r="Q48" i="55" s="1"/>
  <c r="N101" i="110"/>
  <c r="O100" i="110"/>
  <c r="M112" i="110"/>
  <c r="E113" i="110"/>
  <c r="C49" i="78"/>
  <c r="F48" i="78"/>
  <c r="I48" i="78" s="1"/>
  <c r="Q46" i="78"/>
  <c r="R46" i="78" s="1"/>
  <c r="B50" i="78"/>
  <c r="K49" i="78"/>
  <c r="N44" i="134"/>
  <c r="N50" i="148"/>
  <c r="K83" i="114"/>
  <c r="L83" i="114" s="1"/>
  <c r="M83" i="114" s="1"/>
  <c r="J83" i="114"/>
  <c r="Y83" i="114" s="1"/>
  <c r="F85" i="114"/>
  <c r="H84" i="114"/>
  <c r="I84" i="114" s="1"/>
  <c r="G84" i="114"/>
  <c r="Q53" i="113"/>
  <c r="P54" i="113"/>
  <c r="J53" i="91"/>
  <c r="H55" i="91"/>
  <c r="I54" i="91"/>
  <c r="E57" i="91"/>
  <c r="G56" i="91"/>
  <c r="E112" i="88"/>
  <c r="M111" i="88"/>
  <c r="N75" i="88"/>
  <c r="O74" i="88"/>
  <c r="G46" i="88"/>
  <c r="K46" i="88" s="1"/>
  <c r="P46" i="88" s="1"/>
  <c r="L46" i="88"/>
  <c r="F47" i="88"/>
  <c r="C50" i="77"/>
  <c r="L49" i="77"/>
  <c r="Q48" i="77"/>
  <c r="R48" i="77" s="1"/>
  <c r="S47" i="78"/>
  <c r="N47" i="78"/>
  <c r="O47" i="78" s="1"/>
  <c r="P46" i="78"/>
  <c r="T46" i="78"/>
  <c r="H47" i="77"/>
  <c r="K46" i="77"/>
  <c r="N46" i="77" s="1"/>
  <c r="S46" i="77" s="1"/>
  <c r="M44" i="135"/>
  <c r="N44" i="135" s="1"/>
  <c r="O44" i="135"/>
  <c r="L45" i="135"/>
  <c r="H53" i="121"/>
  <c r="I52" i="121"/>
  <c r="G90" i="95"/>
  <c r="K89" i="95"/>
  <c r="O51" i="148"/>
  <c r="L52" i="148"/>
  <c r="M51" i="148"/>
  <c r="E54" i="148"/>
  <c r="G53" i="148"/>
  <c r="K53" i="148" s="1"/>
  <c r="F53" i="148"/>
  <c r="H51" i="147"/>
  <c r="I50" i="147"/>
  <c r="J50" i="147" s="1"/>
  <c r="E53" i="147"/>
  <c r="G52" i="147"/>
  <c r="K52" i="147" s="1"/>
  <c r="F52" i="147"/>
  <c r="L51" i="147"/>
  <c r="M50" i="147"/>
  <c r="H52" i="148"/>
  <c r="O52" i="148" s="1"/>
  <c r="I51" i="148"/>
  <c r="J51" i="148" s="1"/>
  <c r="N49" i="147"/>
  <c r="L45" i="133"/>
  <c r="H65" i="95"/>
  <c r="I64" i="95"/>
  <c r="D99" i="113"/>
  <c r="D66" i="93"/>
  <c r="E65" i="93"/>
  <c r="E51" i="134"/>
  <c r="F50" i="134"/>
  <c r="L51" i="121"/>
  <c r="B125" i="77"/>
  <c r="I54" i="104"/>
  <c r="K28" i="112"/>
  <c r="I29" i="112" s="1"/>
  <c r="C31" i="113" s="1"/>
  <c r="H31" i="113" s="1"/>
  <c r="E49" i="121"/>
  <c r="O48" i="121"/>
  <c r="F48" i="121"/>
  <c r="J48" i="121" s="1"/>
  <c r="N48" i="121" s="1"/>
  <c r="C63" i="55"/>
  <c r="H50" i="134"/>
  <c r="I49" i="134"/>
  <c r="J49" i="134" s="1"/>
  <c r="J46" i="133"/>
  <c r="K46" i="133" s="1"/>
  <c r="F47" i="133"/>
  <c r="E65" i="111"/>
  <c r="L64" i="111"/>
  <c r="K50" i="134"/>
  <c r="G51" i="134"/>
  <c r="G46" i="133"/>
  <c r="H45" i="133"/>
  <c r="I45" i="133" s="1"/>
  <c r="G49" i="135"/>
  <c r="K48" i="135"/>
  <c r="L46" i="134"/>
  <c r="M45" i="134"/>
  <c r="N45" i="134" s="1"/>
  <c r="O45" i="134"/>
  <c r="D47" i="133"/>
  <c r="E46" i="133"/>
  <c r="F30" i="113"/>
  <c r="G30" i="113" s="1"/>
  <c r="G56" i="104"/>
  <c r="H55" i="104"/>
  <c r="E50" i="95"/>
  <c r="O49" i="95"/>
  <c r="F49" i="95"/>
  <c r="J49" i="95" s="1"/>
  <c r="N49" i="95" s="1"/>
  <c r="B30" i="113"/>
  <c r="E299" i="113"/>
  <c r="U82" i="114"/>
  <c r="V81" i="114"/>
  <c r="W81" i="114" s="1"/>
  <c r="X81" i="114"/>
  <c r="H48" i="135"/>
  <c r="I47" i="135"/>
  <c r="J47" i="135" s="1"/>
  <c r="E58" i="104"/>
  <c r="F57" i="104"/>
  <c r="K49" i="55"/>
  <c r="N82" i="114"/>
  <c r="O81" i="114"/>
  <c r="P81" i="114" s="1"/>
  <c r="E49" i="135"/>
  <c r="F48" i="135"/>
  <c r="M44" i="133"/>
  <c r="N48" i="55" l="1"/>
  <c r="L58" i="95"/>
  <c r="M57" i="95"/>
  <c r="F46" i="110"/>
  <c r="L45" i="110"/>
  <c r="G45" i="110"/>
  <c r="I49" i="55"/>
  <c r="Q49" i="55" s="1"/>
  <c r="G50" i="55"/>
  <c r="Q47" i="78"/>
  <c r="R47" i="78" s="1"/>
  <c r="N102" i="110"/>
  <c r="O101" i="110"/>
  <c r="E114" i="110"/>
  <c r="M113" i="110"/>
  <c r="L48" i="78"/>
  <c r="S48" i="78" s="1"/>
  <c r="K50" i="78"/>
  <c r="B51" i="78"/>
  <c r="C50" i="78"/>
  <c r="F49" i="78"/>
  <c r="I49" i="78" s="1"/>
  <c r="L49" i="78" s="1"/>
  <c r="N50" i="147"/>
  <c r="O51" i="147"/>
  <c r="K84" i="114"/>
  <c r="L84" i="114" s="1"/>
  <c r="M84" i="114" s="1"/>
  <c r="J84" i="114"/>
  <c r="Y84" i="114" s="1"/>
  <c r="F86" i="114"/>
  <c r="G85" i="114"/>
  <c r="H85" i="114"/>
  <c r="H86" i="114" s="1"/>
  <c r="P55" i="113"/>
  <c r="Q54" i="113"/>
  <c r="G57" i="91"/>
  <c r="E58" i="91"/>
  <c r="H56" i="91"/>
  <c r="I55" i="91"/>
  <c r="J54" i="91"/>
  <c r="M112" i="88"/>
  <c r="E113" i="88"/>
  <c r="N76" i="88"/>
  <c r="O75" i="88"/>
  <c r="G47" i="88"/>
  <c r="K47" i="88" s="1"/>
  <c r="P47" i="88" s="1"/>
  <c r="F48" i="88"/>
  <c r="L47" i="88"/>
  <c r="Q49" i="77"/>
  <c r="R49" i="77" s="1"/>
  <c r="L50" i="77"/>
  <c r="C51" i="77"/>
  <c r="T47" i="78"/>
  <c r="P47" i="78"/>
  <c r="N48" i="78"/>
  <c r="O48" i="78" s="1"/>
  <c r="H48" i="77"/>
  <c r="K47" i="77"/>
  <c r="N47" i="77" s="1"/>
  <c r="S47" i="77" s="1"/>
  <c r="M45" i="135"/>
  <c r="N45" i="135" s="1"/>
  <c r="O45" i="135"/>
  <c r="L46" i="135"/>
  <c r="I53" i="121"/>
  <c r="H54" i="121"/>
  <c r="G91" i="95"/>
  <c r="K90" i="95"/>
  <c r="L52" i="147"/>
  <c r="M51" i="147"/>
  <c r="E54" i="147"/>
  <c r="G53" i="147"/>
  <c r="K53" i="147" s="1"/>
  <c r="F53" i="147"/>
  <c r="H52" i="147"/>
  <c r="I51" i="147"/>
  <c r="J51" i="147" s="1"/>
  <c r="E55" i="148"/>
  <c r="G54" i="148"/>
  <c r="K54" i="148" s="1"/>
  <c r="F54" i="148"/>
  <c r="L53" i="148"/>
  <c r="M52" i="148"/>
  <c r="H53" i="148"/>
  <c r="I52" i="148"/>
  <c r="J52" i="148" s="1"/>
  <c r="N51" i="148"/>
  <c r="F31" i="113"/>
  <c r="L46" i="133"/>
  <c r="N46" i="133"/>
  <c r="E50" i="135"/>
  <c r="F49" i="135"/>
  <c r="K50" i="55"/>
  <c r="E51" i="95"/>
  <c r="O50" i="95"/>
  <c r="F50" i="95"/>
  <c r="J50" i="95" s="1"/>
  <c r="N50" i="95" s="1"/>
  <c r="G57" i="104"/>
  <c r="H56" i="104"/>
  <c r="L47" i="134"/>
  <c r="M46" i="134"/>
  <c r="N46" i="134" s="1"/>
  <c r="O46" i="134"/>
  <c r="G47" i="133"/>
  <c r="H46" i="133"/>
  <c r="I46" i="133" s="1"/>
  <c r="D100" i="113"/>
  <c r="J47" i="133"/>
  <c r="K47" i="133" s="1"/>
  <c r="F48" i="133"/>
  <c r="C64" i="55"/>
  <c r="E50" i="121"/>
  <c r="O49" i="121"/>
  <c r="F49" i="121"/>
  <c r="J49" i="121" s="1"/>
  <c r="N49" i="121" s="1"/>
  <c r="J29" i="112"/>
  <c r="L52" i="121"/>
  <c r="M51" i="121"/>
  <c r="H66" i="95"/>
  <c r="I65" i="95"/>
  <c r="M45" i="133"/>
  <c r="N83" i="114"/>
  <c r="O82" i="114"/>
  <c r="P82" i="114" s="1"/>
  <c r="F58" i="104"/>
  <c r="E59" i="104"/>
  <c r="H49" i="135"/>
  <c r="I48" i="135"/>
  <c r="J48" i="135" s="1"/>
  <c r="U83" i="114"/>
  <c r="V82" i="114"/>
  <c r="W82" i="114" s="1"/>
  <c r="X82" i="114"/>
  <c r="I55" i="104"/>
  <c r="I30" i="113"/>
  <c r="J30" i="113" s="1"/>
  <c r="D48" i="133"/>
  <c r="E47" i="133"/>
  <c r="K49" i="135"/>
  <c r="G50" i="135"/>
  <c r="K51" i="134"/>
  <c r="G52" i="134"/>
  <c r="L65" i="111"/>
  <c r="E66" i="111"/>
  <c r="H51" i="134"/>
  <c r="I50" i="134"/>
  <c r="J50" i="134" s="1"/>
  <c r="B31" i="113"/>
  <c r="B126" i="77"/>
  <c r="E52" i="134"/>
  <c r="F51" i="134"/>
  <c r="D67" i="93"/>
  <c r="E66" i="93"/>
  <c r="L59" i="95" l="1"/>
  <c r="M58" i="95"/>
  <c r="F47" i="110"/>
  <c r="L46" i="110"/>
  <c r="G46" i="110"/>
  <c r="O53" i="148"/>
  <c r="N49" i="55"/>
  <c r="O52" i="147"/>
  <c r="G51" i="55"/>
  <c r="I50" i="55"/>
  <c r="Q50" i="55" s="1"/>
  <c r="N103" i="110"/>
  <c r="O102" i="110"/>
  <c r="E115" i="110"/>
  <c r="M114" i="110"/>
  <c r="I85" i="114"/>
  <c r="K85" i="114" s="1"/>
  <c r="L85" i="114" s="1"/>
  <c r="M85" i="114" s="1"/>
  <c r="K51" i="78"/>
  <c r="B52" i="78"/>
  <c r="F50" i="78"/>
  <c r="I50" i="78" s="1"/>
  <c r="L50" i="78" s="1"/>
  <c r="C51" i="78"/>
  <c r="Q48" i="78"/>
  <c r="F87" i="114"/>
  <c r="G86" i="114"/>
  <c r="Q55" i="113"/>
  <c r="P56" i="113"/>
  <c r="I56" i="91"/>
  <c r="H57" i="91"/>
  <c r="J55" i="91"/>
  <c r="G58" i="91"/>
  <c r="E59" i="91"/>
  <c r="E114" i="88"/>
  <c r="M113" i="88"/>
  <c r="N77" i="88"/>
  <c r="O76" i="88"/>
  <c r="L48" i="88"/>
  <c r="F49" i="88"/>
  <c r="G48" i="88"/>
  <c r="K48" i="88" s="1"/>
  <c r="P48" i="88" s="1"/>
  <c r="L51" i="77"/>
  <c r="C52" i="77"/>
  <c r="Q50" i="77"/>
  <c r="R50" i="77" s="1"/>
  <c r="R48" i="78"/>
  <c r="S49" i="78"/>
  <c r="N49" i="78"/>
  <c r="O49" i="78" s="1"/>
  <c r="T48" i="78"/>
  <c r="P48" i="78"/>
  <c r="H49" i="77"/>
  <c r="K48" i="77"/>
  <c r="N48" i="77" s="1"/>
  <c r="S48" i="77" s="1"/>
  <c r="M46" i="135"/>
  <c r="N46" i="135" s="1"/>
  <c r="O46" i="135"/>
  <c r="L47" i="135"/>
  <c r="H55" i="121"/>
  <c r="I54" i="121"/>
  <c r="G92" i="95"/>
  <c r="K91" i="95"/>
  <c r="L54" i="148"/>
  <c r="M53" i="148"/>
  <c r="E56" i="148"/>
  <c r="G55" i="148"/>
  <c r="K55" i="148" s="1"/>
  <c r="F55" i="148"/>
  <c r="H53" i="147"/>
  <c r="I52" i="147"/>
  <c r="J52" i="147" s="1"/>
  <c r="E55" i="147"/>
  <c r="G54" i="147"/>
  <c r="F54" i="147"/>
  <c r="L53" i="147"/>
  <c r="M52" i="147"/>
  <c r="H54" i="148"/>
  <c r="O54" i="148" s="1"/>
  <c r="I53" i="148"/>
  <c r="J53" i="148" s="1"/>
  <c r="N52" i="148"/>
  <c r="N51" i="147"/>
  <c r="L47" i="133"/>
  <c r="N47" i="133"/>
  <c r="H52" i="134"/>
  <c r="I51" i="134"/>
  <c r="J51" i="134" s="1"/>
  <c r="D101" i="113"/>
  <c r="H50" i="135"/>
  <c r="I49" i="135"/>
  <c r="J49" i="135" s="1"/>
  <c r="N84" i="114"/>
  <c r="O83" i="114"/>
  <c r="P83" i="114" s="1"/>
  <c r="H67" i="95"/>
  <c r="I66" i="95"/>
  <c r="L53" i="121"/>
  <c r="M52" i="121"/>
  <c r="K29" i="112"/>
  <c r="I30" i="112" s="1"/>
  <c r="C32" i="113" s="1"/>
  <c r="H32" i="113" s="1"/>
  <c r="C65" i="55"/>
  <c r="F49" i="133"/>
  <c r="J48" i="133"/>
  <c r="K48" i="133" s="1"/>
  <c r="G48" i="133"/>
  <c r="H47" i="133"/>
  <c r="I47" i="133" s="1"/>
  <c r="G58" i="104"/>
  <c r="H57" i="104"/>
  <c r="E52" i="95"/>
  <c r="O51" i="95"/>
  <c r="F51" i="95"/>
  <c r="J51" i="95" s="1"/>
  <c r="N51" i="95" s="1"/>
  <c r="M46" i="133"/>
  <c r="I31" i="113"/>
  <c r="D68" i="93"/>
  <c r="E67" i="93"/>
  <c r="E53" i="134"/>
  <c r="F52" i="134"/>
  <c r="B127" i="77"/>
  <c r="L66" i="111"/>
  <c r="E67" i="111"/>
  <c r="G53" i="134"/>
  <c r="K52" i="134"/>
  <c r="G51" i="135"/>
  <c r="K50" i="135"/>
  <c r="D49" i="133"/>
  <c r="E48" i="133"/>
  <c r="U84" i="114"/>
  <c r="V83" i="114"/>
  <c r="W83" i="114" s="1"/>
  <c r="X83" i="114"/>
  <c r="E60" i="104"/>
  <c r="F59" i="104"/>
  <c r="E51" i="121"/>
  <c r="O50" i="121"/>
  <c r="F50" i="121"/>
  <c r="L48" i="134"/>
  <c r="M47" i="134"/>
  <c r="N47" i="134" s="1"/>
  <c r="O47" i="134"/>
  <c r="I56" i="104"/>
  <c r="K51" i="55"/>
  <c r="N50" i="55"/>
  <c r="E51" i="135"/>
  <c r="F50" i="135"/>
  <c r="G31" i="113"/>
  <c r="K54" i="147" l="1"/>
  <c r="L60" i="95"/>
  <c r="M59" i="95"/>
  <c r="G47" i="110"/>
  <c r="L47" i="110"/>
  <c r="F48" i="110"/>
  <c r="G52" i="55"/>
  <c r="I51" i="55"/>
  <c r="Q51" i="55" s="1"/>
  <c r="N104" i="110"/>
  <c r="O103" i="110"/>
  <c r="M115" i="110"/>
  <c r="E116" i="110"/>
  <c r="J50" i="121"/>
  <c r="N50" i="121" s="1"/>
  <c r="J30" i="112"/>
  <c r="I86" i="114"/>
  <c r="J85" i="114"/>
  <c r="Y85" i="114" s="1"/>
  <c r="Q49" i="78"/>
  <c r="F51" i="78"/>
  <c r="I51" i="78" s="1"/>
  <c r="C52" i="78"/>
  <c r="K52" i="78"/>
  <c r="B53" i="78"/>
  <c r="N52" i="147"/>
  <c r="O53" i="147"/>
  <c r="F88" i="114"/>
  <c r="G87" i="114"/>
  <c r="Q56" i="113"/>
  <c r="P57" i="113"/>
  <c r="J31" i="113"/>
  <c r="J56" i="91"/>
  <c r="G59" i="91"/>
  <c r="E60" i="91"/>
  <c r="H58" i="91"/>
  <c r="I57" i="91"/>
  <c r="E115" i="88"/>
  <c r="M114" i="88"/>
  <c r="N78" i="88"/>
  <c r="O77" i="88"/>
  <c r="L49" i="88"/>
  <c r="F50" i="88"/>
  <c r="G49" i="88"/>
  <c r="K49" i="88" s="1"/>
  <c r="P49" i="88" s="1"/>
  <c r="L52" i="77"/>
  <c r="C53" i="77"/>
  <c r="T49" i="78"/>
  <c r="P49" i="78"/>
  <c r="S50" i="78"/>
  <c r="N50" i="78"/>
  <c r="O50" i="78" s="1"/>
  <c r="R49" i="78"/>
  <c r="K49" i="77"/>
  <c r="N49" i="77" s="1"/>
  <c r="S49" i="77" s="1"/>
  <c r="H50" i="77"/>
  <c r="M47" i="135"/>
  <c r="N47" i="135" s="1"/>
  <c r="O47" i="135"/>
  <c r="L48" i="135"/>
  <c r="I55" i="121"/>
  <c r="H56" i="121"/>
  <c r="K92" i="95"/>
  <c r="G93" i="95"/>
  <c r="L54" i="147"/>
  <c r="M53" i="147"/>
  <c r="E56" i="147"/>
  <c r="G55" i="147"/>
  <c r="K55" i="147" s="1"/>
  <c r="F55" i="147"/>
  <c r="H54" i="147"/>
  <c r="I53" i="147"/>
  <c r="J53" i="147" s="1"/>
  <c r="E57" i="148"/>
  <c r="G56" i="148"/>
  <c r="K56" i="148" s="1"/>
  <c r="F56" i="148"/>
  <c r="L55" i="148"/>
  <c r="M54" i="148"/>
  <c r="H55" i="148"/>
  <c r="I54" i="148"/>
  <c r="J54" i="148" s="1"/>
  <c r="N53" i="148"/>
  <c r="L48" i="133"/>
  <c r="N48" i="133"/>
  <c r="L49" i="134"/>
  <c r="M48" i="134"/>
  <c r="N48" i="134" s="1"/>
  <c r="O48" i="134"/>
  <c r="E52" i="121"/>
  <c r="O51" i="121"/>
  <c r="F51" i="121"/>
  <c r="J51" i="121" s="1"/>
  <c r="N51" i="121" s="1"/>
  <c r="E61" i="104"/>
  <c r="F60" i="104"/>
  <c r="U85" i="114"/>
  <c r="V84" i="114"/>
  <c r="W84" i="114" s="1"/>
  <c r="X84" i="114"/>
  <c r="G52" i="135"/>
  <c r="K51" i="135"/>
  <c r="K53" i="134"/>
  <c r="G54" i="134"/>
  <c r="D102" i="113"/>
  <c r="B128" i="77"/>
  <c r="E53" i="95"/>
  <c r="O52" i="95"/>
  <c r="F52" i="95"/>
  <c r="J52" i="95" s="1"/>
  <c r="N52" i="95" s="1"/>
  <c r="G59" i="104"/>
  <c r="H58" i="104"/>
  <c r="J49" i="133"/>
  <c r="K49" i="133" s="1"/>
  <c r="F50" i="133"/>
  <c r="C66" i="55"/>
  <c r="K30" i="112"/>
  <c r="I31" i="112" s="1"/>
  <c r="C33" i="113" s="1"/>
  <c r="H33" i="113" s="1"/>
  <c r="B33" i="113" s="1"/>
  <c r="L54" i="121"/>
  <c r="M53" i="121"/>
  <c r="H68" i="95"/>
  <c r="I67" i="95"/>
  <c r="H51" i="135"/>
  <c r="I50" i="135"/>
  <c r="J50" i="135" s="1"/>
  <c r="H53" i="134"/>
  <c r="I52" i="134"/>
  <c r="J52" i="134" s="1"/>
  <c r="F32" i="113"/>
  <c r="E52" i="135"/>
  <c r="F51" i="135"/>
  <c r="K52" i="55"/>
  <c r="D50" i="133"/>
  <c r="E49" i="133"/>
  <c r="L67" i="111"/>
  <c r="E68" i="111"/>
  <c r="E54" i="134"/>
  <c r="F53" i="134"/>
  <c r="D69" i="93"/>
  <c r="E68" i="93"/>
  <c r="I57" i="104"/>
  <c r="G49" i="133"/>
  <c r="H48" i="133"/>
  <c r="I48" i="133" s="1"/>
  <c r="B32" i="113"/>
  <c r="N85" i="114"/>
  <c r="O84" i="114"/>
  <c r="P84" i="114" s="1"/>
  <c r="M47" i="133"/>
  <c r="L61" i="95" l="1"/>
  <c r="M60" i="95"/>
  <c r="G48" i="110"/>
  <c r="L48" i="110"/>
  <c r="F49" i="110"/>
  <c r="O55" i="148"/>
  <c r="N51" i="55"/>
  <c r="G53" i="55"/>
  <c r="I52" i="55"/>
  <c r="Q52" i="55" s="1"/>
  <c r="N105" i="110"/>
  <c r="O104" i="110"/>
  <c r="E117" i="110"/>
  <c r="M116" i="110"/>
  <c r="I87" i="114"/>
  <c r="J86" i="114"/>
  <c r="Y86" i="114" s="1"/>
  <c r="K86" i="114"/>
  <c r="L86" i="114" s="1"/>
  <c r="N86" i="114" s="1"/>
  <c r="J31" i="112"/>
  <c r="L51" i="78"/>
  <c r="N51" i="78" s="1"/>
  <c r="O51" i="78" s="1"/>
  <c r="F52" i="78"/>
  <c r="I52" i="78" s="1"/>
  <c r="L52" i="78" s="1"/>
  <c r="C53" i="78"/>
  <c r="B54" i="78"/>
  <c r="K53" i="78"/>
  <c r="O54" i="147"/>
  <c r="G88" i="114"/>
  <c r="F89" i="114"/>
  <c r="P58" i="113"/>
  <c r="Q57" i="113"/>
  <c r="I58" i="91"/>
  <c r="H59" i="91"/>
  <c r="J57" i="91"/>
  <c r="E61" i="91"/>
  <c r="G60" i="91"/>
  <c r="E116" i="88"/>
  <c r="M115" i="88"/>
  <c r="N79" i="88"/>
  <c r="O78" i="88"/>
  <c r="G50" i="88"/>
  <c r="K50" i="88" s="1"/>
  <c r="P50" i="88" s="1"/>
  <c r="F51" i="88"/>
  <c r="L50" i="88"/>
  <c r="C54" i="77"/>
  <c r="L53" i="77"/>
  <c r="T50" i="78"/>
  <c r="P50" i="78"/>
  <c r="Q50" i="78"/>
  <c r="S51" i="78"/>
  <c r="K50" i="77"/>
  <c r="N50" i="77" s="1"/>
  <c r="S50" i="77" s="1"/>
  <c r="H51" i="77"/>
  <c r="M48" i="135"/>
  <c r="N48" i="135" s="1"/>
  <c r="O48" i="135"/>
  <c r="L49" i="135"/>
  <c r="H57" i="121"/>
  <c r="I56" i="121"/>
  <c r="K93" i="95"/>
  <c r="G94" i="95"/>
  <c r="L56" i="148"/>
  <c r="M55" i="148"/>
  <c r="E58" i="148"/>
  <c r="G57" i="148"/>
  <c r="K57" i="148" s="1"/>
  <c r="F57" i="148"/>
  <c r="H55" i="147"/>
  <c r="I54" i="147"/>
  <c r="J54" i="147" s="1"/>
  <c r="L55" i="147"/>
  <c r="M54" i="147"/>
  <c r="H56" i="148"/>
  <c r="I55" i="148"/>
  <c r="J55" i="148" s="1"/>
  <c r="N54" i="148"/>
  <c r="E57" i="147"/>
  <c r="G56" i="147"/>
  <c r="F56" i="147"/>
  <c r="N53" i="147"/>
  <c r="L49" i="133"/>
  <c r="G50" i="133"/>
  <c r="H49" i="133"/>
  <c r="I49" i="133" s="1"/>
  <c r="L68" i="111"/>
  <c r="E69" i="111"/>
  <c r="D51" i="133"/>
  <c r="E50" i="133"/>
  <c r="K53" i="55"/>
  <c r="I32" i="113"/>
  <c r="J32" i="113" s="1"/>
  <c r="H54" i="134"/>
  <c r="I53" i="134"/>
  <c r="J53" i="134" s="1"/>
  <c r="H69" i="95"/>
  <c r="I68" i="95"/>
  <c r="L55" i="121"/>
  <c r="M54" i="121"/>
  <c r="K31" i="112"/>
  <c r="I32" i="112" s="1"/>
  <c r="C34" i="113" s="1"/>
  <c r="H34" i="113" s="1"/>
  <c r="C67" i="55"/>
  <c r="J50" i="133"/>
  <c r="K50" i="133" s="1"/>
  <c r="F51" i="133"/>
  <c r="I58" i="104"/>
  <c r="K54" i="134"/>
  <c r="G55" i="134"/>
  <c r="U86" i="114"/>
  <c r="V85" i="114"/>
  <c r="W85" i="114" s="1"/>
  <c r="X85" i="114"/>
  <c r="E53" i="121"/>
  <c r="O52" i="121"/>
  <c r="F52" i="121"/>
  <c r="J52" i="121" s="1"/>
  <c r="N52" i="121" s="1"/>
  <c r="M48" i="133"/>
  <c r="O85" i="114"/>
  <c r="P85" i="114" s="1"/>
  <c r="D70" i="93"/>
  <c r="E69" i="93"/>
  <c r="E55" i="134"/>
  <c r="F54" i="134"/>
  <c r="D103" i="113"/>
  <c r="N49" i="133"/>
  <c r="E53" i="135"/>
  <c r="F52" i="135"/>
  <c r="G32" i="113"/>
  <c r="H52" i="135"/>
  <c r="I51" i="135"/>
  <c r="J51" i="135" s="1"/>
  <c r="G60" i="104"/>
  <c r="H59" i="104"/>
  <c r="E54" i="95"/>
  <c r="O53" i="95"/>
  <c r="F53" i="95"/>
  <c r="J53" i="95" s="1"/>
  <c r="N53" i="95" s="1"/>
  <c r="B129" i="77"/>
  <c r="K52" i="135"/>
  <c r="G53" i="135"/>
  <c r="F61" i="104"/>
  <c r="E62" i="104"/>
  <c r="L50" i="134"/>
  <c r="M49" i="134"/>
  <c r="N49" i="134" s="1"/>
  <c r="O49" i="134"/>
  <c r="K56" i="147" l="1"/>
  <c r="L62" i="95"/>
  <c r="M61" i="95"/>
  <c r="F50" i="110"/>
  <c r="L49" i="110"/>
  <c r="G49" i="110"/>
  <c r="N52" i="55"/>
  <c r="N54" i="147"/>
  <c r="G54" i="55"/>
  <c r="I53" i="55"/>
  <c r="Q53" i="55" s="1"/>
  <c r="N106" i="110"/>
  <c r="O105" i="110"/>
  <c r="M117" i="110"/>
  <c r="E118" i="110"/>
  <c r="I88" i="114"/>
  <c r="J87" i="114"/>
  <c r="Y87" i="114" s="1"/>
  <c r="K87" i="114"/>
  <c r="L87" i="114" s="1"/>
  <c r="Q51" i="78"/>
  <c r="R51" i="78" s="1"/>
  <c r="C54" i="78"/>
  <c r="F53" i="78"/>
  <c r="I53" i="78" s="1"/>
  <c r="K54" i="78"/>
  <c r="B55" i="78"/>
  <c r="O56" i="148"/>
  <c r="O55" i="147"/>
  <c r="G89" i="114"/>
  <c r="F90" i="114"/>
  <c r="Q58" i="113"/>
  <c r="P59" i="113"/>
  <c r="E62" i="91"/>
  <c r="G61" i="91"/>
  <c r="I59" i="91"/>
  <c r="H60" i="91"/>
  <c r="J58" i="91"/>
  <c r="M116" i="88"/>
  <c r="E117" i="88"/>
  <c r="N80" i="88"/>
  <c r="O79" i="88"/>
  <c r="L51" i="88"/>
  <c r="G51" i="88"/>
  <c r="K51" i="88" s="1"/>
  <c r="P51" i="88" s="1"/>
  <c r="F52" i="88"/>
  <c r="L54" i="77"/>
  <c r="C55" i="77"/>
  <c r="N52" i="78"/>
  <c r="O52" i="78" s="1"/>
  <c r="S52" i="78"/>
  <c r="Q52" i="78"/>
  <c r="T51" i="78"/>
  <c r="P51" i="78"/>
  <c r="R50" i="78"/>
  <c r="K51" i="77"/>
  <c r="N51" i="77" s="1"/>
  <c r="H52" i="77"/>
  <c r="M49" i="135"/>
  <c r="N49" i="135" s="1"/>
  <c r="O49" i="135"/>
  <c r="L50" i="135"/>
  <c r="H58" i="121"/>
  <c r="I57" i="121"/>
  <c r="K94" i="95"/>
  <c r="G95" i="95"/>
  <c r="E58" i="147"/>
  <c r="G57" i="147"/>
  <c r="K57" i="147" s="1"/>
  <c r="F57" i="147"/>
  <c r="L56" i="147"/>
  <c r="M55" i="147"/>
  <c r="H56" i="147"/>
  <c r="I55" i="147"/>
  <c r="J55" i="147" s="1"/>
  <c r="E59" i="148"/>
  <c r="G58" i="148"/>
  <c r="K58" i="148" s="1"/>
  <c r="F58" i="148"/>
  <c r="L57" i="148"/>
  <c r="M56" i="148"/>
  <c r="H57" i="148"/>
  <c r="I56" i="148"/>
  <c r="J56" i="148" s="1"/>
  <c r="N55" i="148"/>
  <c r="L50" i="133"/>
  <c r="N50" i="133"/>
  <c r="G54" i="135"/>
  <c r="K53" i="135"/>
  <c r="L51" i="134"/>
  <c r="M50" i="134"/>
  <c r="N50" i="134" s="1"/>
  <c r="O50" i="134"/>
  <c r="F62" i="104"/>
  <c r="E63" i="104"/>
  <c r="B130" i="77"/>
  <c r="O54" i="95"/>
  <c r="E55" i="95"/>
  <c r="F54" i="95"/>
  <c r="J54" i="95" s="1"/>
  <c r="N54" i="95" s="1"/>
  <c r="G61" i="104"/>
  <c r="H60" i="104"/>
  <c r="H53" i="135"/>
  <c r="I52" i="135"/>
  <c r="J52" i="135" s="1"/>
  <c r="F33" i="113"/>
  <c r="E54" i="135"/>
  <c r="F53" i="135"/>
  <c r="D71" i="93"/>
  <c r="E70" i="93"/>
  <c r="C68" i="55"/>
  <c r="J32" i="112"/>
  <c r="K54" i="55"/>
  <c r="N53" i="55"/>
  <c r="L69" i="111"/>
  <c r="E70" i="111"/>
  <c r="M49" i="133"/>
  <c r="I59" i="104"/>
  <c r="E56" i="134"/>
  <c r="F55" i="134"/>
  <c r="N87" i="114"/>
  <c r="O86" i="114"/>
  <c r="P86" i="114" s="1"/>
  <c r="E54" i="121"/>
  <c r="O53" i="121"/>
  <c r="F53" i="121"/>
  <c r="J53" i="121" s="1"/>
  <c r="N53" i="121" s="1"/>
  <c r="U87" i="114"/>
  <c r="V86" i="114"/>
  <c r="W86" i="114" s="1"/>
  <c r="X86" i="114"/>
  <c r="G56" i="134"/>
  <c r="K55" i="134"/>
  <c r="F52" i="133"/>
  <c r="J51" i="133"/>
  <c r="K51" i="133" s="1"/>
  <c r="B34" i="113"/>
  <c r="L56" i="121"/>
  <c r="M55" i="121"/>
  <c r="H70" i="95"/>
  <c r="I69" i="95"/>
  <c r="H55" i="134"/>
  <c r="I54" i="134"/>
  <c r="J54" i="134" s="1"/>
  <c r="D52" i="133"/>
  <c r="E51" i="133"/>
  <c r="D104" i="113"/>
  <c r="G51" i="133"/>
  <c r="H50" i="133"/>
  <c r="I50" i="133" s="1"/>
  <c r="M62" i="95" l="1"/>
  <c r="L63" i="95"/>
  <c r="F51" i="110"/>
  <c r="G50" i="110"/>
  <c r="L50" i="110"/>
  <c r="O56" i="147"/>
  <c r="G55" i="55"/>
  <c r="I54" i="55"/>
  <c r="Q54" i="55" s="1"/>
  <c r="M118" i="110"/>
  <c r="E119" i="110"/>
  <c r="N107" i="110"/>
  <c r="O106" i="110"/>
  <c r="J88" i="114"/>
  <c r="Y88" i="114" s="1"/>
  <c r="K88" i="114"/>
  <c r="L88" i="114" s="1"/>
  <c r="N88" i="114" s="1"/>
  <c r="I89" i="114"/>
  <c r="O57" i="148"/>
  <c r="L53" i="78"/>
  <c r="F54" i="78"/>
  <c r="I54" i="78" s="1"/>
  <c r="L54" i="78" s="1"/>
  <c r="C55" i="78"/>
  <c r="B56" i="78"/>
  <c r="K55" i="78"/>
  <c r="G90" i="114"/>
  <c r="F91" i="114"/>
  <c r="P60" i="113"/>
  <c r="Q59" i="113"/>
  <c r="J59" i="91"/>
  <c r="E63" i="91"/>
  <c r="G62" i="91"/>
  <c r="I60" i="91"/>
  <c r="H61" i="91"/>
  <c r="M117" i="88"/>
  <c r="E118" i="88"/>
  <c r="N81" i="88"/>
  <c r="O80" i="88"/>
  <c r="L52" i="88"/>
  <c r="G52" i="88"/>
  <c r="K52" i="88" s="1"/>
  <c r="P52" i="88" s="1"/>
  <c r="F53" i="88"/>
  <c r="C56" i="77"/>
  <c r="L55" i="77"/>
  <c r="N53" i="78"/>
  <c r="O53" i="78" s="1"/>
  <c r="S53" i="78"/>
  <c r="R52" i="78"/>
  <c r="P52" i="78"/>
  <c r="T52" i="78"/>
  <c r="O51" i="77"/>
  <c r="S51" i="77"/>
  <c r="H53" i="77"/>
  <c r="K52" i="77"/>
  <c r="N52" i="77" s="1"/>
  <c r="O50" i="135"/>
  <c r="M50" i="135"/>
  <c r="N50" i="135" s="1"/>
  <c r="L51" i="135"/>
  <c r="H59" i="121"/>
  <c r="I58" i="121"/>
  <c r="K95" i="95"/>
  <c r="G96" i="95"/>
  <c r="N56" i="148"/>
  <c r="L57" i="147"/>
  <c r="M56" i="147"/>
  <c r="H58" i="148"/>
  <c r="I57" i="148"/>
  <c r="J57" i="148" s="1"/>
  <c r="L58" i="148"/>
  <c r="M57" i="148"/>
  <c r="E60" i="148"/>
  <c r="G59" i="148"/>
  <c r="F59" i="148"/>
  <c r="H57" i="147"/>
  <c r="I56" i="147"/>
  <c r="J56" i="147" s="1"/>
  <c r="N55" i="147"/>
  <c r="E59" i="147"/>
  <c r="G58" i="147"/>
  <c r="K58" i="147" s="1"/>
  <c r="F58" i="147"/>
  <c r="L51" i="133"/>
  <c r="G52" i="133"/>
  <c r="H51" i="133"/>
  <c r="I51" i="133" s="1"/>
  <c r="N51" i="133"/>
  <c r="H71" i="95"/>
  <c r="I70" i="95"/>
  <c r="L57" i="121"/>
  <c r="M56" i="121"/>
  <c r="J52" i="133"/>
  <c r="K52" i="133" s="1"/>
  <c r="F53" i="133"/>
  <c r="D105" i="113"/>
  <c r="K32" i="112"/>
  <c r="I33" i="112" s="1"/>
  <c r="C35" i="113" s="1"/>
  <c r="H35" i="113" s="1"/>
  <c r="C69" i="55"/>
  <c r="D72" i="93"/>
  <c r="E71" i="93"/>
  <c r="E55" i="135"/>
  <c r="F54" i="135"/>
  <c r="I33" i="113"/>
  <c r="J33" i="113" s="1"/>
  <c r="H54" i="135"/>
  <c r="I53" i="135"/>
  <c r="J53" i="135" s="1"/>
  <c r="G62" i="104"/>
  <c r="H61" i="104"/>
  <c r="B131" i="77"/>
  <c r="E64" i="104"/>
  <c r="F63" i="104"/>
  <c r="K54" i="135"/>
  <c r="G55" i="135"/>
  <c r="M50" i="133"/>
  <c r="D53" i="133"/>
  <c r="E52" i="133"/>
  <c r="H56" i="134"/>
  <c r="I55" i="134"/>
  <c r="J55" i="134" s="1"/>
  <c r="G57" i="134"/>
  <c r="K56" i="134"/>
  <c r="U88" i="114"/>
  <c r="V87" i="114"/>
  <c r="W87" i="114" s="1"/>
  <c r="X87" i="114"/>
  <c r="E55" i="121"/>
  <c r="O54" i="121"/>
  <c r="F54" i="121"/>
  <c r="J54" i="121" s="1"/>
  <c r="O87" i="114"/>
  <c r="P87" i="114" s="1"/>
  <c r="E57" i="134"/>
  <c r="F56" i="134"/>
  <c r="E71" i="111"/>
  <c r="L70" i="111"/>
  <c r="K55" i="55"/>
  <c r="G33" i="113"/>
  <c r="I60" i="104"/>
  <c r="E56" i="95"/>
  <c r="O55" i="95"/>
  <c r="F55" i="95"/>
  <c r="J55" i="95" s="1"/>
  <c r="N55" i="95" s="1"/>
  <c r="L52" i="134"/>
  <c r="M51" i="134"/>
  <c r="N51" i="134" s="1"/>
  <c r="O51" i="134"/>
  <c r="N54" i="55" l="1"/>
  <c r="M63" i="95"/>
  <c r="L64" i="95"/>
  <c r="L51" i="110"/>
  <c r="F52" i="110"/>
  <c r="G51" i="110"/>
  <c r="O57" i="147"/>
  <c r="G56" i="55"/>
  <c r="I55" i="55"/>
  <c r="Q55" i="55" s="1"/>
  <c r="N108" i="110"/>
  <c r="O107" i="110"/>
  <c r="M119" i="110"/>
  <c r="E120" i="110"/>
  <c r="J33" i="112"/>
  <c r="I90" i="114"/>
  <c r="K89" i="114"/>
  <c r="L89" i="114" s="1"/>
  <c r="M89" i="114" s="1"/>
  <c r="U89" i="114" s="1"/>
  <c r="J89" i="114"/>
  <c r="Y89" i="114" s="1"/>
  <c r="F55" i="78"/>
  <c r="I55" i="78" s="1"/>
  <c r="L55" i="78" s="1"/>
  <c r="C56" i="78"/>
  <c r="B57" i="78"/>
  <c r="K56" i="78"/>
  <c r="N54" i="121"/>
  <c r="G91" i="114"/>
  <c r="F92" i="114"/>
  <c r="V88" i="114"/>
  <c r="W88" i="114" s="1"/>
  <c r="P61" i="113"/>
  <c r="Q60" i="113"/>
  <c r="H62" i="91"/>
  <c r="I61" i="91"/>
  <c r="J60" i="91"/>
  <c r="G63" i="91"/>
  <c r="E64" i="91"/>
  <c r="M118" i="88"/>
  <c r="E119" i="88"/>
  <c r="N82" i="88"/>
  <c r="O81" i="88"/>
  <c r="G53" i="88"/>
  <c r="K53" i="88" s="1"/>
  <c r="P53" i="88" s="1"/>
  <c r="L53" i="88"/>
  <c r="F54" i="88"/>
  <c r="L56" i="77"/>
  <c r="C57" i="77"/>
  <c r="N54" i="78"/>
  <c r="O54" i="78" s="1"/>
  <c r="S54" i="78"/>
  <c r="P53" i="78"/>
  <c r="T53" i="78"/>
  <c r="Q53" i="78"/>
  <c r="H54" i="77"/>
  <c r="K53" i="77"/>
  <c r="N53" i="77" s="1"/>
  <c r="T51" i="77"/>
  <c r="P51" i="77"/>
  <c r="Q51" i="77"/>
  <c r="R51" i="77" s="1"/>
  <c r="O52" i="77"/>
  <c r="S52" i="77"/>
  <c r="M51" i="135"/>
  <c r="N51" i="135" s="1"/>
  <c r="O51" i="135"/>
  <c r="L52" i="135"/>
  <c r="I59" i="121"/>
  <c r="H60" i="121"/>
  <c r="G97" i="95"/>
  <c r="K96" i="95"/>
  <c r="K59" i="148"/>
  <c r="L59" i="148" s="1"/>
  <c r="O58" i="148"/>
  <c r="H58" i="147"/>
  <c r="I57" i="147"/>
  <c r="J57" i="147" s="1"/>
  <c r="E61" i="148"/>
  <c r="G60" i="148"/>
  <c r="F60" i="148"/>
  <c r="M58" i="148"/>
  <c r="N56" i="147"/>
  <c r="E60" i="147"/>
  <c r="G59" i="147"/>
  <c r="F59" i="147"/>
  <c r="N57" i="148"/>
  <c r="H59" i="148"/>
  <c r="I58" i="148"/>
  <c r="J58" i="148" s="1"/>
  <c r="L58" i="147"/>
  <c r="M57" i="147"/>
  <c r="N57" i="147" s="1"/>
  <c r="L52" i="133"/>
  <c r="N52" i="133"/>
  <c r="L53" i="134"/>
  <c r="M52" i="134"/>
  <c r="N52" i="134" s="1"/>
  <c r="O52" i="134"/>
  <c r="L71" i="111"/>
  <c r="E72" i="111"/>
  <c r="O88" i="114"/>
  <c r="P88" i="114" s="1"/>
  <c r="E56" i="121"/>
  <c r="O55" i="121"/>
  <c r="F55" i="121"/>
  <c r="J55" i="121" s="1"/>
  <c r="N55" i="121" s="1"/>
  <c r="X88" i="114"/>
  <c r="K57" i="134"/>
  <c r="G58" i="134"/>
  <c r="H57" i="134"/>
  <c r="I56" i="134"/>
  <c r="J56" i="134" s="1"/>
  <c r="I61" i="104"/>
  <c r="H55" i="135"/>
  <c r="I54" i="135"/>
  <c r="J54" i="135" s="1"/>
  <c r="E56" i="135"/>
  <c r="F55" i="135"/>
  <c r="D73" i="93"/>
  <c r="E72" i="93"/>
  <c r="C70" i="55"/>
  <c r="K33" i="112"/>
  <c r="I34" i="112" s="1"/>
  <c r="C36" i="113" s="1"/>
  <c r="H36" i="113" s="1"/>
  <c r="B36" i="113" s="1"/>
  <c r="L58" i="121"/>
  <c r="M57" i="121"/>
  <c r="H72" i="95"/>
  <c r="I71" i="95"/>
  <c r="G53" i="133"/>
  <c r="H52" i="133"/>
  <c r="I52" i="133" s="1"/>
  <c r="M51" i="133"/>
  <c r="F34" i="113"/>
  <c r="G34" i="113" s="1"/>
  <c r="E57" i="95"/>
  <c r="O56" i="95"/>
  <c r="F56" i="95"/>
  <c r="J56" i="95" s="1"/>
  <c r="N56" i="95" s="1"/>
  <c r="K56" i="55"/>
  <c r="D106" i="113"/>
  <c r="E58" i="134"/>
  <c r="F57" i="134"/>
  <c r="D54" i="133"/>
  <c r="E53" i="133"/>
  <c r="K55" i="135"/>
  <c r="G56" i="135"/>
  <c r="F64" i="104"/>
  <c r="E65" i="104"/>
  <c r="B132" i="77"/>
  <c r="G63" i="104"/>
  <c r="H62" i="104"/>
  <c r="B35" i="113"/>
  <c r="J53" i="133"/>
  <c r="K53" i="133" s="1"/>
  <c r="F54" i="133"/>
  <c r="N55" i="55" l="1"/>
  <c r="M64" i="95"/>
  <c r="L65" i="95"/>
  <c r="G52" i="110"/>
  <c r="F53" i="110"/>
  <c r="L52" i="110"/>
  <c r="I56" i="55"/>
  <c r="Q56" i="55" s="1"/>
  <c r="G57" i="55"/>
  <c r="M120" i="110"/>
  <c r="E121" i="110"/>
  <c r="N109" i="110"/>
  <c r="O108" i="110"/>
  <c r="N89" i="114"/>
  <c r="O89" i="114" s="1"/>
  <c r="P89" i="114" s="1"/>
  <c r="J90" i="114"/>
  <c r="Y90" i="114" s="1"/>
  <c r="K90" i="114"/>
  <c r="L90" i="114" s="1"/>
  <c r="M90" i="114" s="1"/>
  <c r="U90" i="114" s="1"/>
  <c r="I91" i="114"/>
  <c r="K57" i="78"/>
  <c r="B58" i="78"/>
  <c r="C57" i="78"/>
  <c r="F56" i="78"/>
  <c r="I56" i="78" s="1"/>
  <c r="L56" i="78" s="1"/>
  <c r="Q54" i="78"/>
  <c r="R54" i="78" s="1"/>
  <c r="K59" i="147"/>
  <c r="O58" i="147"/>
  <c r="O59" i="148"/>
  <c r="G92" i="114"/>
  <c r="F93" i="114"/>
  <c r="Q61" i="113"/>
  <c r="P62" i="113"/>
  <c r="J61" i="91"/>
  <c r="E65" i="91"/>
  <c r="G64" i="91"/>
  <c r="H63" i="91"/>
  <c r="I62" i="91"/>
  <c r="M119" i="88"/>
  <c r="E120" i="88"/>
  <c r="N83" i="88"/>
  <c r="O82" i="88"/>
  <c r="L54" i="88"/>
  <c r="G54" i="88"/>
  <c r="K54" i="88" s="1"/>
  <c r="P54" i="88" s="1"/>
  <c r="F55" i="88"/>
  <c r="C58" i="77"/>
  <c r="L57" i="77"/>
  <c r="P54" i="78"/>
  <c r="T54" i="78"/>
  <c r="R53" i="78"/>
  <c r="S55" i="78"/>
  <c r="N55" i="78"/>
  <c r="O55" i="78" s="1"/>
  <c r="H55" i="77"/>
  <c r="K54" i="77"/>
  <c r="N54" i="77" s="1"/>
  <c r="S53" i="77"/>
  <c r="O53" i="77"/>
  <c r="Q52" i="77"/>
  <c r="R52" i="77" s="1"/>
  <c r="T52" i="77"/>
  <c r="P52" i="77"/>
  <c r="O52" i="135"/>
  <c r="M52" i="135"/>
  <c r="N52" i="135" s="1"/>
  <c r="L53" i="135"/>
  <c r="H61" i="121"/>
  <c r="I60" i="121"/>
  <c r="G98" i="95"/>
  <c r="K97" i="95"/>
  <c r="H60" i="148"/>
  <c r="I59" i="148"/>
  <c r="J59" i="148" s="1"/>
  <c r="E61" i="147"/>
  <c r="G60" i="147"/>
  <c r="F60" i="147"/>
  <c r="N58" i="148"/>
  <c r="E62" i="148"/>
  <c r="G61" i="148"/>
  <c r="F61" i="148"/>
  <c r="L59" i="147"/>
  <c r="M58" i="147"/>
  <c r="L60" i="148"/>
  <c r="M59" i="148"/>
  <c r="H59" i="147"/>
  <c r="O59" i="147" s="1"/>
  <c r="I58" i="147"/>
  <c r="J58" i="147" s="1"/>
  <c r="L53" i="133"/>
  <c r="N53" i="133"/>
  <c r="F35" i="113"/>
  <c r="G35" i="113" s="1"/>
  <c r="G64" i="104"/>
  <c r="H63" i="104"/>
  <c r="B133" i="77"/>
  <c r="F65" i="104"/>
  <c r="E66" i="104"/>
  <c r="G57" i="135"/>
  <c r="K56" i="135"/>
  <c r="D55" i="133"/>
  <c r="E54" i="133"/>
  <c r="K57" i="55"/>
  <c r="G54" i="133"/>
  <c r="H53" i="133"/>
  <c r="I53" i="133" s="1"/>
  <c r="J34" i="112"/>
  <c r="C71" i="55"/>
  <c r="G59" i="134"/>
  <c r="K58" i="134"/>
  <c r="V89" i="114"/>
  <c r="W89" i="114" s="1"/>
  <c r="X89" i="114"/>
  <c r="D107" i="113"/>
  <c r="J54" i="133"/>
  <c r="K54" i="133" s="1"/>
  <c r="F55" i="133"/>
  <c r="I62" i="104"/>
  <c r="E59" i="134"/>
  <c r="F58" i="134"/>
  <c r="O57" i="95"/>
  <c r="E58" i="95"/>
  <c r="F57" i="95"/>
  <c r="J57" i="95" s="1"/>
  <c r="N57" i="95" s="1"/>
  <c r="I34" i="113"/>
  <c r="J34" i="113" s="1"/>
  <c r="H73" i="95"/>
  <c r="I72" i="95"/>
  <c r="L59" i="121"/>
  <c r="M58" i="121"/>
  <c r="D74" i="93"/>
  <c r="E73" i="93"/>
  <c r="E57" i="135"/>
  <c r="F56" i="135"/>
  <c r="H56" i="135"/>
  <c r="I55" i="135"/>
  <c r="J55" i="135" s="1"/>
  <c r="H58" i="134"/>
  <c r="I57" i="134"/>
  <c r="J57" i="134" s="1"/>
  <c r="E57" i="121"/>
  <c r="O56" i="121"/>
  <c r="F56" i="121"/>
  <c r="J56" i="121" s="1"/>
  <c r="N56" i="121" s="1"/>
  <c r="E73" i="111"/>
  <c r="L72" i="111"/>
  <c r="L54" i="134"/>
  <c r="M53" i="134"/>
  <c r="N53" i="134" s="1"/>
  <c r="O53" i="134"/>
  <c r="M52" i="133"/>
  <c r="K60" i="147" l="1"/>
  <c r="L60" i="147" s="1"/>
  <c r="N56" i="55"/>
  <c r="L66" i="95"/>
  <c r="M65" i="95"/>
  <c r="G53" i="110"/>
  <c r="L53" i="110"/>
  <c r="F54" i="110"/>
  <c r="I57" i="55"/>
  <c r="Q57" i="55" s="1"/>
  <c r="G58" i="55"/>
  <c r="N110" i="110"/>
  <c r="O109" i="110"/>
  <c r="E122" i="110"/>
  <c r="M121" i="110"/>
  <c r="I92" i="114"/>
  <c r="K91" i="114"/>
  <c r="L91" i="114" s="1"/>
  <c r="M91" i="114" s="1"/>
  <c r="U91" i="114" s="1"/>
  <c r="J91" i="114"/>
  <c r="Y91" i="114" s="1"/>
  <c r="N90" i="114"/>
  <c r="O90" i="114" s="1"/>
  <c r="P90" i="114" s="1"/>
  <c r="F57" i="78"/>
  <c r="I57" i="78" s="1"/>
  <c r="L57" i="78" s="1"/>
  <c r="C58" i="78"/>
  <c r="K58" i="78"/>
  <c r="B59" i="78"/>
  <c r="N59" i="148"/>
  <c r="F94" i="114"/>
  <c r="G93" i="114"/>
  <c r="Q62" i="113"/>
  <c r="H64" i="91"/>
  <c r="I63" i="91"/>
  <c r="G65" i="91"/>
  <c r="E66" i="91"/>
  <c r="J62" i="91"/>
  <c r="E121" i="88"/>
  <c r="M120" i="88"/>
  <c r="N84" i="88"/>
  <c r="O83" i="88"/>
  <c r="F56" i="88"/>
  <c r="G55" i="88"/>
  <c r="K55" i="88" s="1"/>
  <c r="P55" i="88" s="1"/>
  <c r="L55" i="88"/>
  <c r="L58" i="77"/>
  <c r="C59" i="77"/>
  <c r="S56" i="78"/>
  <c r="N56" i="78"/>
  <c r="O56" i="78" s="1"/>
  <c r="Q55" i="78"/>
  <c r="P55" i="78"/>
  <c r="T55" i="78"/>
  <c r="H56" i="77"/>
  <c r="K55" i="77"/>
  <c r="N55" i="77" s="1"/>
  <c r="P53" i="77"/>
  <c r="Q53" i="77"/>
  <c r="R53" i="77" s="1"/>
  <c r="T53" i="77"/>
  <c r="S54" i="77"/>
  <c r="O54" i="77"/>
  <c r="O53" i="135"/>
  <c r="M53" i="135"/>
  <c r="L54" i="135"/>
  <c r="H62" i="121"/>
  <c r="I61" i="121"/>
  <c r="G99" i="95"/>
  <c r="K98" i="95"/>
  <c r="O60" i="148"/>
  <c r="M59" i="147"/>
  <c r="E62" i="147"/>
  <c r="G61" i="147"/>
  <c r="K61" i="147" s="1"/>
  <c r="F61" i="147"/>
  <c r="H61" i="148"/>
  <c r="I60" i="148"/>
  <c r="J60" i="148" s="1"/>
  <c r="H60" i="147"/>
  <c r="I59" i="147"/>
  <c r="J59" i="147" s="1"/>
  <c r="L61" i="148"/>
  <c r="M60" i="148"/>
  <c r="N58" i="147"/>
  <c r="E63" i="148"/>
  <c r="G62" i="148"/>
  <c r="F62" i="148"/>
  <c r="N54" i="133"/>
  <c r="L54" i="133"/>
  <c r="L73" i="111"/>
  <c r="E74" i="111"/>
  <c r="E58" i="121"/>
  <c r="O57" i="121"/>
  <c r="F57" i="121"/>
  <c r="J57" i="121" s="1"/>
  <c r="N57" i="121" s="1"/>
  <c r="H57" i="135"/>
  <c r="I56" i="135"/>
  <c r="J56" i="135" s="1"/>
  <c r="H74" i="95"/>
  <c r="I73" i="95"/>
  <c r="E60" i="134"/>
  <c r="F59" i="134"/>
  <c r="G60" i="134"/>
  <c r="K59" i="134"/>
  <c r="G58" i="135"/>
  <c r="K57" i="135"/>
  <c r="F66" i="104"/>
  <c r="E67" i="104"/>
  <c r="B134" i="77"/>
  <c r="I63" i="104"/>
  <c r="F36" i="113"/>
  <c r="G36" i="113" s="1"/>
  <c r="M53" i="133"/>
  <c r="L55" i="134"/>
  <c r="M54" i="134"/>
  <c r="N54" i="134" s="1"/>
  <c r="O54" i="134"/>
  <c r="H106" i="112"/>
  <c r="D108" i="113" s="1"/>
  <c r="H59" i="134"/>
  <c r="I58" i="134"/>
  <c r="J58" i="134" s="1"/>
  <c r="E58" i="135"/>
  <c r="F57" i="135"/>
  <c r="D75" i="93"/>
  <c r="E74" i="93"/>
  <c r="L60" i="121"/>
  <c r="M59" i="121"/>
  <c r="E59" i="95"/>
  <c r="O58" i="95"/>
  <c r="F58" i="95"/>
  <c r="J58" i="95" s="1"/>
  <c r="N58" i="95" s="1"/>
  <c r="J55" i="133"/>
  <c r="K55" i="133" s="1"/>
  <c r="F56" i="133"/>
  <c r="V90" i="114"/>
  <c r="W90" i="114" s="1"/>
  <c r="X90" i="114"/>
  <c r="C72" i="55"/>
  <c r="K34" i="112"/>
  <c r="I35" i="112" s="1"/>
  <c r="C37" i="113" s="1"/>
  <c r="H37" i="113" s="1"/>
  <c r="G55" i="133"/>
  <c r="H54" i="133"/>
  <c r="I54" i="133" s="1"/>
  <c r="K58" i="55"/>
  <c r="D56" i="133"/>
  <c r="E55" i="133"/>
  <c r="G65" i="104"/>
  <c r="H64" i="104"/>
  <c r="I35" i="113"/>
  <c r="J35" i="113" s="1"/>
  <c r="M66" i="95" l="1"/>
  <c r="L67" i="95"/>
  <c r="N60" i="148"/>
  <c r="L54" i="110"/>
  <c r="F55" i="110"/>
  <c r="G54" i="110"/>
  <c r="N57" i="55"/>
  <c r="N91" i="114"/>
  <c r="O91" i="114" s="1"/>
  <c r="P91" i="114" s="1"/>
  <c r="L62" i="148"/>
  <c r="N53" i="135"/>
  <c r="G59" i="55"/>
  <c r="I58" i="55"/>
  <c r="Q58" i="55" s="1"/>
  <c r="Q56" i="78"/>
  <c r="N111" i="110"/>
  <c r="O110" i="110"/>
  <c r="E123" i="110"/>
  <c r="M122" i="110"/>
  <c r="J35" i="112"/>
  <c r="K35" i="112" s="1"/>
  <c r="I36" i="112" s="1"/>
  <c r="C38" i="113" s="1"/>
  <c r="H38" i="113" s="1"/>
  <c r="B38" i="113" s="1"/>
  <c r="K92" i="114"/>
  <c r="L92" i="114" s="1"/>
  <c r="M92" i="114" s="1"/>
  <c r="I93" i="114"/>
  <c r="K93" i="114" s="1"/>
  <c r="J92" i="114"/>
  <c r="Y92" i="114" s="1"/>
  <c r="K59" i="78"/>
  <c r="B60" i="78"/>
  <c r="C59" i="78"/>
  <c r="F58" i="78"/>
  <c r="I58" i="78" s="1"/>
  <c r="O60" i="147"/>
  <c r="G94" i="114"/>
  <c r="F95" i="114"/>
  <c r="I64" i="91"/>
  <c r="H65" i="91"/>
  <c r="G66" i="91"/>
  <c r="E67" i="91"/>
  <c r="J63" i="91"/>
  <c r="M121" i="88"/>
  <c r="E122" i="88"/>
  <c r="N85" i="88"/>
  <c r="O84" i="88"/>
  <c r="L56" i="88"/>
  <c r="G56" i="88"/>
  <c r="K56" i="88" s="1"/>
  <c r="P56" i="88" s="1"/>
  <c r="F57" i="88"/>
  <c r="L59" i="77"/>
  <c r="C60" i="77"/>
  <c r="S57" i="78"/>
  <c r="N57" i="78"/>
  <c r="O57" i="78" s="1"/>
  <c r="R56" i="78"/>
  <c r="R55" i="78"/>
  <c r="T56" i="78"/>
  <c r="P56" i="78"/>
  <c r="T54" i="77"/>
  <c r="P54" i="77"/>
  <c r="Q54" i="77"/>
  <c r="R54" i="77" s="1"/>
  <c r="S55" i="77"/>
  <c r="O55" i="77"/>
  <c r="H57" i="77"/>
  <c r="K56" i="77"/>
  <c r="N56" i="77" s="1"/>
  <c r="O54" i="135"/>
  <c r="M54" i="135"/>
  <c r="N54" i="135" s="1"/>
  <c r="L55" i="135"/>
  <c r="I62" i="121"/>
  <c r="K99" i="95"/>
  <c r="G100" i="95"/>
  <c r="O61" i="148"/>
  <c r="E64" i="148"/>
  <c r="G63" i="148"/>
  <c r="F63" i="148"/>
  <c r="M61" i="148"/>
  <c r="H62" i="148"/>
  <c r="I61" i="148"/>
  <c r="J61" i="148" s="1"/>
  <c r="E63" i="147"/>
  <c r="G62" i="147"/>
  <c r="K62" i="147" s="1"/>
  <c r="F62" i="147"/>
  <c r="L61" i="147"/>
  <c r="M60" i="147"/>
  <c r="H61" i="147"/>
  <c r="I60" i="147"/>
  <c r="J60" i="147" s="1"/>
  <c r="N59" i="147"/>
  <c r="L55" i="133"/>
  <c r="D57" i="133"/>
  <c r="E56" i="133"/>
  <c r="C73" i="55"/>
  <c r="O59" i="95"/>
  <c r="E60" i="95"/>
  <c r="F59" i="95"/>
  <c r="J59" i="95" s="1"/>
  <c r="N59" i="95" s="1"/>
  <c r="L56" i="134"/>
  <c r="M55" i="134"/>
  <c r="N55" i="134" s="1"/>
  <c r="O55" i="134"/>
  <c r="F37" i="113"/>
  <c r="B135" i="77"/>
  <c r="F67" i="104"/>
  <c r="E68" i="104"/>
  <c r="K58" i="135"/>
  <c r="G59" i="135"/>
  <c r="G61" i="134"/>
  <c r="K60" i="134"/>
  <c r="H75" i="95"/>
  <c r="I74" i="95"/>
  <c r="H58" i="135"/>
  <c r="I57" i="135"/>
  <c r="J57" i="135" s="1"/>
  <c r="E59" i="121"/>
  <c r="O58" i="121"/>
  <c r="F58" i="121"/>
  <c r="J58" i="121" s="1"/>
  <c r="N58" i="121" s="1"/>
  <c r="H107" i="112"/>
  <c r="D109" i="113" s="1"/>
  <c r="G66" i="104"/>
  <c r="H65" i="104"/>
  <c r="G56" i="133"/>
  <c r="H55" i="133"/>
  <c r="I55" i="133" s="1"/>
  <c r="I64" i="104"/>
  <c r="N55" i="133"/>
  <c r="K59" i="55"/>
  <c r="B37" i="113"/>
  <c r="U92" i="114"/>
  <c r="V91" i="114"/>
  <c r="X91" i="114"/>
  <c r="F57" i="133"/>
  <c r="J56" i="133"/>
  <c r="K56" i="133" s="1"/>
  <c r="L61" i="121"/>
  <c r="M60" i="121"/>
  <c r="D76" i="93"/>
  <c r="E75" i="93"/>
  <c r="E59" i="135"/>
  <c r="F58" i="135"/>
  <c r="H60" i="134"/>
  <c r="I59" i="134"/>
  <c r="J59" i="134" s="1"/>
  <c r="I36" i="113"/>
  <c r="J36" i="113" s="1"/>
  <c r="E61" i="134"/>
  <c r="F60" i="134"/>
  <c r="L74" i="111"/>
  <c r="E75" i="111"/>
  <c r="M54" i="133"/>
  <c r="N58" i="55" l="1"/>
  <c r="M67" i="95"/>
  <c r="L68" i="95"/>
  <c r="L55" i="110"/>
  <c r="G55" i="110"/>
  <c r="F56" i="110"/>
  <c r="O61" i="147"/>
  <c r="L62" i="147"/>
  <c r="N92" i="114"/>
  <c r="O96" i="114" s="1"/>
  <c r="I59" i="55"/>
  <c r="Q59" i="55" s="1"/>
  <c r="G60" i="55"/>
  <c r="N112" i="110"/>
  <c r="O111" i="110"/>
  <c r="M123" i="110"/>
  <c r="E124" i="110"/>
  <c r="L93" i="114"/>
  <c r="M93" i="114" s="1"/>
  <c r="U93" i="114" s="1"/>
  <c r="I94" i="114"/>
  <c r="J93" i="114"/>
  <c r="Y93" i="114" s="1"/>
  <c r="J36" i="112"/>
  <c r="K36" i="112" s="1"/>
  <c r="I37" i="112" s="1"/>
  <c r="C39" i="113" s="1"/>
  <c r="H39" i="113" s="1"/>
  <c r="B39" i="113" s="1"/>
  <c r="O62" i="148"/>
  <c r="L58" i="78"/>
  <c r="N58" i="78" s="1"/>
  <c r="O58" i="78" s="1"/>
  <c r="C60" i="78"/>
  <c r="F59" i="78"/>
  <c r="K60" i="78"/>
  <c r="B61" i="78"/>
  <c r="G95" i="114"/>
  <c r="F96" i="114"/>
  <c r="J64" i="91"/>
  <c r="E68" i="91"/>
  <c r="G67" i="91"/>
  <c r="H66" i="91"/>
  <c r="I65" i="91"/>
  <c r="E123" i="88"/>
  <c r="M122" i="88"/>
  <c r="N86" i="88"/>
  <c r="O85" i="88"/>
  <c r="F58" i="88"/>
  <c r="G57" i="88"/>
  <c r="K57" i="88" s="1"/>
  <c r="P57" i="88" s="1"/>
  <c r="L57" i="88"/>
  <c r="C61" i="77"/>
  <c r="L60" i="77"/>
  <c r="Q57" i="78"/>
  <c r="T57" i="78"/>
  <c r="P57" i="78"/>
  <c r="S56" i="77"/>
  <c r="O56" i="77"/>
  <c r="T55" i="77"/>
  <c r="Q55" i="77"/>
  <c r="R55" i="77" s="1"/>
  <c r="P55" i="77"/>
  <c r="H58" i="77"/>
  <c r="K57" i="77"/>
  <c r="N57" i="77" s="1"/>
  <c r="O55" i="135"/>
  <c r="M55" i="135"/>
  <c r="N55" i="135" s="1"/>
  <c r="L56" i="135"/>
  <c r="G101" i="95"/>
  <c r="K100" i="95"/>
  <c r="H62" i="147"/>
  <c r="I61" i="147"/>
  <c r="J61" i="147" s="1"/>
  <c r="N60" i="147"/>
  <c r="E64" i="147"/>
  <c r="G63" i="147"/>
  <c r="F63" i="147"/>
  <c r="H63" i="148"/>
  <c r="I62" i="148"/>
  <c r="J62" i="148" s="1"/>
  <c r="N61" i="148"/>
  <c r="E65" i="148"/>
  <c r="G64" i="148"/>
  <c r="F64" i="148"/>
  <c r="M61" i="147"/>
  <c r="L63" i="148"/>
  <c r="M62" i="148"/>
  <c r="L56" i="133"/>
  <c r="L75" i="111"/>
  <c r="E76" i="111"/>
  <c r="H108" i="112"/>
  <c r="D110" i="113" s="1"/>
  <c r="O104" i="114"/>
  <c r="O102" i="114"/>
  <c r="E62" i="134"/>
  <c r="F61" i="134"/>
  <c r="D77" i="93"/>
  <c r="E76" i="93"/>
  <c r="L62" i="121"/>
  <c r="M61" i="121"/>
  <c r="K60" i="55"/>
  <c r="N59" i="55"/>
  <c r="G67" i="104"/>
  <c r="H66" i="104"/>
  <c r="E60" i="121"/>
  <c r="O59" i="121"/>
  <c r="F59" i="121"/>
  <c r="J59" i="121" s="1"/>
  <c r="N59" i="121" s="1"/>
  <c r="H76" i="95"/>
  <c r="I75" i="95"/>
  <c r="G62" i="134"/>
  <c r="K61" i="134"/>
  <c r="K59" i="135"/>
  <c r="G60" i="135"/>
  <c r="B136" i="77"/>
  <c r="I37" i="113"/>
  <c r="J37" i="113" s="1"/>
  <c r="L57" i="134"/>
  <c r="M56" i="134"/>
  <c r="N56" i="134" s="1"/>
  <c r="O56" i="134"/>
  <c r="E61" i="95"/>
  <c r="O60" i="95"/>
  <c r="F60" i="95"/>
  <c r="J60" i="95" s="1"/>
  <c r="N60" i="95" s="1"/>
  <c r="C74" i="55"/>
  <c r="D58" i="133"/>
  <c r="E57" i="133"/>
  <c r="M55" i="133"/>
  <c r="H61" i="134"/>
  <c r="I60" i="134"/>
  <c r="J60" i="134" s="1"/>
  <c r="E60" i="135"/>
  <c r="F59" i="135"/>
  <c r="J57" i="133"/>
  <c r="K57" i="133" s="1"/>
  <c r="F58" i="133"/>
  <c r="W91" i="114"/>
  <c r="V92" i="114"/>
  <c r="W92" i="114" s="1"/>
  <c r="X92" i="114"/>
  <c r="G57" i="133"/>
  <c r="H56" i="133"/>
  <c r="I56" i="133" s="1"/>
  <c r="I65" i="104"/>
  <c r="H59" i="135"/>
  <c r="I58" i="135"/>
  <c r="J58" i="135" s="1"/>
  <c r="E69" i="104"/>
  <c r="F68" i="104"/>
  <c r="G37" i="113"/>
  <c r="N56" i="133"/>
  <c r="K63" i="147" l="1"/>
  <c r="L63" i="147" s="1"/>
  <c r="L69" i="95"/>
  <c r="M68" i="95"/>
  <c r="N61" i="147"/>
  <c r="O95" i="114"/>
  <c r="O97" i="114"/>
  <c r="O98" i="114"/>
  <c r="O93" i="114"/>
  <c r="P93" i="114" s="1"/>
  <c r="F57" i="110"/>
  <c r="G56" i="110"/>
  <c r="L56" i="110"/>
  <c r="O100" i="114"/>
  <c r="O94" i="114"/>
  <c r="O92" i="114"/>
  <c r="P92" i="114" s="1"/>
  <c r="O99" i="114"/>
  <c r="O101" i="114"/>
  <c r="O103" i="114"/>
  <c r="G61" i="55"/>
  <c r="I60" i="55"/>
  <c r="Q60" i="55" s="1"/>
  <c r="E125" i="110"/>
  <c r="M124" i="110"/>
  <c r="N113" i="110"/>
  <c r="O112" i="110"/>
  <c r="I95" i="114"/>
  <c r="K94" i="114"/>
  <c r="L94" i="114" s="1"/>
  <c r="M94" i="114" s="1"/>
  <c r="U94" i="114" s="1"/>
  <c r="J94" i="114"/>
  <c r="Y94" i="114" s="1"/>
  <c r="N62" i="148"/>
  <c r="S58" i="78"/>
  <c r="C61" i="78"/>
  <c r="F60" i="78"/>
  <c r="K61" i="78"/>
  <c r="B62" i="78"/>
  <c r="I59" i="78"/>
  <c r="O62" i="147"/>
  <c r="G96" i="114"/>
  <c r="F97" i="114"/>
  <c r="H67" i="91"/>
  <c r="I66" i="91"/>
  <c r="E69" i="91"/>
  <c r="G68" i="91"/>
  <c r="J65" i="91"/>
  <c r="M123" i="88"/>
  <c r="E124" i="88"/>
  <c r="N87" i="88"/>
  <c r="O86" i="88"/>
  <c r="G58" i="88"/>
  <c r="K58" i="88" s="1"/>
  <c r="P58" i="88" s="1"/>
  <c r="L58" i="88"/>
  <c r="F59" i="88"/>
  <c r="C62" i="77"/>
  <c r="L61" i="77"/>
  <c r="P58" i="78"/>
  <c r="T58" i="78"/>
  <c r="R57" i="78"/>
  <c r="Q58" i="78"/>
  <c r="K58" i="77"/>
  <c r="N58" i="77" s="1"/>
  <c r="H59" i="77"/>
  <c r="O57" i="77"/>
  <c r="S57" i="77"/>
  <c r="P56" i="77"/>
  <c r="T56" i="77"/>
  <c r="Q56" i="77"/>
  <c r="R56" i="77" s="1"/>
  <c r="O56" i="135"/>
  <c r="M56" i="135"/>
  <c r="N56" i="135" s="1"/>
  <c r="L57" i="135"/>
  <c r="K101" i="95"/>
  <c r="G102" i="95"/>
  <c r="O63" i="148"/>
  <c r="L64" i="148"/>
  <c r="M63" i="148"/>
  <c r="E66" i="148"/>
  <c r="G65" i="148"/>
  <c r="F65" i="148"/>
  <c r="H63" i="147"/>
  <c r="I62" i="147"/>
  <c r="J62" i="147" s="1"/>
  <c r="M62" i="147"/>
  <c r="H64" i="148"/>
  <c r="I63" i="148"/>
  <c r="J63" i="148" s="1"/>
  <c r="E65" i="147"/>
  <c r="G64" i="147"/>
  <c r="K64" i="147" s="1"/>
  <c r="F64" i="147"/>
  <c r="L57" i="133"/>
  <c r="E70" i="104"/>
  <c r="F69" i="104"/>
  <c r="G58" i="133"/>
  <c r="H57" i="133"/>
  <c r="I57" i="133" s="1"/>
  <c r="V93" i="114"/>
  <c r="W93" i="114" s="1"/>
  <c r="X93" i="114"/>
  <c r="N57" i="133"/>
  <c r="J37" i="112"/>
  <c r="E62" i="95"/>
  <c r="O61" i="95"/>
  <c r="F61" i="95"/>
  <c r="J61" i="95" s="1"/>
  <c r="N61" i="95" s="1"/>
  <c r="L58" i="134"/>
  <c r="M57" i="134"/>
  <c r="N57" i="134" s="1"/>
  <c r="O57" i="134"/>
  <c r="B137" i="77"/>
  <c r="K60" i="135"/>
  <c r="G61" i="135"/>
  <c r="G63" i="134"/>
  <c r="K62" i="134"/>
  <c r="H77" i="95"/>
  <c r="I76" i="95"/>
  <c r="E61" i="121"/>
  <c r="O60" i="121"/>
  <c r="F60" i="121"/>
  <c r="J60" i="121" s="1"/>
  <c r="G68" i="104"/>
  <c r="H67" i="104"/>
  <c r="K61" i="55"/>
  <c r="N60" i="55"/>
  <c r="D78" i="93"/>
  <c r="E77" i="93"/>
  <c r="L76" i="111"/>
  <c r="E77" i="111"/>
  <c r="F38" i="113"/>
  <c r="G38" i="113" s="1"/>
  <c r="H60" i="135"/>
  <c r="I59" i="135"/>
  <c r="J59" i="135" s="1"/>
  <c r="J58" i="133"/>
  <c r="K58" i="133" s="1"/>
  <c r="F59" i="133"/>
  <c r="E61" i="135"/>
  <c r="F60" i="135"/>
  <c r="H62" i="134"/>
  <c r="I61" i="134"/>
  <c r="J61" i="134" s="1"/>
  <c r="D59" i="133"/>
  <c r="E58" i="133"/>
  <c r="C75" i="55"/>
  <c r="I66" i="104"/>
  <c r="M62" i="121"/>
  <c r="E63" i="134"/>
  <c r="F62" i="134"/>
  <c r="H109" i="112"/>
  <c r="D111" i="113" s="1"/>
  <c r="M56" i="133"/>
  <c r="N62" i="147" l="1"/>
  <c r="M69" i="95"/>
  <c r="L70" i="95"/>
  <c r="L57" i="110"/>
  <c r="G57" i="110"/>
  <c r="F58" i="110"/>
  <c r="G62" i="55"/>
  <c r="I61" i="55"/>
  <c r="Q61" i="55" s="1"/>
  <c r="E126" i="110"/>
  <c r="M125" i="110"/>
  <c r="N114" i="110"/>
  <c r="O113" i="110"/>
  <c r="P94" i="114"/>
  <c r="N60" i="121"/>
  <c r="J95" i="114"/>
  <c r="Y95" i="114" s="1"/>
  <c r="K95" i="114"/>
  <c r="I96" i="114"/>
  <c r="K62" i="78"/>
  <c r="B63" i="78"/>
  <c r="I60" i="78"/>
  <c r="L59" i="78"/>
  <c r="F61" i="78"/>
  <c r="C62" i="78"/>
  <c r="O63" i="147"/>
  <c r="O64" i="148"/>
  <c r="G97" i="114"/>
  <c r="F98" i="114"/>
  <c r="G69" i="91"/>
  <c r="E70" i="91"/>
  <c r="I67" i="91"/>
  <c r="J67" i="91" s="1"/>
  <c r="H68" i="91"/>
  <c r="J66" i="91"/>
  <c r="E125" i="88"/>
  <c r="M124" i="88"/>
  <c r="N88" i="88"/>
  <c r="O87" i="88"/>
  <c r="L59" i="88"/>
  <c r="G59" i="88"/>
  <c r="K59" i="88" s="1"/>
  <c r="P59" i="88" s="1"/>
  <c r="F60" i="88"/>
  <c r="L62" i="77"/>
  <c r="C63" i="77"/>
  <c r="R58" i="78"/>
  <c r="S58" i="77"/>
  <c r="O58" i="77"/>
  <c r="K59" i="77"/>
  <c r="N59" i="77" s="1"/>
  <c r="H60" i="77"/>
  <c r="Q57" i="77"/>
  <c r="R57" i="77" s="1"/>
  <c r="P57" i="77"/>
  <c r="T57" i="77"/>
  <c r="O57" i="135"/>
  <c r="M57" i="135"/>
  <c r="N57" i="135" s="1"/>
  <c r="L58" i="135"/>
  <c r="K102" i="95"/>
  <c r="G103" i="95"/>
  <c r="E66" i="147"/>
  <c r="G65" i="147"/>
  <c r="F65" i="147"/>
  <c r="L64" i="147"/>
  <c r="M63" i="147"/>
  <c r="H64" i="147"/>
  <c r="I63" i="147"/>
  <c r="J63" i="147" s="1"/>
  <c r="L65" i="148"/>
  <c r="M64" i="148"/>
  <c r="H65" i="148"/>
  <c r="I64" i="148"/>
  <c r="J64" i="148" s="1"/>
  <c r="E67" i="148"/>
  <c r="G66" i="148"/>
  <c r="F66" i="148"/>
  <c r="N63" i="148"/>
  <c r="L58" i="133"/>
  <c r="N58" i="133"/>
  <c r="E64" i="134"/>
  <c r="F63" i="134"/>
  <c r="D60" i="133"/>
  <c r="E59" i="133"/>
  <c r="J59" i="133"/>
  <c r="K59" i="133" s="1"/>
  <c r="F60" i="133"/>
  <c r="I38" i="113"/>
  <c r="J38" i="113" s="1"/>
  <c r="H110" i="112"/>
  <c r="D112" i="113" s="1"/>
  <c r="K62" i="55"/>
  <c r="N61" i="55"/>
  <c r="G69" i="104"/>
  <c r="H68" i="104"/>
  <c r="G62" i="135"/>
  <c r="K61" i="135"/>
  <c r="B138" i="77"/>
  <c r="F70" i="104"/>
  <c r="E71" i="104"/>
  <c r="C76" i="55"/>
  <c r="H63" i="134"/>
  <c r="I62" i="134"/>
  <c r="J62" i="134" s="1"/>
  <c r="E62" i="135"/>
  <c r="F61" i="135"/>
  <c r="H61" i="135"/>
  <c r="I60" i="135"/>
  <c r="J60" i="135" s="1"/>
  <c r="F39" i="113"/>
  <c r="G39" i="113" s="1"/>
  <c r="L77" i="111"/>
  <c r="E78" i="111"/>
  <c r="D79" i="93"/>
  <c r="E78" i="93"/>
  <c r="I67" i="104"/>
  <c r="E62" i="121"/>
  <c r="O61" i="121"/>
  <c r="F61" i="121"/>
  <c r="J61" i="121" s="1"/>
  <c r="N61" i="121" s="1"/>
  <c r="H78" i="95"/>
  <c r="I77" i="95"/>
  <c r="G64" i="134"/>
  <c r="K63" i="134"/>
  <c r="L59" i="134"/>
  <c r="M58" i="134"/>
  <c r="O58" i="134"/>
  <c r="E63" i="95"/>
  <c r="O62" i="95"/>
  <c r="F62" i="95"/>
  <c r="J62" i="95" s="1"/>
  <c r="N62" i="95" s="1"/>
  <c r="K37" i="112"/>
  <c r="I38" i="112" s="1"/>
  <c r="C40" i="113" s="1"/>
  <c r="H40" i="113" s="1"/>
  <c r="B40" i="113" s="1"/>
  <c r="V94" i="114"/>
  <c r="W94" i="114" s="1"/>
  <c r="X94" i="114"/>
  <c r="G59" i="133"/>
  <c r="H58" i="133"/>
  <c r="I58" i="133" s="1"/>
  <c r="M57" i="133"/>
  <c r="K65" i="147" l="1"/>
  <c r="O65" i="148"/>
  <c r="M70" i="95"/>
  <c r="L71" i="95"/>
  <c r="F59" i="110"/>
  <c r="L58" i="110"/>
  <c r="G58" i="110"/>
  <c r="O64" i="147"/>
  <c r="N58" i="134"/>
  <c r="G63" i="55"/>
  <c r="I62" i="55"/>
  <c r="Q62" i="55" s="1"/>
  <c r="E127" i="110"/>
  <c r="M126" i="110"/>
  <c r="N115" i="110"/>
  <c r="O114" i="110"/>
  <c r="P95" i="114"/>
  <c r="L95" i="114"/>
  <c r="M95" i="114" s="1"/>
  <c r="U95" i="114" s="1"/>
  <c r="K96" i="114"/>
  <c r="I97" i="114"/>
  <c r="J96" i="114"/>
  <c r="Y96" i="114" s="1"/>
  <c r="N59" i="78"/>
  <c r="O59" i="78" s="1"/>
  <c r="S59" i="78"/>
  <c r="I61" i="78"/>
  <c r="L60" i="78"/>
  <c r="F62" i="78"/>
  <c r="C63" i="78"/>
  <c r="K63" i="78"/>
  <c r="B64" i="78"/>
  <c r="F99" i="114"/>
  <c r="G98" i="114"/>
  <c r="H69" i="91"/>
  <c r="I68" i="91"/>
  <c r="E71" i="91"/>
  <c r="G70" i="91"/>
  <c r="M125" i="88"/>
  <c r="E126" i="88"/>
  <c r="N89" i="88"/>
  <c r="O88" i="88"/>
  <c r="L60" i="88"/>
  <c r="G60" i="88"/>
  <c r="K60" i="88" s="1"/>
  <c r="P60" i="88" s="1"/>
  <c r="F61" i="88"/>
  <c r="C64" i="77"/>
  <c r="L63" i="77"/>
  <c r="S59" i="77"/>
  <c r="O59" i="77"/>
  <c r="K60" i="77"/>
  <c r="N60" i="77" s="1"/>
  <c r="H61" i="77"/>
  <c r="P58" i="77"/>
  <c r="T58" i="77"/>
  <c r="Q58" i="77"/>
  <c r="R58" i="77" s="1"/>
  <c r="M58" i="135"/>
  <c r="N58" i="135" s="1"/>
  <c r="O58" i="135"/>
  <c r="L59" i="135"/>
  <c r="K103" i="95"/>
  <c r="G104" i="95"/>
  <c r="E68" i="148"/>
  <c r="G67" i="148"/>
  <c r="F67" i="148"/>
  <c r="H66" i="148"/>
  <c r="I65" i="148"/>
  <c r="J65" i="148" s="1"/>
  <c r="L66" i="148"/>
  <c r="M65" i="148"/>
  <c r="H65" i="147"/>
  <c r="I64" i="147"/>
  <c r="J64" i="147" s="1"/>
  <c r="N63" i="147"/>
  <c r="N64" i="148"/>
  <c r="L65" i="147"/>
  <c r="M64" i="147"/>
  <c r="E67" i="147"/>
  <c r="G66" i="147"/>
  <c r="F66" i="147"/>
  <c r="L59" i="133"/>
  <c r="G60" i="133"/>
  <c r="H59" i="133"/>
  <c r="I59" i="133" s="1"/>
  <c r="E64" i="95"/>
  <c r="O63" i="95"/>
  <c r="F63" i="95"/>
  <c r="J63" i="95" s="1"/>
  <c r="N63" i="95" s="1"/>
  <c r="L60" i="134"/>
  <c r="M59" i="134"/>
  <c r="N59" i="134" s="1"/>
  <c r="O59" i="134"/>
  <c r="E63" i="121"/>
  <c r="O62" i="121"/>
  <c r="F62" i="121"/>
  <c r="J62" i="121" s="1"/>
  <c r="N62" i="121" s="1"/>
  <c r="D80" i="93"/>
  <c r="E79" i="93"/>
  <c r="L78" i="111"/>
  <c r="E79" i="111"/>
  <c r="I39" i="113"/>
  <c r="H64" i="134"/>
  <c r="I63" i="134"/>
  <c r="J63" i="134" s="1"/>
  <c r="F71" i="104"/>
  <c r="E72" i="104"/>
  <c r="B139" i="77"/>
  <c r="G63" i="135"/>
  <c r="K62" i="135"/>
  <c r="G70" i="104"/>
  <c r="H69" i="104"/>
  <c r="K63" i="55"/>
  <c r="N59" i="133"/>
  <c r="J38" i="112"/>
  <c r="G65" i="134"/>
  <c r="K64" i="134"/>
  <c r="H79" i="95"/>
  <c r="I78" i="95"/>
  <c r="H111" i="112"/>
  <c r="D113" i="113" s="1"/>
  <c r="F40" i="113"/>
  <c r="H62" i="135"/>
  <c r="I61" i="135"/>
  <c r="J61" i="135" s="1"/>
  <c r="E63" i="135"/>
  <c r="F62" i="135"/>
  <c r="C77" i="55"/>
  <c r="I68" i="104"/>
  <c r="J60" i="133"/>
  <c r="K60" i="133" s="1"/>
  <c r="F61" i="133"/>
  <c r="D61" i="133"/>
  <c r="E60" i="133"/>
  <c r="E65" i="134"/>
  <c r="F64" i="134"/>
  <c r="M58" i="133"/>
  <c r="K66" i="147" l="1"/>
  <c r="L66" i="147" s="1"/>
  <c r="L72" i="95"/>
  <c r="M71" i="95"/>
  <c r="G59" i="110"/>
  <c r="F60" i="110"/>
  <c r="L59" i="110"/>
  <c r="N62" i="55"/>
  <c r="J39" i="113"/>
  <c r="X95" i="114"/>
  <c r="V95" i="114"/>
  <c r="W95" i="114" s="1"/>
  <c r="N65" i="148"/>
  <c r="G64" i="55"/>
  <c r="I63" i="55"/>
  <c r="Q63" i="55" s="1"/>
  <c r="E128" i="110"/>
  <c r="M127" i="110"/>
  <c r="N116" i="110"/>
  <c r="O115" i="110"/>
  <c r="K97" i="114"/>
  <c r="I98" i="114"/>
  <c r="J97" i="114"/>
  <c r="Y97" i="114" s="1"/>
  <c r="L96" i="114"/>
  <c r="M96" i="114" s="1"/>
  <c r="U96" i="114" s="1"/>
  <c r="P96" i="114"/>
  <c r="P59" i="78"/>
  <c r="Q59" i="78"/>
  <c r="T59" i="78"/>
  <c r="B65" i="78"/>
  <c r="K64" i="78"/>
  <c r="N60" i="78"/>
  <c r="O60" i="78" s="1"/>
  <c r="S60" i="78"/>
  <c r="L61" i="78"/>
  <c r="I62" i="78"/>
  <c r="Q60" i="78"/>
  <c r="C64" i="78"/>
  <c r="F63" i="78"/>
  <c r="O65" i="147"/>
  <c r="H85" i="160" s="1"/>
  <c r="G99" i="114"/>
  <c r="F100" i="114"/>
  <c r="J68" i="91"/>
  <c r="G71" i="91"/>
  <c r="E72" i="91"/>
  <c r="H70" i="91"/>
  <c r="I69" i="91"/>
  <c r="M126" i="88"/>
  <c r="E127" i="88"/>
  <c r="N90" i="88"/>
  <c r="O89" i="88"/>
  <c r="G61" i="88"/>
  <c r="K61" i="88" s="1"/>
  <c r="P61" i="88" s="1"/>
  <c r="L61" i="88"/>
  <c r="F62" i="88"/>
  <c r="L64" i="77"/>
  <c r="C65" i="77"/>
  <c r="S60" i="77"/>
  <c r="O60" i="77"/>
  <c r="K61" i="77"/>
  <c r="N61" i="77" s="1"/>
  <c r="H62" i="77"/>
  <c r="T59" i="77"/>
  <c r="Q59" i="77"/>
  <c r="R59" i="77" s="1"/>
  <c r="P59" i="77"/>
  <c r="M59" i="135"/>
  <c r="N59" i="135" s="1"/>
  <c r="O59" i="135"/>
  <c r="L60" i="135"/>
  <c r="K104" i="95"/>
  <c r="G105" i="95"/>
  <c r="O66" i="148"/>
  <c r="M65" i="147"/>
  <c r="L67" i="148"/>
  <c r="M66" i="148"/>
  <c r="E69" i="148"/>
  <c r="G68" i="148"/>
  <c r="F68" i="148"/>
  <c r="E68" i="147"/>
  <c r="G67" i="147"/>
  <c r="K67" i="147" s="1"/>
  <c r="F67" i="147"/>
  <c r="N64" i="147"/>
  <c r="H66" i="147"/>
  <c r="I65" i="147"/>
  <c r="J65" i="147" s="1"/>
  <c r="H67" i="148"/>
  <c r="I66" i="148"/>
  <c r="J66" i="148" s="1"/>
  <c r="L60" i="133"/>
  <c r="N60" i="133"/>
  <c r="I40" i="113"/>
  <c r="G66" i="134"/>
  <c r="K65" i="134"/>
  <c r="I69" i="104"/>
  <c r="B140" i="77"/>
  <c r="F72" i="104"/>
  <c r="E73" i="104"/>
  <c r="L79" i="111"/>
  <c r="E80" i="111"/>
  <c r="D81" i="93"/>
  <c r="E80" i="93"/>
  <c r="E64" i="121"/>
  <c r="F63" i="121"/>
  <c r="M59" i="133"/>
  <c r="D62" i="133"/>
  <c r="E61" i="133"/>
  <c r="E66" i="134"/>
  <c r="F65" i="134"/>
  <c r="J61" i="133"/>
  <c r="K61" i="133" s="1"/>
  <c r="F62" i="133"/>
  <c r="C78" i="55"/>
  <c r="E64" i="135"/>
  <c r="F63" i="135"/>
  <c r="H63" i="135"/>
  <c r="I62" i="135"/>
  <c r="J62" i="135" s="1"/>
  <c r="G40" i="113"/>
  <c r="H80" i="95"/>
  <c r="I79" i="95"/>
  <c r="K38" i="112"/>
  <c r="I39" i="112" s="1"/>
  <c r="C41" i="113" s="1"/>
  <c r="H41" i="113" s="1"/>
  <c r="B41" i="113" s="1"/>
  <c r="K64" i="55"/>
  <c r="G71" i="104"/>
  <c r="H70" i="104"/>
  <c r="G64" i="135"/>
  <c r="K63" i="135"/>
  <c r="H65" i="134"/>
  <c r="I64" i="134"/>
  <c r="J64" i="134" s="1"/>
  <c r="H112" i="112"/>
  <c r="D114" i="113" s="1"/>
  <c r="L61" i="134"/>
  <c r="M60" i="134"/>
  <c r="N60" i="134" s="1"/>
  <c r="O60" i="134"/>
  <c r="E65" i="95"/>
  <c r="O64" i="95"/>
  <c r="F64" i="95"/>
  <c r="J64" i="95" s="1"/>
  <c r="N64" i="95" s="1"/>
  <c r="V96" i="114"/>
  <c r="W96" i="114" s="1"/>
  <c r="G61" i="133"/>
  <c r="H60" i="133"/>
  <c r="I60" i="133" s="1"/>
  <c r="L73" i="95" l="1"/>
  <c r="M72" i="95"/>
  <c r="G60" i="110"/>
  <c r="F61" i="110"/>
  <c r="L60" i="110"/>
  <c r="O67" i="148"/>
  <c r="N63" i="55"/>
  <c r="X96" i="114"/>
  <c r="I64" i="55"/>
  <c r="Q64" i="55" s="1"/>
  <c r="G65" i="55"/>
  <c r="N117" i="110"/>
  <c r="O116" i="110"/>
  <c r="M128" i="110"/>
  <c r="E129" i="110"/>
  <c r="I99" i="114"/>
  <c r="J98" i="114"/>
  <c r="Y98" i="114" s="1"/>
  <c r="K98" i="114"/>
  <c r="J39" i="112"/>
  <c r="K39" i="112" s="1"/>
  <c r="I40" i="112" s="1"/>
  <c r="C42" i="113" s="1"/>
  <c r="H42" i="113" s="1"/>
  <c r="B42" i="113" s="1"/>
  <c r="P97" i="114"/>
  <c r="L97" i="114"/>
  <c r="M97" i="114" s="1"/>
  <c r="U97" i="114" s="1"/>
  <c r="J40" i="113"/>
  <c r="K65" i="78"/>
  <c r="B66" i="78"/>
  <c r="R60" i="78"/>
  <c r="P60" i="78"/>
  <c r="T60" i="78"/>
  <c r="R59" i="78"/>
  <c r="N61" i="78"/>
  <c r="O61" i="78" s="1"/>
  <c r="S61" i="78"/>
  <c r="L62" i="78"/>
  <c r="I63" i="78"/>
  <c r="F64" i="78"/>
  <c r="C65" i="78"/>
  <c r="O66" i="147"/>
  <c r="G100" i="114"/>
  <c r="F101" i="114"/>
  <c r="J69" i="91"/>
  <c r="I70" i="91"/>
  <c r="H71" i="91"/>
  <c r="E73" i="91"/>
  <c r="G72" i="91"/>
  <c r="E128" i="88"/>
  <c r="E129" i="88" s="1"/>
  <c r="M127" i="88"/>
  <c r="N91" i="88"/>
  <c r="O90" i="88"/>
  <c r="G62" i="88"/>
  <c r="K62" i="88" s="1"/>
  <c r="P62" i="88" s="1"/>
  <c r="L62" i="88"/>
  <c r="F63" i="88"/>
  <c r="L65" i="77"/>
  <c r="C66" i="77"/>
  <c r="H63" i="77"/>
  <c r="K62" i="77"/>
  <c r="N62" i="77" s="1"/>
  <c r="Q60" i="77"/>
  <c r="R60" i="77" s="1"/>
  <c r="T60" i="77"/>
  <c r="P60" i="77"/>
  <c r="S61" i="77"/>
  <c r="O61" i="77"/>
  <c r="O60" i="135"/>
  <c r="M60" i="135"/>
  <c r="N60" i="135" s="1"/>
  <c r="L61" i="135"/>
  <c r="G63" i="121"/>
  <c r="G106" i="95"/>
  <c r="K105" i="95"/>
  <c r="H68" i="148"/>
  <c r="I67" i="148"/>
  <c r="J67" i="148" s="1"/>
  <c r="E69" i="147"/>
  <c r="G68" i="147"/>
  <c r="K68" i="147" s="1"/>
  <c r="F68" i="147"/>
  <c r="E70" i="148"/>
  <c r="G69" i="148"/>
  <c r="F69" i="148"/>
  <c r="L68" i="148"/>
  <c r="L69" i="148" s="1"/>
  <c r="M69" i="148" s="1"/>
  <c r="M67" i="148"/>
  <c r="N65" i="147"/>
  <c r="I85" i="160" s="1"/>
  <c r="H67" i="147"/>
  <c r="I66" i="147"/>
  <c r="J66" i="147" s="1"/>
  <c r="N66" i="148"/>
  <c r="L67" i="147"/>
  <c r="M66" i="147"/>
  <c r="L61" i="133"/>
  <c r="E66" i="95"/>
  <c r="O65" i="95"/>
  <c r="F65" i="95"/>
  <c r="J65" i="95" s="1"/>
  <c r="N65" i="95" s="1"/>
  <c r="L62" i="134"/>
  <c r="M61" i="134"/>
  <c r="N61" i="134" s="1"/>
  <c r="O61" i="134"/>
  <c r="H66" i="134"/>
  <c r="I65" i="134"/>
  <c r="J65" i="134" s="1"/>
  <c r="I70" i="104"/>
  <c r="H81" i="95"/>
  <c r="I80" i="95"/>
  <c r="F41" i="113"/>
  <c r="G41" i="113" s="1"/>
  <c r="E65" i="135"/>
  <c r="F64" i="135"/>
  <c r="C79" i="55"/>
  <c r="J62" i="133"/>
  <c r="K62" i="133" s="1"/>
  <c r="F63" i="133"/>
  <c r="D63" i="133"/>
  <c r="E62" i="133"/>
  <c r="D82" i="93"/>
  <c r="E81" i="93"/>
  <c r="H113" i="112"/>
  <c r="D115" i="113" s="1"/>
  <c r="F73" i="104"/>
  <c r="E74" i="104"/>
  <c r="B141" i="77"/>
  <c r="G62" i="133"/>
  <c r="H61" i="133"/>
  <c r="I61" i="133" s="1"/>
  <c r="G65" i="135"/>
  <c r="K64" i="135"/>
  <c r="G72" i="104"/>
  <c r="H71" i="104"/>
  <c r="K65" i="55"/>
  <c r="H64" i="135"/>
  <c r="I63" i="135"/>
  <c r="J63" i="135" s="1"/>
  <c r="E67" i="134"/>
  <c r="F66" i="134"/>
  <c r="N61" i="133"/>
  <c r="E65" i="121"/>
  <c r="F64" i="121"/>
  <c r="E81" i="111"/>
  <c r="L80" i="111"/>
  <c r="G67" i="134"/>
  <c r="K66" i="134"/>
  <c r="M60" i="133"/>
  <c r="L74" i="95" l="1"/>
  <c r="M73" i="95"/>
  <c r="G69" i="147"/>
  <c r="G61" i="110"/>
  <c r="F62" i="110"/>
  <c r="L61" i="110"/>
  <c r="N64" i="55"/>
  <c r="E45" i="159"/>
  <c r="V97" i="114"/>
  <c r="W97" i="114" s="1"/>
  <c r="X97" i="114"/>
  <c r="E49" i="159"/>
  <c r="G66" i="55"/>
  <c r="I65" i="55"/>
  <c r="Q65" i="55" s="1"/>
  <c r="M129" i="110"/>
  <c r="E130" i="110"/>
  <c r="N118" i="110"/>
  <c r="O117" i="110"/>
  <c r="P98" i="114"/>
  <c r="L98" i="114"/>
  <c r="M98" i="114" s="1"/>
  <c r="U98" i="114" s="1"/>
  <c r="I100" i="114"/>
  <c r="J99" i="114"/>
  <c r="Y99" i="114" s="1"/>
  <c r="K99" i="114"/>
  <c r="N67" i="148"/>
  <c r="L63" i="78"/>
  <c r="I64" i="78"/>
  <c r="P61" i="78"/>
  <c r="T61" i="78"/>
  <c r="N62" i="78"/>
  <c r="O62" i="78" s="1"/>
  <c r="S62" i="78"/>
  <c r="K66" i="78"/>
  <c r="B67" i="78"/>
  <c r="F65" i="78"/>
  <c r="C66" i="78"/>
  <c r="Q61" i="78"/>
  <c r="N66" i="147"/>
  <c r="O67" i="147"/>
  <c r="G101" i="114"/>
  <c r="F102" i="114"/>
  <c r="G73" i="91"/>
  <c r="E74" i="91"/>
  <c r="J70" i="91"/>
  <c r="H72" i="91"/>
  <c r="I71" i="91"/>
  <c r="M128" i="88"/>
  <c r="N92" i="88"/>
  <c r="O91" i="88"/>
  <c r="F64" i="88"/>
  <c r="G63" i="88"/>
  <c r="K63" i="88" s="1"/>
  <c r="P63" i="88" s="1"/>
  <c r="L63" i="88"/>
  <c r="L66" i="77"/>
  <c r="C67" i="77"/>
  <c r="T61" i="77"/>
  <c r="P61" i="77"/>
  <c r="Q61" i="77"/>
  <c r="R61" i="77" s="1"/>
  <c r="S62" i="77"/>
  <c r="O62" i="77"/>
  <c r="H64" i="77"/>
  <c r="K63" i="77"/>
  <c r="N63" i="77" s="1"/>
  <c r="M61" i="135"/>
  <c r="N61" i="135" s="1"/>
  <c r="O61" i="135"/>
  <c r="L62" i="135"/>
  <c r="K63" i="121"/>
  <c r="L63" i="121" s="1"/>
  <c r="H63" i="121"/>
  <c r="K106" i="95"/>
  <c r="G107" i="95"/>
  <c r="O68" i="148"/>
  <c r="L68" i="147"/>
  <c r="M67" i="147"/>
  <c r="M68" i="148"/>
  <c r="E70" i="147"/>
  <c r="F69" i="147"/>
  <c r="H69" i="148"/>
  <c r="I68" i="148"/>
  <c r="J68" i="148" s="1"/>
  <c r="H68" i="147"/>
  <c r="H69" i="147" s="1"/>
  <c r="H70" i="147" s="1"/>
  <c r="I67" i="147"/>
  <c r="J67" i="147" s="1"/>
  <c r="E71" i="148"/>
  <c r="F70" i="148"/>
  <c r="L62" i="133"/>
  <c r="L81" i="111"/>
  <c r="E82" i="111"/>
  <c r="I71" i="104"/>
  <c r="E75" i="104"/>
  <c r="F74" i="104"/>
  <c r="D83" i="93"/>
  <c r="E82" i="93"/>
  <c r="D64" i="133"/>
  <c r="E63" i="133"/>
  <c r="E66" i="135"/>
  <c r="F65" i="135"/>
  <c r="F42" i="113"/>
  <c r="G42" i="113" s="1"/>
  <c r="H82" i="95"/>
  <c r="I81" i="95"/>
  <c r="M61" i="133"/>
  <c r="K67" i="134"/>
  <c r="G68" i="134"/>
  <c r="H114" i="112"/>
  <c r="D116" i="113" s="1"/>
  <c r="E66" i="121"/>
  <c r="F65" i="121"/>
  <c r="E68" i="134"/>
  <c r="F67" i="134"/>
  <c r="H65" i="135"/>
  <c r="I64" i="135"/>
  <c r="J64" i="135" s="1"/>
  <c r="J40" i="112"/>
  <c r="K66" i="55"/>
  <c r="G73" i="104"/>
  <c r="H72" i="104"/>
  <c r="G66" i="135"/>
  <c r="K65" i="135"/>
  <c r="G63" i="133"/>
  <c r="H62" i="133"/>
  <c r="I62" i="133" s="1"/>
  <c r="B142" i="77"/>
  <c r="N62" i="133"/>
  <c r="J63" i="133"/>
  <c r="K63" i="133" s="1"/>
  <c r="F64" i="133"/>
  <c r="C80" i="55"/>
  <c r="I41" i="113"/>
  <c r="J41" i="113" s="1"/>
  <c r="H67" i="134"/>
  <c r="I66" i="134"/>
  <c r="J66" i="134" s="1"/>
  <c r="L63" i="134"/>
  <c r="M62" i="134"/>
  <c r="N62" i="134" s="1"/>
  <c r="O62" i="134"/>
  <c r="E67" i="95"/>
  <c r="O66" i="95"/>
  <c r="F66" i="95"/>
  <c r="J66" i="95" s="1"/>
  <c r="N66" i="95" s="1"/>
  <c r="K69" i="147" l="1"/>
  <c r="G85" i="147"/>
  <c r="L75" i="95"/>
  <c r="M74" i="95"/>
  <c r="H71" i="147"/>
  <c r="H72" i="147" s="1"/>
  <c r="H73" i="147" s="1"/>
  <c r="H74" i="147" s="1"/>
  <c r="H75" i="147" s="1"/>
  <c r="H76" i="147" s="1"/>
  <c r="H77" i="147" s="1"/>
  <c r="H78" i="147" s="1"/>
  <c r="H79" i="147" s="1"/>
  <c r="H80" i="147" s="1"/>
  <c r="H81" i="147" s="1"/>
  <c r="H82" i="147" s="1"/>
  <c r="I82" i="147" s="1"/>
  <c r="H70" i="148"/>
  <c r="F63" i="110"/>
  <c r="G62" i="110"/>
  <c r="L62" i="110"/>
  <c r="O68" i="147"/>
  <c r="N65" i="55"/>
  <c r="X98" i="114"/>
  <c r="V98" i="114"/>
  <c r="W98" i="114" s="1"/>
  <c r="E50" i="159"/>
  <c r="O63" i="121"/>
  <c r="G67" i="55"/>
  <c r="I66" i="55"/>
  <c r="Q66" i="55" s="1"/>
  <c r="N119" i="110"/>
  <c r="O118" i="110"/>
  <c r="E131" i="110"/>
  <c r="M130" i="110"/>
  <c r="J100" i="114"/>
  <c r="Y100" i="114" s="1"/>
  <c r="K100" i="114"/>
  <c r="I101" i="114"/>
  <c r="L99" i="114"/>
  <c r="M99" i="114" s="1"/>
  <c r="U99" i="114" s="1"/>
  <c r="V99" i="114" s="1"/>
  <c r="W99" i="114" s="1"/>
  <c r="P99" i="114"/>
  <c r="O69" i="148"/>
  <c r="T62" i="78"/>
  <c r="P62" i="78"/>
  <c r="Q62" i="78"/>
  <c r="R61" i="78"/>
  <c r="B68" i="78"/>
  <c r="K67" i="78"/>
  <c r="F66" i="78"/>
  <c r="C67" i="78"/>
  <c r="I65" i="78"/>
  <c r="L64" i="78"/>
  <c r="S63" i="78"/>
  <c r="N63" i="78"/>
  <c r="O63" i="78" s="1"/>
  <c r="Q63" i="78" s="1"/>
  <c r="F103" i="114"/>
  <c r="G102" i="114"/>
  <c r="J71" i="91"/>
  <c r="H73" i="91"/>
  <c r="I72" i="91"/>
  <c r="E75" i="91"/>
  <c r="G74" i="91"/>
  <c r="M129" i="88"/>
  <c r="E130" i="88"/>
  <c r="N93" i="88"/>
  <c r="O92" i="88"/>
  <c r="G64" i="88"/>
  <c r="K64" i="88" s="1"/>
  <c r="P64" i="88" s="1"/>
  <c r="F65" i="88"/>
  <c r="L64" i="88"/>
  <c r="C68" i="77"/>
  <c r="L67" i="77"/>
  <c r="S63" i="77"/>
  <c r="O63" i="77"/>
  <c r="Q62" i="77"/>
  <c r="R62" i="77" s="1"/>
  <c r="T62" i="77"/>
  <c r="P62" i="77"/>
  <c r="H65" i="77"/>
  <c r="K64" i="77"/>
  <c r="N64" i="77" s="1"/>
  <c r="M62" i="135"/>
  <c r="N62" i="135" s="1"/>
  <c r="O62" i="135"/>
  <c r="L63" i="135"/>
  <c r="H64" i="121"/>
  <c r="I63" i="121"/>
  <c r="J63" i="121" s="1"/>
  <c r="L64" i="121"/>
  <c r="M63" i="121"/>
  <c r="G108" i="95"/>
  <c r="K107" i="95"/>
  <c r="I80" i="147"/>
  <c r="I68" i="147"/>
  <c r="J68" i="147" s="1"/>
  <c r="I69" i="148"/>
  <c r="J69" i="148" s="1"/>
  <c r="E71" i="147"/>
  <c r="F70" i="147"/>
  <c r="N68" i="148"/>
  <c r="N67" i="147"/>
  <c r="E72" i="148"/>
  <c r="F71" i="148"/>
  <c r="I76" i="147"/>
  <c r="L69" i="147"/>
  <c r="O69" i="147" s="1"/>
  <c r="M68" i="147"/>
  <c r="L63" i="133"/>
  <c r="J64" i="133"/>
  <c r="K64" i="133" s="1"/>
  <c r="F65" i="133"/>
  <c r="G64" i="133"/>
  <c r="H63" i="133"/>
  <c r="I63" i="133" s="1"/>
  <c r="I72" i="104"/>
  <c r="E69" i="134"/>
  <c r="F68" i="134"/>
  <c r="H83" i="95"/>
  <c r="I82" i="95"/>
  <c r="I42" i="113"/>
  <c r="N63" i="133"/>
  <c r="F75" i="104"/>
  <c r="E76" i="104"/>
  <c r="H115" i="112"/>
  <c r="D117" i="113" s="1"/>
  <c r="M62" i="133"/>
  <c r="E68" i="95"/>
  <c r="O67" i="95"/>
  <c r="F67" i="95"/>
  <c r="J67" i="95" s="1"/>
  <c r="N67" i="95" s="1"/>
  <c r="L64" i="134"/>
  <c r="M63" i="134"/>
  <c r="N63" i="134" s="1"/>
  <c r="O63" i="134"/>
  <c r="H68" i="134"/>
  <c r="I67" i="134"/>
  <c r="J67" i="134" s="1"/>
  <c r="C81" i="55"/>
  <c r="B143" i="77"/>
  <c r="K66" i="135"/>
  <c r="G67" i="135"/>
  <c r="G74" i="104"/>
  <c r="H73" i="104"/>
  <c r="K67" i="55"/>
  <c r="K40" i="112"/>
  <c r="I41" i="112" s="1"/>
  <c r="C43" i="113" s="1"/>
  <c r="H43" i="113" s="1"/>
  <c r="B43" i="113" s="1"/>
  <c r="H66" i="135"/>
  <c r="I65" i="135"/>
  <c r="J65" i="135" s="1"/>
  <c r="E67" i="121"/>
  <c r="F66" i="121"/>
  <c r="G69" i="134"/>
  <c r="K68" i="134"/>
  <c r="F43" i="113"/>
  <c r="G43" i="113" s="1"/>
  <c r="E67" i="135"/>
  <c r="F66" i="135"/>
  <c r="D65" i="133"/>
  <c r="E64" i="133"/>
  <c r="D84" i="93"/>
  <c r="E83" i="93"/>
  <c r="L82" i="111"/>
  <c r="E83" i="111"/>
  <c r="I78" i="147" l="1"/>
  <c r="I79" i="147"/>
  <c r="I74" i="147"/>
  <c r="I73" i="147"/>
  <c r="L76" i="95"/>
  <c r="M75" i="95"/>
  <c r="H71" i="148"/>
  <c r="I70" i="148"/>
  <c r="J70" i="148" s="1"/>
  <c r="O70" i="148"/>
  <c r="F64" i="110"/>
  <c r="G63" i="110"/>
  <c r="L63" i="110"/>
  <c r="X99" i="114"/>
  <c r="N66" i="55"/>
  <c r="J42" i="113"/>
  <c r="N68" i="147"/>
  <c r="I75" i="147"/>
  <c r="O64" i="121"/>
  <c r="G68" i="55"/>
  <c r="I67" i="55"/>
  <c r="Q67" i="55" s="1"/>
  <c r="E132" i="110"/>
  <c r="M131" i="110"/>
  <c r="N120" i="110"/>
  <c r="O119" i="110"/>
  <c r="J101" i="114"/>
  <c r="Y101" i="114" s="1"/>
  <c r="I102" i="114"/>
  <c r="K101" i="114"/>
  <c r="P100" i="114"/>
  <c r="L100" i="114"/>
  <c r="M100" i="114" s="1"/>
  <c r="U100" i="114" s="1"/>
  <c r="N69" i="148"/>
  <c r="S64" i="78"/>
  <c r="N64" i="78"/>
  <c r="O64" i="78" s="1"/>
  <c r="T63" i="78"/>
  <c r="P63" i="78"/>
  <c r="L65" i="78"/>
  <c r="I66" i="78"/>
  <c r="K68" i="78"/>
  <c r="B69" i="78"/>
  <c r="F67" i="78"/>
  <c r="C68" i="78"/>
  <c r="R62" i="78"/>
  <c r="R63" i="78"/>
  <c r="N63" i="121"/>
  <c r="F104" i="114"/>
  <c r="G103" i="114"/>
  <c r="G75" i="91"/>
  <c r="E76" i="91"/>
  <c r="J72" i="91"/>
  <c r="I73" i="91"/>
  <c r="H74" i="91"/>
  <c r="E131" i="88"/>
  <c r="M130" i="88"/>
  <c r="N94" i="88"/>
  <c r="O93" i="88"/>
  <c r="L65" i="88"/>
  <c r="F66" i="88"/>
  <c r="G65" i="88"/>
  <c r="K65" i="88" s="1"/>
  <c r="P65" i="88" s="1"/>
  <c r="L68" i="77"/>
  <c r="C69" i="77"/>
  <c r="O64" i="77"/>
  <c r="S64" i="77"/>
  <c r="T63" i="77"/>
  <c r="P63" i="77"/>
  <c r="Q63" i="77"/>
  <c r="H66" i="77"/>
  <c r="K65" i="77"/>
  <c r="N65" i="77" s="1"/>
  <c r="O63" i="135"/>
  <c r="M63" i="135"/>
  <c r="N63" i="135" s="1"/>
  <c r="L64" i="135"/>
  <c r="H65" i="121"/>
  <c r="I64" i="121"/>
  <c r="J64" i="121" s="1"/>
  <c r="L65" i="121"/>
  <c r="M64" i="121"/>
  <c r="K108" i="95"/>
  <c r="G109" i="95"/>
  <c r="L70" i="147"/>
  <c r="O70" i="147" s="1"/>
  <c r="M69" i="147"/>
  <c r="M70" i="148"/>
  <c r="E72" i="147"/>
  <c r="F71" i="147"/>
  <c r="J71" i="147" s="1"/>
  <c r="E73" i="148"/>
  <c r="F72" i="148"/>
  <c r="I81" i="147"/>
  <c r="I69" i="147"/>
  <c r="J69" i="147" s="1"/>
  <c r="I70" i="147"/>
  <c r="J70" i="147" s="1"/>
  <c r="I72" i="147"/>
  <c r="I71" i="147"/>
  <c r="I77" i="147"/>
  <c r="L64" i="133"/>
  <c r="N64" i="133"/>
  <c r="F44" i="113"/>
  <c r="G44" i="113" s="1"/>
  <c r="H116" i="112"/>
  <c r="D118" i="113" s="1"/>
  <c r="L83" i="111"/>
  <c r="E84" i="111"/>
  <c r="D85" i="93"/>
  <c r="E84" i="93"/>
  <c r="K69" i="134"/>
  <c r="G70" i="134"/>
  <c r="E68" i="121"/>
  <c r="F67" i="121"/>
  <c r="J41" i="112"/>
  <c r="K68" i="55"/>
  <c r="G75" i="104"/>
  <c r="H74" i="104"/>
  <c r="B144" i="77"/>
  <c r="C82" i="55"/>
  <c r="H69" i="134"/>
  <c r="I68" i="134"/>
  <c r="J68" i="134" s="1"/>
  <c r="E70" i="134"/>
  <c r="F69" i="134"/>
  <c r="G65" i="133"/>
  <c r="H64" i="133"/>
  <c r="I64" i="133" s="1"/>
  <c r="J65" i="133"/>
  <c r="K65" i="133" s="1"/>
  <c r="F66" i="133"/>
  <c r="D66" i="133"/>
  <c r="E65" i="133"/>
  <c r="E68" i="135"/>
  <c r="F67" i="135"/>
  <c r="I43" i="113"/>
  <c r="H67" i="135"/>
  <c r="I66" i="135"/>
  <c r="J66" i="135" s="1"/>
  <c r="I73" i="104"/>
  <c r="G68" i="135"/>
  <c r="K67" i="135"/>
  <c r="L65" i="134"/>
  <c r="M64" i="134"/>
  <c r="N64" i="134" s="1"/>
  <c r="O64" i="134"/>
  <c r="E69" i="95"/>
  <c r="O68" i="95"/>
  <c r="F68" i="95"/>
  <c r="J68" i="95" s="1"/>
  <c r="N68" i="95" s="1"/>
  <c r="E77" i="104"/>
  <c r="F76" i="104"/>
  <c r="H84" i="95"/>
  <c r="I83" i="95"/>
  <c r="M63" i="133"/>
  <c r="L77" i="95" l="1"/>
  <c r="M76" i="95"/>
  <c r="N70" i="148"/>
  <c r="H72" i="148"/>
  <c r="I71" i="148"/>
  <c r="J71" i="148" s="1"/>
  <c r="G64" i="110"/>
  <c r="F65" i="110"/>
  <c r="L64" i="110"/>
  <c r="N67" i="55"/>
  <c r="O65" i="121"/>
  <c r="V100" i="114"/>
  <c r="W100" i="114" s="1"/>
  <c r="X100" i="114"/>
  <c r="I68" i="55"/>
  <c r="Q68" i="55" s="1"/>
  <c r="G69" i="55"/>
  <c r="N121" i="110"/>
  <c r="O120" i="110"/>
  <c r="M132" i="110"/>
  <c r="E133" i="110"/>
  <c r="P101" i="114"/>
  <c r="L101" i="114"/>
  <c r="M101" i="114" s="1"/>
  <c r="U101" i="114" s="1"/>
  <c r="I103" i="114"/>
  <c r="J102" i="114"/>
  <c r="Y102" i="114" s="1"/>
  <c r="K102" i="114"/>
  <c r="J43" i="113"/>
  <c r="P64" i="78"/>
  <c r="T64" i="78"/>
  <c r="Q64" i="78"/>
  <c r="K69" i="78"/>
  <c r="B70" i="78"/>
  <c r="N65" i="78"/>
  <c r="O65" i="78" s="1"/>
  <c r="S65" i="78"/>
  <c r="C69" i="78"/>
  <c r="F68" i="78"/>
  <c r="I67" i="78"/>
  <c r="L66" i="78"/>
  <c r="F105" i="114"/>
  <c r="G104" i="114"/>
  <c r="H75" i="91"/>
  <c r="I74" i="91"/>
  <c r="J73" i="91"/>
  <c r="G76" i="91"/>
  <c r="E77" i="91"/>
  <c r="E132" i="88"/>
  <c r="M131" i="88"/>
  <c r="N95" i="88"/>
  <c r="O94" i="88"/>
  <c r="L66" i="88"/>
  <c r="G66" i="88"/>
  <c r="K66" i="88" s="1"/>
  <c r="P66" i="88" s="1"/>
  <c r="F67" i="88"/>
  <c r="C70" i="77"/>
  <c r="L69" i="77"/>
  <c r="O65" i="77"/>
  <c r="S65" i="77"/>
  <c r="R63" i="77"/>
  <c r="H67" i="77"/>
  <c r="K66" i="77"/>
  <c r="N66" i="77" s="1"/>
  <c r="P64" i="77"/>
  <c r="Q64" i="77"/>
  <c r="T64" i="77"/>
  <c r="M64" i="135"/>
  <c r="N64" i="135" s="1"/>
  <c r="O64" i="135"/>
  <c r="L65" i="135"/>
  <c r="M65" i="121"/>
  <c r="L66" i="121"/>
  <c r="H66" i="121"/>
  <c r="I65" i="121"/>
  <c r="J65" i="121" s="1"/>
  <c r="N64" i="121"/>
  <c r="G110" i="95"/>
  <c r="K109" i="95"/>
  <c r="E74" i="148"/>
  <c r="F73" i="148"/>
  <c r="M71" i="148"/>
  <c r="L71" i="147"/>
  <c r="M70" i="147"/>
  <c r="N70" i="147" s="1"/>
  <c r="E73" i="147"/>
  <c r="F72" i="147"/>
  <c r="J72" i="147" s="1"/>
  <c r="N69" i="147"/>
  <c r="L65" i="133"/>
  <c r="N65" i="133"/>
  <c r="F45" i="113"/>
  <c r="F77" i="104"/>
  <c r="E78" i="104"/>
  <c r="E70" i="95"/>
  <c r="O69" i="95"/>
  <c r="F69" i="95"/>
  <c r="J69" i="95" s="1"/>
  <c r="N69" i="95" s="1"/>
  <c r="H68" i="135"/>
  <c r="I67" i="135"/>
  <c r="J67" i="135" s="1"/>
  <c r="I74" i="104"/>
  <c r="K41" i="112"/>
  <c r="I42" i="112" s="1"/>
  <c r="C44" i="113" s="1"/>
  <c r="H44" i="113" s="1"/>
  <c r="B44" i="113" s="1"/>
  <c r="K70" i="134"/>
  <c r="G71" i="134"/>
  <c r="D86" i="93"/>
  <c r="E85" i="93"/>
  <c r="E85" i="111"/>
  <c r="H85" i="95"/>
  <c r="I84" i="95"/>
  <c r="L66" i="134"/>
  <c r="M65" i="134"/>
  <c r="N65" i="134" s="1"/>
  <c r="O65" i="134"/>
  <c r="G69" i="135"/>
  <c r="K68" i="135"/>
  <c r="E69" i="135"/>
  <c r="F68" i="135"/>
  <c r="D67" i="133"/>
  <c r="E66" i="133"/>
  <c r="J66" i="133"/>
  <c r="K66" i="133" s="1"/>
  <c r="F67" i="133"/>
  <c r="J67" i="133" s="1"/>
  <c r="G66" i="133"/>
  <c r="H65" i="133"/>
  <c r="I65" i="133" s="1"/>
  <c r="E71" i="134"/>
  <c r="F70" i="134"/>
  <c r="H70" i="134"/>
  <c r="I69" i="134"/>
  <c r="J69" i="134" s="1"/>
  <c r="C83" i="55"/>
  <c r="B145" i="77"/>
  <c r="G76" i="104"/>
  <c r="H75" i="104"/>
  <c r="K69" i="55"/>
  <c r="N68" i="55"/>
  <c r="E69" i="121"/>
  <c r="F68" i="121"/>
  <c r="H117" i="112"/>
  <c r="D119" i="113" s="1"/>
  <c r="I44" i="113"/>
  <c r="M64" i="133"/>
  <c r="M77" i="95" l="1"/>
  <c r="L78" i="95"/>
  <c r="M71" i="147"/>
  <c r="O71" i="147"/>
  <c r="H73" i="148"/>
  <c r="I72" i="148"/>
  <c r="J72" i="148" s="1"/>
  <c r="N71" i="148"/>
  <c r="D28" i="159" s="1"/>
  <c r="O66" i="121"/>
  <c r="L65" i="110"/>
  <c r="F66" i="110"/>
  <c r="G65" i="110"/>
  <c r="X101" i="114"/>
  <c r="V101" i="114"/>
  <c r="W101" i="114" s="1"/>
  <c r="G70" i="55"/>
  <c r="I69" i="55"/>
  <c r="Q69" i="55" s="1"/>
  <c r="M133" i="110"/>
  <c r="E134" i="110"/>
  <c r="N122" i="110"/>
  <c r="O121" i="110"/>
  <c r="J42" i="112"/>
  <c r="I104" i="114"/>
  <c r="J103" i="114"/>
  <c r="Y103" i="114" s="1"/>
  <c r="K103" i="114"/>
  <c r="P102" i="114"/>
  <c r="L102" i="114"/>
  <c r="M102" i="114" s="1"/>
  <c r="U102" i="114" s="1"/>
  <c r="X102" i="114" s="1"/>
  <c r="L67" i="78"/>
  <c r="I68" i="78"/>
  <c r="P65" i="78"/>
  <c r="T65" i="78"/>
  <c r="R64" i="78"/>
  <c r="S66" i="78"/>
  <c r="N66" i="78"/>
  <c r="O66" i="78" s="1"/>
  <c r="Q66" i="78" s="1"/>
  <c r="Q65" i="78"/>
  <c r="F69" i="78"/>
  <c r="C70" i="78"/>
  <c r="B71" i="78"/>
  <c r="K70" i="78"/>
  <c r="N65" i="121"/>
  <c r="F106" i="114"/>
  <c r="G105" i="114"/>
  <c r="J44" i="113"/>
  <c r="H76" i="91"/>
  <c r="I75" i="91"/>
  <c r="G77" i="91"/>
  <c r="E78" i="91"/>
  <c r="J74" i="91"/>
  <c r="M132" i="88"/>
  <c r="E133" i="88"/>
  <c r="N96" i="88"/>
  <c r="O95" i="88"/>
  <c r="G67" i="88"/>
  <c r="K67" i="88" s="1"/>
  <c r="P67" i="88" s="1"/>
  <c r="L67" i="88"/>
  <c r="F68" i="88"/>
  <c r="L70" i="77"/>
  <c r="C71" i="77"/>
  <c r="R64" i="77"/>
  <c r="K67" i="77"/>
  <c r="H68" i="77"/>
  <c r="S66" i="77"/>
  <c r="O66" i="77"/>
  <c r="T65" i="77"/>
  <c r="P65" i="77"/>
  <c r="Q65" i="77"/>
  <c r="M65" i="135"/>
  <c r="N65" i="135" s="1"/>
  <c r="O65" i="135"/>
  <c r="L66" i="135"/>
  <c r="L67" i="121"/>
  <c r="M66" i="121"/>
  <c r="H67" i="121"/>
  <c r="I66" i="121"/>
  <c r="J66" i="121" s="1"/>
  <c r="G111" i="95"/>
  <c r="K110" i="95"/>
  <c r="E74" i="147"/>
  <c r="F73" i="147"/>
  <c r="J73" i="147" s="1"/>
  <c r="L72" i="147"/>
  <c r="O72" i="147" s="1"/>
  <c r="M72" i="148"/>
  <c r="N72" i="148" s="1"/>
  <c r="E75" i="148"/>
  <c r="F74" i="148"/>
  <c r="L66" i="133"/>
  <c r="E70" i="121"/>
  <c r="F69" i="121"/>
  <c r="I75" i="104"/>
  <c r="C84" i="55"/>
  <c r="G67" i="133"/>
  <c r="H66" i="133"/>
  <c r="I66" i="133" s="1"/>
  <c r="K67" i="133"/>
  <c r="F68" i="133"/>
  <c r="J68" i="133" s="1"/>
  <c r="N66" i="133"/>
  <c r="E70" i="135"/>
  <c r="F69" i="135"/>
  <c r="G70" i="135"/>
  <c r="H118" i="112"/>
  <c r="D120" i="113" s="1"/>
  <c r="D87" i="93"/>
  <c r="E86" i="93"/>
  <c r="K42" i="112"/>
  <c r="I43" i="112" s="1"/>
  <c r="C45" i="113" s="1"/>
  <c r="H45" i="113" s="1"/>
  <c r="B45" i="113" s="1"/>
  <c r="J43" i="112"/>
  <c r="F78" i="104"/>
  <c r="E79" i="104"/>
  <c r="I45" i="113"/>
  <c r="K70" i="55"/>
  <c r="N69" i="55"/>
  <c r="G77" i="104"/>
  <c r="H76" i="104"/>
  <c r="H71" i="134"/>
  <c r="I70" i="134"/>
  <c r="J70" i="134" s="1"/>
  <c r="E72" i="134"/>
  <c r="F71" i="134"/>
  <c r="D68" i="133"/>
  <c r="E67" i="133"/>
  <c r="L67" i="134"/>
  <c r="M66" i="134"/>
  <c r="N66" i="134" s="1"/>
  <c r="O66" i="134"/>
  <c r="H86" i="95"/>
  <c r="I85" i="95"/>
  <c r="L85" i="111"/>
  <c r="E86" i="111"/>
  <c r="G72" i="134"/>
  <c r="K71" i="134"/>
  <c r="H69" i="135"/>
  <c r="I68" i="135"/>
  <c r="J68" i="135" s="1"/>
  <c r="E71" i="95"/>
  <c r="O70" i="95"/>
  <c r="F70" i="95"/>
  <c r="J70" i="95" s="1"/>
  <c r="N70" i="95" s="1"/>
  <c r="G45" i="113"/>
  <c r="M65" i="133"/>
  <c r="M78" i="95" l="1"/>
  <c r="L79" i="95"/>
  <c r="N71" i="147"/>
  <c r="D29" i="159" s="1"/>
  <c r="D81" i="162"/>
  <c r="H74" i="148"/>
  <c r="I73" i="148"/>
  <c r="J73" i="148" s="1"/>
  <c r="L66" i="110"/>
  <c r="F67" i="110"/>
  <c r="G66" i="110"/>
  <c r="E42" i="159"/>
  <c r="N66" i="121"/>
  <c r="V102" i="114"/>
  <c r="W102" i="114" s="1"/>
  <c r="O67" i="121"/>
  <c r="G71" i="55"/>
  <c r="I70" i="55"/>
  <c r="Q70" i="55" s="1"/>
  <c r="N123" i="110"/>
  <c r="O122" i="110"/>
  <c r="E135" i="110"/>
  <c r="M134" i="110"/>
  <c r="P103" i="114"/>
  <c r="L103" i="114"/>
  <c r="M103" i="114" s="1"/>
  <c r="U103" i="114" s="1"/>
  <c r="J104" i="114"/>
  <c r="Y104" i="114" s="1"/>
  <c r="K104" i="114"/>
  <c r="I105" i="114"/>
  <c r="R66" i="78"/>
  <c r="C71" i="78"/>
  <c r="F70" i="78"/>
  <c r="N67" i="78"/>
  <c r="O67" i="78" s="1"/>
  <c r="Q67" i="78" s="1"/>
  <c r="R67" i="78" s="1"/>
  <c r="S67" i="78"/>
  <c r="R65" i="78"/>
  <c r="B72" i="78"/>
  <c r="K71" i="78"/>
  <c r="T66" i="78"/>
  <c r="P66" i="78"/>
  <c r="I69" i="78"/>
  <c r="L68" i="78"/>
  <c r="G106" i="114"/>
  <c r="F107" i="114"/>
  <c r="H77" i="91"/>
  <c r="I76" i="91"/>
  <c r="E79" i="91"/>
  <c r="G78" i="91"/>
  <c r="J75" i="91"/>
  <c r="E134" i="88"/>
  <c r="M133" i="88"/>
  <c r="N97" i="88"/>
  <c r="O96" i="88"/>
  <c r="R68" i="88"/>
  <c r="L68" i="88"/>
  <c r="F69" i="88"/>
  <c r="G68" i="88"/>
  <c r="K68" i="88" s="1"/>
  <c r="P68" i="88" s="1"/>
  <c r="C72" i="77"/>
  <c r="L71" i="77"/>
  <c r="N67" i="77"/>
  <c r="R65" i="77"/>
  <c r="P66" i="77"/>
  <c r="Q66" i="77"/>
  <c r="T66" i="77"/>
  <c r="K68" i="77"/>
  <c r="N68" i="77" s="1"/>
  <c r="H69" i="77"/>
  <c r="M66" i="135"/>
  <c r="N66" i="135" s="1"/>
  <c r="O66" i="135"/>
  <c r="L67" i="135"/>
  <c r="M67" i="121"/>
  <c r="L68" i="121"/>
  <c r="I67" i="121"/>
  <c r="J67" i="121" s="1"/>
  <c r="H68" i="121"/>
  <c r="K111" i="95"/>
  <c r="G112" i="95"/>
  <c r="M79" i="148"/>
  <c r="M73" i="148"/>
  <c r="N73" i="148" s="1"/>
  <c r="E76" i="148"/>
  <c r="F75" i="148"/>
  <c r="L73" i="147"/>
  <c r="M72" i="147"/>
  <c r="N72" i="147" s="1"/>
  <c r="E75" i="147"/>
  <c r="F74" i="147"/>
  <c r="J74" i="147" s="1"/>
  <c r="L67" i="133"/>
  <c r="N67" i="133"/>
  <c r="H70" i="135"/>
  <c r="I69" i="135"/>
  <c r="J69" i="135" s="1"/>
  <c r="E87" i="111"/>
  <c r="L86" i="111"/>
  <c r="H87" i="95"/>
  <c r="I86" i="95"/>
  <c r="L68" i="134"/>
  <c r="M67" i="134"/>
  <c r="N67" i="134" s="1"/>
  <c r="O67" i="134"/>
  <c r="D69" i="133"/>
  <c r="E68" i="133"/>
  <c r="E73" i="134"/>
  <c r="F72" i="134"/>
  <c r="G78" i="104"/>
  <c r="H77" i="104"/>
  <c r="K71" i="55"/>
  <c r="N70" i="55"/>
  <c r="K43" i="112"/>
  <c r="I44" i="112" s="1"/>
  <c r="C46" i="113" s="1"/>
  <c r="H46" i="113" s="1"/>
  <c r="B46" i="113" s="1"/>
  <c r="D88" i="93"/>
  <c r="E87" i="93"/>
  <c r="K68" i="133"/>
  <c r="F69" i="133"/>
  <c r="J69" i="133" s="1"/>
  <c r="F46" i="113"/>
  <c r="G46" i="113" s="1"/>
  <c r="E72" i="95"/>
  <c r="O71" i="95"/>
  <c r="F71" i="95"/>
  <c r="J71" i="95" s="1"/>
  <c r="N71" i="95" s="1"/>
  <c r="K72" i="134"/>
  <c r="G73" i="134"/>
  <c r="H119" i="112"/>
  <c r="D121" i="113" s="1"/>
  <c r="H72" i="134"/>
  <c r="I71" i="134"/>
  <c r="J71" i="134" s="1"/>
  <c r="I76" i="104"/>
  <c r="E80" i="104"/>
  <c r="F79" i="104"/>
  <c r="G71" i="135"/>
  <c r="E71" i="135"/>
  <c r="F70" i="135"/>
  <c r="G68" i="133"/>
  <c r="H67" i="133"/>
  <c r="I67" i="133" s="1"/>
  <c r="C85" i="55"/>
  <c r="E71" i="121"/>
  <c r="F70" i="121"/>
  <c r="M66" i="133"/>
  <c r="J45" i="113"/>
  <c r="J44" i="112" l="1"/>
  <c r="M79" i="95"/>
  <c r="L80" i="95"/>
  <c r="L74" i="147"/>
  <c r="O73" i="147"/>
  <c r="D85" i="162"/>
  <c r="H75" i="148"/>
  <c r="I74" i="148"/>
  <c r="J74" i="148" s="1"/>
  <c r="F68" i="110"/>
  <c r="G67" i="110"/>
  <c r="L67" i="110"/>
  <c r="X103" i="114"/>
  <c r="M82" i="148"/>
  <c r="V103" i="114"/>
  <c r="W103" i="114" s="1"/>
  <c r="G72" i="55"/>
  <c r="I71" i="55"/>
  <c r="Q71" i="55" s="1"/>
  <c r="M135" i="110"/>
  <c r="E136" i="110"/>
  <c r="N124" i="110"/>
  <c r="O123" i="110"/>
  <c r="L104" i="114"/>
  <c r="M104" i="114" s="1"/>
  <c r="U104" i="114" s="1"/>
  <c r="P104" i="114"/>
  <c r="K105" i="114"/>
  <c r="J105" i="114"/>
  <c r="Y105" i="114" s="1"/>
  <c r="I106" i="114"/>
  <c r="M84" i="148"/>
  <c r="N84" i="148" s="1"/>
  <c r="M83" i="148"/>
  <c r="N83" i="148" s="1"/>
  <c r="L69" i="78"/>
  <c r="I70" i="78"/>
  <c r="C72" i="78"/>
  <c r="F71" i="78"/>
  <c r="N68" i="78"/>
  <c r="O68" i="78" s="1"/>
  <c r="S68" i="78"/>
  <c r="Q68" i="78"/>
  <c r="K72" i="78"/>
  <c r="B73" i="78"/>
  <c r="P67" i="78"/>
  <c r="T67" i="78"/>
  <c r="G107" i="114"/>
  <c r="F108" i="114"/>
  <c r="G79" i="91"/>
  <c r="E80" i="91"/>
  <c r="H78" i="91"/>
  <c r="I77" i="91"/>
  <c r="J76" i="91"/>
  <c r="M134" i="88"/>
  <c r="E135" i="88"/>
  <c r="N98" i="88"/>
  <c r="O97" i="88"/>
  <c r="G69" i="88"/>
  <c r="K69" i="88" s="1"/>
  <c r="P69" i="88" s="1"/>
  <c r="F70" i="88"/>
  <c r="L69" i="88"/>
  <c r="R69" i="88"/>
  <c r="C73" i="77"/>
  <c r="L72" i="77"/>
  <c r="H70" i="77"/>
  <c r="K69" i="77"/>
  <c r="N69" i="77" s="1"/>
  <c r="S67" i="77"/>
  <c r="O67" i="77"/>
  <c r="O68" i="77"/>
  <c r="S68" i="77"/>
  <c r="R66" i="77"/>
  <c r="O67" i="135"/>
  <c r="M67" i="135"/>
  <c r="N67" i="135" s="1"/>
  <c r="L68" i="135"/>
  <c r="I68" i="121"/>
  <c r="J68" i="121" s="1"/>
  <c r="H69" i="121"/>
  <c r="O68" i="121"/>
  <c r="N67" i="121"/>
  <c r="M68" i="121"/>
  <c r="L69" i="121"/>
  <c r="K112" i="95"/>
  <c r="G113" i="95"/>
  <c r="M73" i="147"/>
  <c r="N73" i="147" s="1"/>
  <c r="M74" i="147"/>
  <c r="N74" i="147" s="1"/>
  <c r="M86" i="148"/>
  <c r="N86" i="148" s="1"/>
  <c r="M74" i="148"/>
  <c r="N74" i="148" s="1"/>
  <c r="M75" i="148"/>
  <c r="M76" i="148"/>
  <c r="M77" i="148"/>
  <c r="M80" i="148"/>
  <c r="M81" i="148"/>
  <c r="M78" i="148"/>
  <c r="E76" i="147"/>
  <c r="F75" i="147"/>
  <c r="J75" i="147" s="1"/>
  <c r="E77" i="148"/>
  <c r="F76" i="148"/>
  <c r="M85" i="148"/>
  <c r="N85" i="148" s="1"/>
  <c r="L68" i="133"/>
  <c r="F47" i="113"/>
  <c r="G47" i="113" s="1"/>
  <c r="G69" i="133"/>
  <c r="H68" i="133"/>
  <c r="I68" i="133" s="1"/>
  <c r="E72" i="135"/>
  <c r="F71" i="135"/>
  <c r="H73" i="134"/>
  <c r="I72" i="134"/>
  <c r="J72" i="134" s="1"/>
  <c r="G74" i="134"/>
  <c r="K73" i="134"/>
  <c r="E73" i="95"/>
  <c r="O72" i="95"/>
  <c r="F72" i="95"/>
  <c r="J72" i="95" s="1"/>
  <c r="N72" i="95" s="1"/>
  <c r="K44" i="112"/>
  <c r="I45" i="112" s="1"/>
  <c r="C47" i="113" s="1"/>
  <c r="H47" i="113" s="1"/>
  <c r="B47" i="113" s="1"/>
  <c r="K72" i="55"/>
  <c r="G79" i="104"/>
  <c r="H78" i="104"/>
  <c r="E74" i="134"/>
  <c r="F73" i="134"/>
  <c r="N68" i="133"/>
  <c r="H88" i="95"/>
  <c r="I87" i="95"/>
  <c r="L87" i="111"/>
  <c r="E88" i="111"/>
  <c r="E72" i="121"/>
  <c r="F71" i="121"/>
  <c r="C86" i="55"/>
  <c r="G72" i="135"/>
  <c r="E81" i="104"/>
  <c r="F80" i="104"/>
  <c r="I46" i="113"/>
  <c r="K69" i="133"/>
  <c r="F70" i="133"/>
  <c r="J70" i="133" s="1"/>
  <c r="D89" i="93"/>
  <c r="E88" i="93"/>
  <c r="V104" i="114"/>
  <c r="W104" i="114" s="1"/>
  <c r="I77" i="104"/>
  <c r="D70" i="133"/>
  <c r="E69" i="133"/>
  <c r="L69" i="134"/>
  <c r="M68" i="134"/>
  <c r="N68" i="134" s="1"/>
  <c r="O68" i="134"/>
  <c r="H120" i="112"/>
  <c r="D122" i="113" s="1"/>
  <c r="H71" i="135"/>
  <c r="I70" i="135"/>
  <c r="J70" i="135" s="1"/>
  <c r="M67" i="133"/>
  <c r="M80" i="95" l="1"/>
  <c r="L81" i="95"/>
  <c r="L75" i="147"/>
  <c r="O74" i="147"/>
  <c r="N75" i="148"/>
  <c r="H76" i="148"/>
  <c r="I75" i="148"/>
  <c r="J75" i="148" s="1"/>
  <c r="G68" i="110"/>
  <c r="F69" i="110"/>
  <c r="L68" i="110"/>
  <c r="R68" i="110"/>
  <c r="N71" i="55"/>
  <c r="X104" i="114"/>
  <c r="G73" i="55"/>
  <c r="I72" i="55"/>
  <c r="Q72" i="55" s="1"/>
  <c r="N125" i="110"/>
  <c r="O124" i="110"/>
  <c r="M136" i="110"/>
  <c r="E137" i="110"/>
  <c r="L105" i="114"/>
  <c r="M105" i="114" s="1"/>
  <c r="U105" i="114" s="1"/>
  <c r="X105" i="114" s="1"/>
  <c r="P105" i="114"/>
  <c r="J106" i="114"/>
  <c r="Y106" i="114" s="1"/>
  <c r="K106" i="114"/>
  <c r="I107" i="114"/>
  <c r="F72" i="78"/>
  <c r="C73" i="78"/>
  <c r="B74" i="78"/>
  <c r="K73" i="78"/>
  <c r="P68" i="78"/>
  <c r="T68" i="78"/>
  <c r="L70" i="78"/>
  <c r="I71" i="78"/>
  <c r="R68" i="78"/>
  <c r="S69" i="78"/>
  <c r="N69" i="78"/>
  <c r="O69" i="78" s="1"/>
  <c r="N68" i="121"/>
  <c r="F109" i="114"/>
  <c r="G108" i="114"/>
  <c r="I78" i="91"/>
  <c r="H79" i="91"/>
  <c r="J77" i="91"/>
  <c r="E81" i="91"/>
  <c r="G80" i="91"/>
  <c r="E136" i="88"/>
  <c r="M135" i="88"/>
  <c r="N99" i="88"/>
  <c r="O98" i="88"/>
  <c r="L70" i="88"/>
  <c r="R70" i="88"/>
  <c r="F71" i="88"/>
  <c r="G70" i="88"/>
  <c r="K70" i="88" s="1"/>
  <c r="P70" i="88" s="1"/>
  <c r="C74" i="77"/>
  <c r="L73" i="77"/>
  <c r="Q67" i="77"/>
  <c r="P67" i="77"/>
  <c r="T67" i="77"/>
  <c r="O69" i="77"/>
  <c r="S69" i="77"/>
  <c r="T68" i="77"/>
  <c r="Q68" i="77"/>
  <c r="P68" i="77"/>
  <c r="K70" i="77"/>
  <c r="N70" i="77" s="1"/>
  <c r="H71" i="77"/>
  <c r="M68" i="135"/>
  <c r="N68" i="135" s="1"/>
  <c r="O68" i="135"/>
  <c r="L69" i="135"/>
  <c r="M69" i="121"/>
  <c r="L70" i="121"/>
  <c r="H70" i="121"/>
  <c r="I69" i="121"/>
  <c r="J69" i="121" s="1"/>
  <c r="O69" i="121"/>
  <c r="G114" i="95"/>
  <c r="K113" i="95"/>
  <c r="E78" i="148"/>
  <c r="F77" i="148"/>
  <c r="E77" i="147"/>
  <c r="F76" i="147"/>
  <c r="J76" i="147" s="1"/>
  <c r="L69" i="133"/>
  <c r="N69" i="133"/>
  <c r="D90" i="93"/>
  <c r="E89" i="93"/>
  <c r="K70" i="133"/>
  <c r="F71" i="133"/>
  <c r="J71" i="133" s="1"/>
  <c r="E82" i="104"/>
  <c r="E83" i="104" s="1"/>
  <c r="E84" i="104" s="1"/>
  <c r="E85" i="104" s="1"/>
  <c r="E86" i="104" s="1"/>
  <c r="E87" i="104" s="1"/>
  <c r="E88" i="104" s="1"/>
  <c r="E89" i="104" s="1"/>
  <c r="E90" i="104" s="1"/>
  <c r="E91" i="104" s="1"/>
  <c r="E92" i="104" s="1"/>
  <c r="E93" i="104" s="1"/>
  <c r="E94" i="104" s="1"/>
  <c r="E95" i="104" s="1"/>
  <c r="E96" i="104" s="1"/>
  <c r="E97" i="104" s="1"/>
  <c r="E98" i="104" s="1"/>
  <c r="E99" i="104" s="1"/>
  <c r="E100" i="104" s="1"/>
  <c r="E101" i="104" s="1"/>
  <c r="E102" i="104" s="1"/>
  <c r="E103" i="104" s="1"/>
  <c r="E104" i="104" s="1"/>
  <c r="E105" i="104" s="1"/>
  <c r="F81" i="104"/>
  <c r="J46" i="113"/>
  <c r="L88" i="111"/>
  <c r="E89" i="111"/>
  <c r="H89" i="95"/>
  <c r="I88" i="95"/>
  <c r="E75" i="134"/>
  <c r="F74" i="134"/>
  <c r="I78" i="104"/>
  <c r="E74" i="95"/>
  <c r="O73" i="95"/>
  <c r="F73" i="95"/>
  <c r="J73" i="95" s="1"/>
  <c r="N73" i="95" s="1"/>
  <c r="H74" i="134"/>
  <c r="I73" i="134"/>
  <c r="J73" i="134" s="1"/>
  <c r="E73" i="135"/>
  <c r="F72" i="135"/>
  <c r="G70" i="133"/>
  <c r="H69" i="133"/>
  <c r="I69" i="133" s="1"/>
  <c r="I47" i="113"/>
  <c r="H72" i="135"/>
  <c r="I71" i="135"/>
  <c r="J71" i="135" s="1"/>
  <c r="L70" i="134"/>
  <c r="M69" i="134"/>
  <c r="N69" i="134" s="1"/>
  <c r="O69" i="134"/>
  <c r="D71" i="133"/>
  <c r="E70" i="133"/>
  <c r="G73" i="135"/>
  <c r="C87" i="55"/>
  <c r="E73" i="121"/>
  <c r="F72" i="121"/>
  <c r="H121" i="112"/>
  <c r="D123" i="113" s="1"/>
  <c r="G80" i="104"/>
  <c r="H79" i="104"/>
  <c r="K73" i="55"/>
  <c r="N72" i="55"/>
  <c r="J45" i="112"/>
  <c r="G75" i="134"/>
  <c r="F48" i="113"/>
  <c r="M68" i="133"/>
  <c r="L82" i="95" l="1"/>
  <c r="M81" i="95"/>
  <c r="L76" i="147"/>
  <c r="M75" i="147"/>
  <c r="N75" i="147" s="1"/>
  <c r="O75" i="147"/>
  <c r="H77" i="148"/>
  <c r="I76" i="148"/>
  <c r="J76" i="148" s="1"/>
  <c r="N76" i="148" s="1"/>
  <c r="L69" i="110"/>
  <c r="G69" i="110"/>
  <c r="R69" i="110"/>
  <c r="F70" i="110"/>
  <c r="N69" i="121"/>
  <c r="V105" i="114"/>
  <c r="W105" i="114" s="1"/>
  <c r="I73" i="55"/>
  <c r="N73" i="55" s="1"/>
  <c r="G74" i="55"/>
  <c r="E138" i="110"/>
  <c r="M137" i="110"/>
  <c r="N126" i="110"/>
  <c r="O125" i="110"/>
  <c r="P106" i="114"/>
  <c r="L106" i="114"/>
  <c r="M106" i="114" s="1"/>
  <c r="U106" i="114" s="1"/>
  <c r="X106" i="114" s="1"/>
  <c r="J107" i="114"/>
  <c r="Y107" i="114" s="1"/>
  <c r="K107" i="114"/>
  <c r="I108" i="114"/>
  <c r="S70" i="78"/>
  <c r="N70" i="78"/>
  <c r="O70" i="78" s="1"/>
  <c r="Q70" i="78" s="1"/>
  <c r="B75" i="78"/>
  <c r="K74" i="78"/>
  <c r="I72" i="78"/>
  <c r="L71" i="78"/>
  <c r="T69" i="78"/>
  <c r="P69" i="78"/>
  <c r="Q69" i="78"/>
  <c r="F73" i="78"/>
  <c r="C74" i="78"/>
  <c r="F110" i="114"/>
  <c r="G109" i="114"/>
  <c r="G81" i="91"/>
  <c r="E82" i="91"/>
  <c r="J78" i="91"/>
  <c r="H80" i="91"/>
  <c r="I79" i="91"/>
  <c r="M136" i="88"/>
  <c r="E137" i="88"/>
  <c r="N100" i="88"/>
  <c r="O99" i="88"/>
  <c r="R71" i="88"/>
  <c r="L71" i="88"/>
  <c r="G71" i="88"/>
  <c r="K71" i="88" s="1"/>
  <c r="P71" i="88" s="1"/>
  <c r="F72" i="88"/>
  <c r="L74" i="77"/>
  <c r="C75" i="77"/>
  <c r="O70" i="77"/>
  <c r="S70" i="77"/>
  <c r="R68" i="77"/>
  <c r="Q69" i="77"/>
  <c r="T69" i="77"/>
  <c r="P69" i="77"/>
  <c r="K71" i="77"/>
  <c r="N71" i="77" s="1"/>
  <c r="H72" i="77"/>
  <c r="R67" i="77"/>
  <c r="M69" i="135"/>
  <c r="N69" i="135" s="1"/>
  <c r="O69" i="135"/>
  <c r="L70" i="135"/>
  <c r="L71" i="121"/>
  <c r="M70" i="121"/>
  <c r="H71" i="121"/>
  <c r="I70" i="121"/>
  <c r="J70" i="121" s="1"/>
  <c r="O70" i="121"/>
  <c r="K114" i="95"/>
  <c r="G115" i="95"/>
  <c r="E78" i="147"/>
  <c r="F77" i="147"/>
  <c r="J77" i="147" s="1"/>
  <c r="E79" i="148"/>
  <c r="F78" i="148"/>
  <c r="L70" i="133"/>
  <c r="N70" i="133"/>
  <c r="G76" i="134"/>
  <c r="I79" i="104"/>
  <c r="E74" i="121"/>
  <c r="F73" i="121"/>
  <c r="C88" i="55"/>
  <c r="G74" i="135"/>
  <c r="D72" i="133"/>
  <c r="E71" i="133"/>
  <c r="L71" i="134"/>
  <c r="M70" i="134"/>
  <c r="N70" i="134" s="1"/>
  <c r="O70" i="134"/>
  <c r="G71" i="133"/>
  <c r="H70" i="133"/>
  <c r="I70" i="133" s="1"/>
  <c r="E74" i="135"/>
  <c r="F73" i="135"/>
  <c r="H75" i="134"/>
  <c r="I74" i="134"/>
  <c r="J74" i="134" s="1"/>
  <c r="E75" i="95"/>
  <c r="O74" i="95"/>
  <c r="F74" i="95"/>
  <c r="J74" i="95" s="1"/>
  <c r="N74" i="95" s="1"/>
  <c r="L89" i="111"/>
  <c r="E90" i="111"/>
  <c r="J47" i="113"/>
  <c r="D91" i="93"/>
  <c r="E90" i="93"/>
  <c r="I48" i="113"/>
  <c r="G48" i="113"/>
  <c r="K45" i="112"/>
  <c r="I46" i="112" s="1"/>
  <c r="C48" i="113" s="1"/>
  <c r="H48" i="113" s="1"/>
  <c r="B48" i="113" s="1"/>
  <c r="K74" i="55"/>
  <c r="G81" i="104"/>
  <c r="H81" i="104" s="1"/>
  <c r="H80" i="104"/>
  <c r="H73" i="135"/>
  <c r="I72" i="135"/>
  <c r="J72" i="135" s="1"/>
  <c r="E76" i="134"/>
  <c r="F75" i="134"/>
  <c r="H90" i="95"/>
  <c r="I89" i="95"/>
  <c r="H122" i="112"/>
  <c r="D124" i="113" s="1"/>
  <c r="K71" i="133"/>
  <c r="F72" i="133"/>
  <c r="J72" i="133" s="1"/>
  <c r="M69" i="133"/>
  <c r="M82" i="95" l="1"/>
  <c r="L83" i="95"/>
  <c r="L77" i="147"/>
  <c r="M76" i="147"/>
  <c r="N76" i="147" s="1"/>
  <c r="O76" i="147"/>
  <c r="H78" i="148"/>
  <c r="I77" i="148"/>
  <c r="J77" i="148" s="1"/>
  <c r="N77" i="148" s="1"/>
  <c r="G70" i="110"/>
  <c r="F71" i="110"/>
  <c r="L70" i="110"/>
  <c r="R70" i="110"/>
  <c r="V106" i="114"/>
  <c r="W106" i="114" s="1"/>
  <c r="G75" i="55"/>
  <c r="I74" i="55"/>
  <c r="N74" i="55" s="1"/>
  <c r="Q73" i="55"/>
  <c r="R73" i="55"/>
  <c r="N127" i="110"/>
  <c r="O126" i="110"/>
  <c r="E139" i="110"/>
  <c r="M138" i="110"/>
  <c r="L107" i="114"/>
  <c r="M107" i="114" s="1"/>
  <c r="U107" i="114" s="1"/>
  <c r="V107" i="114" s="1"/>
  <c r="P107" i="114"/>
  <c r="K108" i="114"/>
  <c r="I109" i="114"/>
  <c r="J108" i="114"/>
  <c r="Y108" i="114" s="1"/>
  <c r="N70" i="121"/>
  <c r="B76" i="78"/>
  <c r="K75" i="78"/>
  <c r="F74" i="78"/>
  <c r="C75" i="78"/>
  <c r="R69" i="78"/>
  <c r="N71" i="78"/>
  <c r="O71" i="78" s="1"/>
  <c r="Q71" i="78" s="1"/>
  <c r="S71" i="78"/>
  <c r="R70" i="78"/>
  <c r="L72" i="78"/>
  <c r="I73" i="78"/>
  <c r="P70" i="78"/>
  <c r="T70" i="78"/>
  <c r="F111" i="114"/>
  <c r="G110" i="114"/>
  <c r="I91" i="104"/>
  <c r="J79" i="91"/>
  <c r="H81" i="91"/>
  <c r="I80" i="91"/>
  <c r="G82" i="91"/>
  <c r="E83" i="91"/>
  <c r="M137" i="88"/>
  <c r="E138" i="88"/>
  <c r="N101" i="88"/>
  <c r="O100" i="88"/>
  <c r="L72" i="88"/>
  <c r="G72" i="88"/>
  <c r="K72" i="88" s="1"/>
  <c r="P72" i="88" s="1"/>
  <c r="R72" i="88"/>
  <c r="F73" i="88"/>
  <c r="L75" i="77"/>
  <c r="C76" i="77"/>
  <c r="O71" i="77"/>
  <c r="S71" i="77"/>
  <c r="P70" i="77"/>
  <c r="Q70" i="77"/>
  <c r="T70" i="77"/>
  <c r="H73" i="77"/>
  <c r="K72" i="77"/>
  <c r="N72" i="77" s="1"/>
  <c r="R69" i="77"/>
  <c r="M70" i="135"/>
  <c r="N70" i="135" s="1"/>
  <c r="O70" i="135"/>
  <c r="L71" i="135"/>
  <c r="M71" i="121"/>
  <c r="L72" i="121"/>
  <c r="I71" i="121"/>
  <c r="J71" i="121" s="1"/>
  <c r="H72" i="121"/>
  <c r="O71" i="121"/>
  <c r="K115" i="95"/>
  <c r="G116" i="95"/>
  <c r="E80" i="148"/>
  <c r="F79" i="148"/>
  <c r="E79" i="147"/>
  <c r="F78" i="147"/>
  <c r="J78" i="147" s="1"/>
  <c r="L71" i="133"/>
  <c r="N71" i="133"/>
  <c r="K72" i="133"/>
  <c r="F73" i="133"/>
  <c r="J73" i="133" s="1"/>
  <c r="H91" i="95"/>
  <c r="I90" i="95"/>
  <c r="E77" i="134"/>
  <c r="F76" i="134"/>
  <c r="H74" i="135"/>
  <c r="I73" i="135"/>
  <c r="J73" i="135" s="1"/>
  <c r="X107" i="114"/>
  <c r="I93" i="104"/>
  <c r="I81" i="104"/>
  <c r="I82" i="104"/>
  <c r="I83" i="104"/>
  <c r="I84" i="104"/>
  <c r="K75" i="55"/>
  <c r="J46" i="112"/>
  <c r="F49" i="113"/>
  <c r="G49" i="113" s="1"/>
  <c r="J48" i="113"/>
  <c r="H123" i="112"/>
  <c r="D125" i="113" s="1"/>
  <c r="I90" i="104"/>
  <c r="I88" i="104"/>
  <c r="E76" i="95"/>
  <c r="O75" i="95"/>
  <c r="F75" i="95"/>
  <c r="J75" i="95" s="1"/>
  <c r="N75" i="95" s="1"/>
  <c r="E75" i="135"/>
  <c r="F74" i="135"/>
  <c r="L72" i="134"/>
  <c r="M71" i="134"/>
  <c r="N71" i="134" s="1"/>
  <c r="O71" i="134"/>
  <c r="E75" i="121"/>
  <c r="E76" i="121" s="1"/>
  <c r="F74" i="121"/>
  <c r="I87" i="104"/>
  <c r="I89" i="104"/>
  <c r="G77" i="134"/>
  <c r="I92" i="104"/>
  <c r="I80" i="104"/>
  <c r="D92" i="93"/>
  <c r="E91" i="93"/>
  <c r="L90" i="111"/>
  <c r="E91" i="111"/>
  <c r="I85" i="104"/>
  <c r="H76" i="134"/>
  <c r="I75" i="134"/>
  <c r="J75" i="134" s="1"/>
  <c r="G72" i="133"/>
  <c r="H71" i="133"/>
  <c r="I71" i="133" s="1"/>
  <c r="D73" i="133"/>
  <c r="E72" i="133"/>
  <c r="G75" i="135"/>
  <c r="C89" i="55"/>
  <c r="I86" i="104"/>
  <c r="M70" i="133"/>
  <c r="M83" i="95" l="1"/>
  <c r="L84" i="95"/>
  <c r="L78" i="147"/>
  <c r="M77" i="147"/>
  <c r="N77" i="147" s="1"/>
  <c r="H79" i="148"/>
  <c r="I78" i="148"/>
  <c r="J78" i="148" s="1"/>
  <c r="N78" i="148" s="1"/>
  <c r="E77" i="121"/>
  <c r="F76" i="121"/>
  <c r="R71" i="110"/>
  <c r="F72" i="110"/>
  <c r="G71" i="110"/>
  <c r="L71" i="110"/>
  <c r="N71" i="121"/>
  <c r="G76" i="55"/>
  <c r="I75" i="55"/>
  <c r="N75" i="55" s="1"/>
  <c r="E140" i="110"/>
  <c r="M139" i="110"/>
  <c r="N128" i="110"/>
  <c r="O127" i="110"/>
  <c r="J109" i="114"/>
  <c r="Y109" i="114" s="1"/>
  <c r="K109" i="114"/>
  <c r="I110" i="114"/>
  <c r="L108" i="114"/>
  <c r="M108" i="114" s="1"/>
  <c r="U108" i="114" s="1"/>
  <c r="X108" i="114" s="1"/>
  <c r="P108" i="114"/>
  <c r="R71" i="78"/>
  <c r="N72" i="78"/>
  <c r="O72" i="78" s="1"/>
  <c r="S72" i="78"/>
  <c r="F75" i="78"/>
  <c r="C76" i="78"/>
  <c r="K76" i="78"/>
  <c r="B77" i="78"/>
  <c r="P71" i="78"/>
  <c r="T71" i="78"/>
  <c r="L73" i="78"/>
  <c r="I74" i="78"/>
  <c r="W107" i="114"/>
  <c r="G111" i="114"/>
  <c r="F112" i="114"/>
  <c r="H82" i="91"/>
  <c r="I81" i="91"/>
  <c r="E84" i="91"/>
  <c r="G83" i="91"/>
  <c r="J80" i="91"/>
  <c r="M138" i="88"/>
  <c r="E139" i="88"/>
  <c r="N102" i="88"/>
  <c r="O101" i="88"/>
  <c r="F74" i="88"/>
  <c r="R73" i="88"/>
  <c r="G73" i="88"/>
  <c r="K73" i="88" s="1"/>
  <c r="P73" i="88" s="1"/>
  <c r="L73" i="88"/>
  <c r="L76" i="77"/>
  <c r="C77" i="77"/>
  <c r="R70" i="77"/>
  <c r="H74" i="77"/>
  <c r="K73" i="77"/>
  <c r="N73" i="77" s="1"/>
  <c r="P71" i="77"/>
  <c r="Q71" i="77"/>
  <c r="T71" i="77"/>
  <c r="O72" i="77"/>
  <c r="S72" i="77"/>
  <c r="O71" i="135"/>
  <c r="M71" i="135"/>
  <c r="N71" i="135" s="1"/>
  <c r="L72" i="135"/>
  <c r="H73" i="121"/>
  <c r="I72" i="121"/>
  <c r="J72" i="121" s="1"/>
  <c r="O72" i="121"/>
  <c r="M72" i="121"/>
  <c r="L73" i="121"/>
  <c r="K116" i="95"/>
  <c r="G117" i="95"/>
  <c r="E80" i="147"/>
  <c r="F79" i="147"/>
  <c r="J79" i="147" s="1"/>
  <c r="E81" i="148"/>
  <c r="F80" i="148"/>
  <c r="F50" i="113"/>
  <c r="G50" i="113" s="1"/>
  <c r="L72" i="133"/>
  <c r="N72" i="133"/>
  <c r="C90" i="55"/>
  <c r="G76" i="135"/>
  <c r="D74" i="133"/>
  <c r="E73" i="133"/>
  <c r="H124" i="112"/>
  <c r="D126" i="113" s="1"/>
  <c r="F75" i="121"/>
  <c r="O76" i="95"/>
  <c r="E77" i="95"/>
  <c r="F76" i="95"/>
  <c r="J76" i="95" s="1"/>
  <c r="K46" i="112"/>
  <c r="I47" i="112" s="1"/>
  <c r="C49" i="113" s="1"/>
  <c r="H49" i="113" s="1"/>
  <c r="B49" i="113" s="1"/>
  <c r="P74" i="55"/>
  <c r="H75" i="135"/>
  <c r="I74" i="135"/>
  <c r="J74" i="135" s="1"/>
  <c r="H92" i="95"/>
  <c r="I91" i="95"/>
  <c r="K73" i="133"/>
  <c r="F74" i="133"/>
  <c r="G73" i="133"/>
  <c r="H72" i="133"/>
  <c r="I72" i="133" s="1"/>
  <c r="H77" i="134"/>
  <c r="I76" i="134"/>
  <c r="J76" i="134" s="1"/>
  <c r="L91" i="111"/>
  <c r="E92" i="111"/>
  <c r="D93" i="93"/>
  <c r="E92" i="93"/>
  <c r="G78" i="134"/>
  <c r="L73" i="134"/>
  <c r="M72" i="134"/>
  <c r="N72" i="134" s="1"/>
  <c r="O72" i="134"/>
  <c r="E76" i="135"/>
  <c r="F75" i="135"/>
  <c r="I49" i="113"/>
  <c r="K76" i="55"/>
  <c r="E78" i="134"/>
  <c r="F77" i="134"/>
  <c r="M71" i="133"/>
  <c r="F75" i="133" l="1"/>
  <c r="J74" i="133"/>
  <c r="L85" i="95"/>
  <c r="M84" i="95"/>
  <c r="L79" i="147"/>
  <c r="M78" i="147"/>
  <c r="N78" i="147" s="1"/>
  <c r="H80" i="148"/>
  <c r="I79" i="148"/>
  <c r="J79" i="148" s="1"/>
  <c r="N79" i="148" s="1"/>
  <c r="E78" i="121"/>
  <c r="F77" i="121"/>
  <c r="G72" i="110"/>
  <c r="R72" i="110"/>
  <c r="L72" i="110"/>
  <c r="F73" i="110"/>
  <c r="V108" i="114"/>
  <c r="W108" i="114" s="1"/>
  <c r="N73" i="133"/>
  <c r="G77" i="55"/>
  <c r="I76" i="55"/>
  <c r="N76" i="55" s="1"/>
  <c r="N129" i="110"/>
  <c r="O128" i="110"/>
  <c r="E141" i="110"/>
  <c r="M140" i="110"/>
  <c r="I111" i="114"/>
  <c r="J110" i="114"/>
  <c r="Y110" i="114" s="1"/>
  <c r="K110" i="114"/>
  <c r="L109" i="114"/>
  <c r="M109" i="114" s="1"/>
  <c r="U109" i="114" s="1"/>
  <c r="P109" i="114"/>
  <c r="C77" i="78"/>
  <c r="F76" i="78"/>
  <c r="T72" i="78"/>
  <c r="P72" i="78"/>
  <c r="Q72" i="78"/>
  <c r="I75" i="78"/>
  <c r="L74" i="78"/>
  <c r="S73" i="78"/>
  <c r="N73" i="78"/>
  <c r="O73" i="78" s="1"/>
  <c r="B78" i="78"/>
  <c r="K77" i="78"/>
  <c r="N72" i="121"/>
  <c r="F113" i="114"/>
  <c r="G112" i="114"/>
  <c r="E85" i="91"/>
  <c r="G84" i="91"/>
  <c r="I82" i="91"/>
  <c r="H83" i="91"/>
  <c r="J81" i="91"/>
  <c r="M139" i="88"/>
  <c r="E140" i="88"/>
  <c r="N103" i="88"/>
  <c r="O102" i="88"/>
  <c r="L74" i="88"/>
  <c r="F75" i="88"/>
  <c r="R74" i="88"/>
  <c r="G74" i="88"/>
  <c r="K74" i="88" s="1"/>
  <c r="P74" i="88" s="1"/>
  <c r="C78" i="77"/>
  <c r="L77" i="77"/>
  <c r="K74" i="77"/>
  <c r="N74" i="77" s="1"/>
  <c r="H75" i="77"/>
  <c r="P72" i="77"/>
  <c r="Q72" i="77"/>
  <c r="T72" i="77"/>
  <c r="S73" i="77"/>
  <c r="O73" i="77"/>
  <c r="R71" i="77"/>
  <c r="O72" i="135"/>
  <c r="M72" i="135"/>
  <c r="N72" i="135" s="1"/>
  <c r="L73" i="135"/>
  <c r="M73" i="121"/>
  <c r="L74" i="121"/>
  <c r="H74" i="121"/>
  <c r="I73" i="121"/>
  <c r="J73" i="121" s="1"/>
  <c r="O73" i="121"/>
  <c r="K117" i="95"/>
  <c r="G118" i="95"/>
  <c r="E82" i="148"/>
  <c r="F81" i="148"/>
  <c r="E81" i="147"/>
  <c r="F80" i="147"/>
  <c r="J80" i="147" s="1"/>
  <c r="L73" i="133"/>
  <c r="E77" i="135"/>
  <c r="F76" i="135"/>
  <c r="G79" i="134"/>
  <c r="D94" i="93"/>
  <c r="E93" i="93"/>
  <c r="L92" i="111"/>
  <c r="E93" i="111"/>
  <c r="H78" i="134"/>
  <c r="I77" i="134"/>
  <c r="J77" i="134" s="1"/>
  <c r="K74" i="133"/>
  <c r="H93" i="95"/>
  <c r="I92" i="95"/>
  <c r="N76" i="95"/>
  <c r="O77" i="95"/>
  <c r="E78" i="95"/>
  <c r="F77" i="95"/>
  <c r="J77" i="95" s="1"/>
  <c r="N77" i="95" s="1"/>
  <c r="G77" i="135"/>
  <c r="F51" i="113"/>
  <c r="G51" i="113" s="1"/>
  <c r="E79" i="134"/>
  <c r="F78" i="134"/>
  <c r="P75" i="55"/>
  <c r="K77" i="55"/>
  <c r="L74" i="134"/>
  <c r="M73" i="134"/>
  <c r="N73" i="134" s="1"/>
  <c r="O73" i="134"/>
  <c r="H125" i="112"/>
  <c r="D127" i="113" s="1"/>
  <c r="G74" i="133"/>
  <c r="H73" i="133"/>
  <c r="I73" i="133" s="1"/>
  <c r="H76" i="135"/>
  <c r="I75" i="135"/>
  <c r="J75" i="135" s="1"/>
  <c r="J47" i="112"/>
  <c r="J49" i="113"/>
  <c r="D75" i="133"/>
  <c r="E74" i="133"/>
  <c r="C91" i="55"/>
  <c r="M72" i="133"/>
  <c r="I50" i="113"/>
  <c r="N74" i="133" l="1"/>
  <c r="F76" i="133"/>
  <c r="J76" i="133" s="1"/>
  <c r="J75" i="133"/>
  <c r="L86" i="95"/>
  <c r="M85" i="95"/>
  <c r="L80" i="147"/>
  <c r="M79" i="147"/>
  <c r="N79" i="147" s="1"/>
  <c r="H81" i="148"/>
  <c r="I80" i="148"/>
  <c r="J80" i="148" s="1"/>
  <c r="N80" i="148" s="1"/>
  <c r="E79" i="121"/>
  <c r="F78" i="121"/>
  <c r="F74" i="110"/>
  <c r="L73" i="110"/>
  <c r="G73" i="110"/>
  <c r="R73" i="110"/>
  <c r="V109" i="114"/>
  <c r="W109" i="114" s="1"/>
  <c r="X109" i="114"/>
  <c r="G78" i="55"/>
  <c r="I77" i="55"/>
  <c r="N77" i="55" s="1"/>
  <c r="Q73" i="78"/>
  <c r="R73" i="78" s="1"/>
  <c r="J82" i="91"/>
  <c r="M141" i="110"/>
  <c r="E142" i="110"/>
  <c r="N130" i="110"/>
  <c r="O129" i="110"/>
  <c r="L110" i="114"/>
  <c r="M110" i="114" s="1"/>
  <c r="U110" i="114" s="1"/>
  <c r="P110" i="114"/>
  <c r="I112" i="114"/>
  <c r="K111" i="114"/>
  <c r="J111" i="114"/>
  <c r="Y111" i="114" s="1"/>
  <c r="L75" i="78"/>
  <c r="I76" i="78"/>
  <c r="R72" i="78"/>
  <c r="F77" i="78"/>
  <c r="C78" i="78"/>
  <c r="P73" i="78"/>
  <c r="T73" i="78"/>
  <c r="B79" i="78"/>
  <c r="K78" i="78"/>
  <c r="S74" i="78"/>
  <c r="N74" i="78"/>
  <c r="O74" i="78" s="1"/>
  <c r="N73" i="121"/>
  <c r="F114" i="114"/>
  <c r="G113" i="114"/>
  <c r="G85" i="91"/>
  <c r="E86" i="91"/>
  <c r="H84" i="91"/>
  <c r="I83" i="91"/>
  <c r="E141" i="88"/>
  <c r="M140" i="88"/>
  <c r="N104" i="88"/>
  <c r="O103" i="88"/>
  <c r="G75" i="88"/>
  <c r="K75" i="88" s="1"/>
  <c r="P75" i="88" s="1"/>
  <c r="L75" i="88"/>
  <c r="F76" i="88"/>
  <c r="R75" i="88"/>
  <c r="C79" i="77"/>
  <c r="L78" i="77"/>
  <c r="O74" i="77"/>
  <c r="S74" i="77"/>
  <c r="R72" i="77"/>
  <c r="K75" i="77"/>
  <c r="N75" i="77" s="1"/>
  <c r="H76" i="77"/>
  <c r="P73" i="77"/>
  <c r="Q73" i="77"/>
  <c r="T73" i="77"/>
  <c r="M73" i="135"/>
  <c r="N73" i="135" s="1"/>
  <c r="O73" i="135"/>
  <c r="L74" i="135"/>
  <c r="H75" i="121"/>
  <c r="I74" i="121"/>
  <c r="J74" i="121" s="1"/>
  <c r="O74" i="121"/>
  <c r="M74" i="121"/>
  <c r="L75" i="121"/>
  <c r="K118" i="95"/>
  <c r="G119" i="95"/>
  <c r="E82" i="147"/>
  <c r="F82" i="147" s="1"/>
  <c r="J82" i="147" s="1"/>
  <c r="F81" i="147"/>
  <c r="J81" i="147" s="1"/>
  <c r="E83" i="148"/>
  <c r="F83" i="148" s="1"/>
  <c r="F82" i="148"/>
  <c r="L74" i="133"/>
  <c r="K47" i="112"/>
  <c r="I48" i="112" s="1"/>
  <c r="C50" i="113" s="1"/>
  <c r="H50" i="113" s="1"/>
  <c r="B50" i="113" s="1"/>
  <c r="G75" i="133"/>
  <c r="H74" i="133"/>
  <c r="I74" i="133" s="1"/>
  <c r="L75" i="134"/>
  <c r="M74" i="134"/>
  <c r="N74" i="134" s="1"/>
  <c r="O74" i="134"/>
  <c r="P76" i="55"/>
  <c r="F52" i="113"/>
  <c r="E79" i="95"/>
  <c r="O78" i="95"/>
  <c r="F78" i="95"/>
  <c r="J78" i="95" s="1"/>
  <c r="N78" i="95" s="1"/>
  <c r="K75" i="133"/>
  <c r="H126" i="112"/>
  <c r="D128" i="113" s="1"/>
  <c r="G80" i="134"/>
  <c r="C92" i="55"/>
  <c r="D76" i="133"/>
  <c r="E75" i="133"/>
  <c r="H77" i="135"/>
  <c r="I76" i="135"/>
  <c r="K78" i="55"/>
  <c r="E80" i="134"/>
  <c r="F79" i="134"/>
  <c r="I51" i="113"/>
  <c r="G78" i="135"/>
  <c r="H94" i="95"/>
  <c r="I93" i="95"/>
  <c r="H79" i="134"/>
  <c r="I78" i="134"/>
  <c r="J78" i="134" s="1"/>
  <c r="L93" i="111"/>
  <c r="E94" i="111"/>
  <c r="D95" i="93"/>
  <c r="E94" i="93"/>
  <c r="E78" i="135"/>
  <c r="F77" i="135"/>
  <c r="M73" i="133"/>
  <c r="M86" i="95" l="1"/>
  <c r="L87" i="95"/>
  <c r="L81" i="147"/>
  <c r="M80" i="147"/>
  <c r="N80" i="147" s="1"/>
  <c r="H82" i="148"/>
  <c r="I81" i="148"/>
  <c r="J81" i="148" s="1"/>
  <c r="N81" i="148" s="1"/>
  <c r="H76" i="121"/>
  <c r="E80" i="121"/>
  <c r="F79" i="121"/>
  <c r="M75" i="121"/>
  <c r="L76" i="121"/>
  <c r="F75" i="110"/>
  <c r="L74" i="110"/>
  <c r="R74" i="110"/>
  <c r="G74" i="110"/>
  <c r="E47" i="159"/>
  <c r="E46" i="159"/>
  <c r="X110" i="114"/>
  <c r="V110" i="114"/>
  <c r="W110" i="114" s="1"/>
  <c r="I78" i="55"/>
  <c r="G79" i="55"/>
  <c r="J83" i="91"/>
  <c r="N131" i="110"/>
  <c r="O130" i="110"/>
  <c r="E143" i="110"/>
  <c r="M142" i="110"/>
  <c r="I113" i="114"/>
  <c r="K112" i="114"/>
  <c r="J112" i="114"/>
  <c r="Y112" i="114" s="1"/>
  <c r="L111" i="114"/>
  <c r="M111" i="114" s="1"/>
  <c r="U111" i="114" s="1"/>
  <c r="X111" i="114" s="1"/>
  <c r="P111" i="114"/>
  <c r="P74" i="78"/>
  <c r="Q74" i="78"/>
  <c r="T74" i="78"/>
  <c r="L76" i="78"/>
  <c r="I77" i="78"/>
  <c r="B80" i="78"/>
  <c r="K79" i="78"/>
  <c r="F78" i="78"/>
  <c r="C79" i="78"/>
  <c r="S75" i="78"/>
  <c r="N75" i="78"/>
  <c r="O75" i="78" s="1"/>
  <c r="G114" i="114"/>
  <c r="F115" i="114"/>
  <c r="E87" i="91"/>
  <c r="G86" i="91"/>
  <c r="H85" i="91"/>
  <c r="I84" i="91"/>
  <c r="M141" i="88"/>
  <c r="E142" i="88"/>
  <c r="N105" i="88"/>
  <c r="O104" i="88"/>
  <c r="F77" i="88"/>
  <c r="L76" i="88"/>
  <c r="G76" i="88"/>
  <c r="K76" i="88" s="1"/>
  <c r="P76" i="88" s="1"/>
  <c r="R76" i="88"/>
  <c r="L79" i="77"/>
  <c r="C80" i="77"/>
  <c r="R73" i="77"/>
  <c r="S75" i="77"/>
  <c r="O75" i="77"/>
  <c r="T74" i="77"/>
  <c r="P74" i="77"/>
  <c r="Q74" i="77"/>
  <c r="H77" i="77"/>
  <c r="K76" i="77"/>
  <c r="N76" i="77" s="1"/>
  <c r="M74" i="135"/>
  <c r="N74" i="135" s="1"/>
  <c r="O74" i="135"/>
  <c r="L75" i="135"/>
  <c r="I75" i="121"/>
  <c r="J75" i="121" s="1"/>
  <c r="O75" i="121"/>
  <c r="N74" i="121"/>
  <c r="K119" i="95"/>
  <c r="G120" i="95"/>
  <c r="J50" i="113"/>
  <c r="L75" i="133"/>
  <c r="E79" i="135"/>
  <c r="F78" i="135"/>
  <c r="D96" i="93"/>
  <c r="E95" i="93"/>
  <c r="E81" i="134"/>
  <c r="F80" i="134"/>
  <c r="P77" i="55"/>
  <c r="H78" i="135"/>
  <c r="I77" i="135"/>
  <c r="J77" i="135" s="1"/>
  <c r="C93" i="55"/>
  <c r="K76" i="133"/>
  <c r="I52" i="113"/>
  <c r="E95" i="111"/>
  <c r="L94" i="111"/>
  <c r="H127" i="112"/>
  <c r="D129" i="113" s="1"/>
  <c r="H80" i="134"/>
  <c r="I79" i="134"/>
  <c r="J79" i="134" s="1"/>
  <c r="H95" i="95"/>
  <c r="I94" i="95"/>
  <c r="K79" i="55"/>
  <c r="N78" i="55"/>
  <c r="D77" i="133"/>
  <c r="E76" i="133"/>
  <c r="G81" i="134"/>
  <c r="O79" i="95"/>
  <c r="E80" i="95"/>
  <c r="F79" i="95"/>
  <c r="J79" i="95" s="1"/>
  <c r="N79" i="95" s="1"/>
  <c r="G52" i="113"/>
  <c r="L76" i="134"/>
  <c r="M75" i="134"/>
  <c r="N75" i="134" s="1"/>
  <c r="O75" i="134"/>
  <c r="G76" i="133"/>
  <c r="H75" i="133"/>
  <c r="I75" i="133" s="1"/>
  <c r="J48" i="112"/>
  <c r="M74" i="133"/>
  <c r="N75" i="121" l="1"/>
  <c r="L88" i="95"/>
  <c r="M87" i="95"/>
  <c r="M81" i="147"/>
  <c r="N81" i="147" s="1"/>
  <c r="M82" i="147"/>
  <c r="N82" i="147" s="1"/>
  <c r="H83" i="148"/>
  <c r="I83" i="148" s="1"/>
  <c r="I82" i="148"/>
  <c r="J82" i="148" s="1"/>
  <c r="N82" i="148" s="1"/>
  <c r="E81" i="121"/>
  <c r="F80" i="121"/>
  <c r="L77" i="121"/>
  <c r="M76" i="121"/>
  <c r="H77" i="121"/>
  <c r="I76" i="121"/>
  <c r="J76" i="121" s="1"/>
  <c r="V111" i="114"/>
  <c r="W111" i="114" s="1"/>
  <c r="G75" i="110"/>
  <c r="F76" i="110"/>
  <c r="R75" i="110"/>
  <c r="L75" i="110"/>
  <c r="G80" i="55"/>
  <c r="I79" i="55"/>
  <c r="N79" i="55" s="1"/>
  <c r="J84" i="91"/>
  <c r="E144" i="110"/>
  <c r="M143" i="110"/>
  <c r="N132" i="110"/>
  <c r="O131" i="110"/>
  <c r="P112" i="114"/>
  <c r="L112" i="114"/>
  <c r="M112" i="114" s="1"/>
  <c r="U112" i="114" s="1"/>
  <c r="V112" i="114" s="1"/>
  <c r="I114" i="114"/>
  <c r="K113" i="114"/>
  <c r="J113" i="114"/>
  <c r="Y113" i="114" s="1"/>
  <c r="T75" i="78"/>
  <c r="Q75" i="78"/>
  <c r="P75" i="78"/>
  <c r="K80" i="78"/>
  <c r="B81" i="78"/>
  <c r="R74" i="78"/>
  <c r="C80" i="78"/>
  <c r="F79" i="78"/>
  <c r="I78" i="78"/>
  <c r="L77" i="78"/>
  <c r="S76" i="78"/>
  <c r="N76" i="78"/>
  <c r="O76" i="78" s="1"/>
  <c r="F116" i="114"/>
  <c r="G115" i="114"/>
  <c r="H86" i="91"/>
  <c r="I85" i="91"/>
  <c r="G87" i="91"/>
  <c r="E88" i="91"/>
  <c r="M142" i="88"/>
  <c r="E143" i="88"/>
  <c r="O105" i="88"/>
  <c r="N106" i="88"/>
  <c r="R77" i="88"/>
  <c r="F78" i="88"/>
  <c r="L77" i="88"/>
  <c r="G77" i="88"/>
  <c r="K77" i="88" s="1"/>
  <c r="P77" i="88" s="1"/>
  <c r="C81" i="77"/>
  <c r="L80" i="77"/>
  <c r="S76" i="77"/>
  <c r="O76" i="77"/>
  <c r="Q75" i="77"/>
  <c r="T75" i="77"/>
  <c r="P75" i="77"/>
  <c r="H78" i="77"/>
  <c r="K77" i="77"/>
  <c r="N77" i="77" s="1"/>
  <c r="R74" i="77"/>
  <c r="O75" i="135"/>
  <c r="M75" i="135"/>
  <c r="N75" i="135" s="1"/>
  <c r="L76" i="135"/>
  <c r="G121" i="95"/>
  <c r="K121" i="95" s="1"/>
  <c r="K120" i="95"/>
  <c r="L76" i="133"/>
  <c r="K48" i="112"/>
  <c r="I49" i="112" s="1"/>
  <c r="C51" i="113" s="1"/>
  <c r="H51" i="113" s="1"/>
  <c r="G77" i="133"/>
  <c r="H76" i="133"/>
  <c r="I76" i="133" s="1"/>
  <c r="L77" i="134"/>
  <c r="M76" i="134"/>
  <c r="N76" i="134" s="1"/>
  <c r="O76" i="134"/>
  <c r="F53" i="113"/>
  <c r="E81" i="95"/>
  <c r="O80" i="95"/>
  <c r="F80" i="95"/>
  <c r="J80" i="95" s="1"/>
  <c r="N80" i="95" s="1"/>
  <c r="G82" i="134"/>
  <c r="P78" i="55"/>
  <c r="H96" i="95"/>
  <c r="I95" i="95"/>
  <c r="H81" i="134"/>
  <c r="I80" i="134"/>
  <c r="J80" i="134" s="1"/>
  <c r="L95" i="111"/>
  <c r="E96" i="111"/>
  <c r="C94" i="55"/>
  <c r="E82" i="134"/>
  <c r="F81" i="134"/>
  <c r="D97" i="93"/>
  <c r="E96" i="93"/>
  <c r="D78" i="133"/>
  <c r="E77" i="133"/>
  <c r="K80" i="55"/>
  <c r="H128" i="112"/>
  <c r="D130" i="113" s="1"/>
  <c r="J77" i="133"/>
  <c r="K77" i="133" s="1"/>
  <c r="H79" i="135"/>
  <c r="I78" i="135"/>
  <c r="J78" i="135" s="1"/>
  <c r="E80" i="135"/>
  <c r="F79" i="135"/>
  <c r="M75" i="133"/>
  <c r="L89" i="95" l="1"/>
  <c r="M88" i="95"/>
  <c r="L78" i="121"/>
  <c r="M77" i="121"/>
  <c r="H78" i="121"/>
  <c r="I77" i="121"/>
  <c r="J77" i="121" s="1"/>
  <c r="N76" i="121"/>
  <c r="E82" i="121"/>
  <c r="F81" i="121"/>
  <c r="R76" i="110"/>
  <c r="F77" i="110"/>
  <c r="L76" i="110"/>
  <c r="G76" i="110"/>
  <c r="X112" i="114"/>
  <c r="G81" i="55"/>
  <c r="I80" i="55"/>
  <c r="J85" i="91"/>
  <c r="N133" i="110"/>
  <c r="O132" i="110"/>
  <c r="M144" i="110"/>
  <c r="E145" i="110"/>
  <c r="P113" i="114"/>
  <c r="L113" i="114"/>
  <c r="M113" i="114" s="1"/>
  <c r="U113" i="114" s="1"/>
  <c r="X113" i="114" s="1"/>
  <c r="K114" i="114"/>
  <c r="J114" i="114"/>
  <c r="Y114" i="114" s="1"/>
  <c r="I115" i="114"/>
  <c r="W112" i="114"/>
  <c r="S77" i="78"/>
  <c r="N77" i="78"/>
  <c r="O77" i="78" s="1"/>
  <c r="L78" i="78"/>
  <c r="I79" i="78"/>
  <c r="R75" i="78"/>
  <c r="P76" i="78"/>
  <c r="T76" i="78"/>
  <c r="Q76" i="78"/>
  <c r="K81" i="78"/>
  <c r="B82" i="78"/>
  <c r="C81" i="78"/>
  <c r="F80" i="78"/>
  <c r="G116" i="114"/>
  <c r="F117" i="114"/>
  <c r="H87" i="91"/>
  <c r="I86" i="91"/>
  <c r="G88" i="91"/>
  <c r="E89" i="91"/>
  <c r="E144" i="88"/>
  <c r="M143" i="88"/>
  <c r="O106" i="88"/>
  <c r="N107" i="88"/>
  <c r="H79" i="88"/>
  <c r="F79" i="88"/>
  <c r="R78" i="88"/>
  <c r="L78" i="88"/>
  <c r="G78" i="88"/>
  <c r="K78" i="88" s="1"/>
  <c r="P78" i="88" s="1"/>
  <c r="L81" i="77"/>
  <c r="C82" i="77"/>
  <c r="O77" i="77"/>
  <c r="S77" i="77"/>
  <c r="Q76" i="77"/>
  <c r="T76" i="77"/>
  <c r="P76" i="77"/>
  <c r="H79" i="77"/>
  <c r="K78" i="77"/>
  <c r="N78" i="77" s="1"/>
  <c r="R75" i="77"/>
  <c r="O76" i="135"/>
  <c r="M76" i="135"/>
  <c r="N76" i="135" s="1"/>
  <c r="L77" i="135"/>
  <c r="G122" i="95"/>
  <c r="K122" i="95" s="1"/>
  <c r="L77" i="133"/>
  <c r="P79" i="55"/>
  <c r="D98" i="93"/>
  <c r="E97" i="93"/>
  <c r="C95" i="55"/>
  <c r="H129" i="112"/>
  <c r="D131" i="113" s="1"/>
  <c r="H97" i="95"/>
  <c r="I96" i="95"/>
  <c r="G83" i="134"/>
  <c r="E82" i="95"/>
  <c r="O81" i="95"/>
  <c r="F81" i="95"/>
  <c r="J81" i="95" s="1"/>
  <c r="N81" i="95" s="1"/>
  <c r="I53" i="113"/>
  <c r="L78" i="134"/>
  <c r="M77" i="134"/>
  <c r="N77" i="134" s="1"/>
  <c r="O77" i="134"/>
  <c r="B51" i="113"/>
  <c r="J51" i="113"/>
  <c r="E81" i="135"/>
  <c r="F80" i="135"/>
  <c r="H80" i="135"/>
  <c r="I79" i="135"/>
  <c r="J79" i="135" s="1"/>
  <c r="J78" i="133"/>
  <c r="K78" i="133" s="1"/>
  <c r="K81" i="55"/>
  <c r="N80" i="55"/>
  <c r="D79" i="133"/>
  <c r="E78" i="133"/>
  <c r="E83" i="134"/>
  <c r="F82" i="134"/>
  <c r="E97" i="111"/>
  <c r="L96" i="111"/>
  <c r="H82" i="134"/>
  <c r="I81" i="134"/>
  <c r="J81" i="134" s="1"/>
  <c r="G53" i="113"/>
  <c r="G78" i="133"/>
  <c r="H77" i="133"/>
  <c r="I77" i="133" s="1"/>
  <c r="J49" i="112"/>
  <c r="M76" i="133"/>
  <c r="M89" i="95" l="1"/>
  <c r="L90" i="95"/>
  <c r="N77" i="121"/>
  <c r="E83" i="121"/>
  <c r="F82" i="121"/>
  <c r="H79" i="121"/>
  <c r="I78" i="121"/>
  <c r="J78" i="121" s="1"/>
  <c r="N78" i="121" s="1"/>
  <c r="L79" i="121"/>
  <c r="M78" i="121"/>
  <c r="L77" i="110"/>
  <c r="R77" i="110"/>
  <c r="G77" i="110"/>
  <c r="F78" i="110"/>
  <c r="G82" i="55"/>
  <c r="I81" i="55"/>
  <c r="N81" i="55" s="1"/>
  <c r="J86" i="91"/>
  <c r="E146" i="110"/>
  <c r="M145" i="110"/>
  <c r="N134" i="110"/>
  <c r="O133" i="110"/>
  <c r="V113" i="114"/>
  <c r="L114" i="114"/>
  <c r="M114" i="114" s="1"/>
  <c r="U114" i="114" s="1"/>
  <c r="P114" i="114"/>
  <c r="J115" i="114"/>
  <c r="Y115" i="114" s="1"/>
  <c r="I116" i="114"/>
  <c r="K115" i="114"/>
  <c r="K82" i="78"/>
  <c r="B83" i="78"/>
  <c r="I80" i="78"/>
  <c r="L79" i="78"/>
  <c r="N78" i="78"/>
  <c r="O78" i="78" s="1"/>
  <c r="S78" i="78"/>
  <c r="R76" i="78"/>
  <c r="Q77" i="78"/>
  <c r="P77" i="78"/>
  <c r="T77" i="78"/>
  <c r="F81" i="78"/>
  <c r="C82" i="78"/>
  <c r="G117" i="114"/>
  <c r="F118" i="114"/>
  <c r="I87" i="91"/>
  <c r="H88" i="91"/>
  <c r="G89" i="91"/>
  <c r="E90" i="91"/>
  <c r="I79" i="88"/>
  <c r="J79" i="88" s="1"/>
  <c r="S79" i="88"/>
  <c r="E145" i="88"/>
  <c r="M144" i="88"/>
  <c r="O107" i="88"/>
  <c r="N108" i="88"/>
  <c r="G79" i="88"/>
  <c r="F80" i="88"/>
  <c r="H80" i="88"/>
  <c r="C83" i="77"/>
  <c r="L82" i="77"/>
  <c r="O78" i="77"/>
  <c r="S78" i="77"/>
  <c r="K79" i="77"/>
  <c r="N79" i="77" s="1"/>
  <c r="H80" i="77"/>
  <c r="R76" i="77"/>
  <c r="Q77" i="77"/>
  <c r="T77" i="77"/>
  <c r="P77" i="77"/>
  <c r="M77" i="135"/>
  <c r="N77" i="135" s="1"/>
  <c r="O77" i="135"/>
  <c r="L78" i="135"/>
  <c r="G123" i="95"/>
  <c r="K123" i="95" s="1"/>
  <c r="L78" i="133"/>
  <c r="G79" i="133"/>
  <c r="H78" i="133"/>
  <c r="I78" i="133" s="1"/>
  <c r="L97" i="111"/>
  <c r="E98" i="111"/>
  <c r="D80" i="133"/>
  <c r="E79" i="133"/>
  <c r="K82" i="55"/>
  <c r="H81" i="135"/>
  <c r="I80" i="135"/>
  <c r="J80" i="135" s="1"/>
  <c r="E82" i="135"/>
  <c r="F81" i="135"/>
  <c r="L79" i="134"/>
  <c r="M78" i="134"/>
  <c r="N78" i="134" s="1"/>
  <c r="O78" i="134"/>
  <c r="E83" i="95"/>
  <c r="O82" i="95"/>
  <c r="F82" i="95"/>
  <c r="J82" i="95" s="1"/>
  <c r="N82" i="95" s="1"/>
  <c r="G84" i="134"/>
  <c r="H98" i="95"/>
  <c r="I97" i="95"/>
  <c r="K49" i="112"/>
  <c r="I50" i="112" s="1"/>
  <c r="C52" i="113" s="1"/>
  <c r="H52" i="113" s="1"/>
  <c r="B52" i="113" s="1"/>
  <c r="F54" i="113"/>
  <c r="G54" i="113" s="1"/>
  <c r="H83" i="134"/>
  <c r="I82" i="134"/>
  <c r="J82" i="134" s="1"/>
  <c r="H130" i="112"/>
  <c r="D132" i="113" s="1"/>
  <c r="E84" i="134"/>
  <c r="F83" i="134"/>
  <c r="P80" i="55"/>
  <c r="J79" i="133"/>
  <c r="K79" i="133" s="1"/>
  <c r="C96" i="55"/>
  <c r="D99" i="93"/>
  <c r="E98" i="93"/>
  <c r="M77" i="133"/>
  <c r="L91" i="95" l="1"/>
  <c r="M90" i="95"/>
  <c r="D62" i="162"/>
  <c r="E84" i="121"/>
  <c r="F83" i="121"/>
  <c r="L80" i="121"/>
  <c r="M79" i="121"/>
  <c r="H80" i="121"/>
  <c r="I79" i="121"/>
  <c r="J79" i="121" s="1"/>
  <c r="G78" i="110"/>
  <c r="R78" i="110"/>
  <c r="H79" i="110"/>
  <c r="I79" i="110" s="1"/>
  <c r="F79" i="110"/>
  <c r="L78" i="110"/>
  <c r="V114" i="114"/>
  <c r="W114" i="114" s="1"/>
  <c r="G83" i="55"/>
  <c r="I82" i="55"/>
  <c r="N82" i="55" s="1"/>
  <c r="L79" i="88"/>
  <c r="I80" i="88"/>
  <c r="R80" i="88" s="1"/>
  <c r="K79" i="88"/>
  <c r="P79" i="88" s="1"/>
  <c r="R79" i="88"/>
  <c r="J87" i="91"/>
  <c r="N135" i="110"/>
  <c r="O134" i="110"/>
  <c r="E147" i="110"/>
  <c r="M146" i="110"/>
  <c r="X114" i="114"/>
  <c r="W113" i="114"/>
  <c r="P115" i="114"/>
  <c r="L115" i="114"/>
  <c r="M115" i="114" s="1"/>
  <c r="U115" i="114" s="1"/>
  <c r="K116" i="114"/>
  <c r="I117" i="114"/>
  <c r="J116" i="114"/>
  <c r="Y116" i="114" s="1"/>
  <c r="S79" i="78"/>
  <c r="N79" i="78"/>
  <c r="O79" i="78" s="1"/>
  <c r="L80" i="78"/>
  <c r="I81" i="78"/>
  <c r="C83" i="78"/>
  <c r="F82" i="78"/>
  <c r="R77" i="78"/>
  <c r="B84" i="78"/>
  <c r="K83" i="78"/>
  <c r="P78" i="78"/>
  <c r="Q78" i="78"/>
  <c r="T78" i="78"/>
  <c r="G118" i="114"/>
  <c r="F119" i="114"/>
  <c r="G90" i="91"/>
  <c r="E91" i="91"/>
  <c r="H89" i="91"/>
  <c r="I88" i="91"/>
  <c r="E146" i="88"/>
  <c r="M145" i="88"/>
  <c r="S80" i="88"/>
  <c r="O108" i="88"/>
  <c r="N109" i="88"/>
  <c r="F81" i="88"/>
  <c r="H81" i="88"/>
  <c r="G80" i="88"/>
  <c r="C84" i="77"/>
  <c r="L83" i="77"/>
  <c r="S79" i="77"/>
  <c r="O79" i="77"/>
  <c r="R77" i="77"/>
  <c r="K80" i="77"/>
  <c r="N80" i="77" s="1"/>
  <c r="H81" i="77"/>
  <c r="P78" i="77"/>
  <c r="T78" i="77"/>
  <c r="Q78" i="77"/>
  <c r="O78" i="135"/>
  <c r="M78" i="135"/>
  <c r="N78" i="135" s="1"/>
  <c r="L79" i="135"/>
  <c r="G124" i="95"/>
  <c r="K124" i="95" s="1"/>
  <c r="L79" i="133"/>
  <c r="J80" i="133"/>
  <c r="K80" i="133" s="1"/>
  <c r="E85" i="134"/>
  <c r="F84" i="134"/>
  <c r="F55" i="113"/>
  <c r="G55" i="113" s="1"/>
  <c r="H99" i="95"/>
  <c r="I98" i="95"/>
  <c r="L80" i="134"/>
  <c r="M79" i="134"/>
  <c r="N79" i="134" s="1"/>
  <c r="O79" i="134"/>
  <c r="P81" i="55"/>
  <c r="D81" i="133"/>
  <c r="E80" i="133"/>
  <c r="H131" i="112"/>
  <c r="D133" i="113" s="1"/>
  <c r="G80" i="133"/>
  <c r="H79" i="133"/>
  <c r="I79" i="133" s="1"/>
  <c r="M78" i="133"/>
  <c r="D25" i="159" s="1"/>
  <c r="D100" i="93"/>
  <c r="E99" i="93"/>
  <c r="C97" i="55"/>
  <c r="H84" i="134"/>
  <c r="I83" i="134"/>
  <c r="J83" i="134" s="1"/>
  <c r="I54" i="113"/>
  <c r="J50" i="112"/>
  <c r="G85" i="134"/>
  <c r="E84" i="95"/>
  <c r="O83" i="95"/>
  <c r="F83" i="95"/>
  <c r="J83" i="95" s="1"/>
  <c r="N83" i="95" s="1"/>
  <c r="J52" i="113"/>
  <c r="E83" i="135"/>
  <c r="F82" i="135"/>
  <c r="H82" i="135"/>
  <c r="I81" i="135"/>
  <c r="J81" i="135" s="1"/>
  <c r="K83" i="55"/>
  <c r="E99" i="111"/>
  <c r="L98" i="111"/>
  <c r="M91" i="95" l="1"/>
  <c r="L92" i="95"/>
  <c r="L80" i="88"/>
  <c r="J80" i="88"/>
  <c r="L81" i="121"/>
  <c r="M80" i="121"/>
  <c r="E85" i="121"/>
  <c r="F84" i="121"/>
  <c r="H81" i="121"/>
  <c r="I80" i="121"/>
  <c r="J80" i="121" s="1"/>
  <c r="N79" i="121"/>
  <c r="L79" i="110"/>
  <c r="R79" i="110"/>
  <c r="G79" i="110"/>
  <c r="K79" i="110" s="1"/>
  <c r="P79" i="110" s="1"/>
  <c r="F80" i="110"/>
  <c r="H80" i="110"/>
  <c r="J79" i="110"/>
  <c r="I80" i="110"/>
  <c r="J80" i="110" s="1"/>
  <c r="I81" i="88"/>
  <c r="L81" i="88" s="1"/>
  <c r="E48" i="159"/>
  <c r="G84" i="55"/>
  <c r="I83" i="55"/>
  <c r="J88" i="91"/>
  <c r="M147" i="110"/>
  <c r="E148" i="110"/>
  <c r="N136" i="110"/>
  <c r="O135" i="110"/>
  <c r="V115" i="114"/>
  <c r="W115" i="114" s="1"/>
  <c r="X115" i="114"/>
  <c r="J117" i="114"/>
  <c r="Y117" i="114" s="1"/>
  <c r="K117" i="114"/>
  <c r="I118" i="114"/>
  <c r="P116" i="114"/>
  <c r="L116" i="114"/>
  <c r="M116" i="114" s="1"/>
  <c r="U116" i="114" s="1"/>
  <c r="R78" i="78"/>
  <c r="L81" i="78"/>
  <c r="I82" i="78"/>
  <c r="S80" i="78"/>
  <c r="N80" i="78"/>
  <c r="O80" i="78" s="1"/>
  <c r="Q79" i="78"/>
  <c r="P79" i="78"/>
  <c r="T79" i="78"/>
  <c r="B85" i="78"/>
  <c r="K84" i="78"/>
  <c r="F83" i="78"/>
  <c r="C84" i="78"/>
  <c r="F120" i="114"/>
  <c r="G119" i="114"/>
  <c r="I89" i="91"/>
  <c r="H90" i="91"/>
  <c r="E92" i="91"/>
  <c r="G91" i="91"/>
  <c r="E147" i="88"/>
  <c r="M146" i="88"/>
  <c r="S81" i="88"/>
  <c r="K80" i="88"/>
  <c r="P80" i="88" s="1"/>
  <c r="O109" i="88"/>
  <c r="N110" i="88"/>
  <c r="H82" i="88"/>
  <c r="I82" i="88" s="1"/>
  <c r="G81" i="88"/>
  <c r="F82" i="88"/>
  <c r="R81" i="88"/>
  <c r="J81" i="88"/>
  <c r="C85" i="77"/>
  <c r="L84" i="77"/>
  <c r="R78" i="77"/>
  <c r="H82" i="77"/>
  <c r="K81" i="77"/>
  <c r="N81" i="77" s="1"/>
  <c r="P79" i="77"/>
  <c r="Q79" i="77"/>
  <c r="T79" i="77"/>
  <c r="O80" i="77"/>
  <c r="S80" i="77"/>
  <c r="O79" i="135"/>
  <c r="M79" i="135"/>
  <c r="N79" i="135" s="1"/>
  <c r="L80" i="135"/>
  <c r="G125" i="95"/>
  <c r="K125" i="95" s="1"/>
  <c r="L80" i="133"/>
  <c r="E100" i="111"/>
  <c r="L99" i="111"/>
  <c r="K84" i="55"/>
  <c r="N83" i="55"/>
  <c r="H83" i="135"/>
  <c r="I82" i="135"/>
  <c r="J82" i="135" s="1"/>
  <c r="E84" i="135"/>
  <c r="F83" i="135"/>
  <c r="H132" i="112"/>
  <c r="D134" i="113" s="1"/>
  <c r="P82" i="55"/>
  <c r="K50" i="112"/>
  <c r="I51" i="112" s="1"/>
  <c r="C53" i="113" s="1"/>
  <c r="H53" i="113" s="1"/>
  <c r="B53" i="113" s="1"/>
  <c r="H85" i="134"/>
  <c r="I84" i="134"/>
  <c r="J84" i="134" s="1"/>
  <c r="D101" i="93"/>
  <c r="E100" i="93"/>
  <c r="D82" i="133"/>
  <c r="E81" i="133"/>
  <c r="H100" i="95"/>
  <c r="I99" i="95"/>
  <c r="I55" i="113"/>
  <c r="E86" i="134"/>
  <c r="F85" i="134"/>
  <c r="J81" i="133"/>
  <c r="K81" i="133" s="1"/>
  <c r="E85" i="95"/>
  <c r="O84" i="95"/>
  <c r="F84" i="95"/>
  <c r="J84" i="95" s="1"/>
  <c r="N84" i="95" s="1"/>
  <c r="G86" i="134"/>
  <c r="C98" i="55"/>
  <c r="G81" i="133"/>
  <c r="H80" i="133"/>
  <c r="I80" i="133" s="1"/>
  <c r="L81" i="134"/>
  <c r="M80" i="134"/>
  <c r="N80" i="134" s="1"/>
  <c r="O80" i="134"/>
  <c r="F56" i="113"/>
  <c r="M79" i="133"/>
  <c r="N80" i="121" l="1"/>
  <c r="M92" i="95"/>
  <c r="L93" i="95"/>
  <c r="H82" i="121"/>
  <c r="I81" i="121"/>
  <c r="J81" i="121" s="1"/>
  <c r="E86" i="121"/>
  <c r="F85" i="121"/>
  <c r="L82" i="121"/>
  <c r="M81" i="121"/>
  <c r="L80" i="110"/>
  <c r="F81" i="110"/>
  <c r="R80" i="110"/>
  <c r="H81" i="110"/>
  <c r="I81" i="110" s="1"/>
  <c r="J81" i="110" s="1"/>
  <c r="G80" i="110"/>
  <c r="K80" i="110" s="1"/>
  <c r="P80" i="110" s="1"/>
  <c r="J5" i="110" s="1"/>
  <c r="M3" i="110" s="1"/>
  <c r="M4" i="110" s="1"/>
  <c r="X116" i="114"/>
  <c r="V116" i="114"/>
  <c r="W116" i="114" s="1"/>
  <c r="G85" i="55"/>
  <c r="I84" i="55"/>
  <c r="J89" i="91"/>
  <c r="N137" i="110"/>
  <c r="O136" i="110"/>
  <c r="M148" i="110"/>
  <c r="E149" i="110"/>
  <c r="I119" i="114"/>
  <c r="J118" i="114"/>
  <c r="Y118" i="114" s="1"/>
  <c r="K118" i="114"/>
  <c r="L117" i="114"/>
  <c r="M117" i="114" s="1"/>
  <c r="U117" i="114" s="1"/>
  <c r="P117" i="114"/>
  <c r="I83" i="78"/>
  <c r="L82" i="78"/>
  <c r="B86" i="78"/>
  <c r="K85" i="78"/>
  <c r="R79" i="78"/>
  <c r="S81" i="78"/>
  <c r="N81" i="78"/>
  <c r="O81" i="78" s="1"/>
  <c r="F84" i="78"/>
  <c r="C85" i="78"/>
  <c r="T80" i="78"/>
  <c r="Q80" i="78"/>
  <c r="P80" i="78"/>
  <c r="G120" i="114"/>
  <c r="F121" i="114"/>
  <c r="G92" i="91"/>
  <c r="E93" i="91"/>
  <c r="I90" i="91"/>
  <c r="H91" i="91"/>
  <c r="S82" i="88"/>
  <c r="M147" i="88"/>
  <c r="E148" i="88"/>
  <c r="O110" i="88"/>
  <c r="N111" i="88"/>
  <c r="J82" i="88"/>
  <c r="F83" i="88"/>
  <c r="R82" i="88"/>
  <c r="L82" i="88"/>
  <c r="H83" i="88"/>
  <c r="I83" i="88" s="1"/>
  <c r="G82" i="88"/>
  <c r="K81" i="88"/>
  <c r="P81" i="88" s="1"/>
  <c r="C86" i="77"/>
  <c r="L85" i="77"/>
  <c r="O81" i="77"/>
  <c r="S81" i="77"/>
  <c r="P80" i="77"/>
  <c r="Q80" i="77"/>
  <c r="T80" i="77"/>
  <c r="R79" i="77"/>
  <c r="K82" i="77"/>
  <c r="N82" i="77" s="1"/>
  <c r="H83" i="77"/>
  <c r="O80" i="135"/>
  <c r="M80" i="135"/>
  <c r="L81" i="135"/>
  <c r="G126" i="95"/>
  <c r="K126" i="95" s="1"/>
  <c r="J53" i="113"/>
  <c r="J54" i="113" s="1"/>
  <c r="J55" i="113" s="1"/>
  <c r="J51" i="112"/>
  <c r="K51" i="112" s="1"/>
  <c r="I52" i="112" s="1"/>
  <c r="C54" i="113" s="1"/>
  <c r="K54" i="113" s="1"/>
  <c r="L81" i="133"/>
  <c r="I56" i="113"/>
  <c r="L82" i="134"/>
  <c r="M81" i="134"/>
  <c r="N81" i="134" s="1"/>
  <c r="O81" i="134"/>
  <c r="G82" i="133"/>
  <c r="H81" i="133"/>
  <c r="I81" i="133" s="1"/>
  <c r="C99" i="55"/>
  <c r="G87" i="134"/>
  <c r="E86" i="95"/>
  <c r="O85" i="95"/>
  <c r="F85" i="95"/>
  <c r="J85" i="95" s="1"/>
  <c r="N85" i="95" s="1"/>
  <c r="J82" i="133"/>
  <c r="K82" i="133" s="1"/>
  <c r="H101" i="95"/>
  <c r="I100" i="95"/>
  <c r="D102" i="93"/>
  <c r="E101" i="93"/>
  <c r="H84" i="135"/>
  <c r="I83" i="135"/>
  <c r="J83" i="135" s="1"/>
  <c r="K85" i="55"/>
  <c r="N84" i="55"/>
  <c r="E101" i="111"/>
  <c r="L100" i="111"/>
  <c r="G56" i="113"/>
  <c r="E87" i="134"/>
  <c r="F86" i="134"/>
  <c r="D83" i="133"/>
  <c r="E82" i="133"/>
  <c r="H86" i="134"/>
  <c r="I85" i="134"/>
  <c r="J85" i="134" s="1"/>
  <c r="E85" i="135"/>
  <c r="F84" i="135"/>
  <c r="P83" i="55"/>
  <c r="H133" i="112"/>
  <c r="D135" i="113" s="1"/>
  <c r="M80" i="133"/>
  <c r="M93" i="95" l="1"/>
  <c r="L94" i="95"/>
  <c r="N80" i="135"/>
  <c r="D26" i="159" s="1"/>
  <c r="H83" i="121"/>
  <c r="I82" i="121"/>
  <c r="J82" i="121" s="1"/>
  <c r="L83" i="121"/>
  <c r="M82" i="121"/>
  <c r="N81" i="121"/>
  <c r="E87" i="121"/>
  <c r="F86" i="121"/>
  <c r="H82" i="110"/>
  <c r="I82" i="110" s="1"/>
  <c r="J82" i="110" s="1"/>
  <c r="L81" i="110"/>
  <c r="R81" i="110"/>
  <c r="F82" i="110"/>
  <c r="G81" i="110"/>
  <c r="K81" i="110" s="1"/>
  <c r="P81" i="110" s="1"/>
  <c r="X117" i="114"/>
  <c r="V117" i="114"/>
  <c r="W117" i="114" s="1"/>
  <c r="G86" i="55"/>
  <c r="I85" i="55"/>
  <c r="J90" i="91"/>
  <c r="E150" i="110"/>
  <c r="M149" i="110"/>
  <c r="N138" i="110"/>
  <c r="O137" i="110"/>
  <c r="P118" i="114"/>
  <c r="L118" i="114"/>
  <c r="M118" i="114" s="1"/>
  <c r="U118" i="114" s="1"/>
  <c r="K119" i="114"/>
  <c r="J119" i="114"/>
  <c r="Y119" i="114" s="1"/>
  <c r="I120" i="114"/>
  <c r="T81" i="78"/>
  <c r="P81" i="78"/>
  <c r="C86" i="78"/>
  <c r="F85" i="78"/>
  <c r="B87" i="78"/>
  <c r="K86" i="78"/>
  <c r="N82" i="78"/>
  <c r="O82" i="78" s="1"/>
  <c r="S82" i="78"/>
  <c r="R80" i="78"/>
  <c r="Q81" i="78"/>
  <c r="I84" i="78"/>
  <c r="L83" i="78"/>
  <c r="F122" i="114"/>
  <c r="G121" i="114"/>
  <c r="H92" i="91"/>
  <c r="I91" i="91"/>
  <c r="E94" i="91"/>
  <c r="G93" i="91"/>
  <c r="M148" i="88"/>
  <c r="E149" i="88"/>
  <c r="S83" i="88"/>
  <c r="O111" i="88"/>
  <c r="N112" i="88"/>
  <c r="L83" i="88"/>
  <c r="J83" i="88"/>
  <c r="K82" i="88"/>
  <c r="P82" i="88" s="1"/>
  <c r="F84" i="88"/>
  <c r="H84" i="88"/>
  <c r="G83" i="88"/>
  <c r="K83" i="88" s="1"/>
  <c r="P83" i="88" s="1"/>
  <c r="R83" i="88"/>
  <c r="C87" i="77"/>
  <c r="L86" i="77"/>
  <c r="O82" i="77"/>
  <c r="S82" i="77"/>
  <c r="T81" i="77"/>
  <c r="P81" i="77"/>
  <c r="Q81" i="77"/>
  <c r="H84" i="77"/>
  <c r="K83" i="77"/>
  <c r="N83" i="77" s="1"/>
  <c r="R80" i="77"/>
  <c r="O81" i="135"/>
  <c r="M81" i="135"/>
  <c r="N81" i="135" s="1"/>
  <c r="L82" i="135"/>
  <c r="G127" i="95"/>
  <c r="J56" i="113"/>
  <c r="L82" i="133"/>
  <c r="H134" i="112"/>
  <c r="D136" i="113" s="1"/>
  <c r="P84" i="55"/>
  <c r="J52" i="112"/>
  <c r="J83" i="133"/>
  <c r="K83" i="133" s="1"/>
  <c r="C100" i="55"/>
  <c r="M81" i="133"/>
  <c r="E86" i="135"/>
  <c r="F85" i="135"/>
  <c r="H87" i="134"/>
  <c r="I86" i="134"/>
  <c r="J86" i="134" s="1"/>
  <c r="D84" i="133"/>
  <c r="E83" i="133"/>
  <c r="E88" i="134"/>
  <c r="F87" i="134"/>
  <c r="F57" i="113"/>
  <c r="G57" i="113" s="1"/>
  <c r="L101" i="111"/>
  <c r="E102" i="111"/>
  <c r="K86" i="55"/>
  <c r="N85" i="55"/>
  <c r="H85" i="135"/>
  <c r="I84" i="135"/>
  <c r="J84" i="135" s="1"/>
  <c r="B54" i="113"/>
  <c r="M54" i="113"/>
  <c r="D103" i="93"/>
  <c r="E102" i="93"/>
  <c r="H102" i="95"/>
  <c r="I101" i="95"/>
  <c r="E87" i="95"/>
  <c r="O86" i="95"/>
  <c r="F86" i="95"/>
  <c r="J86" i="95" s="1"/>
  <c r="N86" i="95" s="1"/>
  <c r="G88" i="134"/>
  <c r="G83" i="133"/>
  <c r="H82" i="133"/>
  <c r="I82" i="133" s="1"/>
  <c r="L83" i="134"/>
  <c r="M82" i="134"/>
  <c r="N82" i="134" s="1"/>
  <c r="O82" i="134"/>
  <c r="K127" i="95" l="1"/>
  <c r="C39" i="159"/>
  <c r="C52" i="159" s="1"/>
  <c r="N82" i="121"/>
  <c r="L95" i="95"/>
  <c r="M94" i="95"/>
  <c r="D69" i="162"/>
  <c r="H84" i="121"/>
  <c r="I83" i="121"/>
  <c r="J83" i="121" s="1"/>
  <c r="E88" i="121"/>
  <c r="F87" i="121"/>
  <c r="L84" i="121"/>
  <c r="M83" i="121"/>
  <c r="N83" i="121" s="1"/>
  <c r="R82" i="110"/>
  <c r="G82" i="110"/>
  <c r="K82" i="110" s="1"/>
  <c r="P82" i="110" s="1"/>
  <c r="L82" i="110"/>
  <c r="F83" i="110"/>
  <c r="H83" i="110"/>
  <c r="I83" i="110" s="1"/>
  <c r="J83" i="110" s="1"/>
  <c r="X118" i="114"/>
  <c r="V118" i="114"/>
  <c r="W118" i="114" s="1"/>
  <c r="G87" i="55"/>
  <c r="I86" i="55"/>
  <c r="N86" i="55" s="1"/>
  <c r="J91" i="91"/>
  <c r="N139" i="110"/>
  <c r="O138" i="110"/>
  <c r="M150" i="110"/>
  <c r="E151" i="110"/>
  <c r="P119" i="114"/>
  <c r="L119" i="114"/>
  <c r="M119" i="114" s="1"/>
  <c r="U119" i="114" s="1"/>
  <c r="K120" i="114"/>
  <c r="I121" i="114"/>
  <c r="J120" i="114"/>
  <c r="Y120" i="114" s="1"/>
  <c r="R81" i="78"/>
  <c r="T82" i="78"/>
  <c r="P82" i="78"/>
  <c r="Q82" i="78"/>
  <c r="F86" i="78"/>
  <c r="C87" i="78"/>
  <c r="S83" i="78"/>
  <c r="N83" i="78"/>
  <c r="O83" i="78" s="1"/>
  <c r="B88" i="78"/>
  <c r="K87" i="78"/>
  <c r="L84" i="78"/>
  <c r="I85" i="78"/>
  <c r="F123" i="114"/>
  <c r="G122" i="114"/>
  <c r="E95" i="91"/>
  <c r="G94" i="91"/>
  <c r="H93" i="91"/>
  <c r="I92" i="91"/>
  <c r="I84" i="88"/>
  <c r="J84" i="88" s="1"/>
  <c r="S84" i="88"/>
  <c r="E150" i="88"/>
  <c r="M149" i="88"/>
  <c r="N113" i="88"/>
  <c r="O112" i="88"/>
  <c r="F85" i="88"/>
  <c r="H85" i="88"/>
  <c r="G84" i="88"/>
  <c r="R84" i="88"/>
  <c r="L87" i="77"/>
  <c r="C88" i="77"/>
  <c r="H85" i="77"/>
  <c r="K84" i="77"/>
  <c r="N84" i="77" s="1"/>
  <c r="P82" i="77"/>
  <c r="T82" i="77"/>
  <c r="Q82" i="77"/>
  <c r="O83" i="77"/>
  <c r="S83" i="77"/>
  <c r="R81" i="77"/>
  <c r="M82" i="135"/>
  <c r="N82" i="135" s="1"/>
  <c r="O82" i="135"/>
  <c r="L83" i="135"/>
  <c r="G128" i="95"/>
  <c r="K128" i="95" s="1"/>
  <c r="F58" i="113"/>
  <c r="G58" i="113" s="1"/>
  <c r="L83" i="133"/>
  <c r="G89" i="134"/>
  <c r="H86" i="135"/>
  <c r="I85" i="135"/>
  <c r="J85" i="135" s="1"/>
  <c r="K87" i="55"/>
  <c r="H135" i="112"/>
  <c r="D137" i="113" s="1"/>
  <c r="E89" i="134"/>
  <c r="F88" i="134"/>
  <c r="D85" i="133"/>
  <c r="E84" i="133"/>
  <c r="H88" i="134"/>
  <c r="I87" i="134"/>
  <c r="J87" i="134" s="1"/>
  <c r="E87" i="135"/>
  <c r="F86" i="135"/>
  <c r="K86" i="135"/>
  <c r="M82" i="133"/>
  <c r="L84" i="134"/>
  <c r="M83" i="134"/>
  <c r="N83" i="134" s="1"/>
  <c r="O83" i="134"/>
  <c r="G84" i="133"/>
  <c r="H83" i="133"/>
  <c r="I83" i="133" s="1"/>
  <c r="E88" i="95"/>
  <c r="O87" i="95"/>
  <c r="F87" i="95"/>
  <c r="J87" i="95" s="1"/>
  <c r="N87" i="95" s="1"/>
  <c r="H103" i="95"/>
  <c r="I102" i="95"/>
  <c r="D104" i="93"/>
  <c r="E103" i="93"/>
  <c r="P85" i="55"/>
  <c r="E103" i="111"/>
  <c r="L102" i="111"/>
  <c r="I57" i="113"/>
  <c r="J57" i="113" s="1"/>
  <c r="C101" i="55"/>
  <c r="J84" i="133"/>
  <c r="K84" i="133" s="1"/>
  <c r="K52" i="112"/>
  <c r="I53" i="112" s="1"/>
  <c r="C55" i="113" s="1"/>
  <c r="K55" i="113" s="1"/>
  <c r="M95" i="95" l="1"/>
  <c r="L96" i="95"/>
  <c r="E89" i="121"/>
  <c r="F88" i="121"/>
  <c r="L85" i="121"/>
  <c r="M84" i="121"/>
  <c r="H85" i="121"/>
  <c r="I84" i="121"/>
  <c r="J84" i="121" s="1"/>
  <c r="G83" i="110"/>
  <c r="K83" i="110" s="1"/>
  <c r="P83" i="110" s="1"/>
  <c r="H84" i="110"/>
  <c r="I84" i="110" s="1"/>
  <c r="J84" i="110" s="1"/>
  <c r="F84" i="110"/>
  <c r="R83" i="110"/>
  <c r="L83" i="110"/>
  <c r="Q83" i="78"/>
  <c r="V119" i="114"/>
  <c r="W119" i="114" s="1"/>
  <c r="X119" i="114"/>
  <c r="G88" i="55"/>
  <c r="I87" i="55"/>
  <c r="S84" i="78"/>
  <c r="R82" i="77"/>
  <c r="L84" i="88"/>
  <c r="J92" i="91"/>
  <c r="M151" i="110"/>
  <c r="E152" i="110"/>
  <c r="N140" i="110"/>
  <c r="O139" i="110"/>
  <c r="J121" i="114"/>
  <c r="Y121" i="114" s="1"/>
  <c r="K121" i="114"/>
  <c r="I122" i="114"/>
  <c r="L120" i="114"/>
  <c r="M120" i="114" s="1"/>
  <c r="U120" i="114" s="1"/>
  <c r="P120" i="114"/>
  <c r="K88" i="78"/>
  <c r="B89" i="78"/>
  <c r="I86" i="78"/>
  <c r="L85" i="78"/>
  <c r="T83" i="78"/>
  <c r="P83" i="78"/>
  <c r="N84" i="78"/>
  <c r="O84" i="78" s="1"/>
  <c r="C88" i="78"/>
  <c r="F87" i="78"/>
  <c r="R82" i="78"/>
  <c r="R83" i="78"/>
  <c r="G123" i="114"/>
  <c r="F124" i="114"/>
  <c r="I93" i="91"/>
  <c r="H94" i="91"/>
  <c r="E96" i="91"/>
  <c r="G95" i="91"/>
  <c r="I85" i="88"/>
  <c r="R85" i="88" s="1"/>
  <c r="S85" i="88"/>
  <c r="E151" i="88"/>
  <c r="M150" i="88"/>
  <c r="N114" i="88"/>
  <c r="O113" i="88"/>
  <c r="K84" i="88"/>
  <c r="P84" i="88" s="1"/>
  <c r="H86" i="88"/>
  <c r="G85" i="88"/>
  <c r="F86" i="88"/>
  <c r="L88" i="77"/>
  <c r="C89" i="77"/>
  <c r="P83" i="77"/>
  <c r="Q83" i="77"/>
  <c r="T83" i="77"/>
  <c r="H86" i="77"/>
  <c r="K85" i="77"/>
  <c r="N85" i="77" s="1"/>
  <c r="O84" i="77"/>
  <c r="S84" i="77"/>
  <c r="M83" i="135"/>
  <c r="N83" i="135" s="1"/>
  <c r="O83" i="135"/>
  <c r="L84" i="135"/>
  <c r="G129" i="95"/>
  <c r="K129" i="95" s="1"/>
  <c r="L84" i="133"/>
  <c r="B55" i="113"/>
  <c r="E104" i="111"/>
  <c r="L103" i="111"/>
  <c r="D105" i="93"/>
  <c r="E104" i="93"/>
  <c r="E89" i="95"/>
  <c r="O88" i="95"/>
  <c r="F88" i="95"/>
  <c r="J88" i="95" s="1"/>
  <c r="N88" i="95" s="1"/>
  <c r="K87" i="135"/>
  <c r="E88" i="135"/>
  <c r="F87" i="135"/>
  <c r="D86" i="133"/>
  <c r="E85" i="133"/>
  <c r="K88" i="55"/>
  <c r="N87" i="55"/>
  <c r="F59" i="113"/>
  <c r="G59" i="113" s="1"/>
  <c r="J53" i="112"/>
  <c r="J85" i="133"/>
  <c r="K85" i="133" s="1"/>
  <c r="C102" i="55"/>
  <c r="H136" i="112"/>
  <c r="D138" i="113" s="1"/>
  <c r="H104" i="95"/>
  <c r="I103" i="95"/>
  <c r="G85" i="133"/>
  <c r="H84" i="133"/>
  <c r="I84" i="133" s="1"/>
  <c r="L85" i="134"/>
  <c r="M84" i="134"/>
  <c r="N84" i="134" s="1"/>
  <c r="O84" i="134"/>
  <c r="H89" i="134"/>
  <c r="I88" i="134"/>
  <c r="J88" i="134" s="1"/>
  <c r="E90" i="134"/>
  <c r="F89" i="134"/>
  <c r="P86" i="55"/>
  <c r="H87" i="135"/>
  <c r="I86" i="135"/>
  <c r="J86" i="135" s="1"/>
  <c r="M55" i="113"/>
  <c r="G90" i="134"/>
  <c r="M83" i="133"/>
  <c r="I58" i="113"/>
  <c r="J58" i="113" s="1"/>
  <c r="N84" i="121" l="1"/>
  <c r="L97" i="95"/>
  <c r="M96" i="95"/>
  <c r="L86" i="121"/>
  <c r="M85" i="121"/>
  <c r="N85" i="121" s="1"/>
  <c r="H86" i="121"/>
  <c r="I85" i="121"/>
  <c r="J85" i="121" s="1"/>
  <c r="E90" i="121"/>
  <c r="F89" i="121"/>
  <c r="H85" i="110"/>
  <c r="I85" i="110" s="1"/>
  <c r="J85" i="110" s="1"/>
  <c r="G84" i="110"/>
  <c r="K84" i="110" s="1"/>
  <c r="P84" i="110" s="1"/>
  <c r="R84" i="110"/>
  <c r="F85" i="110"/>
  <c r="L84" i="110"/>
  <c r="V120" i="114"/>
  <c r="W120" i="114" s="1"/>
  <c r="L85" i="88"/>
  <c r="J85" i="88"/>
  <c r="Q84" i="78"/>
  <c r="R84" i="78" s="1"/>
  <c r="X120" i="114"/>
  <c r="I88" i="55"/>
  <c r="G89" i="55"/>
  <c r="P84" i="78"/>
  <c r="T84" i="78"/>
  <c r="N85" i="78"/>
  <c r="O85" i="78" s="1"/>
  <c r="S85" i="78"/>
  <c r="N141" i="110"/>
  <c r="O140" i="110"/>
  <c r="E153" i="110"/>
  <c r="M153" i="110" s="1"/>
  <c r="M152" i="110"/>
  <c r="K122" i="114"/>
  <c r="I123" i="114"/>
  <c r="J122" i="114"/>
  <c r="Y122" i="114" s="1"/>
  <c r="L121" i="114"/>
  <c r="M121" i="114" s="1"/>
  <c r="U121" i="114" s="1"/>
  <c r="X121" i="114" s="1"/>
  <c r="P121" i="114"/>
  <c r="L86" i="78"/>
  <c r="I87" i="78"/>
  <c r="F88" i="78"/>
  <c r="C89" i="78"/>
  <c r="K89" i="78"/>
  <c r="B90" i="78"/>
  <c r="F125" i="114"/>
  <c r="G124" i="114"/>
  <c r="G96" i="91"/>
  <c r="E97" i="91"/>
  <c r="J93" i="91"/>
  <c r="H95" i="91"/>
  <c r="I94" i="91"/>
  <c r="J94" i="91" s="1"/>
  <c r="I86" i="88"/>
  <c r="J86" i="88" s="1"/>
  <c r="S86" i="88"/>
  <c r="E152" i="88"/>
  <c r="M151" i="88"/>
  <c r="N115" i="88"/>
  <c r="O114" i="88"/>
  <c r="H87" i="88"/>
  <c r="F87" i="88"/>
  <c r="G86" i="88"/>
  <c r="K85" i="88"/>
  <c r="P85" i="88" s="1"/>
  <c r="C90" i="77"/>
  <c r="L89" i="77"/>
  <c r="O85" i="77"/>
  <c r="S85" i="77"/>
  <c r="R83" i="77"/>
  <c r="Q84" i="77"/>
  <c r="P84" i="77"/>
  <c r="T84" i="77"/>
  <c r="H87" i="77"/>
  <c r="K86" i="77"/>
  <c r="N86" i="77" s="1"/>
  <c r="O84" i="135"/>
  <c r="M84" i="135"/>
  <c r="N84" i="135" s="1"/>
  <c r="L85" i="135"/>
  <c r="G130" i="95"/>
  <c r="K130" i="95" s="1"/>
  <c r="L85" i="133"/>
  <c r="F60" i="113"/>
  <c r="G60" i="113" s="1"/>
  <c r="G91" i="134"/>
  <c r="H88" i="135"/>
  <c r="I87" i="135"/>
  <c r="H90" i="134"/>
  <c r="I89" i="134"/>
  <c r="J89" i="134" s="1"/>
  <c r="L86" i="134"/>
  <c r="M85" i="134"/>
  <c r="O85" i="134"/>
  <c r="G86" i="133"/>
  <c r="H85" i="133"/>
  <c r="I85" i="133" s="1"/>
  <c r="H105" i="95"/>
  <c r="I104" i="95"/>
  <c r="C103" i="55"/>
  <c r="J86" i="133"/>
  <c r="K86" i="133" s="1"/>
  <c r="K53" i="112"/>
  <c r="I54" i="112" s="1"/>
  <c r="C56" i="113" s="1"/>
  <c r="K56" i="113" s="1"/>
  <c r="M56" i="113" s="1"/>
  <c r="K89" i="55"/>
  <c r="N88" i="55"/>
  <c r="D87" i="133"/>
  <c r="E86" i="133"/>
  <c r="E89" i="135"/>
  <c r="F88" i="135"/>
  <c r="K88" i="135"/>
  <c r="L104" i="111"/>
  <c r="E105" i="111"/>
  <c r="M84" i="133"/>
  <c r="E91" i="134"/>
  <c r="F90" i="134"/>
  <c r="I59" i="113"/>
  <c r="J59" i="113" s="1"/>
  <c r="P87" i="55"/>
  <c r="J87" i="135"/>
  <c r="E90" i="95"/>
  <c r="O89" i="95"/>
  <c r="F89" i="95"/>
  <c r="J89" i="95" s="1"/>
  <c r="N89" i="95" s="1"/>
  <c r="D106" i="93"/>
  <c r="E105" i="93"/>
  <c r="H137" i="112"/>
  <c r="D139" i="113" s="1"/>
  <c r="L98" i="95" l="1"/>
  <c r="M97" i="95"/>
  <c r="N85" i="134"/>
  <c r="D27" i="159" s="1"/>
  <c r="H87" i="121"/>
  <c r="I86" i="121"/>
  <c r="J86" i="121" s="1"/>
  <c r="E91" i="121"/>
  <c r="F90" i="121"/>
  <c r="L87" i="121"/>
  <c r="M86" i="121"/>
  <c r="N86" i="121" s="1"/>
  <c r="F86" i="110"/>
  <c r="R85" i="110"/>
  <c r="L85" i="110"/>
  <c r="G85" i="110"/>
  <c r="K85" i="110" s="1"/>
  <c r="P85" i="110" s="1"/>
  <c r="H86" i="110"/>
  <c r="I86" i="110" s="1"/>
  <c r="J86" i="110" s="1"/>
  <c r="R86" i="88"/>
  <c r="V121" i="114"/>
  <c r="W121" i="114" s="1"/>
  <c r="G90" i="55"/>
  <c r="I89" i="55"/>
  <c r="N89" i="55" s="1"/>
  <c r="N86" i="78"/>
  <c r="O86" i="78" s="1"/>
  <c r="S86" i="78"/>
  <c r="P85" i="78"/>
  <c r="T85" i="78"/>
  <c r="Q85" i="78"/>
  <c r="L86" i="88"/>
  <c r="E154" i="110"/>
  <c r="M154" i="110" s="1"/>
  <c r="N142" i="110"/>
  <c r="O141" i="110"/>
  <c r="J123" i="114"/>
  <c r="Y123" i="114" s="1"/>
  <c r="K123" i="114"/>
  <c r="I124" i="114"/>
  <c r="P122" i="114"/>
  <c r="L122" i="114"/>
  <c r="M122" i="114" s="1"/>
  <c r="U122" i="114" s="1"/>
  <c r="K90" i="78"/>
  <c r="B91" i="78"/>
  <c r="F89" i="78"/>
  <c r="C90" i="78"/>
  <c r="L87" i="78"/>
  <c r="I88" i="78"/>
  <c r="O90" i="95"/>
  <c r="F126" i="114"/>
  <c r="G125" i="114"/>
  <c r="H96" i="91"/>
  <c r="I95" i="91"/>
  <c r="J95" i="91" s="1"/>
  <c r="G97" i="91"/>
  <c r="E98" i="91"/>
  <c r="I87" i="88"/>
  <c r="J87" i="88" s="1"/>
  <c r="S87" i="88"/>
  <c r="M152" i="88"/>
  <c r="E153" i="88"/>
  <c r="N116" i="88"/>
  <c r="O115" i="88"/>
  <c r="H88" i="88"/>
  <c r="F88" i="88"/>
  <c r="G87" i="88"/>
  <c r="L87" i="88"/>
  <c r="K86" i="88"/>
  <c r="P86" i="88" s="1"/>
  <c r="C91" i="77"/>
  <c r="L91" i="77" s="1"/>
  <c r="L90" i="77"/>
  <c r="P85" i="77"/>
  <c r="T85" i="77"/>
  <c r="Q85" i="77"/>
  <c r="O86" i="77"/>
  <c r="S86" i="77"/>
  <c r="R84" i="77"/>
  <c r="K87" i="77"/>
  <c r="N87" i="77" s="1"/>
  <c r="H88" i="77"/>
  <c r="M85" i="135"/>
  <c r="N85" i="135" s="1"/>
  <c r="O85" i="135"/>
  <c r="L86" i="135"/>
  <c r="G131" i="95"/>
  <c r="K131" i="95" s="1"/>
  <c r="L86" i="133"/>
  <c r="E91" i="95"/>
  <c r="O91" i="95" s="1"/>
  <c r="F90" i="95"/>
  <c r="J90" i="95" s="1"/>
  <c r="E92" i="134"/>
  <c r="F91" i="134"/>
  <c r="H138" i="112"/>
  <c r="D140" i="113" s="1"/>
  <c r="K90" i="135"/>
  <c r="K89" i="135"/>
  <c r="P88" i="55"/>
  <c r="J54" i="112"/>
  <c r="J88" i="133"/>
  <c r="J87" i="133"/>
  <c r="K87" i="133" s="1"/>
  <c r="C104" i="55"/>
  <c r="H106" i="95"/>
  <c r="I105" i="95"/>
  <c r="L87" i="134"/>
  <c r="M86" i="134"/>
  <c r="N86" i="134" s="1"/>
  <c r="O86" i="134"/>
  <c r="H91" i="134"/>
  <c r="I90" i="134"/>
  <c r="J90" i="134" s="1"/>
  <c r="F61" i="113"/>
  <c r="M85" i="133"/>
  <c r="D107" i="93"/>
  <c r="E106" i="93"/>
  <c r="L105" i="111"/>
  <c r="E106" i="111"/>
  <c r="E90" i="135"/>
  <c r="F89" i="135"/>
  <c r="D88" i="133"/>
  <c r="E87" i="133"/>
  <c r="K90" i="55"/>
  <c r="B56" i="113"/>
  <c r="G87" i="133"/>
  <c r="H86" i="133"/>
  <c r="I86" i="133" s="1"/>
  <c r="H89" i="135"/>
  <c r="I88" i="135"/>
  <c r="J88" i="135" s="1"/>
  <c r="G92" i="134"/>
  <c r="I60" i="113"/>
  <c r="J60" i="113" s="1"/>
  <c r="L99" i="95" l="1"/>
  <c r="M98" i="95"/>
  <c r="D77" i="162"/>
  <c r="E92" i="121"/>
  <c r="F91" i="121"/>
  <c r="L88" i="121"/>
  <c r="M87" i="121"/>
  <c r="H88" i="121"/>
  <c r="I87" i="121"/>
  <c r="J87" i="121" s="1"/>
  <c r="R86" i="110"/>
  <c r="G86" i="110"/>
  <c r="K86" i="110" s="1"/>
  <c r="P86" i="110" s="1"/>
  <c r="L86" i="110"/>
  <c r="F87" i="110"/>
  <c r="H87" i="110"/>
  <c r="I87" i="110" s="1"/>
  <c r="J87" i="110" s="1"/>
  <c r="X122" i="114"/>
  <c r="V122" i="114"/>
  <c r="W122" i="114" s="1"/>
  <c r="I90" i="55"/>
  <c r="G91" i="55"/>
  <c r="N87" i="78"/>
  <c r="O87" i="78" s="1"/>
  <c r="S87" i="78"/>
  <c r="R85" i="78"/>
  <c r="P86" i="78"/>
  <c r="T86" i="78"/>
  <c r="Q86" i="78"/>
  <c r="R87" i="88"/>
  <c r="N143" i="110"/>
  <c r="O142" i="110"/>
  <c r="E155" i="110"/>
  <c r="M155" i="110" s="1"/>
  <c r="J124" i="114"/>
  <c r="Y124" i="114" s="1"/>
  <c r="K124" i="114"/>
  <c r="I125" i="114"/>
  <c r="L123" i="114"/>
  <c r="M123" i="114" s="1"/>
  <c r="U123" i="114" s="1"/>
  <c r="P123" i="114"/>
  <c r="L88" i="78"/>
  <c r="I89" i="78"/>
  <c r="B92" i="78"/>
  <c r="K91" i="78"/>
  <c r="F90" i="78"/>
  <c r="C91" i="78"/>
  <c r="N90" i="95"/>
  <c r="G126" i="114"/>
  <c r="F127" i="114"/>
  <c r="H97" i="91"/>
  <c r="I96" i="91"/>
  <c r="J96" i="91" s="1"/>
  <c r="G98" i="91"/>
  <c r="E99" i="91"/>
  <c r="I88" i="88"/>
  <c r="J88" i="88" s="1"/>
  <c r="S88" i="88"/>
  <c r="E154" i="88"/>
  <c r="N117" i="88"/>
  <c r="O116" i="88"/>
  <c r="H89" i="88"/>
  <c r="F89" i="88"/>
  <c r="G88" i="88"/>
  <c r="K87" i="88"/>
  <c r="P87" i="88" s="1"/>
  <c r="C92" i="77"/>
  <c r="O87" i="77"/>
  <c r="S87" i="77"/>
  <c r="P86" i="77"/>
  <c r="Q86" i="77"/>
  <c r="T86" i="77"/>
  <c r="R85" i="77"/>
  <c r="H89" i="77"/>
  <c r="K88" i="77"/>
  <c r="N88" i="77" s="1"/>
  <c r="M86" i="135"/>
  <c r="N86" i="135" s="1"/>
  <c r="O86" i="135"/>
  <c r="L87" i="135"/>
  <c r="G132" i="95"/>
  <c r="K132" i="95" s="1"/>
  <c r="K88" i="133"/>
  <c r="L87" i="133"/>
  <c r="P89" i="55"/>
  <c r="E91" i="135"/>
  <c r="F90" i="135"/>
  <c r="H139" i="112"/>
  <c r="D141" i="113" s="1"/>
  <c r="I61" i="113"/>
  <c r="J61" i="113" s="1"/>
  <c r="L88" i="134"/>
  <c r="M87" i="134"/>
  <c r="N87" i="134" s="1"/>
  <c r="O87" i="134"/>
  <c r="K54" i="112"/>
  <c r="I55" i="112" s="1"/>
  <c r="C57" i="113" s="1"/>
  <c r="K57" i="113" s="1"/>
  <c r="E93" i="134"/>
  <c r="F92" i="134"/>
  <c r="G93" i="134"/>
  <c r="H90" i="135"/>
  <c r="I89" i="135"/>
  <c r="J89" i="135" s="1"/>
  <c r="G88" i="133"/>
  <c r="H87" i="133"/>
  <c r="I87" i="133" s="1"/>
  <c r="K91" i="55"/>
  <c r="N90" i="55"/>
  <c r="D89" i="133"/>
  <c r="E88" i="133"/>
  <c r="E107" i="111"/>
  <c r="L106" i="111"/>
  <c r="D108" i="93"/>
  <c r="E107" i="93"/>
  <c r="G61" i="113"/>
  <c r="H92" i="134"/>
  <c r="I91" i="134"/>
  <c r="J91" i="134" s="1"/>
  <c r="H107" i="95"/>
  <c r="I106" i="95"/>
  <c r="C105" i="55"/>
  <c r="E92" i="95"/>
  <c r="F91" i="95"/>
  <c r="J91" i="95" s="1"/>
  <c r="M86" i="133"/>
  <c r="M99" i="95" l="1"/>
  <c r="L100" i="95"/>
  <c r="R88" i="88"/>
  <c r="H88" i="133"/>
  <c r="L89" i="121"/>
  <c r="M88" i="121"/>
  <c r="H89" i="121"/>
  <c r="I88" i="121"/>
  <c r="J88" i="121" s="1"/>
  <c r="E93" i="121"/>
  <c r="F92" i="121"/>
  <c r="N87" i="121"/>
  <c r="H88" i="110"/>
  <c r="I88" i="110" s="1"/>
  <c r="J88" i="110" s="1"/>
  <c r="L87" i="110"/>
  <c r="R87" i="110"/>
  <c r="G87" i="110"/>
  <c r="K87" i="110" s="1"/>
  <c r="P87" i="110" s="1"/>
  <c r="F88" i="110"/>
  <c r="V123" i="114"/>
  <c r="W123" i="114" s="1"/>
  <c r="N88" i="78"/>
  <c r="O88" i="78" s="1"/>
  <c r="S88" i="78"/>
  <c r="X123" i="114"/>
  <c r="G92" i="55"/>
  <c r="I91" i="55"/>
  <c r="R86" i="78"/>
  <c r="P87" i="78"/>
  <c r="T87" i="78"/>
  <c r="Q87" i="78"/>
  <c r="L88" i="88"/>
  <c r="E156" i="110"/>
  <c r="M156" i="110" s="1"/>
  <c r="N144" i="110"/>
  <c r="O143" i="110"/>
  <c r="P124" i="114"/>
  <c r="L124" i="114"/>
  <c r="M124" i="114" s="1"/>
  <c r="U124" i="114" s="1"/>
  <c r="I126" i="114"/>
  <c r="J125" i="114"/>
  <c r="Y125" i="114" s="1"/>
  <c r="K125" i="114"/>
  <c r="Q88" i="78"/>
  <c r="K92" i="78"/>
  <c r="B93" i="78"/>
  <c r="F91" i="78"/>
  <c r="C92" i="78"/>
  <c r="L89" i="78"/>
  <c r="I90" i="78"/>
  <c r="N91" i="95"/>
  <c r="O92" i="95"/>
  <c r="F128" i="114"/>
  <c r="G127" i="114"/>
  <c r="H98" i="91"/>
  <c r="I97" i="91"/>
  <c r="J97" i="91" s="1"/>
  <c r="E100" i="91"/>
  <c r="G99" i="91"/>
  <c r="I89" i="88"/>
  <c r="J89" i="88" s="1"/>
  <c r="S89" i="88"/>
  <c r="E155" i="88"/>
  <c r="N118" i="88"/>
  <c r="O117" i="88"/>
  <c r="H90" i="88"/>
  <c r="G89" i="88"/>
  <c r="F90" i="88"/>
  <c r="K88" i="88"/>
  <c r="P88" i="88" s="1"/>
  <c r="L92" i="77"/>
  <c r="C93" i="77"/>
  <c r="K89" i="77"/>
  <c r="N89" i="77" s="1"/>
  <c r="H90" i="77"/>
  <c r="Q87" i="77"/>
  <c r="P87" i="77"/>
  <c r="T87" i="77"/>
  <c r="O88" i="77"/>
  <c r="S88" i="77"/>
  <c r="R86" i="77"/>
  <c r="M87" i="135"/>
  <c r="N87" i="135" s="1"/>
  <c r="O87" i="135"/>
  <c r="L88" i="135"/>
  <c r="G133" i="95"/>
  <c r="E93" i="95"/>
  <c r="O93" i="95" s="1"/>
  <c r="F92" i="95"/>
  <c r="J92" i="95" s="1"/>
  <c r="N92" i="95" s="1"/>
  <c r="C106" i="55"/>
  <c r="F62" i="113"/>
  <c r="G62" i="113" s="1"/>
  <c r="H140" i="112"/>
  <c r="D142" i="113" s="1"/>
  <c r="K92" i="55"/>
  <c r="N91" i="55"/>
  <c r="E94" i="134"/>
  <c r="F93" i="134"/>
  <c r="B57" i="113"/>
  <c r="M57" i="113"/>
  <c r="L89" i="134"/>
  <c r="M88" i="134"/>
  <c r="N88" i="134" s="1"/>
  <c r="O88" i="134"/>
  <c r="M87" i="133"/>
  <c r="K89" i="133"/>
  <c r="L88" i="133"/>
  <c r="H108" i="95"/>
  <c r="I107" i="95"/>
  <c r="H93" i="134"/>
  <c r="I92" i="134"/>
  <c r="J92" i="134" s="1"/>
  <c r="D109" i="93"/>
  <c r="E108" i="93"/>
  <c r="L107" i="111"/>
  <c r="E108" i="111"/>
  <c r="D90" i="133"/>
  <c r="E89" i="133"/>
  <c r="P90" i="55"/>
  <c r="G89" i="133"/>
  <c r="I88" i="133"/>
  <c r="H91" i="135"/>
  <c r="I90" i="135"/>
  <c r="J90" i="135" s="1"/>
  <c r="G94" i="134"/>
  <c r="J55" i="112"/>
  <c r="E92" i="135"/>
  <c r="F91" i="135"/>
  <c r="N88" i="121" l="1"/>
  <c r="D39" i="159"/>
  <c r="E39" i="159" s="1"/>
  <c r="E52" i="159" s="1"/>
  <c r="E54" i="159" s="1"/>
  <c r="E56" i="159" s="1"/>
  <c r="E58" i="159" s="1"/>
  <c r="K133" i="95"/>
  <c r="L101" i="95"/>
  <c r="M100" i="95"/>
  <c r="H90" i="121"/>
  <c r="I89" i="121"/>
  <c r="J89" i="121" s="1"/>
  <c r="E94" i="121"/>
  <c r="F93" i="121"/>
  <c r="L90" i="121"/>
  <c r="M89" i="121"/>
  <c r="G88" i="110"/>
  <c r="K88" i="110" s="1"/>
  <c r="P88" i="110" s="1"/>
  <c r="F89" i="110"/>
  <c r="L88" i="110"/>
  <c r="H89" i="110"/>
  <c r="I89" i="110" s="1"/>
  <c r="J89" i="110" s="1"/>
  <c r="R88" i="110"/>
  <c r="L89" i="88"/>
  <c r="P88" i="78"/>
  <c r="T88" i="78"/>
  <c r="N89" i="78"/>
  <c r="O89" i="78" s="1"/>
  <c r="S89" i="78"/>
  <c r="X124" i="114"/>
  <c r="V124" i="114"/>
  <c r="W124" i="114" s="1"/>
  <c r="I92" i="55"/>
  <c r="N92" i="55" s="1"/>
  <c r="G93" i="55"/>
  <c r="R88" i="78"/>
  <c r="R87" i="78"/>
  <c r="O89" i="77"/>
  <c r="P89" i="77" s="1"/>
  <c r="S89" i="77"/>
  <c r="K89" i="88"/>
  <c r="P89" i="88" s="1"/>
  <c r="R89" i="88"/>
  <c r="N145" i="110"/>
  <c r="O144" i="110"/>
  <c r="E157" i="110"/>
  <c r="M157" i="110" s="1"/>
  <c r="K126" i="114"/>
  <c r="J126" i="114"/>
  <c r="Y126" i="114" s="1"/>
  <c r="I127" i="114"/>
  <c r="L125" i="114"/>
  <c r="M125" i="114" s="1"/>
  <c r="U125" i="114" s="1"/>
  <c r="P125" i="114"/>
  <c r="I91" i="78"/>
  <c r="L90" i="78"/>
  <c r="K93" i="78"/>
  <c r="B94" i="78"/>
  <c r="F92" i="78"/>
  <c r="C93" i="78"/>
  <c r="F129" i="114"/>
  <c r="G128" i="114"/>
  <c r="G100" i="91"/>
  <c r="E101" i="91"/>
  <c r="I98" i="91"/>
  <c r="J98" i="91" s="1"/>
  <c r="H99" i="91"/>
  <c r="I90" i="88"/>
  <c r="R90" i="88" s="1"/>
  <c r="S90" i="88"/>
  <c r="E156" i="88"/>
  <c r="N119" i="88"/>
  <c r="O118" i="88"/>
  <c r="F91" i="88"/>
  <c r="G90" i="88"/>
  <c r="L90" i="88"/>
  <c r="H91" i="88"/>
  <c r="L93" i="77"/>
  <c r="C94" i="77"/>
  <c r="P88" i="77"/>
  <c r="T88" i="77"/>
  <c r="Q88" i="77"/>
  <c r="R87" i="77"/>
  <c r="H91" i="77"/>
  <c r="K90" i="77"/>
  <c r="N90" i="77" s="1"/>
  <c r="O88" i="135"/>
  <c r="M88" i="135"/>
  <c r="N88" i="135" s="1"/>
  <c r="L89" i="135"/>
  <c r="G134" i="95"/>
  <c r="K134" i="95" s="1"/>
  <c r="F63" i="113"/>
  <c r="G95" i="134"/>
  <c r="H141" i="112"/>
  <c r="D143" i="113" s="1"/>
  <c r="D110" i="93"/>
  <c r="E109" i="93"/>
  <c r="H94" i="134"/>
  <c r="I93" i="134"/>
  <c r="J93" i="134" s="1"/>
  <c r="M88" i="133"/>
  <c r="K90" i="133"/>
  <c r="L89" i="133"/>
  <c r="E95" i="134"/>
  <c r="E96" i="134" s="1"/>
  <c r="F94" i="134"/>
  <c r="P91" i="55"/>
  <c r="E93" i="135"/>
  <c r="F92" i="135"/>
  <c r="K55" i="112"/>
  <c r="I56" i="112" s="1"/>
  <c r="C58" i="113" s="1"/>
  <c r="K58" i="113" s="1"/>
  <c r="M58" i="113" s="1"/>
  <c r="H92" i="135"/>
  <c r="I91" i="135"/>
  <c r="J91" i="135" s="1"/>
  <c r="G90" i="133"/>
  <c r="H89" i="133"/>
  <c r="I89" i="133" s="1"/>
  <c r="D91" i="133"/>
  <c r="E90" i="133"/>
  <c r="L108" i="111"/>
  <c r="E109" i="111"/>
  <c r="H109" i="95"/>
  <c r="I108" i="95"/>
  <c r="L90" i="134"/>
  <c r="M89" i="134"/>
  <c r="N89" i="134" s="1"/>
  <c r="O89" i="134"/>
  <c r="K93" i="55"/>
  <c r="I62" i="113"/>
  <c r="J62" i="113" s="1"/>
  <c r="C107" i="55"/>
  <c r="E94" i="95"/>
  <c r="O94" i="95" s="1"/>
  <c r="F93" i="95"/>
  <c r="J93" i="95" s="1"/>
  <c r="N93" i="95" s="1"/>
  <c r="D52" i="159" l="1"/>
  <c r="M101" i="95"/>
  <c r="L102" i="95"/>
  <c r="J90" i="88"/>
  <c r="Q89" i="77"/>
  <c r="R89" i="77" s="1"/>
  <c r="T89" i="77"/>
  <c r="L91" i="121"/>
  <c r="M90" i="121"/>
  <c r="N89" i="121"/>
  <c r="E95" i="121"/>
  <c r="F95" i="121" s="1"/>
  <c r="F94" i="121"/>
  <c r="H91" i="121"/>
  <c r="I90" i="121"/>
  <c r="J90" i="121" s="1"/>
  <c r="N90" i="121" s="1"/>
  <c r="L89" i="110"/>
  <c r="R89" i="110"/>
  <c r="G89" i="110"/>
  <c r="K89" i="110" s="1"/>
  <c r="P89" i="110" s="1"/>
  <c r="H90" i="110"/>
  <c r="I90" i="110" s="1"/>
  <c r="J90" i="110" s="1"/>
  <c r="F90" i="110"/>
  <c r="P89" i="78"/>
  <c r="T89" i="78"/>
  <c r="Q89" i="78"/>
  <c r="R89" i="78" s="1"/>
  <c r="N90" i="78"/>
  <c r="O90" i="78" s="1"/>
  <c r="S90" i="78"/>
  <c r="H95" i="134"/>
  <c r="X125" i="114"/>
  <c r="V125" i="114"/>
  <c r="W125" i="114" s="1"/>
  <c r="I93" i="55"/>
  <c r="G94" i="55"/>
  <c r="O90" i="77"/>
  <c r="T90" i="77" s="1"/>
  <c r="S90" i="77"/>
  <c r="E158" i="110"/>
  <c r="M158" i="110" s="1"/>
  <c r="N146" i="110"/>
  <c r="O145" i="110"/>
  <c r="I128" i="114"/>
  <c r="K127" i="114"/>
  <c r="J127" i="114"/>
  <c r="Y127" i="114" s="1"/>
  <c r="P126" i="114"/>
  <c r="L126" i="114"/>
  <c r="M126" i="114" s="1"/>
  <c r="U126" i="114" s="1"/>
  <c r="K94" i="78"/>
  <c r="B95" i="78"/>
  <c r="C94" i="78"/>
  <c r="F93" i="78"/>
  <c r="I92" i="78"/>
  <c r="L91" i="78"/>
  <c r="G129" i="114"/>
  <c r="F130" i="114"/>
  <c r="H100" i="91"/>
  <c r="I99" i="91"/>
  <c r="J99" i="91" s="1"/>
  <c r="G101" i="91"/>
  <c r="E102" i="91"/>
  <c r="I91" i="88"/>
  <c r="S91" i="88"/>
  <c r="E157" i="88"/>
  <c r="N120" i="88"/>
  <c r="O119" i="88"/>
  <c r="J91" i="88"/>
  <c r="H92" i="88"/>
  <c r="L91" i="88"/>
  <c r="F92" i="88"/>
  <c r="R91" i="88"/>
  <c r="G91" i="88"/>
  <c r="K90" i="88"/>
  <c r="P90" i="88" s="1"/>
  <c r="L94" i="77"/>
  <c r="C95" i="77"/>
  <c r="K91" i="77"/>
  <c r="N91" i="77" s="1"/>
  <c r="H92" i="77"/>
  <c r="R88" i="77"/>
  <c r="M89" i="135"/>
  <c r="N89" i="135" s="1"/>
  <c r="L90" i="135"/>
  <c r="O89" i="135"/>
  <c r="F96" i="134"/>
  <c r="E97" i="134"/>
  <c r="G135" i="95"/>
  <c r="K135" i="95" s="1"/>
  <c r="K94" i="55"/>
  <c r="N93" i="55"/>
  <c r="L91" i="134"/>
  <c r="M90" i="134"/>
  <c r="N90" i="134" s="1"/>
  <c r="O90" i="134"/>
  <c r="H110" i="95"/>
  <c r="I109" i="95"/>
  <c r="L109" i="111"/>
  <c r="E110" i="111"/>
  <c r="D92" i="133"/>
  <c r="E91" i="133"/>
  <c r="G91" i="133"/>
  <c r="H90" i="133"/>
  <c r="I90" i="133" s="1"/>
  <c r="H93" i="135"/>
  <c r="I92" i="135"/>
  <c r="J92" i="135" s="1"/>
  <c r="B58" i="113"/>
  <c r="E94" i="135"/>
  <c r="F93" i="135"/>
  <c r="M89" i="133"/>
  <c r="I94" i="134"/>
  <c r="J94" i="134" s="1"/>
  <c r="I63" i="113"/>
  <c r="O63" i="113" s="1"/>
  <c r="E95" i="95"/>
  <c r="O95" i="95" s="1"/>
  <c r="F94" i="95"/>
  <c r="J94" i="95" s="1"/>
  <c r="N94" i="95" s="1"/>
  <c r="C108" i="55"/>
  <c r="P92" i="55"/>
  <c r="H142" i="112"/>
  <c r="D144" i="113" s="1"/>
  <c r="J56" i="112"/>
  <c r="F95" i="134"/>
  <c r="K91" i="133"/>
  <c r="L90" i="133"/>
  <c r="D111" i="93"/>
  <c r="E110" i="93"/>
  <c r="G63" i="113"/>
  <c r="Q90" i="77" l="1"/>
  <c r="R90" i="77" s="1"/>
  <c r="M102" i="95"/>
  <c r="L103" i="95"/>
  <c r="H92" i="121"/>
  <c r="I91" i="121"/>
  <c r="J91" i="121" s="1"/>
  <c r="L92" i="121"/>
  <c r="M91" i="121"/>
  <c r="F91" i="110"/>
  <c r="L90" i="110"/>
  <c r="H91" i="110"/>
  <c r="I91" i="110" s="1"/>
  <c r="J91" i="110" s="1"/>
  <c r="R90" i="110"/>
  <c r="G90" i="110"/>
  <c r="K90" i="110" s="1"/>
  <c r="P90" i="110" s="1"/>
  <c r="N91" i="78"/>
  <c r="O91" i="78" s="1"/>
  <c r="S91" i="78"/>
  <c r="P90" i="78"/>
  <c r="T90" i="78"/>
  <c r="Q90" i="78"/>
  <c r="R90" i="78" s="1"/>
  <c r="V126" i="114"/>
  <c r="W126" i="114" s="1"/>
  <c r="X126" i="114"/>
  <c r="I94" i="55"/>
  <c r="N94" i="55" s="1"/>
  <c r="G95" i="55"/>
  <c r="Q91" i="78"/>
  <c r="O91" i="77"/>
  <c r="P91" i="77" s="1"/>
  <c r="S91" i="77"/>
  <c r="P90" i="77"/>
  <c r="N147" i="110"/>
  <c r="O146" i="110"/>
  <c r="E159" i="110"/>
  <c r="M159" i="110" s="1"/>
  <c r="J128" i="114"/>
  <c r="Y128" i="114" s="1"/>
  <c r="K128" i="114"/>
  <c r="I129" i="114"/>
  <c r="P127" i="114"/>
  <c r="L127" i="114"/>
  <c r="M127" i="114" s="1"/>
  <c r="U127" i="114" s="1"/>
  <c r="C95" i="78"/>
  <c r="F94" i="78"/>
  <c r="B96" i="78"/>
  <c r="K95" i="78"/>
  <c r="L92" i="78"/>
  <c r="I93" i="78"/>
  <c r="G130" i="114"/>
  <c r="F131" i="114"/>
  <c r="H101" i="91"/>
  <c r="I100" i="91"/>
  <c r="J100" i="91" s="1"/>
  <c r="E103" i="91"/>
  <c r="G102" i="91"/>
  <c r="S92" i="88"/>
  <c r="E158" i="88"/>
  <c r="N121" i="88"/>
  <c r="O120" i="88"/>
  <c r="K91" i="88"/>
  <c r="P91" i="88" s="1"/>
  <c r="F93" i="88"/>
  <c r="H93" i="88"/>
  <c r="S93" i="88" s="1"/>
  <c r="G92" i="88"/>
  <c r="I92" i="88"/>
  <c r="C96" i="77"/>
  <c r="L95" i="77"/>
  <c r="H93" i="77"/>
  <c r="K92" i="77"/>
  <c r="N92" i="77" s="1"/>
  <c r="L91" i="135"/>
  <c r="M90" i="135"/>
  <c r="N90" i="135" s="1"/>
  <c r="O90" i="135"/>
  <c r="I95" i="134"/>
  <c r="J95" i="134" s="1"/>
  <c r="H96" i="134"/>
  <c r="F97" i="134"/>
  <c r="E98" i="134"/>
  <c r="G136" i="95"/>
  <c r="K136" i="95" s="1"/>
  <c r="K92" i="133"/>
  <c r="L91" i="133"/>
  <c r="E95" i="135"/>
  <c r="F94" i="135"/>
  <c r="E111" i="111"/>
  <c r="L110" i="111"/>
  <c r="P93" i="55"/>
  <c r="F64" i="113"/>
  <c r="G64" i="113" s="1"/>
  <c r="D112" i="93"/>
  <c r="E111" i="93"/>
  <c r="M90" i="133"/>
  <c r="K56" i="112"/>
  <c r="I57" i="112" s="1"/>
  <c r="C59" i="113" s="1"/>
  <c r="K59" i="113" s="1"/>
  <c r="C109" i="55"/>
  <c r="E96" i="95"/>
  <c r="O96" i="95" s="1"/>
  <c r="F95" i="95"/>
  <c r="J95" i="95" s="1"/>
  <c r="N95" i="95" s="1"/>
  <c r="D77" i="114"/>
  <c r="P63" i="113"/>
  <c r="H94" i="135"/>
  <c r="I93" i="135"/>
  <c r="J93" i="135" s="1"/>
  <c r="G92" i="133"/>
  <c r="H91" i="133"/>
  <c r="I91" i="133" s="1"/>
  <c r="D93" i="133"/>
  <c r="E92" i="133"/>
  <c r="H143" i="112"/>
  <c r="D145" i="113" s="1"/>
  <c r="H111" i="95"/>
  <c r="I110" i="95"/>
  <c r="L92" i="134"/>
  <c r="M91" i="134"/>
  <c r="N91" i="134" s="1"/>
  <c r="O91" i="134"/>
  <c r="K95" i="55"/>
  <c r="J63" i="113"/>
  <c r="M103" i="95" l="1"/>
  <c r="L104" i="95"/>
  <c r="Q91" i="77"/>
  <c r="R91" i="77" s="1"/>
  <c r="N91" i="121"/>
  <c r="L93" i="121"/>
  <c r="M92" i="121"/>
  <c r="H93" i="121"/>
  <c r="I92" i="121"/>
  <c r="J92" i="121" s="1"/>
  <c r="F92" i="110"/>
  <c r="H92" i="110"/>
  <c r="I92" i="110" s="1"/>
  <c r="J92" i="110" s="1"/>
  <c r="G91" i="110"/>
  <c r="K91" i="110" s="1"/>
  <c r="P91" i="110" s="1"/>
  <c r="R91" i="110"/>
  <c r="L91" i="110"/>
  <c r="P91" i="78"/>
  <c r="T91" i="78"/>
  <c r="N92" i="78"/>
  <c r="O92" i="78" s="1"/>
  <c r="S92" i="78"/>
  <c r="T91" i="77"/>
  <c r="V127" i="114"/>
  <c r="W127" i="114" s="1"/>
  <c r="X127" i="114"/>
  <c r="G96" i="55"/>
  <c r="I95" i="55"/>
  <c r="N95" i="55" s="1"/>
  <c r="Q92" i="78"/>
  <c r="R91" i="78"/>
  <c r="O92" i="77"/>
  <c r="P92" i="77" s="1"/>
  <c r="S92" i="77"/>
  <c r="E160" i="110"/>
  <c r="M160" i="110" s="1"/>
  <c r="N148" i="110"/>
  <c r="O147" i="110"/>
  <c r="L128" i="114"/>
  <c r="M128" i="114" s="1"/>
  <c r="U128" i="114" s="1"/>
  <c r="V128" i="114" s="1"/>
  <c r="W128" i="114" s="1"/>
  <c r="P128" i="114"/>
  <c r="K129" i="114"/>
  <c r="I130" i="114"/>
  <c r="J129" i="114"/>
  <c r="Y129" i="114" s="1"/>
  <c r="K96" i="78"/>
  <c r="B97" i="78"/>
  <c r="L93" i="78"/>
  <c r="I94" i="78"/>
  <c r="C96" i="78"/>
  <c r="F95" i="78"/>
  <c r="G131" i="114"/>
  <c r="F132" i="114"/>
  <c r="G103" i="91"/>
  <c r="E104" i="91"/>
  <c r="H102" i="91"/>
  <c r="I101" i="91"/>
  <c r="J101" i="91" s="1"/>
  <c r="E159" i="88"/>
  <c r="N122" i="88"/>
  <c r="O121" i="88"/>
  <c r="I93" i="88"/>
  <c r="R93" i="88" s="1"/>
  <c r="J92" i="88"/>
  <c r="K92" i="88" s="1"/>
  <c r="P92" i="88" s="1"/>
  <c r="R92" i="88"/>
  <c r="L92" i="88"/>
  <c r="H94" i="88"/>
  <c r="S94" i="88" s="1"/>
  <c r="G93" i="88"/>
  <c r="F94" i="88"/>
  <c r="C97" i="77"/>
  <c r="L96" i="77"/>
  <c r="K93" i="77"/>
  <c r="N93" i="77" s="1"/>
  <c r="H94" i="77"/>
  <c r="O91" i="135"/>
  <c r="M91" i="135"/>
  <c r="N91" i="135" s="1"/>
  <c r="L92" i="135"/>
  <c r="H97" i="134"/>
  <c r="I96" i="134"/>
  <c r="J96" i="134" s="1"/>
  <c r="F98" i="134"/>
  <c r="E99" i="134"/>
  <c r="G137" i="95"/>
  <c r="K137" i="95" s="1"/>
  <c r="J57" i="112"/>
  <c r="K57" i="112" s="1"/>
  <c r="I58" i="112" s="1"/>
  <c r="C60" i="113" s="1"/>
  <c r="K60" i="113" s="1"/>
  <c r="B60" i="113" s="1"/>
  <c r="F65" i="113"/>
  <c r="K96" i="55"/>
  <c r="D94" i="133"/>
  <c r="E93" i="133"/>
  <c r="G93" i="133"/>
  <c r="H92" i="133"/>
  <c r="I92" i="133" s="1"/>
  <c r="H95" i="135"/>
  <c r="I94" i="135"/>
  <c r="J94" i="135" s="1"/>
  <c r="B59" i="113"/>
  <c r="M59" i="113"/>
  <c r="L111" i="111"/>
  <c r="E112" i="111"/>
  <c r="M91" i="133"/>
  <c r="P94" i="55"/>
  <c r="L93" i="134"/>
  <c r="M92" i="134"/>
  <c r="N92" i="134" s="1"/>
  <c r="O92" i="134"/>
  <c r="H112" i="95"/>
  <c r="I111" i="95"/>
  <c r="Q63" i="113"/>
  <c r="E97" i="95"/>
  <c r="O97" i="95" s="1"/>
  <c r="F96" i="95"/>
  <c r="J96" i="95" s="1"/>
  <c r="N96" i="95" s="1"/>
  <c r="C110" i="55"/>
  <c r="D113" i="93"/>
  <c r="E112" i="93"/>
  <c r="D19" i="159" s="1"/>
  <c r="I64" i="113"/>
  <c r="O64" i="113" s="1"/>
  <c r="H144" i="112"/>
  <c r="D146" i="113" s="1"/>
  <c r="E96" i="135"/>
  <c r="F95" i="135"/>
  <c r="K93" i="133"/>
  <c r="L92" i="133"/>
  <c r="L105" i="95" l="1"/>
  <c r="M104" i="95"/>
  <c r="H94" i="121"/>
  <c r="I93" i="121"/>
  <c r="J93" i="121" s="1"/>
  <c r="L94" i="121"/>
  <c r="M93" i="121"/>
  <c r="N92" i="121"/>
  <c r="L92" i="110"/>
  <c r="F93" i="110"/>
  <c r="R92" i="110"/>
  <c r="H93" i="110"/>
  <c r="I93" i="110" s="1"/>
  <c r="J93" i="110" s="1"/>
  <c r="G92" i="110"/>
  <c r="K92" i="110" s="1"/>
  <c r="P92" i="110" s="1"/>
  <c r="N93" i="78"/>
  <c r="O93" i="78" s="1"/>
  <c r="S93" i="78"/>
  <c r="P92" i="78"/>
  <c r="T92" i="78"/>
  <c r="T92" i="77"/>
  <c r="X128" i="114"/>
  <c r="I96" i="55"/>
  <c r="N96" i="55" s="1"/>
  <c r="G97" i="55"/>
  <c r="R92" i="78"/>
  <c r="Q92" i="77"/>
  <c r="R92" i="77" s="1"/>
  <c r="L93" i="88"/>
  <c r="N149" i="110"/>
  <c r="O148" i="110"/>
  <c r="E161" i="110"/>
  <c r="M161" i="110" s="1"/>
  <c r="J130" i="114"/>
  <c r="Y130" i="114" s="1"/>
  <c r="K130" i="114"/>
  <c r="I131" i="114"/>
  <c r="L129" i="114"/>
  <c r="M129" i="114" s="1"/>
  <c r="U129" i="114" s="1"/>
  <c r="P129" i="114"/>
  <c r="I95" i="78"/>
  <c r="L94" i="78"/>
  <c r="K97" i="78"/>
  <c r="B98" i="78"/>
  <c r="F96" i="78"/>
  <c r="C97" i="78"/>
  <c r="O93" i="77"/>
  <c r="Q93" i="77" s="1"/>
  <c r="S93" i="77"/>
  <c r="G132" i="114"/>
  <c r="F133" i="114"/>
  <c r="H103" i="91"/>
  <c r="I102" i="91"/>
  <c r="J102" i="91" s="1"/>
  <c r="G104" i="91"/>
  <c r="E105" i="91"/>
  <c r="E160" i="88"/>
  <c r="N123" i="88"/>
  <c r="O122" i="88"/>
  <c r="H95" i="88"/>
  <c r="S95" i="88" s="1"/>
  <c r="G94" i="88"/>
  <c r="F95" i="88"/>
  <c r="I94" i="88"/>
  <c r="L94" i="88" s="1"/>
  <c r="J93" i="88"/>
  <c r="K93" i="88" s="1"/>
  <c r="P93" i="88" s="1"/>
  <c r="L97" i="77"/>
  <c r="C98" i="77"/>
  <c r="H95" i="77"/>
  <c r="K94" i="77"/>
  <c r="N94" i="77" s="1"/>
  <c r="M92" i="135"/>
  <c r="N92" i="135" s="1"/>
  <c r="L93" i="135"/>
  <c r="O92" i="135"/>
  <c r="F99" i="134"/>
  <c r="E100" i="134"/>
  <c r="I97" i="134"/>
  <c r="J97" i="134" s="1"/>
  <c r="H98" i="134"/>
  <c r="G138" i="95"/>
  <c r="K138" i="95" s="1"/>
  <c r="K94" i="133"/>
  <c r="L93" i="133"/>
  <c r="E97" i="135"/>
  <c r="F96" i="135"/>
  <c r="D78" i="114"/>
  <c r="P64" i="113"/>
  <c r="L94" i="134"/>
  <c r="M93" i="134"/>
  <c r="N93" i="134" s="1"/>
  <c r="O93" i="134"/>
  <c r="H145" i="112"/>
  <c r="D147" i="113" s="1"/>
  <c r="M60" i="113"/>
  <c r="D95" i="133"/>
  <c r="E94" i="133"/>
  <c r="P95" i="55"/>
  <c r="J64" i="113"/>
  <c r="I65" i="113"/>
  <c r="O65" i="113" s="1"/>
  <c r="D79" i="114" s="1"/>
  <c r="M92" i="133"/>
  <c r="D114" i="93"/>
  <c r="E113" i="93"/>
  <c r="J58" i="112"/>
  <c r="C111" i="55"/>
  <c r="E98" i="95"/>
  <c r="F97" i="95"/>
  <c r="J97" i="95" s="1"/>
  <c r="N97" i="95" s="1"/>
  <c r="H113" i="95"/>
  <c r="I112" i="95"/>
  <c r="L112" i="111"/>
  <c r="E113" i="111"/>
  <c r="H96" i="135"/>
  <c r="I95" i="135"/>
  <c r="J95" i="135" s="1"/>
  <c r="G94" i="133"/>
  <c r="H93" i="133"/>
  <c r="I93" i="133" s="1"/>
  <c r="K97" i="55"/>
  <c r="G65" i="113"/>
  <c r="N93" i="121" l="1"/>
  <c r="M105" i="95"/>
  <c r="L106" i="95"/>
  <c r="L95" i="121"/>
  <c r="M95" i="121" s="1"/>
  <c r="M94" i="121"/>
  <c r="H95" i="121"/>
  <c r="I95" i="121" s="1"/>
  <c r="J95" i="121" s="1"/>
  <c r="I94" i="121"/>
  <c r="J94" i="121" s="1"/>
  <c r="R93" i="110"/>
  <c r="G93" i="110"/>
  <c r="K93" i="110" s="1"/>
  <c r="P93" i="110" s="1"/>
  <c r="F94" i="110"/>
  <c r="H94" i="110"/>
  <c r="I94" i="110" s="1"/>
  <c r="J94" i="110" s="1"/>
  <c r="L93" i="110"/>
  <c r="P93" i="78"/>
  <c r="T93" i="78"/>
  <c r="N94" i="78"/>
  <c r="O94" i="78" s="1"/>
  <c r="S94" i="78"/>
  <c r="Q93" i="78"/>
  <c r="V129" i="114"/>
  <c r="W129" i="114" s="1"/>
  <c r="X129" i="114"/>
  <c r="I97" i="55"/>
  <c r="G98" i="55"/>
  <c r="Q94" i="78"/>
  <c r="R93" i="78"/>
  <c r="P93" i="77"/>
  <c r="T93" i="77"/>
  <c r="O98" i="95"/>
  <c r="E162" i="110"/>
  <c r="M162" i="110" s="1"/>
  <c r="N150" i="110"/>
  <c r="O149" i="110"/>
  <c r="I132" i="114"/>
  <c r="J131" i="114"/>
  <c r="Y131" i="114" s="1"/>
  <c r="K131" i="114"/>
  <c r="L130" i="114"/>
  <c r="M130" i="114" s="1"/>
  <c r="U130" i="114" s="1"/>
  <c r="P130" i="114"/>
  <c r="B99" i="78"/>
  <c r="K98" i="78"/>
  <c r="C98" i="78"/>
  <c r="F97" i="78"/>
  <c r="L95" i="78"/>
  <c r="I96" i="78"/>
  <c r="O94" i="77"/>
  <c r="T94" i="77" s="1"/>
  <c r="S94" i="77"/>
  <c r="G133" i="114"/>
  <c r="F134" i="114"/>
  <c r="H104" i="91"/>
  <c r="I103" i="91"/>
  <c r="J103" i="91" s="1"/>
  <c r="G105" i="91"/>
  <c r="E106" i="91"/>
  <c r="E161" i="88"/>
  <c r="N124" i="88"/>
  <c r="O123" i="88"/>
  <c r="F96" i="88"/>
  <c r="H96" i="88"/>
  <c r="S96" i="88" s="1"/>
  <c r="G95" i="88"/>
  <c r="J94" i="88"/>
  <c r="K94" i="88" s="1"/>
  <c r="P94" i="88" s="1"/>
  <c r="I95" i="88"/>
  <c r="R95" i="88" s="1"/>
  <c r="R94" i="88"/>
  <c r="C99" i="77"/>
  <c r="L98" i="77"/>
  <c r="R93" i="77"/>
  <c r="K95" i="77"/>
  <c r="N95" i="77" s="1"/>
  <c r="H96" i="77"/>
  <c r="L94" i="135"/>
  <c r="O93" i="135"/>
  <c r="M93" i="135"/>
  <c r="N93" i="135" s="1"/>
  <c r="I98" i="134"/>
  <c r="J98" i="134" s="1"/>
  <c r="H99" i="134"/>
  <c r="F100" i="134"/>
  <c r="E101" i="134"/>
  <c r="G139" i="95"/>
  <c r="K139" i="95" s="1"/>
  <c r="P96" i="55"/>
  <c r="G95" i="133"/>
  <c r="H94" i="133"/>
  <c r="I94" i="133" s="1"/>
  <c r="H97" i="135"/>
  <c r="I96" i="135"/>
  <c r="J96" i="135" s="1"/>
  <c r="H146" i="112"/>
  <c r="D148" i="113" s="1"/>
  <c r="K58" i="112"/>
  <c r="I59" i="112" s="1"/>
  <c r="C61" i="113" s="1"/>
  <c r="K61" i="113" s="1"/>
  <c r="B61" i="113" s="1"/>
  <c r="L95" i="134"/>
  <c r="M94" i="134"/>
  <c r="N94" i="134" s="1"/>
  <c r="O94" i="134"/>
  <c r="K95" i="133"/>
  <c r="L94" i="133"/>
  <c r="F66" i="113"/>
  <c r="G66" i="113" s="1"/>
  <c r="K98" i="55"/>
  <c r="N97" i="55"/>
  <c r="L113" i="111"/>
  <c r="E114" i="111"/>
  <c r="H114" i="95"/>
  <c r="I113" i="95"/>
  <c r="E99" i="95"/>
  <c r="O99" i="95" s="1"/>
  <c r="F98" i="95"/>
  <c r="J98" i="95" s="1"/>
  <c r="C112" i="55"/>
  <c r="D115" i="93"/>
  <c r="E114" i="93"/>
  <c r="J65" i="113"/>
  <c r="D96" i="133"/>
  <c r="E95" i="133"/>
  <c r="P65" i="113"/>
  <c r="Q64" i="113"/>
  <c r="E98" i="135"/>
  <c r="F97" i="135"/>
  <c r="M93" i="133"/>
  <c r="N94" i="121" l="1"/>
  <c r="L107" i="95"/>
  <c r="M106" i="95"/>
  <c r="N95" i="121"/>
  <c r="D24" i="159" s="1"/>
  <c r="H95" i="110"/>
  <c r="I95" i="110" s="1"/>
  <c r="J95" i="110" s="1"/>
  <c r="G94" i="110"/>
  <c r="K94" i="110" s="1"/>
  <c r="P94" i="110" s="1"/>
  <c r="L94" i="110"/>
  <c r="F95" i="110"/>
  <c r="R94" i="110"/>
  <c r="N95" i="78"/>
  <c r="O95" i="78" s="1"/>
  <c r="S95" i="78"/>
  <c r="P94" i="78"/>
  <c r="T94" i="78"/>
  <c r="P94" i="77"/>
  <c r="V130" i="114"/>
  <c r="W130" i="114" s="1"/>
  <c r="X130" i="114"/>
  <c r="I98" i="55"/>
  <c r="N98" i="55" s="1"/>
  <c r="G99" i="55"/>
  <c r="R94" i="78"/>
  <c r="Q94" i="77"/>
  <c r="R94" i="77" s="1"/>
  <c r="N98" i="95"/>
  <c r="N151" i="110"/>
  <c r="O150" i="110"/>
  <c r="E163" i="110"/>
  <c r="M163" i="110" s="1"/>
  <c r="L131" i="114"/>
  <c r="M131" i="114" s="1"/>
  <c r="U131" i="114" s="1"/>
  <c r="P131" i="114"/>
  <c r="K132" i="114"/>
  <c r="I133" i="114"/>
  <c r="J132" i="114"/>
  <c r="Y132" i="114" s="1"/>
  <c r="C99" i="78"/>
  <c r="F98" i="78"/>
  <c r="I97" i="78"/>
  <c r="L96" i="78"/>
  <c r="B100" i="78"/>
  <c r="K99" i="78"/>
  <c r="O95" i="77"/>
  <c r="P95" i="77" s="1"/>
  <c r="S95" i="77"/>
  <c r="F135" i="114"/>
  <c r="G134" i="114"/>
  <c r="H105" i="91"/>
  <c r="I104" i="91"/>
  <c r="J104" i="91" s="1"/>
  <c r="G106" i="91"/>
  <c r="E107" i="91"/>
  <c r="E162" i="88"/>
  <c r="N125" i="88"/>
  <c r="O124" i="88"/>
  <c r="H97" i="88"/>
  <c r="S97" i="88" s="1"/>
  <c r="F97" i="88"/>
  <c r="G96" i="88"/>
  <c r="I96" i="88"/>
  <c r="J95" i="88"/>
  <c r="K95" i="88" s="1"/>
  <c r="P95" i="88" s="1"/>
  <c r="L95" i="88"/>
  <c r="C100" i="77"/>
  <c r="L99" i="77"/>
  <c r="H97" i="77"/>
  <c r="K96" i="77"/>
  <c r="N96" i="77" s="1"/>
  <c r="O94" i="135"/>
  <c r="L95" i="135"/>
  <c r="M94" i="135"/>
  <c r="N94" i="135" s="1"/>
  <c r="O95" i="134"/>
  <c r="L96" i="134"/>
  <c r="F101" i="134"/>
  <c r="E102" i="134"/>
  <c r="I99" i="134"/>
  <c r="J99" i="134" s="1"/>
  <c r="H100" i="134"/>
  <c r="G140" i="95"/>
  <c r="K140" i="95" s="1"/>
  <c r="M61" i="113"/>
  <c r="J59" i="112"/>
  <c r="K59" i="112" s="1"/>
  <c r="I60" i="112" s="1"/>
  <c r="C62" i="113" s="1"/>
  <c r="K62" i="113" s="1"/>
  <c r="B62" i="113" s="1"/>
  <c r="Q65" i="113"/>
  <c r="D97" i="133"/>
  <c r="E96" i="133"/>
  <c r="D116" i="93"/>
  <c r="E115" i="93"/>
  <c r="H115" i="95"/>
  <c r="I114" i="95"/>
  <c r="E115" i="111"/>
  <c r="L114" i="111"/>
  <c r="P97" i="55"/>
  <c r="I66" i="113"/>
  <c r="O66" i="113" s="1"/>
  <c r="K96" i="133"/>
  <c r="L95" i="133"/>
  <c r="E99" i="135"/>
  <c r="F98" i="135"/>
  <c r="C113" i="55"/>
  <c r="E100" i="95"/>
  <c r="O100" i="95" s="1"/>
  <c r="F99" i="95"/>
  <c r="J99" i="95" s="1"/>
  <c r="N99" i="95" s="1"/>
  <c r="H147" i="112"/>
  <c r="D149" i="113" s="1"/>
  <c r="K99" i="55"/>
  <c r="F67" i="113"/>
  <c r="G67" i="113" s="1"/>
  <c r="M94" i="133"/>
  <c r="M95" i="134"/>
  <c r="N95" i="134" s="1"/>
  <c r="H98" i="135"/>
  <c r="I97" i="135"/>
  <c r="J97" i="135" s="1"/>
  <c r="G96" i="133"/>
  <c r="H95" i="133"/>
  <c r="I95" i="133" s="1"/>
  <c r="L108" i="95" l="1"/>
  <c r="M107" i="95"/>
  <c r="L95" i="110"/>
  <c r="G95" i="110"/>
  <c r="K95" i="110" s="1"/>
  <c r="P95" i="110" s="1"/>
  <c r="R95" i="110"/>
  <c r="F96" i="110"/>
  <c r="H96" i="110"/>
  <c r="I96" i="110" s="1"/>
  <c r="J96" i="110" s="1"/>
  <c r="N96" i="78"/>
  <c r="O96" i="78" s="1"/>
  <c r="S96" i="78"/>
  <c r="P95" i="78"/>
  <c r="T95" i="78"/>
  <c r="Q95" i="78"/>
  <c r="R95" i="78" s="1"/>
  <c r="T95" i="77"/>
  <c r="X131" i="114"/>
  <c r="V131" i="114"/>
  <c r="W131" i="114" s="1"/>
  <c r="G100" i="55"/>
  <c r="I99" i="55"/>
  <c r="N99" i="55" s="1"/>
  <c r="Q95" i="77"/>
  <c r="R95" i="77" s="1"/>
  <c r="E164" i="110"/>
  <c r="M164" i="110" s="1"/>
  <c r="N152" i="110"/>
  <c r="O151" i="110"/>
  <c r="I134" i="114"/>
  <c r="J133" i="114"/>
  <c r="Y133" i="114" s="1"/>
  <c r="K133" i="114"/>
  <c r="P132" i="114"/>
  <c r="L132" i="114"/>
  <c r="M132" i="114" s="1"/>
  <c r="U132" i="114" s="1"/>
  <c r="I98" i="78"/>
  <c r="L97" i="78"/>
  <c r="B101" i="78"/>
  <c r="K100" i="78"/>
  <c r="F99" i="78"/>
  <c r="C100" i="78"/>
  <c r="O96" i="77"/>
  <c r="P96" i="77" s="1"/>
  <c r="S96" i="77"/>
  <c r="G135" i="114"/>
  <c r="F136" i="114"/>
  <c r="I105" i="91"/>
  <c r="H106" i="91"/>
  <c r="E108" i="91"/>
  <c r="G107" i="91"/>
  <c r="E163" i="88"/>
  <c r="N126" i="88"/>
  <c r="O125" i="88"/>
  <c r="J96" i="88"/>
  <c r="K96" i="88" s="1"/>
  <c r="P96" i="88" s="1"/>
  <c r="I97" i="88"/>
  <c r="L97" i="88" s="1"/>
  <c r="R96" i="88"/>
  <c r="F98" i="88"/>
  <c r="H98" i="88"/>
  <c r="S98" i="88" s="1"/>
  <c r="G97" i="88"/>
  <c r="L96" i="88"/>
  <c r="C101" i="77"/>
  <c r="L100" i="77"/>
  <c r="H98" i="77"/>
  <c r="K97" i="77"/>
  <c r="N97" i="77" s="1"/>
  <c r="O95" i="135"/>
  <c r="M95" i="135"/>
  <c r="N95" i="135" s="1"/>
  <c r="L96" i="135"/>
  <c r="I100" i="134"/>
  <c r="J100" i="134" s="1"/>
  <c r="H101" i="134"/>
  <c r="E103" i="134"/>
  <c r="F102" i="134"/>
  <c r="M96" i="134"/>
  <c r="N96" i="134" s="1"/>
  <c r="L97" i="134"/>
  <c r="O96" i="134"/>
  <c r="G141" i="95"/>
  <c r="K141" i="95" s="1"/>
  <c r="M62" i="113"/>
  <c r="J66" i="113"/>
  <c r="F68" i="113"/>
  <c r="G68" i="113" s="1"/>
  <c r="P98" i="55"/>
  <c r="E101" i="95"/>
  <c r="O101" i="95" s="1"/>
  <c r="F100" i="95"/>
  <c r="J100" i="95" s="1"/>
  <c r="N100" i="95" s="1"/>
  <c r="C114" i="55"/>
  <c r="K97" i="133"/>
  <c r="L96" i="133"/>
  <c r="D80" i="114"/>
  <c r="H148" i="112"/>
  <c r="D150" i="113" s="1"/>
  <c r="H116" i="95"/>
  <c r="I115" i="95"/>
  <c r="D117" i="93"/>
  <c r="E116" i="93"/>
  <c r="D98" i="133"/>
  <c r="E97" i="133"/>
  <c r="P66" i="113"/>
  <c r="G97" i="133"/>
  <c r="H96" i="133"/>
  <c r="I96" i="133" s="1"/>
  <c r="H99" i="135"/>
  <c r="I98" i="135"/>
  <c r="J98" i="135" s="1"/>
  <c r="I67" i="113"/>
  <c r="L67" i="113" s="1"/>
  <c r="K100" i="55"/>
  <c r="E100" i="135"/>
  <c r="F99" i="135"/>
  <c r="J60" i="112"/>
  <c r="M95" i="133"/>
  <c r="E116" i="111"/>
  <c r="L115" i="111"/>
  <c r="M108" i="95" l="1"/>
  <c r="L109" i="95"/>
  <c r="Q96" i="77"/>
  <c r="R96" i="77" s="1"/>
  <c r="F97" i="110"/>
  <c r="G96" i="110"/>
  <c r="K96" i="110" s="1"/>
  <c r="P96" i="110" s="1"/>
  <c r="L96" i="110"/>
  <c r="H97" i="110"/>
  <c r="I97" i="110" s="1"/>
  <c r="J97" i="110" s="1"/>
  <c r="R96" i="110"/>
  <c r="V132" i="114"/>
  <c r="W132" i="114" s="1"/>
  <c r="N97" i="78"/>
  <c r="O97" i="78" s="1"/>
  <c r="S97" i="78"/>
  <c r="P96" i="78"/>
  <c r="T96" i="78"/>
  <c r="Q96" i="78"/>
  <c r="R96" i="78" s="1"/>
  <c r="X132" i="114"/>
  <c r="G101" i="55"/>
  <c r="I100" i="55"/>
  <c r="N100" i="55" s="1"/>
  <c r="T96" i="77"/>
  <c r="N153" i="110"/>
  <c r="O152" i="110"/>
  <c r="E165" i="110"/>
  <c r="M165" i="110" s="1"/>
  <c r="P133" i="114"/>
  <c r="L133" i="114"/>
  <c r="M133" i="114" s="1"/>
  <c r="U133" i="114" s="1"/>
  <c r="K134" i="114"/>
  <c r="I135" i="114"/>
  <c r="J134" i="114"/>
  <c r="Y134" i="114" s="1"/>
  <c r="F100" i="78"/>
  <c r="C101" i="78"/>
  <c r="L98" i="78"/>
  <c r="N98" i="78" s="1"/>
  <c r="O98" i="78" s="1"/>
  <c r="I99" i="78"/>
  <c r="Q97" i="78"/>
  <c r="R97" i="78" s="1"/>
  <c r="B102" i="78"/>
  <c r="K101" i="78"/>
  <c r="O97" i="77"/>
  <c r="Q97" i="77" s="1"/>
  <c r="S97" i="77"/>
  <c r="F137" i="114"/>
  <c r="G136" i="114"/>
  <c r="G108" i="91"/>
  <c r="E109" i="91"/>
  <c r="J105" i="91"/>
  <c r="H107" i="91"/>
  <c r="I106" i="91"/>
  <c r="J106" i="91" s="1"/>
  <c r="E164" i="88"/>
  <c r="N127" i="88"/>
  <c r="O126" i="88"/>
  <c r="F99" i="88"/>
  <c r="G98" i="88"/>
  <c r="H99" i="88"/>
  <c r="S99" i="88" s="1"/>
  <c r="J97" i="88"/>
  <c r="K97" i="88" s="1"/>
  <c r="P97" i="88" s="1"/>
  <c r="I98" i="88"/>
  <c r="R97" i="88"/>
  <c r="L101" i="77"/>
  <c r="C102" i="77"/>
  <c r="K98" i="77"/>
  <c r="N98" i="77" s="1"/>
  <c r="H99" i="77"/>
  <c r="M96" i="135"/>
  <c r="N96" i="135" s="1"/>
  <c r="O96" i="135"/>
  <c r="L97" i="135"/>
  <c r="E104" i="134"/>
  <c r="F103" i="134"/>
  <c r="I101" i="134"/>
  <c r="J101" i="134" s="1"/>
  <c r="H102" i="134"/>
  <c r="M97" i="134"/>
  <c r="N97" i="134" s="1"/>
  <c r="L98" i="134"/>
  <c r="O97" i="134"/>
  <c r="G142" i="95"/>
  <c r="K142" i="95" s="1"/>
  <c r="J67" i="113"/>
  <c r="I68" i="113" s="1"/>
  <c r="F69" i="113"/>
  <c r="G69" i="113" s="1"/>
  <c r="H149" i="112"/>
  <c r="D151" i="113" s="1"/>
  <c r="P99" i="55"/>
  <c r="Q66" i="113"/>
  <c r="D99" i="133"/>
  <c r="E98" i="133"/>
  <c r="K98" i="133"/>
  <c r="L97" i="133"/>
  <c r="L116" i="111"/>
  <c r="E117" i="111"/>
  <c r="K60" i="112"/>
  <c r="I61" i="112" s="1"/>
  <c r="C63" i="113" s="1"/>
  <c r="K63" i="113" s="1"/>
  <c r="E101" i="135"/>
  <c r="F100" i="135"/>
  <c r="K101" i="55"/>
  <c r="O67" i="113"/>
  <c r="H100" i="135"/>
  <c r="I99" i="135"/>
  <c r="J99" i="135" s="1"/>
  <c r="G98" i="133"/>
  <c r="H97" i="133"/>
  <c r="I97" i="133" s="1"/>
  <c r="D118" i="93"/>
  <c r="E117" i="93"/>
  <c r="H117" i="95"/>
  <c r="I116" i="95"/>
  <c r="M96" i="133"/>
  <c r="C115" i="55"/>
  <c r="E102" i="95"/>
  <c r="O102" i="95" s="1"/>
  <c r="F101" i="95"/>
  <c r="J101" i="95" s="1"/>
  <c r="N101" i="95" s="1"/>
  <c r="M109" i="95" l="1"/>
  <c r="L110" i="95"/>
  <c r="F98" i="110"/>
  <c r="L97" i="110"/>
  <c r="R97" i="110"/>
  <c r="H98" i="110"/>
  <c r="I98" i="110" s="1"/>
  <c r="J98" i="110" s="1"/>
  <c r="G97" i="110"/>
  <c r="K97" i="110" s="1"/>
  <c r="P97" i="110" s="1"/>
  <c r="P97" i="78"/>
  <c r="T97" i="78"/>
  <c r="P98" i="78"/>
  <c r="X133" i="114"/>
  <c r="V133" i="114"/>
  <c r="W133" i="114" s="1"/>
  <c r="G102" i="55"/>
  <c r="I101" i="55"/>
  <c r="P97" i="77"/>
  <c r="T97" i="77"/>
  <c r="E166" i="110"/>
  <c r="M166" i="110" s="1"/>
  <c r="N154" i="110"/>
  <c r="O153" i="110"/>
  <c r="K135" i="114"/>
  <c r="J135" i="114"/>
  <c r="Y135" i="114" s="1"/>
  <c r="I136" i="114"/>
  <c r="P134" i="114"/>
  <c r="L134" i="114"/>
  <c r="M134" i="114" s="1"/>
  <c r="U134" i="114" s="1"/>
  <c r="Q98" i="78"/>
  <c r="R98" i="78" s="1"/>
  <c r="B103" i="78"/>
  <c r="K102" i="78"/>
  <c r="C102" i="78"/>
  <c r="F101" i="78"/>
  <c r="I100" i="78"/>
  <c r="L99" i="78"/>
  <c r="N99" i="78" s="1"/>
  <c r="O99" i="78" s="1"/>
  <c r="P99" i="78" s="1"/>
  <c r="O98" i="77"/>
  <c r="Q98" i="77" s="1"/>
  <c r="S98" i="77"/>
  <c r="G137" i="114"/>
  <c r="F138" i="114"/>
  <c r="I107" i="91"/>
  <c r="J107" i="91" s="1"/>
  <c r="H108" i="91"/>
  <c r="E110" i="91"/>
  <c r="G109" i="91"/>
  <c r="E165" i="88"/>
  <c r="N128" i="88"/>
  <c r="O127" i="88"/>
  <c r="H100" i="88"/>
  <c r="S100" i="88" s="1"/>
  <c r="F100" i="88"/>
  <c r="G99" i="88"/>
  <c r="L98" i="88"/>
  <c r="I99" i="88"/>
  <c r="L99" i="88" s="1"/>
  <c r="J98" i="88"/>
  <c r="K98" i="88" s="1"/>
  <c r="P98" i="88" s="1"/>
  <c r="R98" i="88"/>
  <c r="C103" i="77"/>
  <c r="L102" i="77"/>
  <c r="R97" i="77"/>
  <c r="K99" i="77"/>
  <c r="N99" i="77" s="1"/>
  <c r="H100" i="77"/>
  <c r="O97" i="135"/>
  <c r="M97" i="135"/>
  <c r="N97" i="135" s="1"/>
  <c r="L98" i="135"/>
  <c r="M98" i="134"/>
  <c r="N98" i="134" s="1"/>
  <c r="L99" i="134"/>
  <c r="O98" i="134"/>
  <c r="H103" i="134"/>
  <c r="I102" i="134"/>
  <c r="J102" i="134" s="1"/>
  <c r="E105" i="134"/>
  <c r="F104" i="134"/>
  <c r="G143" i="95"/>
  <c r="K143" i="95" s="1"/>
  <c r="J68" i="113"/>
  <c r="E103" i="95"/>
  <c r="O103" i="95" s="1"/>
  <c r="F102" i="95"/>
  <c r="J102" i="95" s="1"/>
  <c r="N102" i="95" s="1"/>
  <c r="H118" i="95"/>
  <c r="I117" i="95"/>
  <c r="G99" i="133"/>
  <c r="H98" i="133"/>
  <c r="I98" i="133" s="1"/>
  <c r="H101" i="135"/>
  <c r="I100" i="135"/>
  <c r="J100" i="135" s="1"/>
  <c r="D81" i="114"/>
  <c r="K102" i="55"/>
  <c r="N101" i="55"/>
  <c r="B63" i="113"/>
  <c r="M63" i="113"/>
  <c r="L117" i="111"/>
  <c r="E118" i="111"/>
  <c r="M97" i="133"/>
  <c r="F70" i="113"/>
  <c r="C116" i="55"/>
  <c r="D119" i="93"/>
  <c r="E118" i="93"/>
  <c r="P100" i="55"/>
  <c r="E102" i="135"/>
  <c r="F101" i="135"/>
  <c r="J61" i="112"/>
  <c r="H150" i="112"/>
  <c r="D152" i="113" s="1"/>
  <c r="K99" i="133"/>
  <c r="L98" i="133"/>
  <c r="D100" i="133"/>
  <c r="E99" i="133"/>
  <c r="P67" i="113"/>
  <c r="P98" i="77" l="1"/>
  <c r="L111" i="95"/>
  <c r="M110" i="95"/>
  <c r="F99" i="110"/>
  <c r="H99" i="110"/>
  <c r="I99" i="110" s="1"/>
  <c r="J99" i="110" s="1"/>
  <c r="G98" i="110"/>
  <c r="K98" i="110" s="1"/>
  <c r="P98" i="110" s="1"/>
  <c r="R98" i="110"/>
  <c r="L98" i="110"/>
  <c r="X134" i="114"/>
  <c r="V134" i="114"/>
  <c r="W134" i="114" s="1"/>
  <c r="G103" i="55"/>
  <c r="I102" i="55"/>
  <c r="N102" i="55" s="1"/>
  <c r="N155" i="110"/>
  <c r="O154" i="110"/>
  <c r="E167" i="110"/>
  <c r="M167" i="110" s="1"/>
  <c r="J136" i="114"/>
  <c r="Y136" i="114" s="1"/>
  <c r="K136" i="114"/>
  <c r="I137" i="114"/>
  <c r="P135" i="114"/>
  <c r="L135" i="114"/>
  <c r="M135" i="114" s="1"/>
  <c r="U135" i="114" s="1"/>
  <c r="Q99" i="78"/>
  <c r="R99" i="78" s="1"/>
  <c r="C103" i="78"/>
  <c r="F102" i="78"/>
  <c r="I101" i="78"/>
  <c r="L100" i="78"/>
  <c r="N100" i="78" s="1"/>
  <c r="O100" i="78" s="1"/>
  <c r="P100" i="78" s="1"/>
  <c r="K103" i="78"/>
  <c r="B104" i="78"/>
  <c r="O99" i="77"/>
  <c r="Q99" i="77" s="1"/>
  <c r="S99" i="77"/>
  <c r="T98" i="77"/>
  <c r="G138" i="114"/>
  <c r="F139" i="114"/>
  <c r="E111" i="91"/>
  <c r="G110" i="91"/>
  <c r="H109" i="91"/>
  <c r="I108" i="91"/>
  <c r="J108" i="91" s="1"/>
  <c r="M165" i="88"/>
  <c r="E166" i="88"/>
  <c r="N129" i="88"/>
  <c r="O128" i="88"/>
  <c r="G100" i="88"/>
  <c r="F101" i="88"/>
  <c r="H101" i="88"/>
  <c r="S101" i="88" s="1"/>
  <c r="J99" i="88"/>
  <c r="K99" i="88" s="1"/>
  <c r="P99" i="88" s="1"/>
  <c r="I100" i="88"/>
  <c r="R99" i="88"/>
  <c r="C104" i="77"/>
  <c r="L103" i="77"/>
  <c r="H101" i="77"/>
  <c r="K100" i="77"/>
  <c r="N100" i="77" s="1"/>
  <c r="R98" i="77"/>
  <c r="P99" i="77"/>
  <c r="L99" i="135"/>
  <c r="O98" i="135"/>
  <c r="M98" i="135"/>
  <c r="N98" i="135" s="1"/>
  <c r="F105" i="134"/>
  <c r="E106" i="134"/>
  <c r="H104" i="134"/>
  <c r="I103" i="134"/>
  <c r="J103" i="134" s="1"/>
  <c r="M99" i="134"/>
  <c r="N99" i="134" s="1"/>
  <c r="L100" i="134"/>
  <c r="O99" i="134"/>
  <c r="G144" i="95"/>
  <c r="K144" i="95" s="1"/>
  <c r="Q67" i="113"/>
  <c r="M98" i="133"/>
  <c r="D120" i="93"/>
  <c r="E119" i="93"/>
  <c r="E119" i="111"/>
  <c r="L118" i="111"/>
  <c r="P101" i="55"/>
  <c r="H102" i="135"/>
  <c r="I102" i="135" s="1"/>
  <c r="I101" i="135"/>
  <c r="J101" i="135" s="1"/>
  <c r="G100" i="133"/>
  <c r="H100" i="133" s="1"/>
  <c r="H99" i="133"/>
  <c r="I99" i="133" s="1"/>
  <c r="H119" i="95"/>
  <c r="I118" i="95"/>
  <c r="E104" i="95"/>
  <c r="O104" i="95" s="1"/>
  <c r="F103" i="95"/>
  <c r="J103" i="95" s="1"/>
  <c r="N103" i="95" s="1"/>
  <c r="K61" i="112"/>
  <c r="I62" i="112" s="1"/>
  <c r="C64" i="113" s="1"/>
  <c r="K64" i="113" s="1"/>
  <c r="B64" i="113" s="1"/>
  <c r="F102" i="135"/>
  <c r="E100" i="133"/>
  <c r="K100" i="133"/>
  <c r="L100" i="133" s="1"/>
  <c r="L99" i="133"/>
  <c r="C117" i="55"/>
  <c r="G70" i="113"/>
  <c r="H151" i="112"/>
  <c r="D153" i="113" s="1"/>
  <c r="K103" i="55"/>
  <c r="L112" i="95" l="1"/>
  <c r="M111" i="95"/>
  <c r="G99" i="110"/>
  <c r="K99" i="110" s="1"/>
  <c r="P99" i="110" s="1"/>
  <c r="H100" i="110"/>
  <c r="I100" i="110" s="1"/>
  <c r="J100" i="110" s="1"/>
  <c r="R99" i="110"/>
  <c r="F100" i="110"/>
  <c r="L99" i="110"/>
  <c r="X135" i="114"/>
  <c r="V135" i="114"/>
  <c r="W135" i="114" s="1"/>
  <c r="G104" i="55"/>
  <c r="I103" i="55"/>
  <c r="N103" i="55" s="1"/>
  <c r="Q100" i="78"/>
  <c r="R100" i="78" s="1"/>
  <c r="E168" i="110"/>
  <c r="M168" i="110" s="1"/>
  <c r="N156" i="110"/>
  <c r="O155" i="110"/>
  <c r="K137" i="114"/>
  <c r="I138" i="114"/>
  <c r="J137" i="114"/>
  <c r="Y137" i="114" s="1"/>
  <c r="L136" i="114"/>
  <c r="M136" i="114" s="1"/>
  <c r="U136" i="114" s="1"/>
  <c r="P136" i="114"/>
  <c r="L101" i="78"/>
  <c r="N101" i="78" s="1"/>
  <c r="O101" i="78" s="1"/>
  <c r="P101" i="78" s="1"/>
  <c r="I102" i="78"/>
  <c r="F103" i="78"/>
  <c r="C104" i="78"/>
  <c r="K104" i="78"/>
  <c r="B105" i="78"/>
  <c r="O100" i="77"/>
  <c r="Q100" i="77" s="1"/>
  <c r="S100" i="77"/>
  <c r="T99" i="77"/>
  <c r="F140" i="114"/>
  <c r="G139" i="114"/>
  <c r="I109" i="91"/>
  <c r="J109" i="91" s="1"/>
  <c r="H110" i="91"/>
  <c r="G111" i="91"/>
  <c r="E112" i="91"/>
  <c r="M166" i="88"/>
  <c r="E167" i="88"/>
  <c r="N130" i="88"/>
  <c r="O129" i="88"/>
  <c r="J100" i="88"/>
  <c r="K100" i="88" s="1"/>
  <c r="P100" i="88" s="1"/>
  <c r="I101" i="88"/>
  <c r="L101" i="88" s="1"/>
  <c r="R100" i="88"/>
  <c r="G101" i="88"/>
  <c r="F102" i="88"/>
  <c r="H102" i="88"/>
  <c r="S102" i="88" s="1"/>
  <c r="L100" i="88"/>
  <c r="L104" i="77"/>
  <c r="C105" i="77"/>
  <c r="R99" i="77"/>
  <c r="H102" i="77"/>
  <c r="K101" i="77"/>
  <c r="N101" i="77" s="1"/>
  <c r="O99" i="135"/>
  <c r="L100" i="135"/>
  <c r="M99" i="135"/>
  <c r="N99" i="135" s="1"/>
  <c r="F106" i="134"/>
  <c r="E107" i="134"/>
  <c r="M100" i="134"/>
  <c r="N100" i="134" s="1"/>
  <c r="L101" i="134"/>
  <c r="O100" i="134"/>
  <c r="H105" i="134"/>
  <c r="I104" i="134"/>
  <c r="J104" i="134" s="1"/>
  <c r="G145" i="95"/>
  <c r="K145" i="95" s="1"/>
  <c r="M99" i="133"/>
  <c r="I100" i="133"/>
  <c r="M100" i="133" s="1"/>
  <c r="J102" i="135"/>
  <c r="E105" i="95"/>
  <c r="O105" i="95" s="1"/>
  <c r="F104" i="95"/>
  <c r="J104" i="95" s="1"/>
  <c r="N104" i="95" s="1"/>
  <c r="H120" i="95"/>
  <c r="I119" i="95"/>
  <c r="H152" i="112"/>
  <c r="D154" i="113" s="1"/>
  <c r="D121" i="93"/>
  <c r="E120" i="93"/>
  <c r="K104" i="55"/>
  <c r="P102" i="55"/>
  <c r="F71" i="113"/>
  <c r="C118" i="55"/>
  <c r="J62" i="112"/>
  <c r="M64" i="113"/>
  <c r="L119" i="111"/>
  <c r="E120" i="111"/>
  <c r="L113" i="95" l="1"/>
  <c r="M112" i="95"/>
  <c r="P100" i="77"/>
  <c r="G100" i="110"/>
  <c r="K100" i="110" s="1"/>
  <c r="P100" i="110" s="1"/>
  <c r="H101" i="110"/>
  <c r="I101" i="110" s="1"/>
  <c r="J101" i="110" s="1"/>
  <c r="R100" i="110"/>
  <c r="F101" i="110"/>
  <c r="L100" i="110"/>
  <c r="V136" i="114"/>
  <c r="W136" i="114" s="1"/>
  <c r="X136" i="114"/>
  <c r="Q101" i="78"/>
  <c r="R101" i="78" s="1"/>
  <c r="G105" i="55"/>
  <c r="I104" i="55"/>
  <c r="N104" i="55" s="1"/>
  <c r="R100" i="77"/>
  <c r="E169" i="110"/>
  <c r="M169" i="110" s="1"/>
  <c r="N157" i="110"/>
  <c r="O156" i="110"/>
  <c r="I139" i="114"/>
  <c r="J138" i="114"/>
  <c r="Y138" i="114" s="1"/>
  <c r="K138" i="114"/>
  <c r="M137" i="114"/>
  <c r="U137" i="114" s="1"/>
  <c r="P137" i="114"/>
  <c r="F104" i="78"/>
  <c r="C105" i="78"/>
  <c r="B106" i="78"/>
  <c r="K105" i="78"/>
  <c r="I103" i="78"/>
  <c r="L102" i="78"/>
  <c r="N102" i="78" s="1"/>
  <c r="O102" i="78" s="1"/>
  <c r="P102" i="78" s="1"/>
  <c r="O101" i="77"/>
  <c r="P101" i="77" s="1"/>
  <c r="S101" i="77"/>
  <c r="T100" i="77"/>
  <c r="G140" i="114"/>
  <c r="F141" i="114"/>
  <c r="G112" i="91"/>
  <c r="E113" i="91"/>
  <c r="H111" i="91"/>
  <c r="I110" i="91"/>
  <c r="J110" i="91" s="1"/>
  <c r="M167" i="88"/>
  <c r="E168" i="88"/>
  <c r="N131" i="88"/>
  <c r="O130" i="88"/>
  <c r="I102" i="88"/>
  <c r="L102" i="88" s="1"/>
  <c r="J101" i="88"/>
  <c r="K101" i="88" s="1"/>
  <c r="P101" i="88" s="1"/>
  <c r="H103" i="88"/>
  <c r="S103" i="88" s="1"/>
  <c r="F103" i="88"/>
  <c r="G102" i="88"/>
  <c r="R101" i="88"/>
  <c r="L105" i="77"/>
  <c r="C106" i="77"/>
  <c r="H103" i="77"/>
  <c r="K102" i="77"/>
  <c r="N102" i="77" s="1"/>
  <c r="M100" i="135"/>
  <c r="N100" i="135" s="1"/>
  <c r="O100" i="135"/>
  <c r="L101" i="135"/>
  <c r="I105" i="134"/>
  <c r="J105" i="134" s="1"/>
  <c r="H106" i="134"/>
  <c r="M101" i="134"/>
  <c r="N101" i="134" s="1"/>
  <c r="L102" i="134"/>
  <c r="O101" i="134"/>
  <c r="F107" i="134"/>
  <c r="G146" i="95"/>
  <c r="K146" i="95" s="1"/>
  <c r="H153" i="112"/>
  <c r="D155" i="113" s="1"/>
  <c r="K62" i="112"/>
  <c r="I63" i="112" s="1"/>
  <c r="C65" i="113" s="1"/>
  <c r="K65" i="113" s="1"/>
  <c r="B65" i="113" s="1"/>
  <c r="C119" i="55"/>
  <c r="P103" i="55"/>
  <c r="K105" i="55"/>
  <c r="D122" i="93"/>
  <c r="E121" i="93"/>
  <c r="E121" i="111"/>
  <c r="L120" i="111"/>
  <c r="G71" i="113"/>
  <c r="H121" i="95"/>
  <c r="I120" i="95"/>
  <c r="E106" i="95"/>
  <c r="F105" i="95"/>
  <c r="J105" i="95" s="1"/>
  <c r="N105" i="95" s="1"/>
  <c r="Q101" i="77" l="1"/>
  <c r="R101" i="77" s="1"/>
  <c r="L114" i="95"/>
  <c r="M113" i="95"/>
  <c r="L101" i="110"/>
  <c r="R101" i="110"/>
  <c r="H102" i="110"/>
  <c r="I102" i="110" s="1"/>
  <c r="J102" i="110" s="1"/>
  <c r="G101" i="110"/>
  <c r="K101" i="110" s="1"/>
  <c r="P101" i="110" s="1"/>
  <c r="F102" i="110"/>
  <c r="O106" i="95"/>
  <c r="X137" i="114"/>
  <c r="V137" i="114"/>
  <c r="W137" i="114" s="1"/>
  <c r="G106" i="55"/>
  <c r="I105" i="55"/>
  <c r="N105" i="55" s="1"/>
  <c r="N158" i="110"/>
  <c r="O157" i="110"/>
  <c r="E170" i="110"/>
  <c r="M170" i="110" s="1"/>
  <c r="P138" i="114"/>
  <c r="M138" i="114"/>
  <c r="U138" i="114" s="1"/>
  <c r="J139" i="114"/>
  <c r="Y139" i="114" s="1"/>
  <c r="K139" i="114"/>
  <c r="I140" i="114"/>
  <c r="Q102" i="78"/>
  <c r="R102" i="78" s="1"/>
  <c r="I104" i="78"/>
  <c r="L103" i="78"/>
  <c r="N103" i="78" s="1"/>
  <c r="O103" i="78" s="1"/>
  <c r="P103" i="78" s="1"/>
  <c r="B107" i="78"/>
  <c r="K106" i="78"/>
  <c r="C106" i="78"/>
  <c r="F105" i="78"/>
  <c r="O102" i="77"/>
  <c r="P102" i="77" s="1"/>
  <c r="S102" i="77"/>
  <c r="T101" i="77"/>
  <c r="F142" i="114"/>
  <c r="G141" i="114"/>
  <c r="H112" i="91"/>
  <c r="I111" i="91"/>
  <c r="J111" i="91" s="1"/>
  <c r="G113" i="91"/>
  <c r="E114" i="91"/>
  <c r="M168" i="88"/>
  <c r="E169" i="88"/>
  <c r="R102" i="88"/>
  <c r="N132" i="88"/>
  <c r="O131" i="88"/>
  <c r="H104" i="88"/>
  <c r="G103" i="88"/>
  <c r="F104" i="88"/>
  <c r="J102" i="88"/>
  <c r="K102" i="88" s="1"/>
  <c r="P102" i="88" s="1"/>
  <c r="I103" i="88"/>
  <c r="L106" i="77"/>
  <c r="C107" i="77"/>
  <c r="K103" i="77"/>
  <c r="N103" i="77" s="1"/>
  <c r="H104" i="77"/>
  <c r="M101" i="135"/>
  <c r="N101" i="135" s="1"/>
  <c r="O101" i="135"/>
  <c r="L102" i="135"/>
  <c r="I106" i="134"/>
  <c r="J106" i="134" s="1"/>
  <c r="H107" i="134"/>
  <c r="L103" i="134"/>
  <c r="M102" i="134"/>
  <c r="N102" i="134" s="1"/>
  <c r="O102" i="134"/>
  <c r="G147" i="95"/>
  <c r="K147" i="95" s="1"/>
  <c r="M65" i="113"/>
  <c r="H122" i="95"/>
  <c r="I121" i="95"/>
  <c r="F72" i="113"/>
  <c r="G72" i="113" s="1"/>
  <c r="H154" i="112"/>
  <c r="D156" i="113" s="1"/>
  <c r="P104" i="55"/>
  <c r="E107" i="95"/>
  <c r="O107" i="95" s="1"/>
  <c r="F106" i="95"/>
  <c r="J106" i="95" s="1"/>
  <c r="E122" i="111"/>
  <c r="L121" i="111"/>
  <c r="D123" i="93"/>
  <c r="E122" i="93"/>
  <c r="K106" i="55"/>
  <c r="C120" i="55"/>
  <c r="J63" i="112"/>
  <c r="L115" i="95" l="1"/>
  <c r="M114" i="95"/>
  <c r="F103" i="110"/>
  <c r="G102" i="110"/>
  <c r="K102" i="110" s="1"/>
  <c r="P102" i="110" s="1"/>
  <c r="L102" i="110"/>
  <c r="R102" i="110"/>
  <c r="H103" i="110"/>
  <c r="I103" i="110" s="1"/>
  <c r="J103" i="110" s="1"/>
  <c r="N106" i="95"/>
  <c r="X138" i="114"/>
  <c r="V138" i="114"/>
  <c r="W138" i="114" s="1"/>
  <c r="I106" i="55"/>
  <c r="N106" i="55" s="1"/>
  <c r="G107" i="55"/>
  <c r="Q103" i="78"/>
  <c r="R103" i="78" s="1"/>
  <c r="Q102" i="77"/>
  <c r="R102" i="77" s="1"/>
  <c r="N159" i="110"/>
  <c r="O158" i="110"/>
  <c r="E171" i="110"/>
  <c r="M171" i="110" s="1"/>
  <c r="M139" i="114"/>
  <c r="U139" i="114" s="1"/>
  <c r="P139" i="114"/>
  <c r="J140" i="114"/>
  <c r="Y140" i="114" s="1"/>
  <c r="K140" i="114"/>
  <c r="I141" i="114"/>
  <c r="K107" i="78"/>
  <c r="B108" i="78"/>
  <c r="F106" i="78"/>
  <c r="C107" i="78"/>
  <c r="L104" i="78"/>
  <c r="N104" i="78" s="1"/>
  <c r="O104" i="78" s="1"/>
  <c r="P104" i="78" s="1"/>
  <c r="I105" i="78"/>
  <c r="O103" i="77"/>
  <c r="P103" i="77" s="1"/>
  <c r="S103" i="77"/>
  <c r="T102" i="77"/>
  <c r="F143" i="114"/>
  <c r="G142" i="114"/>
  <c r="I112" i="91"/>
  <c r="J112" i="91" s="1"/>
  <c r="H113" i="91"/>
  <c r="E115" i="91"/>
  <c r="G114" i="91"/>
  <c r="S104" i="88"/>
  <c r="M169" i="88"/>
  <c r="E170" i="88"/>
  <c r="N133" i="88"/>
  <c r="O132" i="88"/>
  <c r="J103" i="88"/>
  <c r="K103" i="88" s="1"/>
  <c r="P103" i="88" s="1"/>
  <c r="I104" i="88"/>
  <c r="H105" i="88"/>
  <c r="S105" i="88" s="1"/>
  <c r="G104" i="88"/>
  <c r="F105" i="88"/>
  <c r="R104" i="88"/>
  <c r="L103" i="88"/>
  <c r="R103" i="88"/>
  <c r="L107" i="77"/>
  <c r="C108" i="77"/>
  <c r="K104" i="77"/>
  <c r="N104" i="77" s="1"/>
  <c r="H105" i="77"/>
  <c r="M102" i="135"/>
  <c r="N102" i="135" s="1"/>
  <c r="O102" i="135"/>
  <c r="L104" i="134"/>
  <c r="M103" i="134"/>
  <c r="N103" i="134" s="1"/>
  <c r="O103" i="134"/>
  <c r="I107" i="134"/>
  <c r="J107" i="134" s="1"/>
  <c r="G148" i="95"/>
  <c r="K148" i="95" s="1"/>
  <c r="C121" i="55"/>
  <c r="P105" i="55"/>
  <c r="K107" i="55"/>
  <c r="E123" i="111"/>
  <c r="L122" i="111"/>
  <c r="E108" i="95"/>
  <c r="O108" i="95" s="1"/>
  <c r="F107" i="95"/>
  <c r="J107" i="95" s="1"/>
  <c r="N107" i="95" s="1"/>
  <c r="H123" i="95"/>
  <c r="I122" i="95"/>
  <c r="K63" i="112"/>
  <c r="I64" i="112" s="1"/>
  <c r="C66" i="113" s="1"/>
  <c r="K66" i="113" s="1"/>
  <c r="D124" i="93"/>
  <c r="E123" i="93"/>
  <c r="H155" i="112"/>
  <c r="D157" i="113" s="1"/>
  <c r="F73" i="113"/>
  <c r="G73" i="113" s="1"/>
  <c r="M115" i="95" l="1"/>
  <c r="L116" i="95"/>
  <c r="H104" i="110"/>
  <c r="I104" i="110" s="1"/>
  <c r="J104" i="110" s="1"/>
  <c r="R103" i="110"/>
  <c r="F104" i="110"/>
  <c r="G103" i="110"/>
  <c r="K103" i="110" s="1"/>
  <c r="P103" i="110" s="1"/>
  <c r="L103" i="110"/>
  <c r="Q103" i="77"/>
  <c r="R103" i="77" s="1"/>
  <c r="V139" i="114"/>
  <c r="W139" i="114" s="1"/>
  <c r="X139" i="114"/>
  <c r="I107" i="55"/>
  <c r="G108" i="55"/>
  <c r="E172" i="110"/>
  <c r="M172" i="110" s="1"/>
  <c r="N160" i="110"/>
  <c r="O159" i="110"/>
  <c r="M140" i="114"/>
  <c r="U140" i="114" s="1"/>
  <c r="V140" i="114" s="1"/>
  <c r="W140" i="114" s="1"/>
  <c r="P140" i="114"/>
  <c r="I142" i="114"/>
  <c r="J141" i="114"/>
  <c r="Y141" i="114" s="1"/>
  <c r="K141" i="114"/>
  <c r="B109" i="78"/>
  <c r="K108" i="78"/>
  <c r="Q104" i="78"/>
  <c r="R104" i="78" s="1"/>
  <c r="F107" i="78"/>
  <c r="C108" i="78"/>
  <c r="I106" i="78"/>
  <c r="L105" i="78"/>
  <c r="O104" i="77"/>
  <c r="S104" i="77"/>
  <c r="T103" i="77"/>
  <c r="G143" i="114"/>
  <c r="F144" i="114"/>
  <c r="G115" i="91"/>
  <c r="E116" i="91"/>
  <c r="I113" i="91"/>
  <c r="J113" i="91" s="1"/>
  <c r="H114" i="91"/>
  <c r="E171" i="88"/>
  <c r="M170" i="88"/>
  <c r="N134" i="88"/>
  <c r="O133" i="88"/>
  <c r="L104" i="88"/>
  <c r="J104" i="88"/>
  <c r="K104" i="88" s="1"/>
  <c r="P104" i="88" s="1"/>
  <c r="I105" i="88"/>
  <c r="R105" i="88" s="1"/>
  <c r="G105" i="88"/>
  <c r="H106" i="88"/>
  <c r="S106" i="88" s="1"/>
  <c r="F106" i="88"/>
  <c r="C109" i="77"/>
  <c r="L108" i="77"/>
  <c r="H106" i="77"/>
  <c r="K105" i="77"/>
  <c r="N105" i="77" s="1"/>
  <c r="L105" i="134"/>
  <c r="M104" i="134"/>
  <c r="N104" i="134" s="1"/>
  <c r="O104" i="134"/>
  <c r="G149" i="95"/>
  <c r="K149" i="95" s="1"/>
  <c r="J64" i="112"/>
  <c r="K64" i="112" s="1"/>
  <c r="I65" i="112" s="1"/>
  <c r="C67" i="113" s="1"/>
  <c r="K67" i="113" s="1"/>
  <c r="B67" i="113" s="1"/>
  <c r="F74" i="113"/>
  <c r="G74" i="113" s="1"/>
  <c r="H124" i="95"/>
  <c r="I123" i="95"/>
  <c r="E109" i="95"/>
  <c r="O109" i="95" s="1"/>
  <c r="F108" i="95"/>
  <c r="J108" i="95" s="1"/>
  <c r="N108" i="95" s="1"/>
  <c r="E124" i="111"/>
  <c r="L123" i="111"/>
  <c r="C122" i="55"/>
  <c r="D125" i="93"/>
  <c r="E124" i="93"/>
  <c r="B66" i="113"/>
  <c r="M66" i="113"/>
  <c r="H156" i="112"/>
  <c r="D158" i="113" s="1"/>
  <c r="P106" i="55"/>
  <c r="K108" i="55"/>
  <c r="N107" i="55"/>
  <c r="L117" i="95" l="1"/>
  <c r="M116" i="95"/>
  <c r="L104" i="110"/>
  <c r="R104" i="110"/>
  <c r="H105" i="110"/>
  <c r="I105" i="110" s="1"/>
  <c r="J105" i="110" s="1"/>
  <c r="G104" i="110"/>
  <c r="K104" i="110" s="1"/>
  <c r="P104" i="110" s="1"/>
  <c r="F105" i="110"/>
  <c r="X140" i="114"/>
  <c r="G109" i="55"/>
  <c r="I108" i="55"/>
  <c r="N108" i="55" s="1"/>
  <c r="P104" i="77"/>
  <c r="Q104" i="77"/>
  <c r="R104" i="77" s="1"/>
  <c r="N161" i="110"/>
  <c r="O160" i="110"/>
  <c r="E173" i="110"/>
  <c r="M173" i="110" s="1"/>
  <c r="K142" i="114"/>
  <c r="I143" i="114"/>
  <c r="J142" i="114"/>
  <c r="Y142" i="114" s="1"/>
  <c r="M141" i="114"/>
  <c r="U141" i="114" s="1"/>
  <c r="P141" i="114"/>
  <c r="N105" i="78"/>
  <c r="O105" i="78" s="1"/>
  <c r="P105" i="78" s="1"/>
  <c r="L106" i="78"/>
  <c r="N106" i="78" s="1"/>
  <c r="O106" i="78" s="1"/>
  <c r="F108" i="78"/>
  <c r="C109" i="78"/>
  <c r="K109" i="78"/>
  <c r="B110" i="78"/>
  <c r="O105" i="77"/>
  <c r="P105" i="77" s="1"/>
  <c r="S105" i="77"/>
  <c r="T104" i="77"/>
  <c r="F145" i="114"/>
  <c r="G144" i="114"/>
  <c r="I114" i="91"/>
  <c r="J114" i="91" s="1"/>
  <c r="H115" i="91"/>
  <c r="G116" i="91"/>
  <c r="E117" i="91"/>
  <c r="E172" i="88"/>
  <c r="M171" i="88"/>
  <c r="N135" i="88"/>
  <c r="O134" i="88"/>
  <c r="L105" i="88"/>
  <c r="F107" i="88"/>
  <c r="G106" i="88"/>
  <c r="H107" i="88"/>
  <c r="S107" i="88" s="1"/>
  <c r="J105" i="88"/>
  <c r="K105" i="88" s="1"/>
  <c r="P105" i="88" s="1"/>
  <c r="I106" i="88"/>
  <c r="C110" i="77"/>
  <c r="L109" i="77"/>
  <c r="H107" i="77"/>
  <c r="K106" i="77"/>
  <c r="N106" i="77" s="1"/>
  <c r="M105" i="134"/>
  <c r="N105" i="134" s="1"/>
  <c r="L106" i="134"/>
  <c r="O105" i="134"/>
  <c r="G150" i="95"/>
  <c r="K150" i="95" s="1"/>
  <c r="M67" i="113"/>
  <c r="M1" i="113" s="1"/>
  <c r="F75" i="113"/>
  <c r="P107" i="55"/>
  <c r="K109" i="55"/>
  <c r="D126" i="93"/>
  <c r="E125" i="93"/>
  <c r="L124" i="111"/>
  <c r="E125" i="111"/>
  <c r="E110" i="95"/>
  <c r="O110" i="95" s="1"/>
  <c r="F109" i="95"/>
  <c r="J109" i="95" s="1"/>
  <c r="N109" i="95" s="1"/>
  <c r="J65" i="112"/>
  <c r="C123" i="55"/>
  <c r="H157" i="112"/>
  <c r="D159" i="113" s="1"/>
  <c r="H125" i="95"/>
  <c r="I124" i="95"/>
  <c r="M117" i="95" l="1"/>
  <c r="L118" i="95"/>
  <c r="H106" i="110"/>
  <c r="I106" i="110" s="1"/>
  <c r="J106" i="110" s="1"/>
  <c r="F106" i="110"/>
  <c r="R105" i="110"/>
  <c r="L105" i="110"/>
  <c r="G105" i="110"/>
  <c r="K105" i="110" s="1"/>
  <c r="P105" i="110" s="1"/>
  <c r="V141" i="114"/>
  <c r="W141" i="114" s="1"/>
  <c r="Q105" i="77"/>
  <c r="R105" i="77" s="1"/>
  <c r="X141" i="114"/>
  <c r="Q106" i="78"/>
  <c r="G110" i="55"/>
  <c r="I109" i="55"/>
  <c r="Q105" i="78"/>
  <c r="R105" i="78" s="1"/>
  <c r="E174" i="110"/>
  <c r="M174" i="110" s="1"/>
  <c r="N162" i="110"/>
  <c r="O161" i="110"/>
  <c r="K143" i="114"/>
  <c r="J143" i="114"/>
  <c r="Y143" i="114" s="1"/>
  <c r="I144" i="114"/>
  <c r="M142" i="114"/>
  <c r="U142" i="114" s="1"/>
  <c r="P142" i="114"/>
  <c r="B111" i="78"/>
  <c r="K110" i="78"/>
  <c r="P106" i="78"/>
  <c r="I108" i="78"/>
  <c r="O107" i="78"/>
  <c r="C110" i="78"/>
  <c r="F109" i="78"/>
  <c r="O106" i="77"/>
  <c r="Q106" i="77" s="1"/>
  <c r="S106" i="77"/>
  <c r="T105" i="77"/>
  <c r="G145" i="114"/>
  <c r="F146" i="114"/>
  <c r="G117" i="91"/>
  <c r="E118" i="91"/>
  <c r="H116" i="91"/>
  <c r="I115" i="91"/>
  <c r="J115" i="91" s="1"/>
  <c r="E173" i="88"/>
  <c r="M172" i="88"/>
  <c r="N136" i="88"/>
  <c r="O135" i="88"/>
  <c r="L106" i="88"/>
  <c r="I107" i="88"/>
  <c r="L107" i="88" s="1"/>
  <c r="J106" i="88"/>
  <c r="K106" i="88" s="1"/>
  <c r="P106" i="88" s="1"/>
  <c r="R106" i="88"/>
  <c r="F108" i="88"/>
  <c r="H108" i="88"/>
  <c r="S108" i="88" s="1"/>
  <c r="G107" i="88"/>
  <c r="C111" i="77"/>
  <c r="L110" i="77"/>
  <c r="K107" i="77"/>
  <c r="N107" i="77" s="1"/>
  <c r="H108" i="77"/>
  <c r="P106" i="77"/>
  <c r="M106" i="134"/>
  <c r="N106" i="134" s="1"/>
  <c r="L107" i="134"/>
  <c r="O106" i="134"/>
  <c r="G151" i="95"/>
  <c r="K151" i="95" s="1"/>
  <c r="H126" i="95"/>
  <c r="I125" i="95"/>
  <c r="H158" i="112"/>
  <c r="D160" i="113" s="1"/>
  <c r="P108" i="55"/>
  <c r="K110" i="55"/>
  <c r="N109" i="55"/>
  <c r="C124" i="55"/>
  <c r="K65" i="112"/>
  <c r="I66" i="112" s="1"/>
  <c r="C68" i="113" s="1"/>
  <c r="K68" i="113" s="1"/>
  <c r="E111" i="95"/>
  <c r="O111" i="95" s="1"/>
  <c r="F110" i="95"/>
  <c r="J110" i="95" s="1"/>
  <c r="N110" i="95" s="1"/>
  <c r="L125" i="111"/>
  <c r="E126" i="111"/>
  <c r="D127" i="93"/>
  <c r="E126" i="93"/>
  <c r="P1" i="113"/>
  <c r="O6" i="113" s="1"/>
  <c r="L6" i="113"/>
  <c r="L68" i="113"/>
  <c r="G75" i="113"/>
  <c r="L119" i="95" l="1"/>
  <c r="M118" i="95"/>
  <c r="R106" i="110"/>
  <c r="L106" i="110"/>
  <c r="H107" i="110"/>
  <c r="I107" i="110" s="1"/>
  <c r="J107" i="110" s="1"/>
  <c r="F107" i="110"/>
  <c r="G106" i="110"/>
  <c r="K106" i="110" s="1"/>
  <c r="P106" i="110" s="1"/>
  <c r="X142" i="114"/>
  <c r="H49" i="160" s="1"/>
  <c r="V142" i="114"/>
  <c r="W142" i="114" s="1"/>
  <c r="I49" i="160" s="1"/>
  <c r="R106" i="78"/>
  <c r="I110" i="55"/>
  <c r="N110" i="55" s="1"/>
  <c r="G111" i="55"/>
  <c r="R106" i="77"/>
  <c r="N163" i="110"/>
  <c r="O162" i="110"/>
  <c r="E175" i="110"/>
  <c r="M175" i="110" s="1"/>
  <c r="J144" i="114"/>
  <c r="Y144" i="114" s="1"/>
  <c r="I145" i="114"/>
  <c r="K144" i="114"/>
  <c r="M143" i="114"/>
  <c r="U143" i="114" s="1"/>
  <c r="P143" i="114"/>
  <c r="F110" i="78"/>
  <c r="C111" i="78"/>
  <c r="Q107" i="78"/>
  <c r="R107" i="78" s="1"/>
  <c r="K111" i="78"/>
  <c r="B112" i="78"/>
  <c r="I109" i="78"/>
  <c r="L108" i="78"/>
  <c r="N108" i="78" s="1"/>
  <c r="O107" i="77"/>
  <c r="P107" i="77" s="1"/>
  <c r="S107" i="77"/>
  <c r="T106" i="77"/>
  <c r="G146" i="114"/>
  <c r="F147" i="114"/>
  <c r="H117" i="91"/>
  <c r="I116" i="91"/>
  <c r="J116" i="91" s="1"/>
  <c r="G118" i="91"/>
  <c r="E119" i="91"/>
  <c r="E174" i="88"/>
  <c r="M173" i="88"/>
  <c r="N137" i="88"/>
  <c r="O136" i="88"/>
  <c r="I108" i="88"/>
  <c r="L108" i="88" s="1"/>
  <c r="J107" i="88"/>
  <c r="K107" i="88" s="1"/>
  <c r="P107" i="88" s="1"/>
  <c r="R107" i="88"/>
  <c r="H109" i="88"/>
  <c r="S109" i="88" s="1"/>
  <c r="F109" i="88"/>
  <c r="G108" i="88"/>
  <c r="L111" i="77"/>
  <c r="C112" i="77"/>
  <c r="H109" i="77"/>
  <c r="K108" i="77"/>
  <c r="N108" i="77" s="1"/>
  <c r="M107" i="134"/>
  <c r="N107" i="134" s="1"/>
  <c r="O107" i="134"/>
  <c r="G152" i="95"/>
  <c r="K152" i="95" s="1"/>
  <c r="O68" i="113"/>
  <c r="E127" i="111"/>
  <c r="L126" i="111"/>
  <c r="E112" i="95"/>
  <c r="O112" i="95" s="1"/>
  <c r="F111" i="95"/>
  <c r="J111" i="95" s="1"/>
  <c r="N111" i="95" s="1"/>
  <c r="J66" i="112"/>
  <c r="P109" i="55"/>
  <c r="F76" i="113"/>
  <c r="D128" i="93"/>
  <c r="E127" i="93"/>
  <c r="H159" i="112"/>
  <c r="D161" i="113" s="1"/>
  <c r="B68" i="113"/>
  <c r="K299" i="113"/>
  <c r="M68" i="113"/>
  <c r="C125" i="55"/>
  <c r="K111" i="55"/>
  <c r="H127" i="95"/>
  <c r="I126" i="95"/>
  <c r="M119" i="95" l="1"/>
  <c r="L120" i="95"/>
  <c r="H108" i="110"/>
  <c r="I108" i="110" s="1"/>
  <c r="J108" i="110" s="1"/>
  <c r="G107" i="110"/>
  <c r="K107" i="110" s="1"/>
  <c r="P107" i="110" s="1"/>
  <c r="R107" i="110"/>
  <c r="L107" i="110"/>
  <c r="F108" i="110"/>
  <c r="Q107" i="77"/>
  <c r="R107" i="77" s="1"/>
  <c r="X143" i="114"/>
  <c r="I111" i="55"/>
  <c r="G112" i="55"/>
  <c r="E176" i="110"/>
  <c r="M176" i="110" s="1"/>
  <c r="N164" i="110"/>
  <c r="O163" i="110"/>
  <c r="V143" i="114"/>
  <c r="W143" i="114" s="1"/>
  <c r="P144" i="114"/>
  <c r="M144" i="114"/>
  <c r="U144" i="114" s="1"/>
  <c r="I146" i="114"/>
  <c r="K145" i="114"/>
  <c r="J145" i="114"/>
  <c r="Y145" i="114" s="1"/>
  <c r="F111" i="78"/>
  <c r="C112" i="78"/>
  <c r="K112" i="78"/>
  <c r="B113" i="78"/>
  <c r="Q108" i="78"/>
  <c r="R108" i="78" s="1"/>
  <c r="I110" i="78"/>
  <c r="L109" i="78"/>
  <c r="N109" i="78" s="1"/>
  <c r="O108" i="77"/>
  <c r="P108" i="77" s="1"/>
  <c r="S108" i="77"/>
  <c r="T107" i="77"/>
  <c r="F148" i="114"/>
  <c r="G147" i="114"/>
  <c r="I117" i="91"/>
  <c r="J117" i="91" s="1"/>
  <c r="H118" i="91"/>
  <c r="E120" i="91"/>
  <c r="G119" i="91"/>
  <c r="E175" i="88"/>
  <c r="M174" i="88"/>
  <c r="N138" i="88"/>
  <c r="O137" i="88"/>
  <c r="F110" i="88"/>
  <c r="H110" i="88"/>
  <c r="S110" i="88" s="1"/>
  <c r="G109" i="88"/>
  <c r="R108" i="88"/>
  <c r="J108" i="88"/>
  <c r="K108" i="88" s="1"/>
  <c r="P108" i="88" s="1"/>
  <c r="I109" i="88"/>
  <c r="L112" i="77"/>
  <c r="C113" i="77"/>
  <c r="K109" i="77"/>
  <c r="N109" i="77" s="1"/>
  <c r="H110" i="77"/>
  <c r="G153" i="95"/>
  <c r="K153" i="95" s="1"/>
  <c r="D129" i="93"/>
  <c r="E128" i="93"/>
  <c r="H160" i="112"/>
  <c r="D162" i="113" s="1"/>
  <c r="P68" i="113"/>
  <c r="H128" i="95"/>
  <c r="I127" i="95"/>
  <c r="P110" i="55"/>
  <c r="K112" i="55"/>
  <c r="N111" i="55"/>
  <c r="C126" i="55"/>
  <c r="G76" i="113"/>
  <c r="K66" i="112"/>
  <c r="I67" i="112" s="1"/>
  <c r="C69" i="113" s="1"/>
  <c r="H69" i="113" s="1"/>
  <c r="E113" i="95"/>
  <c r="O113" i="95" s="1"/>
  <c r="F112" i="95"/>
  <c r="J112" i="95" s="1"/>
  <c r="N112" i="95" s="1"/>
  <c r="L127" i="111"/>
  <c r="E128" i="111"/>
  <c r="M120" i="95" l="1"/>
  <c r="L121" i="95"/>
  <c r="L108" i="110"/>
  <c r="H109" i="110"/>
  <c r="I109" i="110" s="1"/>
  <c r="J109" i="110" s="1"/>
  <c r="F109" i="110"/>
  <c r="G108" i="110"/>
  <c r="K108" i="110" s="1"/>
  <c r="P108" i="110" s="1"/>
  <c r="R108" i="110"/>
  <c r="D20" i="159"/>
  <c r="Q108" i="77"/>
  <c r="R108" i="77" s="1"/>
  <c r="X144" i="114"/>
  <c r="V144" i="114"/>
  <c r="W144" i="114" s="1"/>
  <c r="Q109" i="78"/>
  <c r="R109" i="78" s="1"/>
  <c r="G113" i="55"/>
  <c r="I112" i="55"/>
  <c r="N112" i="55" s="1"/>
  <c r="N165" i="110"/>
  <c r="O164" i="110"/>
  <c r="E177" i="110"/>
  <c r="M177" i="110" s="1"/>
  <c r="M145" i="114"/>
  <c r="U145" i="114" s="1"/>
  <c r="P145" i="114"/>
  <c r="J146" i="114"/>
  <c r="Y146" i="114" s="1"/>
  <c r="I147" i="114"/>
  <c r="K146" i="114"/>
  <c r="L110" i="78"/>
  <c r="N110" i="78" s="1"/>
  <c r="P110" i="78" s="1"/>
  <c r="I111" i="78"/>
  <c r="B114" i="78"/>
  <c r="K113" i="78"/>
  <c r="F112" i="78"/>
  <c r="C113" i="78"/>
  <c r="O109" i="77"/>
  <c r="Q109" i="77" s="1"/>
  <c r="S109" i="77"/>
  <c r="T108" i="77"/>
  <c r="F149" i="114"/>
  <c r="G148" i="114"/>
  <c r="G120" i="91"/>
  <c r="E121" i="91"/>
  <c r="H119" i="91"/>
  <c r="I118" i="91"/>
  <c r="J118" i="91" s="1"/>
  <c r="E176" i="88"/>
  <c r="M175" i="88"/>
  <c r="N139" i="88"/>
  <c r="O138" i="88"/>
  <c r="I110" i="88"/>
  <c r="L110" i="88" s="1"/>
  <c r="J109" i="88"/>
  <c r="K109" i="88" s="1"/>
  <c r="P109" i="88" s="1"/>
  <c r="R109" i="88"/>
  <c r="L109" i="88"/>
  <c r="F111" i="88"/>
  <c r="H111" i="88"/>
  <c r="S111" i="88" s="1"/>
  <c r="G110" i="88"/>
  <c r="C114" i="77"/>
  <c r="L113" i="77"/>
  <c r="K110" i="77"/>
  <c r="N110" i="77" s="1"/>
  <c r="H111" i="77"/>
  <c r="P109" i="77"/>
  <c r="G154" i="95"/>
  <c r="K154" i="95" s="1"/>
  <c r="J67" i="112"/>
  <c r="K67" i="112" s="1"/>
  <c r="I68" i="112" s="1"/>
  <c r="C70" i="113" s="1"/>
  <c r="H70" i="113" s="1"/>
  <c r="B70" i="113" s="1"/>
  <c r="C127" i="55"/>
  <c r="P111" i="55"/>
  <c r="K113" i="55"/>
  <c r="L128" i="111"/>
  <c r="E129" i="111"/>
  <c r="E114" i="95"/>
  <c r="O114" i="95" s="1"/>
  <c r="F113" i="95"/>
  <c r="J113" i="95" s="1"/>
  <c r="N113" i="95" s="1"/>
  <c r="H161" i="112"/>
  <c r="D163" i="113" s="1"/>
  <c r="B69" i="113"/>
  <c r="I69" i="113"/>
  <c r="F77" i="113"/>
  <c r="H129" i="95"/>
  <c r="I128" i="95"/>
  <c r="Q68" i="113"/>
  <c r="D130" i="93"/>
  <c r="E129" i="93"/>
  <c r="M121" i="95" l="1"/>
  <c r="L122" i="95"/>
  <c r="G109" i="110"/>
  <c r="K109" i="110" s="1"/>
  <c r="P109" i="110" s="1"/>
  <c r="H110" i="110"/>
  <c r="I110" i="110" s="1"/>
  <c r="J110" i="110" s="1"/>
  <c r="R109" i="110"/>
  <c r="F110" i="110"/>
  <c r="L109" i="110"/>
  <c r="D37" i="162"/>
  <c r="V145" i="114"/>
  <c r="W145" i="114" s="1"/>
  <c r="X145" i="114"/>
  <c r="G114" i="55"/>
  <c r="I113" i="55"/>
  <c r="Q110" i="78"/>
  <c r="R110" i="78" s="1"/>
  <c r="R109" i="77"/>
  <c r="E178" i="110"/>
  <c r="M178" i="110" s="1"/>
  <c r="N166" i="110"/>
  <c r="O165" i="110"/>
  <c r="J147" i="114"/>
  <c r="Y147" i="114" s="1"/>
  <c r="I148" i="114"/>
  <c r="K147" i="114"/>
  <c r="P146" i="114"/>
  <c r="M146" i="114"/>
  <c r="U146" i="114" s="1"/>
  <c r="C114" i="78"/>
  <c r="F113" i="78"/>
  <c r="L111" i="78"/>
  <c r="N111" i="78" s="1"/>
  <c r="P111" i="78" s="1"/>
  <c r="I112" i="78"/>
  <c r="B115" i="78"/>
  <c r="K114" i="78"/>
  <c r="O110" i="77"/>
  <c r="P110" i="77" s="1"/>
  <c r="S110" i="77"/>
  <c r="T109" i="77"/>
  <c r="G149" i="114"/>
  <c r="F150" i="114"/>
  <c r="H120" i="91"/>
  <c r="I119" i="91"/>
  <c r="J119" i="91" s="1"/>
  <c r="G121" i="91"/>
  <c r="E122" i="91"/>
  <c r="M176" i="88"/>
  <c r="E177" i="88"/>
  <c r="N140" i="88"/>
  <c r="O139" i="88"/>
  <c r="F112" i="88"/>
  <c r="G111" i="88"/>
  <c r="H112" i="88"/>
  <c r="S112" i="88" s="1"/>
  <c r="R110" i="88"/>
  <c r="I111" i="88"/>
  <c r="L111" i="88" s="1"/>
  <c r="J110" i="88"/>
  <c r="K110" i="88" s="1"/>
  <c r="P110" i="88" s="1"/>
  <c r="C115" i="77"/>
  <c r="L114" i="77"/>
  <c r="H112" i="77"/>
  <c r="K111" i="77"/>
  <c r="N111" i="77" s="1"/>
  <c r="G155" i="95"/>
  <c r="K155" i="95" s="1"/>
  <c r="D131" i="93"/>
  <c r="E130" i="93"/>
  <c r="H130" i="95"/>
  <c r="I129" i="95"/>
  <c r="L69" i="113"/>
  <c r="O69" i="113" s="1"/>
  <c r="E115" i="95"/>
  <c r="O115" i="95" s="1"/>
  <c r="F114" i="95"/>
  <c r="J114" i="95" s="1"/>
  <c r="N114" i="95" s="1"/>
  <c r="H162" i="112"/>
  <c r="D164" i="113" s="1"/>
  <c r="G77" i="113"/>
  <c r="J69" i="113"/>
  <c r="L129" i="111"/>
  <c r="E130" i="111"/>
  <c r="P112" i="55"/>
  <c r="K114" i="55"/>
  <c r="N113" i="55"/>
  <c r="C128" i="55"/>
  <c r="J68" i="112"/>
  <c r="L123" i="95" l="1"/>
  <c r="M122" i="95"/>
  <c r="F111" i="110"/>
  <c r="H111" i="110"/>
  <c r="I111" i="110" s="1"/>
  <c r="J111" i="110" s="1"/>
  <c r="L110" i="110"/>
  <c r="R110" i="110"/>
  <c r="G110" i="110"/>
  <c r="K110" i="110" s="1"/>
  <c r="P110" i="110" s="1"/>
  <c r="V146" i="114"/>
  <c r="W146" i="114" s="1"/>
  <c r="X146" i="114"/>
  <c r="I114" i="55"/>
  <c r="G115" i="55"/>
  <c r="Q110" i="77"/>
  <c r="R110" i="77" s="1"/>
  <c r="N167" i="110"/>
  <c r="O166" i="110"/>
  <c r="E179" i="110"/>
  <c r="M179" i="110" s="1"/>
  <c r="M147" i="114"/>
  <c r="U147" i="114" s="1"/>
  <c r="P147" i="114"/>
  <c r="I149" i="114"/>
  <c r="J148" i="114"/>
  <c r="Y148" i="114" s="1"/>
  <c r="K148" i="114"/>
  <c r="B116" i="78"/>
  <c r="K115" i="78"/>
  <c r="F114" i="78"/>
  <c r="C115" i="78"/>
  <c r="L112" i="78"/>
  <c r="N112" i="78" s="1"/>
  <c r="P112" i="78" s="1"/>
  <c r="I113" i="78"/>
  <c r="Q111" i="78"/>
  <c r="O111" i="77"/>
  <c r="P111" i="77" s="1"/>
  <c r="S111" i="77"/>
  <c r="T110" i="77"/>
  <c r="F151" i="114"/>
  <c r="G150" i="114"/>
  <c r="H121" i="91"/>
  <c r="I120" i="91"/>
  <c r="J120" i="91" s="1"/>
  <c r="G122" i="91"/>
  <c r="E123" i="91"/>
  <c r="M177" i="88"/>
  <c r="E178" i="88"/>
  <c r="N141" i="88"/>
  <c r="O140" i="88"/>
  <c r="I112" i="88"/>
  <c r="R112" i="88" s="1"/>
  <c r="J111" i="88"/>
  <c r="K111" i="88" s="1"/>
  <c r="P111" i="88" s="1"/>
  <c r="R111" i="88"/>
  <c r="H113" i="88"/>
  <c r="S113" i="88" s="1"/>
  <c r="F113" i="88"/>
  <c r="G112" i="88"/>
  <c r="C116" i="77"/>
  <c r="L115" i="77"/>
  <c r="K112" i="77"/>
  <c r="N112" i="77" s="1"/>
  <c r="H113" i="77"/>
  <c r="G156" i="95"/>
  <c r="K156" i="95" s="1"/>
  <c r="K68" i="112"/>
  <c r="I69" i="112" s="1"/>
  <c r="C71" i="113" s="1"/>
  <c r="H71" i="113" s="1"/>
  <c r="B71" i="113" s="1"/>
  <c r="C129" i="55"/>
  <c r="P113" i="55"/>
  <c r="K115" i="55"/>
  <c r="N114" i="55"/>
  <c r="H163" i="112"/>
  <c r="D165" i="113" s="1"/>
  <c r="F78" i="113"/>
  <c r="G78" i="113" s="1"/>
  <c r="E116" i="95"/>
  <c r="O116" i="95" s="1"/>
  <c r="F115" i="95"/>
  <c r="J115" i="95" s="1"/>
  <c r="N115" i="95" s="1"/>
  <c r="P69" i="113"/>
  <c r="H131" i="95"/>
  <c r="I130" i="95"/>
  <c r="E131" i="111"/>
  <c r="L130" i="111"/>
  <c r="I70" i="113"/>
  <c r="J70" i="113" s="1"/>
  <c r="M69" i="113"/>
  <c r="D132" i="93"/>
  <c r="E131" i="93"/>
  <c r="R111" i="78" l="1"/>
  <c r="M123" i="95"/>
  <c r="L124" i="95"/>
  <c r="H112" i="110"/>
  <c r="I112" i="110" s="1"/>
  <c r="J112" i="110" s="1"/>
  <c r="R111" i="110"/>
  <c r="L111" i="110"/>
  <c r="F112" i="110"/>
  <c r="G111" i="110"/>
  <c r="K111" i="110" s="1"/>
  <c r="P111" i="110" s="1"/>
  <c r="X147" i="114"/>
  <c r="V147" i="114"/>
  <c r="W147" i="114" s="1"/>
  <c r="G116" i="55"/>
  <c r="I115" i="55"/>
  <c r="Q115" i="55" s="1"/>
  <c r="Q111" i="77"/>
  <c r="E180" i="110"/>
  <c r="M180" i="110" s="1"/>
  <c r="N168" i="110"/>
  <c r="O167" i="110"/>
  <c r="K149" i="114"/>
  <c r="I150" i="114"/>
  <c r="J149" i="114"/>
  <c r="Y149" i="114" s="1"/>
  <c r="M148" i="114"/>
  <c r="U148" i="114" s="1"/>
  <c r="P148" i="114"/>
  <c r="I114" i="78"/>
  <c r="L113" i="78"/>
  <c r="N113" i="78" s="1"/>
  <c r="P113" i="78" s="1"/>
  <c r="B117" i="78"/>
  <c r="K116" i="78"/>
  <c r="Q112" i="78"/>
  <c r="F115" i="78"/>
  <c r="C116" i="78"/>
  <c r="O112" i="77"/>
  <c r="P112" i="77" s="1"/>
  <c r="S112" i="77"/>
  <c r="T111" i="77"/>
  <c r="F152" i="114"/>
  <c r="G151" i="114"/>
  <c r="H122" i="91"/>
  <c r="I121" i="91"/>
  <c r="J121" i="91" s="1"/>
  <c r="E124" i="91"/>
  <c r="G123" i="91"/>
  <c r="E179" i="88"/>
  <c r="M178" i="88"/>
  <c r="N142" i="88"/>
  <c r="O141" i="88"/>
  <c r="F114" i="88"/>
  <c r="G113" i="88"/>
  <c r="H114" i="88"/>
  <c r="S114" i="88" s="1"/>
  <c r="I113" i="88"/>
  <c r="J112" i="88"/>
  <c r="K112" i="88" s="1"/>
  <c r="P112" i="88" s="1"/>
  <c r="L112" i="88"/>
  <c r="L116" i="77"/>
  <c r="C117" i="77"/>
  <c r="K113" i="77"/>
  <c r="N113" i="77" s="1"/>
  <c r="H114" i="77"/>
  <c r="R111" i="77"/>
  <c r="G157" i="95"/>
  <c r="K157" i="95" s="1"/>
  <c r="F79" i="113"/>
  <c r="D133" i="93"/>
  <c r="E132" i="93"/>
  <c r="I71" i="113"/>
  <c r="H164" i="112"/>
  <c r="D166" i="113" s="1"/>
  <c r="Q69" i="113"/>
  <c r="E117" i="95"/>
  <c r="O117" i="95" s="1"/>
  <c r="F116" i="95"/>
  <c r="J116" i="95" s="1"/>
  <c r="N116" i="95" s="1"/>
  <c r="P114" i="55"/>
  <c r="K116" i="55"/>
  <c r="R115" i="55"/>
  <c r="C130" i="55"/>
  <c r="L70" i="113"/>
  <c r="M70" i="113" s="1"/>
  <c r="E132" i="111"/>
  <c r="L131" i="111"/>
  <c r="H132" i="95"/>
  <c r="I131" i="95"/>
  <c r="J69" i="112"/>
  <c r="R112" i="78" l="1"/>
  <c r="N115" i="55"/>
  <c r="L125" i="95"/>
  <c r="M124" i="95"/>
  <c r="H113" i="110"/>
  <c r="I113" i="110" s="1"/>
  <c r="J113" i="110" s="1"/>
  <c r="F113" i="110"/>
  <c r="L112" i="110"/>
  <c r="G112" i="110"/>
  <c r="K112" i="110" s="1"/>
  <c r="P112" i="110" s="1"/>
  <c r="R112" i="110"/>
  <c r="X148" i="114"/>
  <c r="V148" i="114"/>
  <c r="Q112" i="77"/>
  <c r="R112" i="77" s="1"/>
  <c r="Q113" i="78"/>
  <c r="G117" i="55"/>
  <c r="I116" i="55"/>
  <c r="Q116" i="55" s="1"/>
  <c r="N169" i="110"/>
  <c r="O168" i="110"/>
  <c r="E181" i="110"/>
  <c r="M181" i="110" s="1"/>
  <c r="I151" i="114"/>
  <c r="J150" i="114"/>
  <c r="Y150" i="114" s="1"/>
  <c r="K150" i="114"/>
  <c r="M149" i="114"/>
  <c r="U149" i="114" s="1"/>
  <c r="P149" i="114"/>
  <c r="K117" i="78"/>
  <c r="B118" i="78"/>
  <c r="L114" i="78"/>
  <c r="N114" i="78" s="1"/>
  <c r="P114" i="78" s="1"/>
  <c r="I115" i="78"/>
  <c r="C117" i="78"/>
  <c r="F116" i="78"/>
  <c r="O113" i="77"/>
  <c r="P113" i="77" s="1"/>
  <c r="S113" i="77"/>
  <c r="T112" i="77"/>
  <c r="F153" i="114"/>
  <c r="G152" i="114"/>
  <c r="E125" i="91"/>
  <c r="G124" i="91"/>
  <c r="H123" i="91"/>
  <c r="I122" i="91"/>
  <c r="J122" i="91" s="1"/>
  <c r="E180" i="88"/>
  <c r="M179" i="88"/>
  <c r="N143" i="88"/>
  <c r="O142" i="88"/>
  <c r="I114" i="88"/>
  <c r="L114" i="88" s="1"/>
  <c r="J113" i="88"/>
  <c r="K113" i="88" s="1"/>
  <c r="P113" i="88" s="1"/>
  <c r="L113" i="88"/>
  <c r="R113" i="88"/>
  <c r="F115" i="88"/>
  <c r="H115" i="88"/>
  <c r="S115" i="88" s="1"/>
  <c r="G114" i="88"/>
  <c r="L117" i="77"/>
  <c r="C118" i="77"/>
  <c r="K114" i="77"/>
  <c r="N114" i="77" s="1"/>
  <c r="H115" i="77"/>
  <c r="G158" i="95"/>
  <c r="K69" i="112"/>
  <c r="J70" i="112"/>
  <c r="H133" i="95"/>
  <c r="I132" i="95"/>
  <c r="L132" i="111"/>
  <c r="E133" i="111"/>
  <c r="O70" i="113"/>
  <c r="K117" i="55"/>
  <c r="R116" i="55"/>
  <c r="L71" i="113"/>
  <c r="D134" i="93"/>
  <c r="E133" i="93"/>
  <c r="H165" i="112"/>
  <c r="D167" i="113" s="1"/>
  <c r="C131" i="55"/>
  <c r="P115" i="55"/>
  <c r="E118" i="95"/>
  <c r="O118" i="95" s="1"/>
  <c r="F117" i="95"/>
  <c r="J117" i="95" s="1"/>
  <c r="N117" i="95" s="1"/>
  <c r="J71" i="113"/>
  <c r="G79" i="113"/>
  <c r="R113" i="78" l="1"/>
  <c r="M125" i="95"/>
  <c r="L126" i="95"/>
  <c r="W148" i="114"/>
  <c r="D23" i="159" s="1"/>
  <c r="R113" i="110"/>
  <c r="L113" i="110"/>
  <c r="H114" i="110"/>
  <c r="I114" i="110" s="1"/>
  <c r="J114" i="110" s="1"/>
  <c r="F114" i="110"/>
  <c r="G113" i="110"/>
  <c r="K113" i="110" s="1"/>
  <c r="P113" i="110" s="1"/>
  <c r="N116" i="55"/>
  <c r="X149" i="114"/>
  <c r="V149" i="114"/>
  <c r="W149" i="114" s="1"/>
  <c r="Q113" i="77"/>
  <c r="R113" i="77" s="1"/>
  <c r="G118" i="55"/>
  <c r="I117" i="55"/>
  <c r="Q117" i="55" s="1"/>
  <c r="E182" i="110"/>
  <c r="M182" i="110" s="1"/>
  <c r="N170" i="110"/>
  <c r="O169" i="110"/>
  <c r="M150" i="114"/>
  <c r="U150" i="114" s="1"/>
  <c r="V150" i="114" s="1"/>
  <c r="W150" i="114" s="1"/>
  <c r="P150" i="114"/>
  <c r="J151" i="114"/>
  <c r="Y151" i="114" s="1"/>
  <c r="K151" i="114"/>
  <c r="I152" i="114"/>
  <c r="B119" i="78"/>
  <c r="K118" i="78"/>
  <c r="N118" i="78" s="1"/>
  <c r="C118" i="78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F117" i="78"/>
  <c r="Q114" i="78"/>
  <c r="L115" i="78"/>
  <c r="N115" i="78" s="1"/>
  <c r="P115" i="78" s="1"/>
  <c r="I116" i="78"/>
  <c r="O114" i="77"/>
  <c r="Q114" i="77" s="1"/>
  <c r="S114" i="77"/>
  <c r="T113" i="77"/>
  <c r="F154" i="114"/>
  <c r="G153" i="114"/>
  <c r="H124" i="91"/>
  <c r="I123" i="91"/>
  <c r="J123" i="91" s="1"/>
  <c r="E126" i="91"/>
  <c r="G125" i="91"/>
  <c r="E181" i="88"/>
  <c r="M180" i="88"/>
  <c r="N144" i="88"/>
  <c r="O143" i="88"/>
  <c r="H116" i="88"/>
  <c r="F116" i="88"/>
  <c r="G115" i="88"/>
  <c r="R114" i="88"/>
  <c r="J114" i="88"/>
  <c r="K114" i="88" s="1"/>
  <c r="P114" i="88" s="1"/>
  <c r="I115" i="88"/>
  <c r="L115" i="88" s="1"/>
  <c r="C119" i="77"/>
  <c r="L118" i="77"/>
  <c r="H116" i="77"/>
  <c r="K115" i="77"/>
  <c r="N115" i="77" s="1"/>
  <c r="K158" i="95"/>
  <c r="G159" i="95"/>
  <c r="F80" i="113"/>
  <c r="I72" i="113"/>
  <c r="J72" i="113" s="1"/>
  <c r="E119" i="95"/>
  <c r="O119" i="95" s="1"/>
  <c r="F118" i="95"/>
  <c r="J118" i="95" s="1"/>
  <c r="N118" i="95" s="1"/>
  <c r="K118" i="55"/>
  <c r="R117" i="55"/>
  <c r="P70" i="113"/>
  <c r="H166" i="112"/>
  <c r="D168" i="113" s="1"/>
  <c r="K70" i="112"/>
  <c r="I71" i="112" s="1"/>
  <c r="C73" i="113" s="1"/>
  <c r="H73" i="113" s="1"/>
  <c r="B73" i="113" s="1"/>
  <c r="C132" i="55"/>
  <c r="D135" i="93"/>
  <c r="E134" i="93"/>
  <c r="O71" i="113"/>
  <c r="P116" i="55"/>
  <c r="L133" i="111"/>
  <c r="E134" i="111"/>
  <c r="H134" i="95"/>
  <c r="I133" i="95"/>
  <c r="M71" i="113"/>
  <c r="R114" i="78" l="1"/>
  <c r="X150" i="114"/>
  <c r="L127" i="95"/>
  <c r="M126" i="95"/>
  <c r="R114" i="77"/>
  <c r="D49" i="162"/>
  <c r="R114" i="110"/>
  <c r="F115" i="110"/>
  <c r="L114" i="110"/>
  <c r="H115" i="110"/>
  <c r="I115" i="110" s="1"/>
  <c r="J115" i="110" s="1"/>
  <c r="G114" i="110"/>
  <c r="K114" i="110" s="1"/>
  <c r="P114" i="110" s="1"/>
  <c r="N117" i="55"/>
  <c r="P114" i="77"/>
  <c r="Q115" i="78"/>
  <c r="G119" i="55"/>
  <c r="I118" i="55"/>
  <c r="Q118" i="55" s="1"/>
  <c r="E183" i="110"/>
  <c r="M183" i="110" s="1"/>
  <c r="N171" i="110"/>
  <c r="O170" i="110"/>
  <c r="P151" i="114"/>
  <c r="M151" i="114"/>
  <c r="U151" i="114" s="1"/>
  <c r="V151" i="114" s="1"/>
  <c r="W151" i="114" s="1"/>
  <c r="J152" i="114"/>
  <c r="Y152" i="114" s="1"/>
  <c r="K152" i="114"/>
  <c r="I153" i="114"/>
  <c r="B120" i="78"/>
  <c r="K119" i="78"/>
  <c r="N119" i="78" s="1"/>
  <c r="I117" i="78"/>
  <c r="L116" i="78"/>
  <c r="N116" i="78" s="1"/>
  <c r="P116" i="78" s="1"/>
  <c r="O115" i="77"/>
  <c r="Q115" i="77" s="1"/>
  <c r="R115" i="77" s="1"/>
  <c r="S115" i="77"/>
  <c r="T114" i="77"/>
  <c r="F155" i="114"/>
  <c r="G154" i="114"/>
  <c r="E127" i="91"/>
  <c r="G126" i="91"/>
  <c r="H125" i="91"/>
  <c r="I124" i="91"/>
  <c r="J124" i="91" s="1"/>
  <c r="S116" i="88"/>
  <c r="M181" i="88"/>
  <c r="E182" i="88"/>
  <c r="N145" i="88"/>
  <c r="O144" i="88"/>
  <c r="I116" i="88"/>
  <c r="R116" i="88" s="1"/>
  <c r="J115" i="88"/>
  <c r="K115" i="88" s="1"/>
  <c r="P115" i="88" s="1"/>
  <c r="H117" i="88"/>
  <c r="S117" i="88" s="1"/>
  <c r="F117" i="88"/>
  <c r="G116" i="88"/>
  <c r="R115" i="88"/>
  <c r="L119" i="77"/>
  <c r="C120" i="77"/>
  <c r="K116" i="77"/>
  <c r="N116" i="77" s="1"/>
  <c r="H117" i="77"/>
  <c r="P115" i="77"/>
  <c r="K159" i="95"/>
  <c r="G160" i="95"/>
  <c r="J71" i="112"/>
  <c r="K71" i="112" s="1"/>
  <c r="I72" i="112" s="1"/>
  <c r="C74" i="113" s="1"/>
  <c r="H74" i="113" s="1"/>
  <c r="B74" i="113" s="1"/>
  <c r="E135" i="111"/>
  <c r="L134" i="111"/>
  <c r="D136" i="93"/>
  <c r="E135" i="93"/>
  <c r="C133" i="55"/>
  <c r="Q70" i="113"/>
  <c r="P71" i="113"/>
  <c r="P117" i="55"/>
  <c r="I73" i="113"/>
  <c r="J73" i="113" s="1"/>
  <c r="H135" i="95"/>
  <c r="I134" i="95"/>
  <c r="H167" i="112"/>
  <c r="D169" i="113" s="1"/>
  <c r="K119" i="55"/>
  <c r="R118" i="55"/>
  <c r="N118" i="55"/>
  <c r="E120" i="95"/>
  <c r="O120" i="95" s="1"/>
  <c r="F119" i="95"/>
  <c r="J119" i="95" s="1"/>
  <c r="N119" i="95" s="1"/>
  <c r="L72" i="113"/>
  <c r="G80" i="113"/>
  <c r="R115" i="78" l="1"/>
  <c r="R123" i="78"/>
  <c r="L128" i="95"/>
  <c r="M127" i="95"/>
  <c r="G115" i="110"/>
  <c r="K115" i="110" s="1"/>
  <c r="P115" i="110" s="1"/>
  <c r="H116" i="110"/>
  <c r="I116" i="110" s="1"/>
  <c r="J116" i="110" s="1"/>
  <c r="R115" i="110"/>
  <c r="F116" i="110"/>
  <c r="L115" i="110"/>
  <c r="X151" i="114"/>
  <c r="G120" i="55"/>
  <c r="I119" i="55"/>
  <c r="Q119" i="55" s="1"/>
  <c r="R116" i="78"/>
  <c r="N172" i="110"/>
  <c r="O171" i="110"/>
  <c r="E184" i="110"/>
  <c r="M184" i="110" s="1"/>
  <c r="P152" i="114"/>
  <c r="M152" i="114"/>
  <c r="U152" i="114" s="1"/>
  <c r="I154" i="114"/>
  <c r="K153" i="114"/>
  <c r="J153" i="114"/>
  <c r="Y153" i="114" s="1"/>
  <c r="I118" i="78"/>
  <c r="I119" i="78" s="1"/>
  <c r="I120" i="78" s="1"/>
  <c r="I121" i="78" s="1"/>
  <c r="I122" i="78" s="1"/>
  <c r="L117" i="78"/>
  <c r="N117" i="78" s="1"/>
  <c r="K120" i="78"/>
  <c r="N120" i="78" s="1"/>
  <c r="B121" i="78"/>
  <c r="O116" i="77"/>
  <c r="Q116" i="77" s="1"/>
  <c r="R116" i="77" s="1"/>
  <c r="S116" i="77"/>
  <c r="T115" i="77"/>
  <c r="F156" i="114"/>
  <c r="G155" i="114"/>
  <c r="H126" i="91"/>
  <c r="I125" i="91"/>
  <c r="J125" i="91" s="1"/>
  <c r="G127" i="91"/>
  <c r="E128" i="91"/>
  <c r="M182" i="88"/>
  <c r="E183" i="88"/>
  <c r="L116" i="88"/>
  <c r="N146" i="88"/>
  <c r="O145" i="88"/>
  <c r="F118" i="88"/>
  <c r="H118" i="88"/>
  <c r="S118" i="88" s="1"/>
  <c r="G117" i="88"/>
  <c r="I117" i="88"/>
  <c r="J116" i="88"/>
  <c r="K116" i="88" s="1"/>
  <c r="P116" i="88" s="1"/>
  <c r="L120" i="77"/>
  <c r="C121" i="77"/>
  <c r="K117" i="77"/>
  <c r="N117" i="77" s="1"/>
  <c r="H118" i="77"/>
  <c r="K160" i="95"/>
  <c r="G161" i="95"/>
  <c r="E121" i="95"/>
  <c r="O121" i="95" s="1"/>
  <c r="F120" i="95"/>
  <c r="J120" i="95" s="1"/>
  <c r="N120" i="95" s="1"/>
  <c r="P118" i="55"/>
  <c r="M72" i="113"/>
  <c r="L73" i="113"/>
  <c r="J72" i="112"/>
  <c r="D137" i="93"/>
  <c r="E136" i="93"/>
  <c r="L135" i="111"/>
  <c r="E136" i="111"/>
  <c r="F81" i="113"/>
  <c r="O72" i="113"/>
  <c r="K120" i="55"/>
  <c r="R119" i="55"/>
  <c r="H136" i="95"/>
  <c r="I135" i="95"/>
  <c r="I74" i="113"/>
  <c r="Q71" i="113"/>
  <c r="C134" i="55"/>
  <c r="H168" i="112"/>
  <c r="D170" i="113" s="1"/>
  <c r="R119" i="78" l="1"/>
  <c r="L129" i="95"/>
  <c r="M128" i="95"/>
  <c r="H117" i="110"/>
  <c r="I117" i="110" s="1"/>
  <c r="J117" i="110" s="1"/>
  <c r="G116" i="110"/>
  <c r="K116" i="110" s="1"/>
  <c r="P116" i="110" s="1"/>
  <c r="R116" i="110"/>
  <c r="F117" i="110"/>
  <c r="L116" i="110"/>
  <c r="N119" i="55"/>
  <c r="P119" i="55" s="1"/>
  <c r="X152" i="114"/>
  <c r="V152" i="114"/>
  <c r="W152" i="114" s="1"/>
  <c r="G121" i="55"/>
  <c r="I120" i="55"/>
  <c r="Q120" i="55" s="1"/>
  <c r="P116" i="77"/>
  <c r="N173" i="110"/>
  <c r="O172" i="110"/>
  <c r="E185" i="110"/>
  <c r="M185" i="110" s="1"/>
  <c r="M153" i="114"/>
  <c r="U153" i="114" s="1"/>
  <c r="P153" i="114"/>
  <c r="J154" i="114"/>
  <c r="Y154" i="114" s="1"/>
  <c r="K154" i="114"/>
  <c r="I155" i="114"/>
  <c r="R117" i="78"/>
  <c r="B122" i="78"/>
  <c r="K121" i="78"/>
  <c r="N121" i="78" s="1"/>
  <c r="Q120" i="78"/>
  <c r="O117" i="77"/>
  <c r="P117" i="77" s="1"/>
  <c r="S117" i="77"/>
  <c r="T116" i="77"/>
  <c r="F157" i="114"/>
  <c r="G156" i="114"/>
  <c r="P72" i="113"/>
  <c r="H127" i="91"/>
  <c r="I126" i="91"/>
  <c r="J126" i="91" s="1"/>
  <c r="G128" i="91"/>
  <c r="E129" i="91"/>
  <c r="E130" i="91" s="1"/>
  <c r="E131" i="91" s="1"/>
  <c r="E132" i="91" s="1"/>
  <c r="E133" i="91" s="1"/>
  <c r="E134" i="91" s="1"/>
  <c r="E135" i="91" s="1"/>
  <c r="E136" i="91" s="1"/>
  <c r="E137" i="91" s="1"/>
  <c r="E138" i="91" s="1"/>
  <c r="E139" i="91" s="1"/>
  <c r="E140" i="91" s="1"/>
  <c r="E141" i="91" s="1"/>
  <c r="E184" i="88"/>
  <c r="M183" i="88"/>
  <c r="N147" i="88"/>
  <c r="O146" i="88"/>
  <c r="J117" i="88"/>
  <c r="K117" i="88" s="1"/>
  <c r="P117" i="88" s="1"/>
  <c r="I118" i="88"/>
  <c r="R118" i="88" s="1"/>
  <c r="L117" i="88"/>
  <c r="F119" i="88"/>
  <c r="G118" i="88"/>
  <c r="H119" i="88"/>
  <c r="S119" i="88" s="1"/>
  <c r="R117" i="88"/>
  <c r="C122" i="77"/>
  <c r="L121" i="77"/>
  <c r="K118" i="77"/>
  <c r="N118" i="77" s="1"/>
  <c r="H119" i="77"/>
  <c r="G162" i="95"/>
  <c r="K161" i="95"/>
  <c r="L74" i="113"/>
  <c r="K121" i="55"/>
  <c r="R120" i="55"/>
  <c r="L136" i="111"/>
  <c r="E137" i="111"/>
  <c r="D138" i="93"/>
  <c r="E137" i="93"/>
  <c r="K72" i="112"/>
  <c r="I73" i="112" s="1"/>
  <c r="C75" i="113" s="1"/>
  <c r="H75" i="113" s="1"/>
  <c r="B75" i="113" s="1"/>
  <c r="M73" i="113"/>
  <c r="E122" i="95"/>
  <c r="O122" i="95" s="1"/>
  <c r="F121" i="95"/>
  <c r="J121" i="95" s="1"/>
  <c r="N121" i="95" s="1"/>
  <c r="C135" i="55"/>
  <c r="J74" i="113"/>
  <c r="H137" i="95"/>
  <c r="I136" i="95"/>
  <c r="G81" i="113"/>
  <c r="H169" i="112"/>
  <c r="D171" i="113" s="1"/>
  <c r="O73" i="113"/>
  <c r="N120" i="55" l="1"/>
  <c r="M129" i="95"/>
  <c r="L130" i="95"/>
  <c r="L117" i="110"/>
  <c r="G117" i="110"/>
  <c r="K117" i="110" s="1"/>
  <c r="P117" i="110" s="1"/>
  <c r="H118" i="110"/>
  <c r="I118" i="110" s="1"/>
  <c r="J118" i="110" s="1"/>
  <c r="R117" i="110"/>
  <c r="F118" i="110"/>
  <c r="V153" i="114"/>
  <c r="W153" i="114" s="1"/>
  <c r="X153" i="114"/>
  <c r="R118" i="78"/>
  <c r="I121" i="55"/>
  <c r="Q121" i="55" s="1"/>
  <c r="G122" i="55"/>
  <c r="Q117" i="77"/>
  <c r="R117" i="77" s="1"/>
  <c r="E186" i="110"/>
  <c r="M186" i="110" s="1"/>
  <c r="N174" i="110"/>
  <c r="O173" i="110"/>
  <c r="P154" i="114"/>
  <c r="L154" i="114"/>
  <c r="M154" i="114" s="1"/>
  <c r="U154" i="114" s="1"/>
  <c r="I156" i="114"/>
  <c r="K155" i="114"/>
  <c r="J155" i="114"/>
  <c r="Y155" i="114" s="1"/>
  <c r="M74" i="113"/>
  <c r="Q121" i="78"/>
  <c r="R121" i="78" s="1"/>
  <c r="B123" i="78"/>
  <c r="K122" i="78"/>
  <c r="N122" i="78" s="1"/>
  <c r="R120" i="78"/>
  <c r="D16" i="159"/>
  <c r="O118" i="77"/>
  <c r="Q118" i="77" s="1"/>
  <c r="S118" i="77"/>
  <c r="T117" i="77"/>
  <c r="F158" i="114"/>
  <c r="G157" i="114"/>
  <c r="Q72" i="113"/>
  <c r="H128" i="91"/>
  <c r="I128" i="91" s="1"/>
  <c r="I127" i="91"/>
  <c r="M184" i="88"/>
  <c r="E185" i="88"/>
  <c r="N148" i="88"/>
  <c r="O147" i="88"/>
  <c r="H120" i="88"/>
  <c r="S120" i="88" s="1"/>
  <c r="F120" i="88"/>
  <c r="G119" i="88"/>
  <c r="L118" i="88"/>
  <c r="J118" i="88"/>
  <c r="K118" i="88" s="1"/>
  <c r="P118" i="88" s="1"/>
  <c r="I119" i="88"/>
  <c r="L119" i="88" s="1"/>
  <c r="L122" i="77"/>
  <c r="C123" i="77"/>
  <c r="P118" i="77"/>
  <c r="K119" i="77"/>
  <c r="N119" i="77" s="1"/>
  <c r="H120" i="77"/>
  <c r="K162" i="95"/>
  <c r="G163" i="95"/>
  <c r="H138" i="95"/>
  <c r="I137" i="95"/>
  <c r="C136" i="55"/>
  <c r="D139" i="93"/>
  <c r="E138" i="93"/>
  <c r="H170" i="112"/>
  <c r="D172" i="113" s="1"/>
  <c r="K122" i="55"/>
  <c r="R121" i="55"/>
  <c r="P73" i="113"/>
  <c r="F82" i="113"/>
  <c r="G82" i="113" s="1"/>
  <c r="I75" i="113"/>
  <c r="J75" i="113" s="1"/>
  <c r="E123" i="95"/>
  <c r="O123" i="95" s="1"/>
  <c r="F122" i="95"/>
  <c r="J122" i="95" s="1"/>
  <c r="N122" i="95" s="1"/>
  <c r="J73" i="112"/>
  <c r="L137" i="111"/>
  <c r="E138" i="111"/>
  <c r="P120" i="55"/>
  <c r="O74" i="113"/>
  <c r="R118" i="77" l="1"/>
  <c r="L131" i="95"/>
  <c r="M130" i="95"/>
  <c r="L118" i="110"/>
  <c r="G118" i="110"/>
  <c r="K118" i="110" s="1"/>
  <c r="P118" i="110" s="1"/>
  <c r="H119" i="110"/>
  <c r="I119" i="110" s="1"/>
  <c r="J119" i="110" s="1"/>
  <c r="R118" i="110"/>
  <c r="F119" i="110"/>
  <c r="N121" i="55"/>
  <c r="P121" i="55" s="1"/>
  <c r="X154" i="114"/>
  <c r="V154" i="114"/>
  <c r="W154" i="114" s="1"/>
  <c r="I122" i="55"/>
  <c r="Q122" i="55" s="1"/>
  <c r="G123" i="55"/>
  <c r="E187" i="110"/>
  <c r="M187" i="110" s="1"/>
  <c r="N175" i="110"/>
  <c r="O174" i="110"/>
  <c r="L155" i="114"/>
  <c r="M155" i="114" s="1"/>
  <c r="U155" i="114" s="1"/>
  <c r="P155" i="114"/>
  <c r="I157" i="114"/>
  <c r="J156" i="114"/>
  <c r="Y156" i="114" s="1"/>
  <c r="K156" i="114"/>
  <c r="B124" i="78"/>
  <c r="T123" i="78"/>
  <c r="Q122" i="78"/>
  <c r="R122" i="78" s="1"/>
  <c r="O119" i="77"/>
  <c r="Q119" i="77" s="1"/>
  <c r="R119" i="77" s="1"/>
  <c r="S119" i="77"/>
  <c r="T118" i="77"/>
  <c r="G158" i="114"/>
  <c r="F159" i="114"/>
  <c r="G129" i="91"/>
  <c r="H129" i="91" s="1"/>
  <c r="I129" i="91" s="1"/>
  <c r="J134" i="91" s="1"/>
  <c r="J128" i="91"/>
  <c r="J127" i="91"/>
  <c r="M185" i="88"/>
  <c r="E186" i="88"/>
  <c r="N149" i="88"/>
  <c r="O148" i="88"/>
  <c r="J119" i="88"/>
  <c r="K119" i="88" s="1"/>
  <c r="P119" i="88" s="1"/>
  <c r="I120" i="88"/>
  <c r="R120" i="88" s="1"/>
  <c r="R119" i="88"/>
  <c r="H121" i="88"/>
  <c r="S121" i="88" s="1"/>
  <c r="G120" i="88"/>
  <c r="F121" i="88"/>
  <c r="C124" i="77"/>
  <c r="L123" i="77"/>
  <c r="H121" i="77"/>
  <c r="K120" i="77"/>
  <c r="N120" i="77" s="1"/>
  <c r="G164" i="95"/>
  <c r="K163" i="95"/>
  <c r="F83" i="113"/>
  <c r="I76" i="113"/>
  <c r="H171" i="112"/>
  <c r="D173" i="113" s="1"/>
  <c r="K73" i="112"/>
  <c r="J74" i="112"/>
  <c r="E124" i="95"/>
  <c r="O124" i="95" s="1"/>
  <c r="F123" i="95"/>
  <c r="J123" i="95" s="1"/>
  <c r="N123" i="95" s="1"/>
  <c r="Q73" i="113"/>
  <c r="P74" i="113"/>
  <c r="D140" i="93"/>
  <c r="E139" i="93"/>
  <c r="C137" i="55"/>
  <c r="E139" i="111"/>
  <c r="L138" i="111"/>
  <c r="L75" i="113"/>
  <c r="O75" i="113" s="1"/>
  <c r="K123" i="55"/>
  <c r="R122" i="55"/>
  <c r="H139" i="95"/>
  <c r="I138" i="95"/>
  <c r="M131" i="95" l="1"/>
  <c r="L132" i="95"/>
  <c r="G119" i="110"/>
  <c r="K119" i="110" s="1"/>
  <c r="P119" i="110" s="1"/>
  <c r="R119" i="110"/>
  <c r="F120" i="110"/>
  <c r="L119" i="110"/>
  <c r="H120" i="110"/>
  <c r="I120" i="110" s="1"/>
  <c r="J120" i="110" s="1"/>
  <c r="P119" i="77"/>
  <c r="N122" i="55"/>
  <c r="X155" i="114"/>
  <c r="V155" i="114"/>
  <c r="W155" i="114" s="1"/>
  <c r="G124" i="55"/>
  <c r="I123" i="55"/>
  <c r="Q123" i="55" s="1"/>
  <c r="J133" i="91"/>
  <c r="N176" i="110"/>
  <c r="O175" i="110"/>
  <c r="E188" i="110"/>
  <c r="M188" i="110" s="1"/>
  <c r="K157" i="114"/>
  <c r="I158" i="114"/>
  <c r="J157" i="114"/>
  <c r="Y157" i="114" s="1"/>
  <c r="P156" i="114"/>
  <c r="L156" i="114"/>
  <c r="M156" i="114" s="1"/>
  <c r="U156" i="114" s="1"/>
  <c r="B125" i="78"/>
  <c r="T124" i="78"/>
  <c r="O120" i="77"/>
  <c r="P120" i="77" s="1"/>
  <c r="S120" i="77"/>
  <c r="T119" i="77"/>
  <c r="G159" i="114"/>
  <c r="F160" i="114"/>
  <c r="J135" i="91"/>
  <c r="J129" i="91"/>
  <c r="J141" i="91"/>
  <c r="J132" i="91"/>
  <c r="J131" i="91"/>
  <c r="J136" i="91"/>
  <c r="J139" i="91"/>
  <c r="J140" i="91"/>
  <c r="J138" i="91"/>
  <c r="J130" i="91"/>
  <c r="J137" i="91"/>
  <c r="M186" i="88"/>
  <c r="E187" i="88"/>
  <c r="L120" i="88"/>
  <c r="N150" i="88"/>
  <c r="O149" i="88"/>
  <c r="F122" i="88"/>
  <c r="G121" i="88"/>
  <c r="H122" i="88"/>
  <c r="S122" i="88" s="1"/>
  <c r="J120" i="88"/>
  <c r="K120" i="88" s="1"/>
  <c r="P120" i="88" s="1"/>
  <c r="I121" i="88"/>
  <c r="C125" i="77"/>
  <c r="L124" i="77"/>
  <c r="H122" i="77"/>
  <c r="K121" i="77"/>
  <c r="N121" i="77" s="1"/>
  <c r="G165" i="95"/>
  <c r="K164" i="95"/>
  <c r="H172" i="112"/>
  <c r="D174" i="113" s="1"/>
  <c r="L76" i="113"/>
  <c r="O76" i="113" s="1"/>
  <c r="H140" i="95"/>
  <c r="I139" i="95"/>
  <c r="P122" i="55"/>
  <c r="K124" i="55"/>
  <c r="R123" i="55"/>
  <c r="N123" i="55"/>
  <c r="M75" i="113"/>
  <c r="L139" i="111"/>
  <c r="E140" i="111"/>
  <c r="C138" i="55"/>
  <c r="D141" i="93"/>
  <c r="E140" i="93"/>
  <c r="P75" i="113"/>
  <c r="Q74" i="113"/>
  <c r="E125" i="95"/>
  <c r="O125" i="95" s="1"/>
  <c r="F124" i="95"/>
  <c r="J124" i="95" s="1"/>
  <c r="N124" i="95" s="1"/>
  <c r="K74" i="112"/>
  <c r="I75" i="112" s="1"/>
  <c r="C77" i="113" s="1"/>
  <c r="H77" i="113" s="1"/>
  <c r="B77" i="113" s="1"/>
  <c r="J76" i="113"/>
  <c r="G83" i="113"/>
  <c r="Q120" i="77" l="1"/>
  <c r="R120" i="77" s="1"/>
  <c r="L133" i="95"/>
  <c r="M132" i="95"/>
  <c r="F121" i="110"/>
  <c r="L120" i="110"/>
  <c r="G120" i="110"/>
  <c r="K120" i="110" s="1"/>
  <c r="P120" i="110" s="1"/>
  <c r="R120" i="110"/>
  <c r="H121" i="110"/>
  <c r="I121" i="110" s="1"/>
  <c r="J121" i="110" s="1"/>
  <c r="X156" i="114"/>
  <c r="V156" i="114"/>
  <c r="W156" i="114" s="1"/>
  <c r="I124" i="55"/>
  <c r="Q124" i="55" s="1"/>
  <c r="G125" i="55"/>
  <c r="E189" i="110"/>
  <c r="M189" i="110" s="1"/>
  <c r="N177" i="110"/>
  <c r="O176" i="110"/>
  <c r="I159" i="114"/>
  <c r="J158" i="114"/>
  <c r="Y158" i="114" s="1"/>
  <c r="K158" i="114"/>
  <c r="L157" i="114"/>
  <c r="M157" i="114" s="1"/>
  <c r="U157" i="114" s="1"/>
  <c r="P157" i="114"/>
  <c r="B126" i="78"/>
  <c r="T125" i="78"/>
  <c r="O121" i="77"/>
  <c r="Q121" i="77" s="1"/>
  <c r="S121" i="77"/>
  <c r="T120" i="77"/>
  <c r="G160" i="114"/>
  <c r="F161" i="114"/>
  <c r="E188" i="88"/>
  <c r="M187" i="88"/>
  <c r="N151" i="88"/>
  <c r="O150" i="88"/>
  <c r="H123" i="88"/>
  <c r="S123" i="88" s="1"/>
  <c r="G122" i="88"/>
  <c r="F123" i="88"/>
  <c r="I122" i="88"/>
  <c r="R122" i="88" s="1"/>
  <c r="J121" i="88"/>
  <c r="K121" i="88" s="1"/>
  <c r="P121" i="88" s="1"/>
  <c r="R121" i="88"/>
  <c r="L121" i="88"/>
  <c r="C126" i="77"/>
  <c r="L125" i="77"/>
  <c r="H123" i="77"/>
  <c r="K122" i="77"/>
  <c r="N122" i="77" s="1"/>
  <c r="P121" i="77"/>
  <c r="K165" i="95"/>
  <c r="G166" i="95"/>
  <c r="M76" i="113"/>
  <c r="E126" i="95"/>
  <c r="O126" i="95" s="1"/>
  <c r="F125" i="95"/>
  <c r="J125" i="95" s="1"/>
  <c r="N125" i="95" s="1"/>
  <c r="I77" i="113"/>
  <c r="J75" i="112"/>
  <c r="Q75" i="113"/>
  <c r="P76" i="113"/>
  <c r="D142" i="93"/>
  <c r="E141" i="93"/>
  <c r="L140" i="111"/>
  <c r="E141" i="111"/>
  <c r="K125" i="55"/>
  <c r="R124" i="55"/>
  <c r="H141" i="95"/>
  <c r="I140" i="95"/>
  <c r="F84" i="113"/>
  <c r="G84" i="113" s="1"/>
  <c r="C139" i="55"/>
  <c r="H173" i="112"/>
  <c r="D175" i="113" s="1"/>
  <c r="P123" i="55"/>
  <c r="R121" i="77" l="1"/>
  <c r="L134" i="95"/>
  <c r="M133" i="95"/>
  <c r="F122" i="110"/>
  <c r="R121" i="110"/>
  <c r="L121" i="110"/>
  <c r="G121" i="110"/>
  <c r="K121" i="110" s="1"/>
  <c r="P121" i="110" s="1"/>
  <c r="H122" i="110"/>
  <c r="I122" i="110" s="1"/>
  <c r="J122" i="110" s="1"/>
  <c r="N124" i="55"/>
  <c r="P124" i="55" s="1"/>
  <c r="X157" i="114"/>
  <c r="V157" i="114"/>
  <c r="W157" i="114" s="1"/>
  <c r="G126" i="55"/>
  <c r="I125" i="55"/>
  <c r="Q125" i="55" s="1"/>
  <c r="N178" i="110"/>
  <c r="O177" i="110"/>
  <c r="E190" i="110"/>
  <c r="M190" i="110" s="1"/>
  <c r="P158" i="114"/>
  <c r="L158" i="114"/>
  <c r="M158" i="114" s="1"/>
  <c r="U158" i="114" s="1"/>
  <c r="I160" i="114"/>
  <c r="J159" i="114"/>
  <c r="Y159" i="114" s="1"/>
  <c r="K159" i="114"/>
  <c r="B127" i="78"/>
  <c r="O122" i="77"/>
  <c r="Q122" i="77" s="1"/>
  <c r="R122" i="77" s="1"/>
  <c r="S122" i="77"/>
  <c r="T121" i="77"/>
  <c r="G161" i="114"/>
  <c r="F162" i="114"/>
  <c r="E189" i="88"/>
  <c r="M188" i="88"/>
  <c r="N152" i="88"/>
  <c r="O151" i="88"/>
  <c r="H124" i="88"/>
  <c r="S124" i="88" s="1"/>
  <c r="G123" i="88"/>
  <c r="F124" i="88"/>
  <c r="J122" i="88"/>
  <c r="K122" i="88" s="1"/>
  <c r="P122" i="88" s="1"/>
  <c r="I123" i="88"/>
  <c r="L122" i="88"/>
  <c r="C127" i="77"/>
  <c r="L126" i="77"/>
  <c r="H124" i="77"/>
  <c r="K123" i="77"/>
  <c r="N123" i="77" s="1"/>
  <c r="K166" i="95"/>
  <c r="G167" i="95"/>
  <c r="C140" i="55"/>
  <c r="F85" i="113"/>
  <c r="G85" i="113" s="1"/>
  <c r="E142" i="111"/>
  <c r="L141" i="111"/>
  <c r="Q76" i="113"/>
  <c r="L77" i="113"/>
  <c r="O77" i="113" s="1"/>
  <c r="E127" i="95"/>
  <c r="O127" i="95" s="1"/>
  <c r="H26" i="160" s="1"/>
  <c r="F126" i="95"/>
  <c r="J126" i="95" s="1"/>
  <c r="N126" i="95" s="1"/>
  <c r="H142" i="95"/>
  <c r="I141" i="95"/>
  <c r="K126" i="55"/>
  <c r="R125" i="55"/>
  <c r="H174" i="112"/>
  <c r="D176" i="113" s="1"/>
  <c r="D143" i="93"/>
  <c r="E142" i="93"/>
  <c r="K75" i="112"/>
  <c r="I76" i="112" s="1"/>
  <c r="C78" i="113" s="1"/>
  <c r="H78" i="113" s="1"/>
  <c r="B78" i="113" s="1"/>
  <c r="J77" i="113"/>
  <c r="D25" i="162" l="1"/>
  <c r="N125" i="55"/>
  <c r="L135" i="95"/>
  <c r="M134" i="95"/>
  <c r="R122" i="110"/>
  <c r="G122" i="110"/>
  <c r="K122" i="110" s="1"/>
  <c r="P122" i="110" s="1"/>
  <c r="H123" i="110"/>
  <c r="I123" i="110" s="1"/>
  <c r="J123" i="110" s="1"/>
  <c r="L122" i="110"/>
  <c r="F123" i="110"/>
  <c r="V158" i="114"/>
  <c r="W158" i="114" s="1"/>
  <c r="X158" i="114"/>
  <c r="P122" i="77"/>
  <c r="G127" i="55"/>
  <c r="I126" i="55"/>
  <c r="Q126" i="55" s="1"/>
  <c r="E191" i="110"/>
  <c r="M191" i="110" s="1"/>
  <c r="N179" i="110"/>
  <c r="O178" i="110"/>
  <c r="I161" i="114"/>
  <c r="J160" i="114"/>
  <c r="Y160" i="114" s="1"/>
  <c r="K160" i="114"/>
  <c r="L159" i="114"/>
  <c r="M159" i="114" s="1"/>
  <c r="U159" i="114" s="1"/>
  <c r="P159" i="114"/>
  <c r="B128" i="78"/>
  <c r="O123" i="77"/>
  <c r="S123" i="77"/>
  <c r="T122" i="77"/>
  <c r="G162" i="114"/>
  <c r="F163" i="114"/>
  <c r="E190" i="88"/>
  <c r="M189" i="88"/>
  <c r="N153" i="88"/>
  <c r="O152" i="88"/>
  <c r="I124" i="88"/>
  <c r="J123" i="88"/>
  <c r="K123" i="88" s="1"/>
  <c r="P123" i="88" s="1"/>
  <c r="F125" i="88"/>
  <c r="G124" i="88"/>
  <c r="H125" i="88"/>
  <c r="S125" i="88" s="1"/>
  <c r="L123" i="88"/>
  <c r="R123" i="88"/>
  <c r="L127" i="77"/>
  <c r="C128" i="77"/>
  <c r="K124" i="77"/>
  <c r="N124" i="77" s="1"/>
  <c r="H125" i="77"/>
  <c r="G168" i="95"/>
  <c r="K167" i="95"/>
  <c r="J76" i="112"/>
  <c r="K76" i="112" s="1"/>
  <c r="I77" i="112" s="1"/>
  <c r="C79" i="113" s="1"/>
  <c r="H79" i="113" s="1"/>
  <c r="B79" i="113" s="1"/>
  <c r="I78" i="113"/>
  <c r="P125" i="55"/>
  <c r="H143" i="95"/>
  <c r="I142" i="95"/>
  <c r="L142" i="111"/>
  <c r="E143" i="111"/>
  <c r="F86" i="113"/>
  <c r="G86" i="113" s="1"/>
  <c r="D144" i="93"/>
  <c r="E143" i="93"/>
  <c r="K127" i="55"/>
  <c r="R126" i="55"/>
  <c r="N126" i="55"/>
  <c r="E128" i="95"/>
  <c r="O128" i="95" s="1"/>
  <c r="F127" i="95"/>
  <c r="J127" i="95" s="1"/>
  <c r="N127" i="95" s="1"/>
  <c r="I26" i="160" s="1"/>
  <c r="M77" i="113"/>
  <c r="P77" i="113"/>
  <c r="H175" i="112"/>
  <c r="D177" i="113" s="1"/>
  <c r="C141" i="55"/>
  <c r="O124" i="77" l="1"/>
  <c r="O125" i="77" s="1"/>
  <c r="O126" i="77" s="1"/>
  <c r="O127" i="77" s="1"/>
  <c r="O128" i="77" s="1"/>
  <c r="O129" i="77" s="1"/>
  <c r="P123" i="77"/>
  <c r="M135" i="95"/>
  <c r="L136" i="95"/>
  <c r="R123" i="110"/>
  <c r="G123" i="110"/>
  <c r="K123" i="110" s="1"/>
  <c r="P123" i="110" s="1"/>
  <c r="L123" i="110"/>
  <c r="F124" i="110"/>
  <c r="H124" i="110"/>
  <c r="I124" i="110" s="1"/>
  <c r="J124" i="110" s="1"/>
  <c r="V159" i="114"/>
  <c r="W159" i="114" s="1"/>
  <c r="X159" i="114"/>
  <c r="Q123" i="77"/>
  <c r="G128" i="55"/>
  <c r="I127" i="55"/>
  <c r="Q127" i="55" s="1"/>
  <c r="N180" i="110"/>
  <c r="O179" i="110"/>
  <c r="E192" i="110"/>
  <c r="M192" i="110" s="1"/>
  <c r="P160" i="114"/>
  <c r="L160" i="114"/>
  <c r="M160" i="114" s="1"/>
  <c r="U160" i="114" s="1"/>
  <c r="I162" i="114"/>
  <c r="J161" i="114"/>
  <c r="Y161" i="114" s="1"/>
  <c r="K161" i="114"/>
  <c r="B129" i="78"/>
  <c r="S124" i="77"/>
  <c r="T123" i="77"/>
  <c r="G163" i="114"/>
  <c r="F164" i="114"/>
  <c r="E191" i="88"/>
  <c r="M190" i="88"/>
  <c r="N154" i="88"/>
  <c r="O153" i="88"/>
  <c r="F126" i="88"/>
  <c r="H126" i="88"/>
  <c r="S126" i="88" s="1"/>
  <c r="G125" i="88"/>
  <c r="L124" i="88"/>
  <c r="I125" i="88"/>
  <c r="J124" i="88"/>
  <c r="K124" i="88" s="1"/>
  <c r="P124" i="88" s="1"/>
  <c r="R124" i="88"/>
  <c r="L128" i="77"/>
  <c r="C129" i="77"/>
  <c r="H126" i="77"/>
  <c r="K125" i="77"/>
  <c r="N125" i="77" s="1"/>
  <c r="G169" i="95"/>
  <c r="K168" i="95"/>
  <c r="E129" i="95"/>
  <c r="O129" i="95" s="1"/>
  <c r="F128" i="95"/>
  <c r="J128" i="95" s="1"/>
  <c r="N128" i="95" s="1"/>
  <c r="P126" i="55"/>
  <c r="K128" i="55"/>
  <c r="R127" i="55"/>
  <c r="D145" i="93"/>
  <c r="E144" i="93"/>
  <c r="H176" i="112"/>
  <c r="D178" i="113" s="1"/>
  <c r="H144" i="95"/>
  <c r="I143" i="95"/>
  <c r="J77" i="112"/>
  <c r="L78" i="113"/>
  <c r="O78" i="113" s="1"/>
  <c r="C142" i="55"/>
  <c r="Q77" i="113"/>
  <c r="F87" i="113"/>
  <c r="G87" i="113" s="1"/>
  <c r="L143" i="111"/>
  <c r="E144" i="111"/>
  <c r="J78" i="113"/>
  <c r="R123" i="77" l="1"/>
  <c r="O131" i="77"/>
  <c r="O132" i="77" s="1"/>
  <c r="O133" i="77" s="1"/>
  <c r="O134" i="77" s="1"/>
  <c r="O135" i="77" s="1"/>
  <c r="O130" i="77"/>
  <c r="N127" i="55"/>
  <c r="P127" i="55" s="1"/>
  <c r="L137" i="95"/>
  <c r="M136" i="95"/>
  <c r="L124" i="110"/>
  <c r="G124" i="110"/>
  <c r="K124" i="110" s="1"/>
  <c r="P124" i="110" s="1"/>
  <c r="R124" i="110"/>
  <c r="F125" i="110"/>
  <c r="H125" i="110"/>
  <c r="I125" i="110" s="1"/>
  <c r="J125" i="110" s="1"/>
  <c r="V160" i="114"/>
  <c r="W160" i="114" s="1"/>
  <c r="X160" i="114"/>
  <c r="Q124" i="77"/>
  <c r="R124" i="77" s="1"/>
  <c r="G129" i="55"/>
  <c r="I128" i="55"/>
  <c r="Q128" i="55" s="1"/>
  <c r="P124" i="77"/>
  <c r="E193" i="110"/>
  <c r="M193" i="110" s="1"/>
  <c r="N181" i="110"/>
  <c r="O180" i="110"/>
  <c r="I163" i="114"/>
  <c r="K162" i="114"/>
  <c r="J162" i="114"/>
  <c r="Y162" i="114" s="1"/>
  <c r="P161" i="114"/>
  <c r="L161" i="114"/>
  <c r="M161" i="114" s="1"/>
  <c r="U161" i="114" s="1"/>
  <c r="B130" i="78"/>
  <c r="Q125" i="77"/>
  <c r="S125" i="77"/>
  <c r="T124" i="77"/>
  <c r="G164" i="114"/>
  <c r="F165" i="114"/>
  <c r="E192" i="88"/>
  <c r="M191" i="88"/>
  <c r="N155" i="88"/>
  <c r="O154" i="88"/>
  <c r="J125" i="88"/>
  <c r="K125" i="88" s="1"/>
  <c r="P125" i="88" s="1"/>
  <c r="I126" i="88"/>
  <c r="L126" i="88" s="1"/>
  <c r="R125" i="88"/>
  <c r="L125" i="88"/>
  <c r="F127" i="88"/>
  <c r="G126" i="88"/>
  <c r="H127" i="88"/>
  <c r="S127" i="88" s="1"/>
  <c r="L129" i="77"/>
  <c r="C130" i="77"/>
  <c r="H127" i="77"/>
  <c r="K126" i="77"/>
  <c r="N126" i="77" s="1"/>
  <c r="G170" i="95"/>
  <c r="K169" i="95"/>
  <c r="F88" i="113"/>
  <c r="P78" i="113"/>
  <c r="I79" i="113"/>
  <c r="J79" i="113" s="1"/>
  <c r="H177" i="112"/>
  <c r="D179" i="113" s="1"/>
  <c r="D146" i="93"/>
  <c r="E145" i="93"/>
  <c r="K129" i="55"/>
  <c r="R128" i="55"/>
  <c r="E130" i="95"/>
  <c r="O130" i="95" s="1"/>
  <c r="F129" i="95"/>
  <c r="J129" i="95" s="1"/>
  <c r="N129" i="95" s="1"/>
  <c r="L144" i="111"/>
  <c r="E145" i="111"/>
  <c r="C143" i="55"/>
  <c r="K77" i="112"/>
  <c r="I78" i="112" s="1"/>
  <c r="C80" i="113" s="1"/>
  <c r="H80" i="113" s="1"/>
  <c r="B80" i="113" s="1"/>
  <c r="H145" i="95"/>
  <c r="I144" i="95"/>
  <c r="M78" i="113"/>
  <c r="T135" i="77" l="1"/>
  <c r="D11" i="162" s="1"/>
  <c r="N128" i="55"/>
  <c r="L138" i="95"/>
  <c r="M137" i="95"/>
  <c r="R125" i="77"/>
  <c r="G125" i="110"/>
  <c r="K125" i="110" s="1"/>
  <c r="P125" i="110" s="1"/>
  <c r="R125" i="110"/>
  <c r="L125" i="110"/>
  <c r="H126" i="110"/>
  <c r="I126" i="110" s="1"/>
  <c r="J126" i="110" s="1"/>
  <c r="F126" i="110"/>
  <c r="V161" i="114"/>
  <c r="W161" i="114" s="1"/>
  <c r="X161" i="114"/>
  <c r="P125" i="77"/>
  <c r="G130" i="55"/>
  <c r="I129" i="55"/>
  <c r="Q129" i="55" s="1"/>
  <c r="R126" i="88"/>
  <c r="E194" i="110"/>
  <c r="M194" i="110" s="1"/>
  <c r="N182" i="110"/>
  <c r="O181" i="110"/>
  <c r="L162" i="114"/>
  <c r="M162" i="114" s="1"/>
  <c r="U162" i="114" s="1"/>
  <c r="P162" i="114"/>
  <c r="K163" i="114"/>
  <c r="I164" i="114"/>
  <c r="J163" i="114"/>
  <c r="Y163" i="114" s="1"/>
  <c r="B131" i="78"/>
  <c r="T126" i="77"/>
  <c r="S126" i="77"/>
  <c r="T125" i="77"/>
  <c r="G165" i="114"/>
  <c r="F166" i="114"/>
  <c r="E193" i="88"/>
  <c r="M192" i="88"/>
  <c r="N156" i="88"/>
  <c r="O155" i="88"/>
  <c r="F128" i="88"/>
  <c r="F129" i="88" s="1"/>
  <c r="G127" i="88"/>
  <c r="H128" i="88"/>
  <c r="J126" i="88"/>
  <c r="K126" i="88" s="1"/>
  <c r="P126" i="88" s="1"/>
  <c r="I127" i="88"/>
  <c r="C131" i="77"/>
  <c r="L130" i="77"/>
  <c r="H128" i="77"/>
  <c r="K127" i="77"/>
  <c r="N127" i="77" s="1"/>
  <c r="G171" i="95"/>
  <c r="K170" i="95"/>
  <c r="J78" i="112"/>
  <c r="K78" i="112" s="1"/>
  <c r="I79" i="112" s="1"/>
  <c r="E146" i="111"/>
  <c r="L145" i="111"/>
  <c r="P128" i="55"/>
  <c r="D147" i="93"/>
  <c r="E146" i="93"/>
  <c r="I80" i="113"/>
  <c r="J80" i="113" s="1"/>
  <c r="Q78" i="113"/>
  <c r="H146" i="95"/>
  <c r="I145" i="95"/>
  <c r="C144" i="55"/>
  <c r="H178" i="112"/>
  <c r="D180" i="113" s="1"/>
  <c r="E131" i="95"/>
  <c r="O131" i="95" s="1"/>
  <c r="F130" i="95"/>
  <c r="J130" i="95" s="1"/>
  <c r="N130" i="95" s="1"/>
  <c r="K130" i="55"/>
  <c r="R129" i="55"/>
  <c r="N129" i="55"/>
  <c r="L79" i="113"/>
  <c r="O79" i="113" s="1"/>
  <c r="G88" i="113"/>
  <c r="P126" i="77" l="1"/>
  <c r="L139" i="95"/>
  <c r="M138" i="95"/>
  <c r="F127" i="110"/>
  <c r="G126" i="110"/>
  <c r="K126" i="110" s="1"/>
  <c r="P126" i="110" s="1"/>
  <c r="H127" i="110"/>
  <c r="I127" i="110" s="1"/>
  <c r="J127" i="110" s="1"/>
  <c r="R126" i="110"/>
  <c r="L126" i="110"/>
  <c r="Q126" i="77"/>
  <c r="R126" i="77" s="1"/>
  <c r="X162" i="114"/>
  <c r="V162" i="114"/>
  <c r="W162" i="114" s="1"/>
  <c r="I130" i="55"/>
  <c r="Q130" i="55" s="1"/>
  <c r="G131" i="55"/>
  <c r="E195" i="110"/>
  <c r="M195" i="110" s="1"/>
  <c r="N183" i="110"/>
  <c r="O182" i="110"/>
  <c r="K164" i="114"/>
  <c r="I165" i="114"/>
  <c r="J164" i="114"/>
  <c r="Y164" i="114" s="1"/>
  <c r="P163" i="114"/>
  <c r="L163" i="114"/>
  <c r="M163" i="114" s="1"/>
  <c r="U163" i="114" s="1"/>
  <c r="T127" i="77"/>
  <c r="S127" i="77"/>
  <c r="G166" i="114"/>
  <c r="F167" i="114"/>
  <c r="S128" i="88"/>
  <c r="M193" i="88"/>
  <c r="E194" i="88"/>
  <c r="N157" i="88"/>
  <c r="O156" i="88"/>
  <c r="J127" i="88"/>
  <c r="K127" i="88" s="1"/>
  <c r="P127" i="88" s="1"/>
  <c r="I128" i="88"/>
  <c r="L128" i="88" s="1"/>
  <c r="R127" i="88"/>
  <c r="H129" i="88"/>
  <c r="S129" i="88" s="1"/>
  <c r="G128" i="88"/>
  <c r="R128" i="88"/>
  <c r="L127" i="88"/>
  <c r="L131" i="77"/>
  <c r="C132" i="77"/>
  <c r="H129" i="77"/>
  <c r="K128" i="77"/>
  <c r="N128" i="77" s="1"/>
  <c r="G172" i="95"/>
  <c r="K171" i="95"/>
  <c r="C81" i="113"/>
  <c r="H81" i="113" s="1"/>
  <c r="B81" i="113" s="1"/>
  <c r="J79" i="112"/>
  <c r="K79" i="112" s="1"/>
  <c r="I80" i="112" s="1"/>
  <c r="C82" i="113" s="1"/>
  <c r="H82" i="113" s="1"/>
  <c r="B82" i="113" s="1"/>
  <c r="F89" i="113"/>
  <c r="G89" i="113" s="1"/>
  <c r="P129" i="55"/>
  <c r="K131" i="55"/>
  <c r="R130" i="55"/>
  <c r="C145" i="55"/>
  <c r="D148" i="93"/>
  <c r="E147" i="93"/>
  <c r="E147" i="111"/>
  <c r="L146" i="111"/>
  <c r="E132" i="95"/>
  <c r="O132" i="95" s="1"/>
  <c r="F131" i="95"/>
  <c r="J131" i="95" s="1"/>
  <c r="N131" i="95" s="1"/>
  <c r="H147" i="95"/>
  <c r="I146" i="95"/>
  <c r="M79" i="113"/>
  <c r="P79" i="113"/>
  <c r="L80" i="113"/>
  <c r="O80" i="113" s="1"/>
  <c r="H179" i="112"/>
  <c r="D181" i="113" s="1"/>
  <c r="L140" i="95" l="1"/>
  <c r="M139" i="95"/>
  <c r="Q127" i="77"/>
  <c r="R127" i="110"/>
  <c r="F128" i="110"/>
  <c r="H128" i="110"/>
  <c r="I128" i="110" s="1"/>
  <c r="J128" i="110" s="1"/>
  <c r="L127" i="110"/>
  <c r="G127" i="110"/>
  <c r="K127" i="110" s="1"/>
  <c r="P127" i="110" s="1"/>
  <c r="P127" i="77"/>
  <c r="N130" i="55"/>
  <c r="P130" i="55" s="1"/>
  <c r="V163" i="114"/>
  <c r="W163" i="114" s="1"/>
  <c r="X163" i="114"/>
  <c r="G132" i="55"/>
  <c r="I131" i="55"/>
  <c r="Q131" i="55" s="1"/>
  <c r="N184" i="110"/>
  <c r="O183" i="110"/>
  <c r="E196" i="110"/>
  <c r="M196" i="110" s="1"/>
  <c r="J165" i="114"/>
  <c r="Y165" i="114" s="1"/>
  <c r="K165" i="114"/>
  <c r="I166" i="114"/>
  <c r="L164" i="114"/>
  <c r="M164" i="114" s="1"/>
  <c r="U164" i="114" s="1"/>
  <c r="P164" i="114"/>
  <c r="T128" i="77"/>
  <c r="S128" i="77"/>
  <c r="I81" i="113"/>
  <c r="J81" i="113" s="1"/>
  <c r="I82" i="113" s="1"/>
  <c r="J82" i="113" s="1"/>
  <c r="F168" i="114"/>
  <c r="G167" i="114"/>
  <c r="E195" i="88"/>
  <c r="M194" i="88"/>
  <c r="N158" i="88"/>
  <c r="O157" i="88"/>
  <c r="F130" i="88"/>
  <c r="H130" i="88"/>
  <c r="S130" i="88" s="1"/>
  <c r="G129" i="88"/>
  <c r="I129" i="88"/>
  <c r="R129" i="88" s="1"/>
  <c r="J128" i="88"/>
  <c r="K128" i="88" s="1"/>
  <c r="P128" i="88" s="1"/>
  <c r="C133" i="77"/>
  <c r="L133" i="77" s="1"/>
  <c r="L132" i="77"/>
  <c r="P128" i="77"/>
  <c r="H130" i="77"/>
  <c r="K129" i="77"/>
  <c r="N129" i="77" s="1"/>
  <c r="K172" i="95"/>
  <c r="G173" i="95"/>
  <c r="M80" i="113"/>
  <c r="J80" i="112"/>
  <c r="K80" i="112" s="1"/>
  <c r="I81" i="112" s="1"/>
  <c r="C83" i="113" s="1"/>
  <c r="H83" i="113" s="1"/>
  <c r="B83" i="113" s="1"/>
  <c r="E133" i="95"/>
  <c r="O133" i="95" s="1"/>
  <c r="F132" i="95"/>
  <c r="J132" i="95" s="1"/>
  <c r="N132" i="95" s="1"/>
  <c r="L147" i="111"/>
  <c r="E148" i="111"/>
  <c r="C146" i="55"/>
  <c r="F90" i="113"/>
  <c r="G90" i="113" s="1"/>
  <c r="P80" i="113"/>
  <c r="Q79" i="113"/>
  <c r="H148" i="95"/>
  <c r="I147" i="95"/>
  <c r="H180" i="112"/>
  <c r="D182" i="113" s="1"/>
  <c r="D149" i="93"/>
  <c r="E148" i="93"/>
  <c r="K132" i="55"/>
  <c r="R131" i="55"/>
  <c r="N131" i="55"/>
  <c r="Q133" i="77" l="1"/>
  <c r="R127" i="77"/>
  <c r="M140" i="95"/>
  <c r="L141" i="95"/>
  <c r="L128" i="110"/>
  <c r="R128" i="110"/>
  <c r="F129" i="110"/>
  <c r="G128" i="110"/>
  <c r="K128" i="110" s="1"/>
  <c r="P128" i="110" s="1"/>
  <c r="H129" i="110"/>
  <c r="I129" i="110" s="1"/>
  <c r="J129" i="110" s="1"/>
  <c r="X164" i="114"/>
  <c r="V164" i="114"/>
  <c r="W164" i="114" s="1"/>
  <c r="G133" i="55"/>
  <c r="I132" i="55"/>
  <c r="Q132" i="55" s="1"/>
  <c r="E197" i="110"/>
  <c r="M197" i="110" s="1"/>
  <c r="N185" i="110"/>
  <c r="O184" i="110"/>
  <c r="I167" i="114"/>
  <c r="J166" i="114"/>
  <c r="K166" i="114"/>
  <c r="L165" i="114"/>
  <c r="M165" i="114" s="1"/>
  <c r="U165" i="114" s="1"/>
  <c r="P165" i="114"/>
  <c r="Q128" i="77"/>
  <c r="T129" i="77"/>
  <c r="S129" i="77"/>
  <c r="L81" i="113"/>
  <c r="O81" i="113" s="1"/>
  <c r="J81" i="112"/>
  <c r="K81" i="112" s="1"/>
  <c r="I82" i="112" s="1"/>
  <c r="C84" i="113" s="1"/>
  <c r="H84" i="113" s="1"/>
  <c r="B84" i="113" s="1"/>
  <c r="F169" i="114"/>
  <c r="G168" i="114"/>
  <c r="E196" i="88"/>
  <c r="M195" i="88"/>
  <c r="N159" i="88"/>
  <c r="O158" i="88"/>
  <c r="F131" i="88"/>
  <c r="H131" i="88"/>
  <c r="S131" i="88" s="1"/>
  <c r="G130" i="88"/>
  <c r="I130" i="88"/>
  <c r="J129" i="88"/>
  <c r="K129" i="88" s="1"/>
  <c r="P129" i="88" s="1"/>
  <c r="L129" i="88"/>
  <c r="C134" i="77"/>
  <c r="L134" i="77" s="1"/>
  <c r="K130" i="77"/>
  <c r="N130" i="77" s="1"/>
  <c r="H131" i="77"/>
  <c r="G174" i="95"/>
  <c r="K173" i="95"/>
  <c r="F91" i="113"/>
  <c r="I83" i="113"/>
  <c r="K133" i="55"/>
  <c r="R132" i="55"/>
  <c r="N132" i="55"/>
  <c r="L148" i="111"/>
  <c r="E149" i="111"/>
  <c r="P131" i="55"/>
  <c r="H149" i="95"/>
  <c r="I148" i="95"/>
  <c r="C147" i="55"/>
  <c r="H181" i="112"/>
  <c r="D183" i="113" s="1"/>
  <c r="E134" i="95"/>
  <c r="O134" i="95" s="1"/>
  <c r="F133" i="95"/>
  <c r="J133" i="95" s="1"/>
  <c r="D150" i="93"/>
  <c r="E149" i="93"/>
  <c r="Q80" i="113"/>
  <c r="L82" i="113"/>
  <c r="D22" i="162" l="1"/>
  <c r="N133" i="95"/>
  <c r="D17" i="159" s="1"/>
  <c r="Q134" i="77"/>
  <c r="R128" i="77"/>
  <c r="L142" i="95"/>
  <c r="M141" i="95"/>
  <c r="Q129" i="77"/>
  <c r="H12" i="160" s="1"/>
  <c r="P129" i="77"/>
  <c r="R129" i="110"/>
  <c r="G129" i="110"/>
  <c r="K129" i="110" s="1"/>
  <c r="P129" i="110" s="1"/>
  <c r="H130" i="110"/>
  <c r="I130" i="110" s="1"/>
  <c r="J130" i="110" s="1"/>
  <c r="L129" i="110"/>
  <c r="F130" i="110"/>
  <c r="V165" i="114"/>
  <c r="W165" i="114" s="1"/>
  <c r="G134" i="55"/>
  <c r="I133" i="55"/>
  <c r="Q133" i="55" s="1"/>
  <c r="N186" i="110"/>
  <c r="O185" i="110"/>
  <c r="E198" i="110"/>
  <c r="M198" i="110" s="1"/>
  <c r="X165" i="114"/>
  <c r="P166" i="114"/>
  <c r="L166" i="114"/>
  <c r="M166" i="114" s="1"/>
  <c r="U166" i="114" s="1"/>
  <c r="I168" i="114"/>
  <c r="J167" i="114"/>
  <c r="K167" i="114"/>
  <c r="P81" i="113"/>
  <c r="Q81" i="113" s="1"/>
  <c r="T130" i="77"/>
  <c r="S130" i="77"/>
  <c r="M81" i="113"/>
  <c r="M82" i="113" s="1"/>
  <c r="G169" i="114"/>
  <c r="F170" i="114"/>
  <c r="E197" i="88"/>
  <c r="M196" i="88"/>
  <c r="N160" i="88"/>
  <c r="O159" i="88"/>
  <c r="J130" i="88"/>
  <c r="K130" i="88" s="1"/>
  <c r="P130" i="88" s="1"/>
  <c r="I131" i="88"/>
  <c r="L131" i="88" s="1"/>
  <c r="G131" i="88"/>
  <c r="F132" i="88"/>
  <c r="H132" i="88"/>
  <c r="S132" i="88" s="1"/>
  <c r="R130" i="88"/>
  <c r="L130" i="88"/>
  <c r="C135" i="77"/>
  <c r="K131" i="77"/>
  <c r="N131" i="77" s="1"/>
  <c r="H132" i="77"/>
  <c r="G175" i="95"/>
  <c r="K174" i="95"/>
  <c r="J82" i="112"/>
  <c r="K82" i="112" s="1"/>
  <c r="I83" i="112" s="1"/>
  <c r="C85" i="113" s="1"/>
  <c r="H85" i="113" s="1"/>
  <c r="B85" i="113" s="1"/>
  <c r="D151" i="93"/>
  <c r="E150" i="93"/>
  <c r="H150" i="95"/>
  <c r="I149" i="95"/>
  <c r="E150" i="111"/>
  <c r="L149" i="111"/>
  <c r="P132" i="55"/>
  <c r="L83" i="113"/>
  <c r="O82" i="113"/>
  <c r="E135" i="95"/>
  <c r="O135" i="95" s="1"/>
  <c r="F134" i="95"/>
  <c r="J134" i="95" s="1"/>
  <c r="N134" i="95" s="1"/>
  <c r="C148" i="55"/>
  <c r="H182" i="112"/>
  <c r="D184" i="113" s="1"/>
  <c r="K134" i="55"/>
  <c r="R133" i="55"/>
  <c r="J83" i="113"/>
  <c r="G91" i="113"/>
  <c r="R129" i="77" l="1"/>
  <c r="I12" i="160" s="1"/>
  <c r="M142" i="95"/>
  <c r="L143" i="95"/>
  <c r="D26" i="162"/>
  <c r="R130" i="110"/>
  <c r="L130" i="110"/>
  <c r="G130" i="110"/>
  <c r="K130" i="110" s="1"/>
  <c r="P130" i="110" s="1"/>
  <c r="F131" i="110"/>
  <c r="H131" i="110"/>
  <c r="I131" i="110" s="1"/>
  <c r="J131" i="110" s="1"/>
  <c r="N133" i="55"/>
  <c r="X166" i="114"/>
  <c r="V166" i="114"/>
  <c r="W166" i="114" s="1"/>
  <c r="G135" i="55"/>
  <c r="I134" i="55"/>
  <c r="Q134" i="55" s="1"/>
  <c r="P130" i="77"/>
  <c r="Q130" i="77"/>
  <c r="R130" i="77" s="1"/>
  <c r="E199" i="110"/>
  <c r="M199" i="110" s="1"/>
  <c r="N187" i="110"/>
  <c r="O186" i="110"/>
  <c r="I169" i="114"/>
  <c r="J168" i="114"/>
  <c r="K168" i="114"/>
  <c r="L167" i="114"/>
  <c r="M167" i="114" s="1"/>
  <c r="U167" i="114" s="1"/>
  <c r="P167" i="114"/>
  <c r="T131" i="77"/>
  <c r="S131" i="77"/>
  <c r="R131" i="88"/>
  <c r="F171" i="114"/>
  <c r="G170" i="114"/>
  <c r="E198" i="88"/>
  <c r="M197" i="88"/>
  <c r="N161" i="88"/>
  <c r="O160" i="88"/>
  <c r="H133" i="88"/>
  <c r="S133" i="88" s="1"/>
  <c r="F133" i="88"/>
  <c r="G132" i="88"/>
  <c r="J131" i="88"/>
  <c r="K131" i="88" s="1"/>
  <c r="P131" i="88" s="1"/>
  <c r="I132" i="88"/>
  <c r="L132" i="88" s="1"/>
  <c r="L135" i="77"/>
  <c r="Q135" i="77" s="1"/>
  <c r="C136" i="77"/>
  <c r="K132" i="77"/>
  <c r="N132" i="77" s="1"/>
  <c r="H133" i="77"/>
  <c r="K175" i="95"/>
  <c r="G176" i="95"/>
  <c r="M83" i="113"/>
  <c r="P133" i="55"/>
  <c r="C149" i="55"/>
  <c r="E136" i="95"/>
  <c r="O136" i="95" s="1"/>
  <c r="F135" i="95"/>
  <c r="J135" i="95" s="1"/>
  <c r="N135" i="95" s="1"/>
  <c r="L150" i="111"/>
  <c r="E151" i="111"/>
  <c r="D152" i="93"/>
  <c r="E151" i="93"/>
  <c r="F92" i="113"/>
  <c r="G92" i="113" s="1"/>
  <c r="I84" i="113"/>
  <c r="J84" i="113" s="1"/>
  <c r="K135" i="55"/>
  <c r="R134" i="55"/>
  <c r="N134" i="55"/>
  <c r="P82" i="113"/>
  <c r="O83" i="113"/>
  <c r="H183" i="112"/>
  <c r="D185" i="113" s="1"/>
  <c r="J83" i="112"/>
  <c r="H151" i="95"/>
  <c r="I150" i="95"/>
  <c r="P131" i="77" l="1"/>
  <c r="M143" i="95"/>
  <c r="L144" i="95"/>
  <c r="R131" i="110"/>
  <c r="G131" i="110"/>
  <c r="K131" i="110" s="1"/>
  <c r="P131" i="110" s="1"/>
  <c r="F132" i="110"/>
  <c r="H132" i="110"/>
  <c r="I132" i="110" s="1"/>
  <c r="J132" i="110" s="1"/>
  <c r="L131" i="110"/>
  <c r="V167" i="114"/>
  <c r="W167" i="114" s="1"/>
  <c r="X167" i="114"/>
  <c r="G136" i="55"/>
  <c r="I135" i="55"/>
  <c r="Q135" i="55" s="1"/>
  <c r="Q131" i="77"/>
  <c r="R131" i="77" s="1"/>
  <c r="N188" i="110"/>
  <c r="O187" i="110"/>
  <c r="E200" i="110"/>
  <c r="M200" i="110" s="1"/>
  <c r="P168" i="114"/>
  <c r="L168" i="114"/>
  <c r="M168" i="114" s="1"/>
  <c r="U168" i="114" s="1"/>
  <c r="K169" i="114"/>
  <c r="J169" i="114"/>
  <c r="I170" i="114"/>
  <c r="T132" i="77"/>
  <c r="S132" i="77"/>
  <c r="F172" i="114"/>
  <c r="G171" i="114"/>
  <c r="M198" i="88"/>
  <c r="E199" i="88"/>
  <c r="N162" i="88"/>
  <c r="O161" i="88"/>
  <c r="R132" i="88"/>
  <c r="F134" i="88"/>
  <c r="G133" i="88"/>
  <c r="H134" i="88"/>
  <c r="S134" i="88" s="1"/>
  <c r="I133" i="88"/>
  <c r="L133" i="88" s="1"/>
  <c r="J132" i="88"/>
  <c r="K132" i="88" s="1"/>
  <c r="P132" i="88" s="1"/>
  <c r="C137" i="77"/>
  <c r="L136" i="77"/>
  <c r="Q136" i="77" s="1"/>
  <c r="K133" i="77"/>
  <c r="N133" i="77" s="1"/>
  <c r="H134" i="77"/>
  <c r="K176" i="95"/>
  <c r="G177" i="95"/>
  <c r="F93" i="113"/>
  <c r="G93" i="113" s="1"/>
  <c r="H152" i="95"/>
  <c r="I151" i="95"/>
  <c r="Q82" i="113"/>
  <c r="P83" i="113"/>
  <c r="K136" i="55"/>
  <c r="R135" i="55"/>
  <c r="L84" i="113"/>
  <c r="O84" i="113" s="1"/>
  <c r="H184" i="112"/>
  <c r="D186" i="113" s="1"/>
  <c r="K83" i="112"/>
  <c r="I84" i="112" s="1"/>
  <c r="C86" i="113" s="1"/>
  <c r="H86" i="113" s="1"/>
  <c r="B86" i="113" s="1"/>
  <c r="P134" i="55"/>
  <c r="I85" i="113"/>
  <c r="J85" i="113" s="1"/>
  <c r="D153" i="93"/>
  <c r="E152" i="93"/>
  <c r="E152" i="111"/>
  <c r="L151" i="111"/>
  <c r="E137" i="95"/>
  <c r="O137" i="95" s="1"/>
  <c r="F136" i="95"/>
  <c r="J136" i="95" s="1"/>
  <c r="N136" i="95" s="1"/>
  <c r="C150" i="55"/>
  <c r="N135" i="55" l="1"/>
  <c r="L145" i="95"/>
  <c r="M144" i="95"/>
  <c r="G132" i="110"/>
  <c r="K132" i="110" s="1"/>
  <c r="P132" i="110" s="1"/>
  <c r="H133" i="110"/>
  <c r="I133" i="110" s="1"/>
  <c r="J133" i="110" s="1"/>
  <c r="R132" i="110"/>
  <c r="F133" i="110"/>
  <c r="L132" i="110"/>
  <c r="Q132" i="77"/>
  <c r="X168" i="114"/>
  <c r="V168" i="114"/>
  <c r="W168" i="114" s="1"/>
  <c r="P132" i="77"/>
  <c r="G137" i="55"/>
  <c r="I136" i="55"/>
  <c r="Q136" i="55" s="1"/>
  <c r="E201" i="110"/>
  <c r="M201" i="110" s="1"/>
  <c r="N189" i="110"/>
  <c r="O188" i="110"/>
  <c r="P169" i="114"/>
  <c r="L169" i="114"/>
  <c r="M169" i="114" s="1"/>
  <c r="U169" i="114" s="1"/>
  <c r="I171" i="114"/>
  <c r="J170" i="114"/>
  <c r="K170" i="114"/>
  <c r="T133" i="77"/>
  <c r="S133" i="77"/>
  <c r="F173" i="114"/>
  <c r="G172" i="114"/>
  <c r="M199" i="88"/>
  <c r="E200" i="88"/>
  <c r="N163" i="88"/>
  <c r="O162" i="88"/>
  <c r="I134" i="88"/>
  <c r="R134" i="88" s="1"/>
  <c r="J133" i="88"/>
  <c r="K133" i="88" s="1"/>
  <c r="P133" i="88" s="1"/>
  <c r="R133" i="88"/>
  <c r="G134" i="88"/>
  <c r="F135" i="88"/>
  <c r="H135" i="88"/>
  <c r="S135" i="88" s="1"/>
  <c r="L137" i="77"/>
  <c r="C138" i="77"/>
  <c r="H135" i="77"/>
  <c r="K134" i="77"/>
  <c r="N134" i="77" s="1"/>
  <c r="G178" i="95"/>
  <c r="K177" i="95"/>
  <c r="J84" i="112"/>
  <c r="K84" i="112" s="1"/>
  <c r="I85" i="112" s="1"/>
  <c r="C87" i="113" s="1"/>
  <c r="H87" i="113" s="1"/>
  <c r="B87" i="113" s="1"/>
  <c r="F94" i="113"/>
  <c r="C151" i="55"/>
  <c r="E138" i="95"/>
  <c r="O138" i="95" s="1"/>
  <c r="F137" i="95"/>
  <c r="J137" i="95" s="1"/>
  <c r="N137" i="95" s="1"/>
  <c r="L152" i="111"/>
  <c r="E153" i="111"/>
  <c r="L85" i="113"/>
  <c r="M84" i="113"/>
  <c r="P135" i="55"/>
  <c r="P84" i="113"/>
  <c r="Q83" i="113"/>
  <c r="H185" i="112"/>
  <c r="D187" i="113" s="1"/>
  <c r="D154" i="93"/>
  <c r="E153" i="93"/>
  <c r="I86" i="113"/>
  <c r="J86" i="113" s="1"/>
  <c r="K137" i="55"/>
  <c r="R136" i="55"/>
  <c r="N136" i="55"/>
  <c r="H153" i="95"/>
  <c r="I152" i="95"/>
  <c r="R132" i="77" l="1"/>
  <c r="R135" i="77"/>
  <c r="R133" i="77"/>
  <c r="L146" i="95"/>
  <c r="M145" i="95"/>
  <c r="F134" i="110"/>
  <c r="R133" i="110"/>
  <c r="L133" i="110"/>
  <c r="H134" i="110"/>
  <c r="I134" i="110" s="1"/>
  <c r="J134" i="110" s="1"/>
  <c r="G133" i="110"/>
  <c r="K133" i="110" s="1"/>
  <c r="P133" i="110" s="1"/>
  <c r="X169" i="114"/>
  <c r="V169" i="114"/>
  <c r="W169" i="114" s="1"/>
  <c r="G138" i="55"/>
  <c r="I137" i="55"/>
  <c r="Q137" i="55" s="1"/>
  <c r="N190" i="110"/>
  <c r="O189" i="110"/>
  <c r="E202" i="110"/>
  <c r="M202" i="110" s="1"/>
  <c r="K171" i="114"/>
  <c r="I172" i="114"/>
  <c r="J171" i="114"/>
  <c r="P170" i="114"/>
  <c r="L170" i="114"/>
  <c r="M170" i="114" s="1"/>
  <c r="U170" i="114" s="1"/>
  <c r="T134" i="77"/>
  <c r="S134" i="77"/>
  <c r="G173" i="114"/>
  <c r="F174" i="114"/>
  <c r="M85" i="113"/>
  <c r="M200" i="88"/>
  <c r="E201" i="88"/>
  <c r="N164" i="88"/>
  <c r="O163" i="88"/>
  <c r="F136" i="88"/>
  <c r="G135" i="88"/>
  <c r="H136" i="88"/>
  <c r="S136" i="88" s="1"/>
  <c r="L134" i="88"/>
  <c r="J134" i="88"/>
  <c r="K134" i="88" s="1"/>
  <c r="P134" i="88" s="1"/>
  <c r="I135" i="88"/>
  <c r="L138" i="77"/>
  <c r="C139" i="77"/>
  <c r="K135" i="77"/>
  <c r="N135" i="77" s="1"/>
  <c r="D10" i="162" s="1"/>
  <c r="H136" i="77"/>
  <c r="K178" i="95"/>
  <c r="G179" i="95"/>
  <c r="I87" i="113"/>
  <c r="H154" i="95"/>
  <c r="I153" i="95"/>
  <c r="P136" i="55"/>
  <c r="J85" i="112"/>
  <c r="Q84" i="113"/>
  <c r="H186" i="112"/>
  <c r="D188" i="113" s="1"/>
  <c r="C152" i="55"/>
  <c r="K138" i="55"/>
  <c r="R137" i="55"/>
  <c r="L86" i="113"/>
  <c r="D155" i="93"/>
  <c r="E154" i="93"/>
  <c r="O85" i="113"/>
  <c r="L153" i="111"/>
  <c r="E154" i="111"/>
  <c r="E139" i="95"/>
  <c r="O139" i="95" s="1"/>
  <c r="F138" i="95"/>
  <c r="J138" i="95" s="1"/>
  <c r="N138" i="95" s="1"/>
  <c r="G94" i="113"/>
  <c r="N137" i="55" l="1"/>
  <c r="L147" i="95"/>
  <c r="M146" i="95"/>
  <c r="H135" i="110"/>
  <c r="I135" i="110" s="1"/>
  <c r="J135" i="110" s="1"/>
  <c r="R134" i="110"/>
  <c r="G134" i="110"/>
  <c r="K134" i="110" s="1"/>
  <c r="P134" i="110" s="1"/>
  <c r="L134" i="110"/>
  <c r="F135" i="110"/>
  <c r="X170" i="114"/>
  <c r="V170" i="114"/>
  <c r="W170" i="114" s="1"/>
  <c r="G139" i="55"/>
  <c r="I138" i="55"/>
  <c r="Q138" i="55" s="1"/>
  <c r="E203" i="110"/>
  <c r="M203" i="110" s="1"/>
  <c r="N191" i="110"/>
  <c r="O190" i="110"/>
  <c r="I173" i="114"/>
  <c r="J172" i="114"/>
  <c r="K172" i="114"/>
  <c r="P171" i="114"/>
  <c r="L171" i="114"/>
  <c r="M171" i="114" s="1"/>
  <c r="U171" i="114" s="1"/>
  <c r="F175" i="114"/>
  <c r="G174" i="114"/>
  <c r="M201" i="88"/>
  <c r="E202" i="88"/>
  <c r="N165" i="88"/>
  <c r="O164" i="88"/>
  <c r="H137" i="88"/>
  <c r="S137" i="88" s="1"/>
  <c r="G136" i="88"/>
  <c r="F137" i="88"/>
  <c r="I136" i="88"/>
  <c r="R136" i="88" s="1"/>
  <c r="J135" i="88"/>
  <c r="K135" i="88" s="1"/>
  <c r="P135" i="88" s="1"/>
  <c r="L135" i="88"/>
  <c r="R135" i="88"/>
  <c r="C140" i="77"/>
  <c r="L139" i="77"/>
  <c r="H137" i="77"/>
  <c r="K136" i="77"/>
  <c r="N136" i="77" s="1"/>
  <c r="G180" i="95"/>
  <c r="K179" i="95"/>
  <c r="H187" i="112"/>
  <c r="D189" i="113" s="1"/>
  <c r="D156" i="93"/>
  <c r="E155" i="93"/>
  <c r="K139" i="55"/>
  <c r="R138" i="55"/>
  <c r="P85" i="113"/>
  <c r="L87" i="113"/>
  <c r="O87" i="113" s="1"/>
  <c r="F95" i="113"/>
  <c r="G95" i="113" s="1"/>
  <c r="E140" i="95"/>
  <c r="O140" i="95" s="1"/>
  <c r="F139" i="95"/>
  <c r="J139" i="95" s="1"/>
  <c r="N139" i="95" s="1"/>
  <c r="L154" i="111"/>
  <c r="E155" i="111"/>
  <c r="O86" i="113"/>
  <c r="P137" i="55"/>
  <c r="C153" i="55"/>
  <c r="M86" i="113"/>
  <c r="K85" i="112"/>
  <c r="I86" i="112" s="1"/>
  <c r="C88" i="113" s="1"/>
  <c r="H88" i="113" s="1"/>
  <c r="B88" i="113" s="1"/>
  <c r="H155" i="95"/>
  <c r="I154" i="95"/>
  <c r="J87" i="113"/>
  <c r="R134" i="77" l="1"/>
  <c r="D15" i="159"/>
  <c r="N138" i="55"/>
  <c r="M147" i="95"/>
  <c r="L148" i="95"/>
  <c r="D12" i="162"/>
  <c r="F136" i="110"/>
  <c r="H136" i="110"/>
  <c r="I136" i="110" s="1"/>
  <c r="J136" i="110" s="1"/>
  <c r="R135" i="110"/>
  <c r="G135" i="110"/>
  <c r="K135" i="110" s="1"/>
  <c r="P135" i="110" s="1"/>
  <c r="L135" i="110"/>
  <c r="V171" i="114"/>
  <c r="W171" i="114" s="1"/>
  <c r="X171" i="114"/>
  <c r="G140" i="55"/>
  <c r="I139" i="55"/>
  <c r="Q139" i="55" s="1"/>
  <c r="N192" i="110"/>
  <c r="O191" i="110"/>
  <c r="E204" i="110"/>
  <c r="M204" i="110" s="1"/>
  <c r="P172" i="114"/>
  <c r="L172" i="114"/>
  <c r="M172" i="114" s="1"/>
  <c r="U172" i="114" s="1"/>
  <c r="J173" i="114"/>
  <c r="K173" i="114"/>
  <c r="I174" i="114"/>
  <c r="T136" i="77"/>
  <c r="S136" i="77"/>
  <c r="F176" i="114"/>
  <c r="G175" i="114"/>
  <c r="E203" i="88"/>
  <c r="M202" i="88"/>
  <c r="N166" i="88"/>
  <c r="O165" i="88"/>
  <c r="L136" i="88"/>
  <c r="J136" i="88"/>
  <c r="K136" i="88" s="1"/>
  <c r="P136" i="88" s="1"/>
  <c r="I137" i="88"/>
  <c r="F138" i="88"/>
  <c r="H138" i="88"/>
  <c r="S138" i="88" s="1"/>
  <c r="G137" i="88"/>
  <c r="L140" i="77"/>
  <c r="C141" i="77"/>
  <c r="H138" i="77"/>
  <c r="K137" i="77"/>
  <c r="N137" i="77" s="1"/>
  <c r="G181" i="95"/>
  <c r="K180" i="95"/>
  <c r="M87" i="113"/>
  <c r="F96" i="113"/>
  <c r="I88" i="113"/>
  <c r="J88" i="113" s="1"/>
  <c r="H156" i="95"/>
  <c r="I155" i="95"/>
  <c r="J86" i="112"/>
  <c r="C154" i="55"/>
  <c r="L155" i="111"/>
  <c r="E156" i="111"/>
  <c r="Q85" i="113"/>
  <c r="P86" i="113"/>
  <c r="P138" i="55"/>
  <c r="H188" i="112"/>
  <c r="D190" i="113" s="1"/>
  <c r="E141" i="95"/>
  <c r="O141" i="95" s="1"/>
  <c r="F140" i="95"/>
  <c r="J140" i="95" s="1"/>
  <c r="N140" i="95" s="1"/>
  <c r="K140" i="55"/>
  <c r="R139" i="55"/>
  <c r="N139" i="55"/>
  <c r="D157" i="93"/>
  <c r="E156" i="93"/>
  <c r="L149" i="95" l="1"/>
  <c r="M148" i="95"/>
  <c r="R136" i="77"/>
  <c r="L136" i="110"/>
  <c r="F137" i="110"/>
  <c r="R136" i="110"/>
  <c r="G136" i="110"/>
  <c r="K136" i="110" s="1"/>
  <c r="P136" i="110" s="1"/>
  <c r="H137" i="110"/>
  <c r="I137" i="110" s="1"/>
  <c r="X172" i="114"/>
  <c r="V172" i="114"/>
  <c r="W172" i="114" s="1"/>
  <c r="G141" i="55"/>
  <c r="I140" i="55"/>
  <c r="Q140" i="55" s="1"/>
  <c r="E205" i="110"/>
  <c r="M205" i="110" s="1"/>
  <c r="N193" i="110"/>
  <c r="O192" i="110"/>
  <c r="P173" i="114"/>
  <c r="L173" i="114"/>
  <c r="M173" i="114" s="1"/>
  <c r="U173" i="114" s="1"/>
  <c r="I175" i="114"/>
  <c r="K174" i="114"/>
  <c r="J174" i="114"/>
  <c r="T137" i="77"/>
  <c r="S137" i="77"/>
  <c r="G176" i="114"/>
  <c r="F177" i="114"/>
  <c r="E204" i="88"/>
  <c r="M203" i="88"/>
  <c r="N167" i="88"/>
  <c r="O166" i="88"/>
  <c r="R137" i="88"/>
  <c r="I138" i="88"/>
  <c r="J137" i="88"/>
  <c r="K137" i="88" s="1"/>
  <c r="P137" i="88" s="1"/>
  <c r="L137" i="88"/>
  <c r="F139" i="88"/>
  <c r="H139" i="88"/>
  <c r="S139" i="88" s="1"/>
  <c r="G138" i="88"/>
  <c r="L138" i="88"/>
  <c r="L141" i="77"/>
  <c r="C142" i="77"/>
  <c r="K138" i="77"/>
  <c r="N138" i="77" s="1"/>
  <c r="H139" i="77"/>
  <c r="G182" i="95"/>
  <c r="K181" i="95"/>
  <c r="D158" i="93"/>
  <c r="E157" i="93"/>
  <c r="K141" i="55"/>
  <c r="R140" i="55"/>
  <c r="N140" i="55"/>
  <c r="Q86" i="113"/>
  <c r="P87" i="113"/>
  <c r="H189" i="112"/>
  <c r="D191" i="113" s="1"/>
  <c r="C155" i="55"/>
  <c r="K86" i="112"/>
  <c r="I87" i="112" s="1"/>
  <c r="C89" i="113" s="1"/>
  <c r="H89" i="113" s="1"/>
  <c r="B89" i="113" s="1"/>
  <c r="P139" i="55"/>
  <c r="E142" i="95"/>
  <c r="O142" i="95" s="1"/>
  <c r="F141" i="95"/>
  <c r="J141" i="95" s="1"/>
  <c r="N141" i="95" s="1"/>
  <c r="E157" i="111"/>
  <c r="L156" i="111"/>
  <c r="H157" i="95"/>
  <c r="I156" i="95"/>
  <c r="L88" i="113"/>
  <c r="G96" i="113"/>
  <c r="Q137" i="77" l="1"/>
  <c r="L150" i="95"/>
  <c r="M149" i="95"/>
  <c r="R137" i="110"/>
  <c r="H138" i="110"/>
  <c r="L137" i="110"/>
  <c r="G137" i="110"/>
  <c r="K137" i="110" s="1"/>
  <c r="F138" i="110"/>
  <c r="I138" i="110"/>
  <c r="J138" i="110" s="1"/>
  <c r="J137" i="110"/>
  <c r="V173" i="114"/>
  <c r="W173" i="114" s="1"/>
  <c r="X173" i="114"/>
  <c r="G142" i="55"/>
  <c r="I141" i="55"/>
  <c r="Q141" i="55" s="1"/>
  <c r="N194" i="110"/>
  <c r="O193" i="110"/>
  <c r="E206" i="110"/>
  <c r="M206" i="110" s="1"/>
  <c r="J175" i="114"/>
  <c r="I176" i="114"/>
  <c r="K175" i="114"/>
  <c r="L174" i="114"/>
  <c r="M174" i="114" s="1"/>
  <c r="U174" i="114" s="1"/>
  <c r="P174" i="114"/>
  <c r="G177" i="114"/>
  <c r="F178" i="114"/>
  <c r="E205" i="88"/>
  <c r="M204" i="88"/>
  <c r="N168" i="88"/>
  <c r="O167" i="88"/>
  <c r="F140" i="88"/>
  <c r="H140" i="88"/>
  <c r="G139" i="88"/>
  <c r="R138" i="88"/>
  <c r="I139" i="88"/>
  <c r="L139" i="88" s="1"/>
  <c r="J138" i="88"/>
  <c r="K138" i="88" s="1"/>
  <c r="P138" i="88" s="1"/>
  <c r="C143" i="77"/>
  <c r="L142" i="77"/>
  <c r="Q138" i="77"/>
  <c r="H140" i="77"/>
  <c r="K139" i="77"/>
  <c r="N139" i="77" s="1"/>
  <c r="O139" i="77" s="1"/>
  <c r="G183" i="95"/>
  <c r="K182" i="95"/>
  <c r="M88" i="113"/>
  <c r="H158" i="95"/>
  <c r="I157" i="95"/>
  <c r="F97" i="113"/>
  <c r="G97" i="113" s="1"/>
  <c r="O88" i="113"/>
  <c r="P88" i="113" s="1"/>
  <c r="L157" i="111"/>
  <c r="E158" i="111"/>
  <c r="E143" i="95"/>
  <c r="O143" i="95" s="1"/>
  <c r="F142" i="95"/>
  <c r="J142" i="95" s="1"/>
  <c r="N142" i="95" s="1"/>
  <c r="J87" i="112"/>
  <c r="C156" i="55"/>
  <c r="P140" i="55"/>
  <c r="D159" i="93"/>
  <c r="E158" i="93"/>
  <c r="H190" i="112"/>
  <c r="D192" i="113" s="1"/>
  <c r="Q87" i="113"/>
  <c r="K142" i="55"/>
  <c r="R141" i="55"/>
  <c r="N141" i="55"/>
  <c r="I89" i="113"/>
  <c r="J89" i="113" s="1"/>
  <c r="R137" i="77" l="1"/>
  <c r="R138" i="77"/>
  <c r="L151" i="95"/>
  <c r="M150" i="95"/>
  <c r="P137" i="110"/>
  <c r="G138" i="110"/>
  <c r="K138" i="110" s="1"/>
  <c r="P138" i="110" s="1"/>
  <c r="R138" i="110"/>
  <c r="L138" i="110"/>
  <c r="H139" i="110"/>
  <c r="I139" i="110" s="1"/>
  <c r="J139" i="110" s="1"/>
  <c r="F139" i="110"/>
  <c r="X174" i="114"/>
  <c r="V174" i="114"/>
  <c r="W174" i="114" s="1"/>
  <c r="I142" i="55"/>
  <c r="Q142" i="55" s="1"/>
  <c r="G143" i="55"/>
  <c r="E207" i="110"/>
  <c r="M207" i="110" s="1"/>
  <c r="N195" i="110"/>
  <c r="O194" i="110"/>
  <c r="L175" i="114"/>
  <c r="M175" i="114" s="1"/>
  <c r="U175" i="114" s="1"/>
  <c r="P175" i="114"/>
  <c r="I177" i="114"/>
  <c r="J176" i="114"/>
  <c r="K176" i="114"/>
  <c r="G178" i="114"/>
  <c r="F179" i="114"/>
  <c r="S140" i="88"/>
  <c r="E206" i="88"/>
  <c r="M205" i="88"/>
  <c r="N169" i="88"/>
  <c r="O168" i="88"/>
  <c r="H141" i="88"/>
  <c r="S141" i="88" s="1"/>
  <c r="G140" i="88"/>
  <c r="F141" i="88"/>
  <c r="J139" i="88"/>
  <c r="K139" i="88" s="1"/>
  <c r="P139" i="88" s="1"/>
  <c r="I140" i="88"/>
  <c r="R139" i="88"/>
  <c r="C144" i="77"/>
  <c r="L143" i="77"/>
  <c r="P139" i="77"/>
  <c r="Q139" i="77"/>
  <c r="R139" i="77" s="1"/>
  <c r="H141" i="77"/>
  <c r="K140" i="77"/>
  <c r="N140" i="77" s="1"/>
  <c r="O140" i="77" s="1"/>
  <c r="G184" i="95"/>
  <c r="K183" i="95"/>
  <c r="F98" i="113"/>
  <c r="K143" i="55"/>
  <c r="R142" i="55"/>
  <c r="K87" i="112"/>
  <c r="I88" i="112" s="1"/>
  <c r="C90" i="113" s="1"/>
  <c r="H90" i="113" s="1"/>
  <c r="B90" i="113" s="1"/>
  <c r="H191" i="112"/>
  <c r="D193" i="113" s="1"/>
  <c r="L89" i="113"/>
  <c r="O89" i="113" s="1"/>
  <c r="P141" i="55"/>
  <c r="Q88" i="113"/>
  <c r="D160" i="93"/>
  <c r="E159" i="93"/>
  <c r="C157" i="55"/>
  <c r="E144" i="95"/>
  <c r="O144" i="95" s="1"/>
  <c r="F143" i="95"/>
  <c r="J143" i="95" s="1"/>
  <c r="N143" i="95" s="1"/>
  <c r="L158" i="111"/>
  <c r="E159" i="111"/>
  <c r="H159" i="95"/>
  <c r="I158" i="95"/>
  <c r="N142" i="55" l="1"/>
  <c r="M151" i="95"/>
  <c r="L152" i="95"/>
  <c r="R139" i="110"/>
  <c r="G139" i="110"/>
  <c r="K139" i="110" s="1"/>
  <c r="P139" i="110" s="1"/>
  <c r="L139" i="110"/>
  <c r="F140" i="110"/>
  <c r="H140" i="110"/>
  <c r="I140" i="110" s="1"/>
  <c r="J140" i="110" s="1"/>
  <c r="V175" i="114"/>
  <c r="W175" i="114" s="1"/>
  <c r="X175" i="114"/>
  <c r="I143" i="55"/>
  <c r="Q143" i="55" s="1"/>
  <c r="G144" i="55"/>
  <c r="N196" i="110"/>
  <c r="O195" i="110"/>
  <c r="E208" i="110"/>
  <c r="M208" i="110" s="1"/>
  <c r="K177" i="114"/>
  <c r="I178" i="114"/>
  <c r="J177" i="114"/>
  <c r="P176" i="114"/>
  <c r="L176" i="114"/>
  <c r="M176" i="114" s="1"/>
  <c r="U176" i="114" s="1"/>
  <c r="G179" i="114"/>
  <c r="F180" i="114"/>
  <c r="E207" i="88"/>
  <c r="M206" i="88"/>
  <c r="N170" i="88"/>
  <c r="O169" i="88"/>
  <c r="J140" i="88"/>
  <c r="K140" i="88" s="1"/>
  <c r="P140" i="88" s="1"/>
  <c r="I141" i="88"/>
  <c r="R141" i="88" s="1"/>
  <c r="L140" i="88"/>
  <c r="H142" i="88"/>
  <c r="S142" i="88" s="1"/>
  <c r="F142" i="88"/>
  <c r="G141" i="88"/>
  <c r="R140" i="88"/>
  <c r="C145" i="77"/>
  <c r="L145" i="77" s="1"/>
  <c r="L144" i="77"/>
  <c r="Q140" i="77"/>
  <c r="R140" i="77" s="1"/>
  <c r="P140" i="77"/>
  <c r="H142" i="77"/>
  <c r="K141" i="77"/>
  <c r="N141" i="77" s="1"/>
  <c r="O141" i="77" s="1"/>
  <c r="K184" i="95"/>
  <c r="G185" i="95"/>
  <c r="E145" i="95"/>
  <c r="O145" i="95" s="1"/>
  <c r="F144" i="95"/>
  <c r="J144" i="95" s="1"/>
  <c r="N144" i="95" s="1"/>
  <c r="P142" i="55"/>
  <c r="I90" i="113"/>
  <c r="J90" i="113" s="1"/>
  <c r="H160" i="95"/>
  <c r="I159" i="95"/>
  <c r="L159" i="111"/>
  <c r="E160" i="111"/>
  <c r="H192" i="112"/>
  <c r="D194" i="113" s="1"/>
  <c r="C158" i="55"/>
  <c r="D161" i="93"/>
  <c r="E160" i="93"/>
  <c r="P89" i="113"/>
  <c r="M89" i="113"/>
  <c r="J88" i="112"/>
  <c r="K144" i="55"/>
  <c r="R143" i="55"/>
  <c r="G98" i="113"/>
  <c r="L153" i="95" l="1"/>
  <c r="M152" i="95"/>
  <c r="L140" i="110"/>
  <c r="R140" i="110"/>
  <c r="F141" i="110"/>
  <c r="H141" i="110"/>
  <c r="I141" i="110" s="1"/>
  <c r="J141" i="110" s="1"/>
  <c r="G140" i="110"/>
  <c r="K140" i="110" s="1"/>
  <c r="P140" i="110" s="1"/>
  <c r="N143" i="55"/>
  <c r="X176" i="114"/>
  <c r="V176" i="114"/>
  <c r="W176" i="114" s="1"/>
  <c r="G145" i="55"/>
  <c r="I144" i="55"/>
  <c r="Q144" i="55" s="1"/>
  <c r="L141" i="88"/>
  <c r="E209" i="110"/>
  <c r="M209" i="110" s="1"/>
  <c r="N197" i="110"/>
  <c r="O196" i="110"/>
  <c r="I179" i="114"/>
  <c r="K178" i="114"/>
  <c r="J178" i="114"/>
  <c r="L177" i="114"/>
  <c r="M177" i="114" s="1"/>
  <c r="U177" i="114" s="1"/>
  <c r="P177" i="114"/>
  <c r="F181" i="114"/>
  <c r="G180" i="114"/>
  <c r="E208" i="88"/>
  <c r="M207" i="88"/>
  <c r="N171" i="88"/>
  <c r="O170" i="88"/>
  <c r="H143" i="88"/>
  <c r="F143" i="88"/>
  <c r="G142" i="88"/>
  <c r="I142" i="88"/>
  <c r="J141" i="88"/>
  <c r="K141" i="88" s="1"/>
  <c r="P141" i="88" s="1"/>
  <c r="Q141" i="77"/>
  <c r="P141" i="77"/>
  <c r="H143" i="77"/>
  <c r="K142" i="77"/>
  <c r="N142" i="77" s="1"/>
  <c r="O142" i="77" s="1"/>
  <c r="K185" i="95"/>
  <c r="G186" i="95"/>
  <c r="K88" i="112"/>
  <c r="I89" i="112" s="1"/>
  <c r="C91" i="113" s="1"/>
  <c r="H91" i="113" s="1"/>
  <c r="B91" i="113" s="1"/>
  <c r="Q89" i="113"/>
  <c r="C159" i="55"/>
  <c r="F99" i="113"/>
  <c r="P143" i="55"/>
  <c r="D162" i="93"/>
  <c r="E161" i="93"/>
  <c r="H193" i="112"/>
  <c r="D195" i="113" s="1"/>
  <c r="L90" i="113"/>
  <c r="O90" i="113" s="1"/>
  <c r="E146" i="95"/>
  <c r="O146" i="95" s="1"/>
  <c r="F145" i="95"/>
  <c r="J145" i="95" s="1"/>
  <c r="N145" i="95" s="1"/>
  <c r="K145" i="55"/>
  <c r="R144" i="55"/>
  <c r="L160" i="111"/>
  <c r="E161" i="111"/>
  <c r="H161" i="95"/>
  <c r="I160" i="95"/>
  <c r="R141" i="77" l="1"/>
  <c r="N144" i="55"/>
  <c r="L154" i="95"/>
  <c r="M153" i="95"/>
  <c r="G141" i="110"/>
  <c r="K141" i="110" s="1"/>
  <c r="P141" i="110" s="1"/>
  <c r="H142" i="110"/>
  <c r="I142" i="110" s="1"/>
  <c r="J142" i="110" s="1"/>
  <c r="R141" i="110"/>
  <c r="L141" i="110"/>
  <c r="F142" i="110"/>
  <c r="V177" i="114"/>
  <c r="W177" i="114" s="1"/>
  <c r="X177" i="114"/>
  <c r="G146" i="55"/>
  <c r="I145" i="55"/>
  <c r="Q145" i="55" s="1"/>
  <c r="S143" i="88"/>
  <c r="N198" i="110"/>
  <c r="O197" i="110"/>
  <c r="E210" i="110"/>
  <c r="M210" i="110" s="1"/>
  <c r="P178" i="114"/>
  <c r="L178" i="114"/>
  <c r="M178" i="114" s="1"/>
  <c r="U178" i="114" s="1"/>
  <c r="K179" i="114"/>
  <c r="J179" i="114"/>
  <c r="I180" i="114"/>
  <c r="F182" i="114"/>
  <c r="G181" i="114"/>
  <c r="E209" i="88"/>
  <c r="M208" i="88"/>
  <c r="N172" i="88"/>
  <c r="O171" i="88"/>
  <c r="L142" i="88"/>
  <c r="I143" i="88"/>
  <c r="R143" i="88" s="1"/>
  <c r="J142" i="88"/>
  <c r="K142" i="88" s="1"/>
  <c r="P142" i="88" s="1"/>
  <c r="R142" i="88"/>
  <c r="F144" i="88"/>
  <c r="G143" i="88"/>
  <c r="H144" i="88"/>
  <c r="S144" i="88" s="1"/>
  <c r="P142" i="77"/>
  <c r="Q142" i="77"/>
  <c r="K143" i="77"/>
  <c r="N143" i="77" s="1"/>
  <c r="O143" i="77" s="1"/>
  <c r="H144" i="77"/>
  <c r="K186" i="95"/>
  <c r="G187" i="95"/>
  <c r="M90" i="113"/>
  <c r="I91" i="113"/>
  <c r="L91" i="113" s="1"/>
  <c r="H162" i="95"/>
  <c r="I161" i="95"/>
  <c r="H194" i="112"/>
  <c r="D196" i="113" s="1"/>
  <c r="K146" i="55"/>
  <c r="R145" i="55"/>
  <c r="E147" i="95"/>
  <c r="O147" i="95" s="1"/>
  <c r="F146" i="95"/>
  <c r="J146" i="95" s="1"/>
  <c r="N146" i="95" s="1"/>
  <c r="D163" i="93"/>
  <c r="E162" i="93"/>
  <c r="P90" i="113"/>
  <c r="E162" i="111"/>
  <c r="L161" i="111"/>
  <c r="P144" i="55"/>
  <c r="G99" i="113"/>
  <c r="C160" i="55"/>
  <c r="J89" i="112"/>
  <c r="N145" i="55" l="1"/>
  <c r="M154" i="95"/>
  <c r="L155" i="95"/>
  <c r="F143" i="110"/>
  <c r="R142" i="110"/>
  <c r="G142" i="110"/>
  <c r="K142" i="110" s="1"/>
  <c r="P142" i="110" s="1"/>
  <c r="H143" i="110"/>
  <c r="I143" i="110" s="1"/>
  <c r="J143" i="110" s="1"/>
  <c r="L142" i="110"/>
  <c r="V178" i="114"/>
  <c r="W178" i="114" s="1"/>
  <c r="X178" i="114"/>
  <c r="J91" i="113"/>
  <c r="I146" i="55"/>
  <c r="Q146" i="55" s="1"/>
  <c r="G147" i="55"/>
  <c r="E211" i="110"/>
  <c r="M211" i="110" s="1"/>
  <c r="N199" i="110"/>
  <c r="O198" i="110"/>
  <c r="L179" i="114"/>
  <c r="M179" i="114" s="1"/>
  <c r="U179" i="114" s="1"/>
  <c r="P179" i="114"/>
  <c r="I181" i="114"/>
  <c r="J180" i="114"/>
  <c r="K180" i="114"/>
  <c r="M91" i="113"/>
  <c r="F183" i="114"/>
  <c r="G182" i="114"/>
  <c r="M209" i="88"/>
  <c r="E210" i="88"/>
  <c r="N173" i="88"/>
  <c r="O172" i="88"/>
  <c r="H145" i="88"/>
  <c r="S145" i="88" s="1"/>
  <c r="G144" i="88"/>
  <c r="F145" i="88"/>
  <c r="L143" i="88"/>
  <c r="J143" i="88"/>
  <c r="K143" i="88" s="1"/>
  <c r="P143" i="88" s="1"/>
  <c r="I144" i="88"/>
  <c r="K144" i="77"/>
  <c r="N144" i="77" s="1"/>
  <c r="O144" i="77" s="1"/>
  <c r="H145" i="77"/>
  <c r="K145" i="77" s="1"/>
  <c r="N145" i="77" s="1"/>
  <c r="O145" i="77" s="1"/>
  <c r="Q143" i="77"/>
  <c r="P143" i="77"/>
  <c r="G188" i="95"/>
  <c r="K187" i="95"/>
  <c r="F100" i="113"/>
  <c r="K89" i="112"/>
  <c r="I90" i="112" s="1"/>
  <c r="C92" i="113" s="1"/>
  <c r="H92" i="113" s="1"/>
  <c r="B92" i="113" s="1"/>
  <c r="C161" i="55"/>
  <c r="L162" i="111"/>
  <c r="E163" i="111"/>
  <c r="P145" i="55"/>
  <c r="K147" i="55"/>
  <c r="R146" i="55"/>
  <c r="H163" i="95"/>
  <c r="I162" i="95"/>
  <c r="H195" i="112"/>
  <c r="D197" i="113" s="1"/>
  <c r="Q90" i="113"/>
  <c r="D164" i="93"/>
  <c r="E163" i="93"/>
  <c r="E148" i="95"/>
  <c r="O148" i="95" s="1"/>
  <c r="F147" i="95"/>
  <c r="J147" i="95" s="1"/>
  <c r="N147" i="95" s="1"/>
  <c r="O91" i="113"/>
  <c r="N146" i="55" l="1"/>
  <c r="L156" i="95"/>
  <c r="M155" i="95"/>
  <c r="H144" i="110"/>
  <c r="I144" i="110" s="1"/>
  <c r="J144" i="110" s="1"/>
  <c r="G143" i="110"/>
  <c r="K143" i="110" s="1"/>
  <c r="P143" i="110" s="1"/>
  <c r="F144" i="110"/>
  <c r="L143" i="110"/>
  <c r="R143" i="110"/>
  <c r="V179" i="114"/>
  <c r="W179" i="114" s="1"/>
  <c r="X179" i="114"/>
  <c r="G148" i="55"/>
  <c r="I147" i="55"/>
  <c r="Q147" i="55" s="1"/>
  <c r="N200" i="110"/>
  <c r="O199" i="110"/>
  <c r="E212" i="110"/>
  <c r="M212" i="110" s="1"/>
  <c r="K181" i="114"/>
  <c r="J181" i="114"/>
  <c r="I182" i="114"/>
  <c r="L180" i="114"/>
  <c r="M180" i="114" s="1"/>
  <c r="U180" i="114" s="1"/>
  <c r="P180" i="114"/>
  <c r="G183" i="114"/>
  <c r="F184" i="114"/>
  <c r="E211" i="88"/>
  <c r="M210" i="88"/>
  <c r="N174" i="88"/>
  <c r="O173" i="88"/>
  <c r="J144" i="88"/>
  <c r="K144" i="88" s="1"/>
  <c r="P144" i="88" s="1"/>
  <c r="I145" i="88"/>
  <c r="L145" i="88" s="1"/>
  <c r="L144" i="88"/>
  <c r="R144" i="88"/>
  <c r="H146" i="88"/>
  <c r="S146" i="88" s="1"/>
  <c r="G145" i="88"/>
  <c r="F146" i="88"/>
  <c r="P144" i="77"/>
  <c r="Q144" i="77"/>
  <c r="Q145" i="77"/>
  <c r="P145" i="77"/>
  <c r="K188" i="95"/>
  <c r="G189" i="95"/>
  <c r="H196" i="112"/>
  <c r="D198" i="113" s="1"/>
  <c r="C162" i="55"/>
  <c r="E149" i="95"/>
  <c r="O149" i="95" s="1"/>
  <c r="F148" i="95"/>
  <c r="J148" i="95" s="1"/>
  <c r="N148" i="95" s="1"/>
  <c r="H164" i="95"/>
  <c r="I163" i="95"/>
  <c r="P146" i="55"/>
  <c r="D165" i="93"/>
  <c r="E164" i="93"/>
  <c r="P91" i="113"/>
  <c r="K148" i="55"/>
  <c r="R147" i="55"/>
  <c r="E164" i="111"/>
  <c r="L163" i="111"/>
  <c r="I92" i="113"/>
  <c r="J90" i="112"/>
  <c r="G100" i="113"/>
  <c r="R146" i="77" l="1"/>
  <c r="N147" i="55"/>
  <c r="M156" i="95"/>
  <c r="L157" i="95"/>
  <c r="F145" i="110"/>
  <c r="H145" i="110"/>
  <c r="I145" i="110" s="1"/>
  <c r="J145" i="110" s="1"/>
  <c r="R144" i="110"/>
  <c r="G144" i="110"/>
  <c r="K144" i="110" s="1"/>
  <c r="P144" i="110" s="1"/>
  <c r="L144" i="110"/>
  <c r="X180" i="114"/>
  <c r="V180" i="114"/>
  <c r="W180" i="114" s="1"/>
  <c r="R145" i="88"/>
  <c r="I148" i="55"/>
  <c r="Q148" i="55" s="1"/>
  <c r="G149" i="55"/>
  <c r="E213" i="110"/>
  <c r="M213" i="110" s="1"/>
  <c r="N201" i="110"/>
  <c r="O200" i="110"/>
  <c r="J182" i="114"/>
  <c r="K182" i="114"/>
  <c r="I183" i="114"/>
  <c r="P181" i="114"/>
  <c r="L181" i="114"/>
  <c r="M181" i="114" s="1"/>
  <c r="U181" i="114" s="1"/>
  <c r="F185" i="114"/>
  <c r="G184" i="114"/>
  <c r="E212" i="88"/>
  <c r="M211" i="88"/>
  <c r="N175" i="88"/>
  <c r="O174" i="88"/>
  <c r="H147" i="88"/>
  <c r="S147" i="88" s="1"/>
  <c r="F147" i="88"/>
  <c r="G146" i="88"/>
  <c r="J145" i="88"/>
  <c r="K145" i="88" s="1"/>
  <c r="P145" i="88" s="1"/>
  <c r="I146" i="88"/>
  <c r="L146" i="88" s="1"/>
  <c r="K189" i="95"/>
  <c r="G190" i="95"/>
  <c r="K90" i="112"/>
  <c r="I91" i="112" s="1"/>
  <c r="C93" i="113" s="1"/>
  <c r="H93" i="113" s="1"/>
  <c r="B93" i="113" s="1"/>
  <c r="F101" i="113"/>
  <c r="G101" i="113" s="1"/>
  <c r="L92" i="113"/>
  <c r="O92" i="113" s="1"/>
  <c r="J92" i="113"/>
  <c r="E165" i="111"/>
  <c r="L164" i="111"/>
  <c r="P147" i="55"/>
  <c r="Q91" i="113"/>
  <c r="D166" i="93"/>
  <c r="E165" i="93"/>
  <c r="H165" i="95"/>
  <c r="I164" i="95"/>
  <c r="E150" i="95"/>
  <c r="O150" i="95" s="1"/>
  <c r="F149" i="95"/>
  <c r="J149" i="95" s="1"/>
  <c r="N149" i="95" s="1"/>
  <c r="H197" i="112"/>
  <c r="D199" i="113" s="1"/>
  <c r="K149" i="55"/>
  <c r="R148" i="55"/>
  <c r="C163" i="55"/>
  <c r="N148" i="55" l="1"/>
  <c r="L158" i="95"/>
  <c r="M157" i="95"/>
  <c r="H146" i="110"/>
  <c r="I146" i="110" s="1"/>
  <c r="J146" i="110" s="1"/>
  <c r="L145" i="110"/>
  <c r="R145" i="110"/>
  <c r="F146" i="110"/>
  <c r="G145" i="110"/>
  <c r="K145" i="110" s="1"/>
  <c r="P145" i="110" s="1"/>
  <c r="X181" i="114"/>
  <c r="V181" i="114"/>
  <c r="W181" i="114" s="1"/>
  <c r="G150" i="55"/>
  <c r="I149" i="55"/>
  <c r="Q149" i="55" s="1"/>
  <c r="N202" i="110"/>
  <c r="O201" i="110"/>
  <c r="E214" i="110"/>
  <c r="M214" i="110" s="1"/>
  <c r="J183" i="114"/>
  <c r="K183" i="114"/>
  <c r="I184" i="114"/>
  <c r="L182" i="114"/>
  <c r="M182" i="114" s="1"/>
  <c r="U182" i="114" s="1"/>
  <c r="P182" i="114"/>
  <c r="F186" i="114"/>
  <c r="G185" i="114"/>
  <c r="M212" i="88"/>
  <c r="E213" i="88"/>
  <c r="N176" i="88"/>
  <c r="O175" i="88"/>
  <c r="I147" i="88"/>
  <c r="R147" i="88" s="1"/>
  <c r="J146" i="88"/>
  <c r="K146" i="88" s="1"/>
  <c r="P146" i="88" s="1"/>
  <c r="R146" i="88"/>
  <c r="F148" i="88"/>
  <c r="H148" i="88"/>
  <c r="S148" i="88" s="1"/>
  <c r="G147" i="88"/>
  <c r="G191" i="95"/>
  <c r="K190" i="95"/>
  <c r="P92" i="113"/>
  <c r="Q92" i="113" s="1"/>
  <c r="C164" i="55"/>
  <c r="P148" i="55"/>
  <c r="E151" i="95"/>
  <c r="O151" i="95" s="1"/>
  <c r="F150" i="95"/>
  <c r="J150" i="95" s="1"/>
  <c r="N150" i="95" s="1"/>
  <c r="D167" i="93"/>
  <c r="E166" i="93"/>
  <c r="H198" i="112"/>
  <c r="D200" i="113" s="1"/>
  <c r="I93" i="113"/>
  <c r="J93" i="113" s="1"/>
  <c r="F102" i="113"/>
  <c r="G102" i="113" s="1"/>
  <c r="K150" i="55"/>
  <c r="R149" i="55"/>
  <c r="N149" i="55"/>
  <c r="H166" i="95"/>
  <c r="I165" i="95"/>
  <c r="L165" i="111"/>
  <c r="E166" i="111"/>
  <c r="M92" i="113"/>
  <c r="J91" i="112"/>
  <c r="M158" i="95" l="1"/>
  <c r="L159" i="95"/>
  <c r="H147" i="110"/>
  <c r="I147" i="110" s="1"/>
  <c r="J147" i="110" s="1"/>
  <c r="F147" i="110"/>
  <c r="L146" i="110"/>
  <c r="R146" i="110"/>
  <c r="G146" i="110"/>
  <c r="K146" i="110" s="1"/>
  <c r="P146" i="110" s="1"/>
  <c r="X182" i="114"/>
  <c r="V182" i="114"/>
  <c r="W182" i="114" s="1"/>
  <c r="I150" i="55"/>
  <c r="Q150" i="55" s="1"/>
  <c r="G151" i="55"/>
  <c r="E215" i="110"/>
  <c r="M215" i="110" s="1"/>
  <c r="N203" i="110"/>
  <c r="O202" i="110"/>
  <c r="J184" i="114"/>
  <c r="I185" i="114"/>
  <c r="K184" i="114"/>
  <c r="P183" i="114"/>
  <c r="L183" i="114"/>
  <c r="M183" i="114" s="1"/>
  <c r="U183" i="114" s="1"/>
  <c r="G186" i="114"/>
  <c r="F187" i="114"/>
  <c r="E214" i="88"/>
  <c r="M213" i="88"/>
  <c r="N177" i="88"/>
  <c r="O176" i="88"/>
  <c r="L147" i="88"/>
  <c r="F149" i="88"/>
  <c r="H149" i="88"/>
  <c r="S149" i="88" s="1"/>
  <c r="G148" i="88"/>
  <c r="J147" i="88"/>
  <c r="K147" i="88" s="1"/>
  <c r="P147" i="88" s="1"/>
  <c r="I148" i="88"/>
  <c r="L148" i="88" s="1"/>
  <c r="G192" i="95"/>
  <c r="K191" i="95"/>
  <c r="F103" i="113"/>
  <c r="K91" i="112"/>
  <c r="I92" i="112" s="1"/>
  <c r="C94" i="113" s="1"/>
  <c r="H94" i="113" s="1"/>
  <c r="B94" i="113" s="1"/>
  <c r="L166" i="111"/>
  <c r="E167" i="111"/>
  <c r="H167" i="95"/>
  <c r="I166" i="95"/>
  <c r="P149" i="55"/>
  <c r="E152" i="95"/>
  <c r="O152" i="95" s="1"/>
  <c r="F151" i="95"/>
  <c r="J151" i="95" s="1"/>
  <c r="N151" i="95" s="1"/>
  <c r="H199" i="112"/>
  <c r="D201" i="113" s="1"/>
  <c r="K151" i="55"/>
  <c r="R150" i="55"/>
  <c r="L93" i="113"/>
  <c r="D168" i="93"/>
  <c r="E167" i="93"/>
  <c r="C165" i="55"/>
  <c r="L160" i="95" l="1"/>
  <c r="M159" i="95"/>
  <c r="H148" i="110"/>
  <c r="I148" i="110" s="1"/>
  <c r="J148" i="110" s="1"/>
  <c r="L147" i="110"/>
  <c r="G147" i="110"/>
  <c r="K147" i="110" s="1"/>
  <c r="P147" i="110" s="1"/>
  <c r="F148" i="110"/>
  <c r="R147" i="110"/>
  <c r="N150" i="55"/>
  <c r="P150" i="55" s="1"/>
  <c r="V183" i="114"/>
  <c r="W183" i="114" s="1"/>
  <c r="X183" i="114"/>
  <c r="G152" i="55"/>
  <c r="I151" i="55"/>
  <c r="Q151" i="55" s="1"/>
  <c r="N204" i="110"/>
  <c r="O203" i="110"/>
  <c r="E216" i="110"/>
  <c r="M216" i="110" s="1"/>
  <c r="P184" i="114"/>
  <c r="L184" i="114"/>
  <c r="M184" i="114" s="1"/>
  <c r="U184" i="114" s="1"/>
  <c r="I186" i="114"/>
  <c r="J185" i="114"/>
  <c r="K185" i="114"/>
  <c r="F188" i="114"/>
  <c r="G187" i="114"/>
  <c r="M214" i="88"/>
  <c r="E215" i="88"/>
  <c r="N178" i="88"/>
  <c r="O177" i="88"/>
  <c r="R148" i="88"/>
  <c r="I149" i="88"/>
  <c r="L149" i="88" s="1"/>
  <c r="J148" i="88"/>
  <c r="K148" i="88" s="1"/>
  <c r="P148" i="88" s="1"/>
  <c r="F150" i="88"/>
  <c r="H150" i="88"/>
  <c r="S150" i="88" s="1"/>
  <c r="G149" i="88"/>
  <c r="K192" i="95"/>
  <c r="G193" i="95"/>
  <c r="J92" i="112"/>
  <c r="K92" i="112" s="1"/>
  <c r="I93" i="112" s="1"/>
  <c r="E153" i="95"/>
  <c r="O153" i="95" s="1"/>
  <c r="F152" i="95"/>
  <c r="J152" i="95" s="1"/>
  <c r="N152" i="95" s="1"/>
  <c r="H200" i="112"/>
  <c r="D202" i="113" s="1"/>
  <c r="C166" i="55"/>
  <c r="D169" i="93"/>
  <c r="E168" i="93"/>
  <c r="O93" i="113"/>
  <c r="K152" i="55"/>
  <c r="R151" i="55"/>
  <c r="H168" i="95"/>
  <c r="I167" i="95"/>
  <c r="L167" i="111"/>
  <c r="H201" i="112" s="1"/>
  <c r="D203" i="113" s="1"/>
  <c r="E168" i="111"/>
  <c r="M93" i="113"/>
  <c r="G103" i="113"/>
  <c r="I94" i="113"/>
  <c r="N151" i="55" l="1"/>
  <c r="L161" i="95"/>
  <c r="M160" i="95"/>
  <c r="R148" i="110"/>
  <c r="F149" i="110"/>
  <c r="H149" i="110"/>
  <c r="I149" i="110" s="1"/>
  <c r="J149" i="110" s="1"/>
  <c r="L148" i="110"/>
  <c r="G148" i="110"/>
  <c r="K148" i="110" s="1"/>
  <c r="P148" i="110" s="1"/>
  <c r="X184" i="114"/>
  <c r="V184" i="114"/>
  <c r="W184" i="114" s="1"/>
  <c r="G153" i="55"/>
  <c r="I152" i="55"/>
  <c r="Q152" i="55" s="1"/>
  <c r="E217" i="110"/>
  <c r="M217" i="110" s="1"/>
  <c r="N205" i="110"/>
  <c r="O204" i="110"/>
  <c r="K186" i="114"/>
  <c r="J186" i="114"/>
  <c r="I187" i="114"/>
  <c r="P185" i="114"/>
  <c r="L185" i="114"/>
  <c r="M185" i="114" s="1"/>
  <c r="U185" i="114" s="1"/>
  <c r="G188" i="114"/>
  <c r="F189" i="114"/>
  <c r="M215" i="88"/>
  <c r="E216" i="88"/>
  <c r="N179" i="88"/>
  <c r="O178" i="88"/>
  <c r="F151" i="88"/>
  <c r="H151" i="88"/>
  <c r="S151" i="88" s="1"/>
  <c r="G150" i="88"/>
  <c r="R149" i="88"/>
  <c r="J149" i="88"/>
  <c r="K149" i="88" s="1"/>
  <c r="P149" i="88" s="1"/>
  <c r="I150" i="88"/>
  <c r="G194" i="95"/>
  <c r="K193" i="95"/>
  <c r="C95" i="113"/>
  <c r="H95" i="113" s="1"/>
  <c r="B95" i="113" s="1"/>
  <c r="J93" i="112"/>
  <c r="K93" i="112" s="1"/>
  <c r="I94" i="112" s="1"/>
  <c r="C96" i="113" s="1"/>
  <c r="H96" i="113" s="1"/>
  <c r="B96" i="113" s="1"/>
  <c r="L94" i="113"/>
  <c r="O94" i="113" s="1"/>
  <c r="K153" i="55"/>
  <c r="R152" i="55"/>
  <c r="J94" i="113"/>
  <c r="E154" i="95"/>
  <c r="O154" i="95" s="1"/>
  <c r="F153" i="95"/>
  <c r="J153" i="95" s="1"/>
  <c r="N153" i="95" s="1"/>
  <c r="F104" i="113"/>
  <c r="G104" i="113" s="1"/>
  <c r="L168" i="111"/>
  <c r="H202" i="112" s="1"/>
  <c r="D204" i="113" s="1"/>
  <c r="E169" i="111"/>
  <c r="H169" i="95"/>
  <c r="I168" i="95"/>
  <c r="P151" i="55"/>
  <c r="P93" i="113"/>
  <c r="D170" i="93"/>
  <c r="E169" i="93"/>
  <c r="C167" i="55"/>
  <c r="N152" i="55" l="1"/>
  <c r="M161" i="95"/>
  <c r="L162" i="95"/>
  <c r="F150" i="110"/>
  <c r="G149" i="110"/>
  <c r="K149" i="110" s="1"/>
  <c r="P149" i="110" s="1"/>
  <c r="R149" i="110"/>
  <c r="L149" i="110"/>
  <c r="H150" i="110"/>
  <c r="I150" i="110" s="1"/>
  <c r="J150" i="110" s="1"/>
  <c r="X185" i="114"/>
  <c r="V185" i="114"/>
  <c r="W185" i="114" s="1"/>
  <c r="G154" i="55"/>
  <c r="I153" i="55"/>
  <c r="Q153" i="55" s="1"/>
  <c r="N206" i="110"/>
  <c r="O205" i="110"/>
  <c r="E218" i="110"/>
  <c r="M218" i="110" s="1"/>
  <c r="J187" i="114"/>
  <c r="K187" i="114"/>
  <c r="I188" i="114"/>
  <c r="P186" i="114"/>
  <c r="L186" i="114"/>
  <c r="M186" i="114" s="1"/>
  <c r="U186" i="114" s="1"/>
  <c r="G189" i="114"/>
  <c r="F190" i="114"/>
  <c r="E217" i="88"/>
  <c r="M216" i="88"/>
  <c r="N180" i="88"/>
  <c r="O179" i="88"/>
  <c r="I151" i="88"/>
  <c r="L151" i="88" s="1"/>
  <c r="J150" i="88"/>
  <c r="K150" i="88" s="1"/>
  <c r="P150" i="88" s="1"/>
  <c r="R150" i="88"/>
  <c r="F152" i="88"/>
  <c r="H152" i="88"/>
  <c r="G151" i="88"/>
  <c r="L150" i="88"/>
  <c r="K194" i="95"/>
  <c r="G195" i="95"/>
  <c r="M94" i="113"/>
  <c r="C168" i="55"/>
  <c r="H170" i="95"/>
  <c r="I169" i="95"/>
  <c r="F105" i="113"/>
  <c r="G105" i="113" s="1"/>
  <c r="P152" i="55"/>
  <c r="D171" i="93"/>
  <c r="E170" i="93"/>
  <c r="Q93" i="113"/>
  <c r="P94" i="113"/>
  <c r="E170" i="111"/>
  <c r="L169" i="111"/>
  <c r="H203" i="112" s="1"/>
  <c r="D205" i="113" s="1"/>
  <c r="E155" i="95"/>
  <c r="O155" i="95" s="1"/>
  <c r="F154" i="95"/>
  <c r="J154" i="95" s="1"/>
  <c r="N154" i="95" s="1"/>
  <c r="J94" i="112"/>
  <c r="I95" i="113"/>
  <c r="J95" i="113" s="1"/>
  <c r="K154" i="55"/>
  <c r="R153" i="55"/>
  <c r="M162" i="95" l="1"/>
  <c r="L163" i="95"/>
  <c r="F151" i="110"/>
  <c r="H151" i="110"/>
  <c r="I151" i="110" s="1"/>
  <c r="J151" i="110" s="1"/>
  <c r="L150" i="110"/>
  <c r="G150" i="110"/>
  <c r="K150" i="110" s="1"/>
  <c r="P150" i="110" s="1"/>
  <c r="N153" i="55"/>
  <c r="V186" i="114"/>
  <c r="W186" i="114" s="1"/>
  <c r="X186" i="114"/>
  <c r="I154" i="55"/>
  <c r="Q154" i="55" s="1"/>
  <c r="G155" i="55"/>
  <c r="E219" i="110"/>
  <c r="M219" i="110" s="1"/>
  <c r="N207" i="110"/>
  <c r="O206" i="110"/>
  <c r="J188" i="114"/>
  <c r="K188" i="114"/>
  <c r="I189" i="114"/>
  <c r="P187" i="114"/>
  <c r="L187" i="114"/>
  <c r="M187" i="114" s="1"/>
  <c r="U187" i="114" s="1"/>
  <c r="G190" i="114"/>
  <c r="F191" i="114"/>
  <c r="S152" i="88"/>
  <c r="M217" i="88"/>
  <c r="E218" i="88"/>
  <c r="N181" i="88"/>
  <c r="O180" i="88"/>
  <c r="I152" i="88"/>
  <c r="L152" i="88" s="1"/>
  <c r="J151" i="88"/>
  <c r="K151" i="88" s="1"/>
  <c r="P151" i="88" s="1"/>
  <c r="R151" i="88"/>
  <c r="F153" i="88"/>
  <c r="H153" i="88"/>
  <c r="S153" i="88" s="1"/>
  <c r="G152" i="88"/>
  <c r="K195" i="95"/>
  <c r="G196" i="95"/>
  <c r="F106" i="113"/>
  <c r="G106" i="113" s="1"/>
  <c r="Q94" i="113"/>
  <c r="C169" i="55"/>
  <c r="P153" i="55"/>
  <c r="I96" i="113"/>
  <c r="J96" i="113" s="1"/>
  <c r="K155" i="55"/>
  <c r="R154" i="55"/>
  <c r="N154" i="55"/>
  <c r="L95" i="113"/>
  <c r="O95" i="113" s="1"/>
  <c r="K94" i="112"/>
  <c r="I95" i="112" s="1"/>
  <c r="C97" i="113" s="1"/>
  <c r="H97" i="113" s="1"/>
  <c r="B97" i="113" s="1"/>
  <c r="E156" i="95"/>
  <c r="O156" i="95" s="1"/>
  <c r="F155" i="95"/>
  <c r="J155" i="95" s="1"/>
  <c r="N155" i="95" s="1"/>
  <c r="E171" i="111"/>
  <c r="L170" i="111"/>
  <c r="H204" i="112" s="1"/>
  <c r="D206" i="113" s="1"/>
  <c r="D172" i="93"/>
  <c r="E171" i="93"/>
  <c r="H171" i="95"/>
  <c r="I170" i="95"/>
  <c r="M163" i="95" l="1"/>
  <c r="L164" i="95"/>
  <c r="L151" i="110"/>
  <c r="F152" i="110"/>
  <c r="G151" i="110"/>
  <c r="K151" i="110" s="1"/>
  <c r="P151" i="110" s="1"/>
  <c r="H152" i="110"/>
  <c r="I152" i="110" s="1"/>
  <c r="J152" i="110" s="1"/>
  <c r="X187" i="114"/>
  <c r="V187" i="114"/>
  <c r="W187" i="114" s="1"/>
  <c r="I155" i="55"/>
  <c r="Q155" i="55" s="1"/>
  <c r="G156" i="55"/>
  <c r="N208" i="110"/>
  <c r="O207" i="110"/>
  <c r="E220" i="110"/>
  <c r="M220" i="110" s="1"/>
  <c r="I190" i="114"/>
  <c r="J189" i="114"/>
  <c r="K189" i="114"/>
  <c r="P188" i="114"/>
  <c r="L188" i="114"/>
  <c r="M188" i="114" s="1"/>
  <c r="U188" i="114" s="1"/>
  <c r="G191" i="114"/>
  <c r="F192" i="114"/>
  <c r="E219" i="88"/>
  <c r="M218" i="88"/>
  <c r="N182" i="88"/>
  <c r="O181" i="88"/>
  <c r="F154" i="88"/>
  <c r="H154" i="88"/>
  <c r="G153" i="88"/>
  <c r="I153" i="88"/>
  <c r="L153" i="88" s="1"/>
  <c r="J152" i="88"/>
  <c r="K152" i="88" s="1"/>
  <c r="P152" i="88" s="1"/>
  <c r="R152" i="88"/>
  <c r="G197" i="95"/>
  <c r="K196" i="95"/>
  <c r="F107" i="113"/>
  <c r="L171" i="111"/>
  <c r="H205" i="112" s="1"/>
  <c r="D207" i="113" s="1"/>
  <c r="E172" i="111"/>
  <c r="P154" i="55"/>
  <c r="K156" i="55"/>
  <c r="R155" i="55"/>
  <c r="L96" i="113"/>
  <c r="C170" i="55"/>
  <c r="P95" i="113"/>
  <c r="H172" i="95"/>
  <c r="I171" i="95"/>
  <c r="D173" i="93"/>
  <c r="E172" i="93"/>
  <c r="E157" i="95"/>
  <c r="O157" i="95" s="1"/>
  <c r="F156" i="95"/>
  <c r="J156" i="95" s="1"/>
  <c r="N156" i="95" s="1"/>
  <c r="J95" i="112"/>
  <c r="M95" i="113"/>
  <c r="I97" i="113"/>
  <c r="J97" i="113" s="1"/>
  <c r="N155" i="55" l="1"/>
  <c r="P155" i="55" s="1"/>
  <c r="L165" i="95"/>
  <c r="M164" i="95"/>
  <c r="L152" i="110"/>
  <c r="H153" i="110"/>
  <c r="I153" i="110" s="1"/>
  <c r="J153" i="110" s="1"/>
  <c r="G152" i="110"/>
  <c r="K152" i="110" s="1"/>
  <c r="P152" i="110" s="1"/>
  <c r="F153" i="110"/>
  <c r="X188" i="114"/>
  <c r="V188" i="114"/>
  <c r="W188" i="114" s="1"/>
  <c r="I156" i="55"/>
  <c r="Q156" i="55" s="1"/>
  <c r="G157" i="55"/>
  <c r="S154" i="88"/>
  <c r="E221" i="110"/>
  <c r="M221" i="110" s="1"/>
  <c r="N209" i="110"/>
  <c r="O208" i="110"/>
  <c r="L189" i="114"/>
  <c r="M189" i="114" s="1"/>
  <c r="U189" i="114" s="1"/>
  <c r="P189" i="114"/>
  <c r="K190" i="114"/>
  <c r="I191" i="114"/>
  <c r="J190" i="114"/>
  <c r="F193" i="114"/>
  <c r="G192" i="114"/>
  <c r="E220" i="88"/>
  <c r="M219" i="88"/>
  <c r="N183" i="88"/>
  <c r="O182" i="88"/>
  <c r="F155" i="88"/>
  <c r="H155" i="88"/>
  <c r="S155" i="88" s="1"/>
  <c r="G154" i="88"/>
  <c r="J153" i="88"/>
  <c r="K153" i="88" s="1"/>
  <c r="P153" i="88" s="1"/>
  <c r="I154" i="88"/>
  <c r="R153" i="88"/>
  <c r="G198" i="95"/>
  <c r="K197" i="95"/>
  <c r="M96" i="113"/>
  <c r="L97" i="113"/>
  <c r="O97" i="113" s="1"/>
  <c r="E158" i="95"/>
  <c r="O158" i="95" s="1"/>
  <c r="F157" i="95"/>
  <c r="J157" i="95" s="1"/>
  <c r="N157" i="95" s="1"/>
  <c r="D174" i="93"/>
  <c r="E173" i="93"/>
  <c r="Q95" i="113"/>
  <c r="C171" i="55"/>
  <c r="K95" i="112"/>
  <c r="I96" i="112" s="1"/>
  <c r="C98" i="113" s="1"/>
  <c r="H98" i="113" s="1"/>
  <c r="B98" i="113" s="1"/>
  <c r="H173" i="95"/>
  <c r="I172" i="95"/>
  <c r="O96" i="113"/>
  <c r="K157" i="55"/>
  <c r="R156" i="55"/>
  <c r="L172" i="111"/>
  <c r="H206" i="112" s="1"/>
  <c r="D208" i="113" s="1"/>
  <c r="E173" i="111"/>
  <c r="G107" i="113"/>
  <c r="L166" i="95" l="1"/>
  <c r="M165" i="95"/>
  <c r="F154" i="110"/>
  <c r="L153" i="110"/>
  <c r="H154" i="110"/>
  <c r="I154" i="110" s="1"/>
  <c r="J154" i="110" s="1"/>
  <c r="G153" i="110"/>
  <c r="K153" i="110" s="1"/>
  <c r="P153" i="110" s="1"/>
  <c r="N156" i="55"/>
  <c r="P156" i="55" s="1"/>
  <c r="V189" i="114"/>
  <c r="W189" i="114" s="1"/>
  <c r="X189" i="114"/>
  <c r="G158" i="55"/>
  <c r="I157" i="55"/>
  <c r="Q157" i="55" s="1"/>
  <c r="N210" i="110"/>
  <c r="O209" i="110"/>
  <c r="E222" i="110"/>
  <c r="M222" i="110" s="1"/>
  <c r="I192" i="114"/>
  <c r="J191" i="114"/>
  <c r="K191" i="114"/>
  <c r="P190" i="114"/>
  <c r="L190" i="114"/>
  <c r="M190" i="114" s="1"/>
  <c r="U190" i="114" s="1"/>
  <c r="G193" i="114"/>
  <c r="F194" i="114"/>
  <c r="E221" i="88"/>
  <c r="M220" i="88"/>
  <c r="N184" i="88"/>
  <c r="O183" i="88"/>
  <c r="F156" i="88"/>
  <c r="G155" i="88"/>
  <c r="H156" i="88"/>
  <c r="S156" i="88" s="1"/>
  <c r="J154" i="88"/>
  <c r="K154" i="88" s="1"/>
  <c r="P154" i="88" s="1"/>
  <c r="I155" i="88"/>
  <c r="R155" i="88" s="1"/>
  <c r="R154" i="88"/>
  <c r="L154" i="88"/>
  <c r="K198" i="95"/>
  <c r="G199" i="95"/>
  <c r="L173" i="111"/>
  <c r="H207" i="112" s="1"/>
  <c r="D209" i="113" s="1"/>
  <c r="E174" i="111"/>
  <c r="H174" i="95"/>
  <c r="I173" i="95"/>
  <c r="J96" i="112"/>
  <c r="E159" i="95"/>
  <c r="O159" i="95" s="1"/>
  <c r="F158" i="95"/>
  <c r="J158" i="95" s="1"/>
  <c r="N158" i="95" s="1"/>
  <c r="F108" i="113"/>
  <c r="G108" i="113" s="1"/>
  <c r="K158" i="55"/>
  <c r="R157" i="55"/>
  <c r="I98" i="113"/>
  <c r="C172" i="55"/>
  <c r="P96" i="113"/>
  <c r="P97" i="113" s="1"/>
  <c r="D175" i="93"/>
  <c r="E174" i="93"/>
  <c r="M97" i="113"/>
  <c r="N157" i="55" l="1"/>
  <c r="L167" i="95"/>
  <c r="M166" i="95"/>
  <c r="G154" i="110"/>
  <c r="K154" i="110" s="1"/>
  <c r="P154" i="110" s="1"/>
  <c r="H155" i="110"/>
  <c r="I155" i="110" s="1"/>
  <c r="J155" i="110" s="1"/>
  <c r="F155" i="110"/>
  <c r="L154" i="110"/>
  <c r="X190" i="114"/>
  <c r="V190" i="114"/>
  <c r="W190" i="114" s="1"/>
  <c r="G159" i="55"/>
  <c r="I158" i="55"/>
  <c r="Q158" i="55" s="1"/>
  <c r="E223" i="110"/>
  <c r="M223" i="110" s="1"/>
  <c r="N211" i="110"/>
  <c r="O210" i="110"/>
  <c r="P191" i="114"/>
  <c r="L191" i="114"/>
  <c r="M191" i="114" s="1"/>
  <c r="U191" i="114" s="1"/>
  <c r="I193" i="114"/>
  <c r="J192" i="114"/>
  <c r="K192" i="114"/>
  <c r="F195" i="114"/>
  <c r="G194" i="114"/>
  <c r="E222" i="88"/>
  <c r="M221" i="88"/>
  <c r="N185" i="88"/>
  <c r="O184" i="88"/>
  <c r="J155" i="88"/>
  <c r="K155" i="88" s="1"/>
  <c r="P155" i="88" s="1"/>
  <c r="I156" i="88"/>
  <c r="L156" i="88" s="1"/>
  <c r="L155" i="88"/>
  <c r="F157" i="88"/>
  <c r="R156" i="88"/>
  <c r="G156" i="88"/>
  <c r="H157" i="88"/>
  <c r="S157" i="88" s="1"/>
  <c r="G200" i="95"/>
  <c r="K199" i="95"/>
  <c r="F109" i="113"/>
  <c r="G109" i="113" s="1"/>
  <c r="L98" i="113"/>
  <c r="O98" i="113" s="1"/>
  <c r="P157" i="55"/>
  <c r="E160" i="95"/>
  <c r="O160" i="95" s="1"/>
  <c r="F159" i="95"/>
  <c r="J159" i="95" s="1"/>
  <c r="N159" i="95" s="1"/>
  <c r="K96" i="112"/>
  <c r="H175" i="95"/>
  <c r="I174" i="95"/>
  <c r="L174" i="111"/>
  <c r="H208" i="112" s="1"/>
  <c r="D210" i="113" s="1"/>
  <c r="E175" i="111"/>
  <c r="D176" i="93"/>
  <c r="E175" i="93"/>
  <c r="Q96" i="113"/>
  <c r="C173" i="55"/>
  <c r="K159" i="55"/>
  <c r="R158" i="55"/>
  <c r="J98" i="113"/>
  <c r="M167" i="95" l="1"/>
  <c r="L168" i="95"/>
  <c r="L155" i="110"/>
  <c r="G155" i="110"/>
  <c r="K155" i="110" s="1"/>
  <c r="P155" i="110" s="1"/>
  <c r="H156" i="110"/>
  <c r="I156" i="110" s="1"/>
  <c r="J156" i="110" s="1"/>
  <c r="F156" i="110"/>
  <c r="X191" i="114"/>
  <c r="V191" i="114"/>
  <c r="W191" i="114" s="1"/>
  <c r="N158" i="55"/>
  <c r="P158" i="55" s="1"/>
  <c r="I97" i="112"/>
  <c r="C99" i="113" s="1"/>
  <c r="H99" i="113" s="1"/>
  <c r="G160" i="55"/>
  <c r="I159" i="55"/>
  <c r="N159" i="55" s="1"/>
  <c r="N212" i="110"/>
  <c r="O211" i="110"/>
  <c r="E224" i="110"/>
  <c r="M224" i="110" s="1"/>
  <c r="J193" i="114"/>
  <c r="K193" i="114"/>
  <c r="I194" i="114"/>
  <c r="P192" i="114"/>
  <c r="L192" i="114"/>
  <c r="M192" i="114" s="1"/>
  <c r="U192" i="114" s="1"/>
  <c r="G195" i="114"/>
  <c r="F196" i="114"/>
  <c r="E223" i="88"/>
  <c r="M222" i="88"/>
  <c r="N186" i="88"/>
  <c r="O185" i="88"/>
  <c r="F158" i="88"/>
  <c r="H158" i="88"/>
  <c r="S158" i="88" s="1"/>
  <c r="G157" i="88"/>
  <c r="J156" i="88"/>
  <c r="K156" i="88" s="1"/>
  <c r="P156" i="88" s="1"/>
  <c r="I157" i="88"/>
  <c r="K200" i="95"/>
  <c r="G201" i="95"/>
  <c r="L175" i="111"/>
  <c r="H209" i="112" s="1"/>
  <c r="D211" i="113" s="1"/>
  <c r="E176" i="111"/>
  <c r="H176" i="95"/>
  <c r="I175" i="95"/>
  <c r="K160" i="55"/>
  <c r="R159" i="55"/>
  <c r="C174" i="55"/>
  <c r="Q97" i="113"/>
  <c r="P98" i="113"/>
  <c r="D177" i="93"/>
  <c r="E176" i="93"/>
  <c r="E161" i="95"/>
  <c r="O161" i="95" s="1"/>
  <c r="F160" i="95"/>
  <c r="J160" i="95" s="1"/>
  <c r="N160" i="95" s="1"/>
  <c r="M98" i="113"/>
  <c r="F110" i="113"/>
  <c r="G110" i="113" s="1"/>
  <c r="M168" i="95" l="1"/>
  <c r="L169" i="95"/>
  <c r="L156" i="110"/>
  <c r="H157" i="110"/>
  <c r="I157" i="110" s="1"/>
  <c r="J157" i="110" s="1"/>
  <c r="F157" i="110"/>
  <c r="G156" i="110"/>
  <c r="K156" i="110" s="1"/>
  <c r="P156" i="110" s="1"/>
  <c r="V192" i="114"/>
  <c r="W192" i="114" s="1"/>
  <c r="X192" i="114"/>
  <c r="J97" i="112"/>
  <c r="K97" i="112" s="1"/>
  <c r="I98" i="112" s="1"/>
  <c r="C100" i="113" s="1"/>
  <c r="H100" i="113" s="1"/>
  <c r="B100" i="113" s="1"/>
  <c r="B99" i="113"/>
  <c r="I99" i="113"/>
  <c r="J99" i="113" s="1"/>
  <c r="I160" i="55"/>
  <c r="N160" i="55" s="1"/>
  <c r="G161" i="55"/>
  <c r="Q159" i="55"/>
  <c r="E225" i="110"/>
  <c r="M225" i="110" s="1"/>
  <c r="N213" i="110"/>
  <c r="O212" i="110"/>
  <c r="J194" i="114"/>
  <c r="K194" i="114"/>
  <c r="I195" i="114"/>
  <c r="L193" i="114"/>
  <c r="M193" i="114" s="1"/>
  <c r="U193" i="114" s="1"/>
  <c r="P193" i="114"/>
  <c r="F197" i="114"/>
  <c r="G196" i="114"/>
  <c r="M223" i="88"/>
  <c r="E224" i="88"/>
  <c r="N187" i="88"/>
  <c r="O186" i="88"/>
  <c r="H159" i="88"/>
  <c r="S159" i="88" s="1"/>
  <c r="F159" i="88"/>
  <c r="G158" i="88"/>
  <c r="R157" i="88"/>
  <c r="J157" i="88"/>
  <c r="K157" i="88" s="1"/>
  <c r="P157" i="88" s="1"/>
  <c r="I158" i="88"/>
  <c r="R158" i="88" s="1"/>
  <c r="L157" i="88"/>
  <c r="G202" i="95"/>
  <c r="K201" i="95"/>
  <c r="F111" i="113"/>
  <c r="G111" i="113" s="1"/>
  <c r="D178" i="93"/>
  <c r="E177" i="93"/>
  <c r="C175" i="55"/>
  <c r="H177" i="95"/>
  <c r="I176" i="95"/>
  <c r="E162" i="95"/>
  <c r="O162" i="95" s="1"/>
  <c r="F161" i="95"/>
  <c r="J161" i="95" s="1"/>
  <c r="N161" i="95" s="1"/>
  <c r="Q98" i="113"/>
  <c r="P159" i="55"/>
  <c r="K161" i="55"/>
  <c r="R160" i="55"/>
  <c r="L176" i="111"/>
  <c r="H210" i="112" s="1"/>
  <c r="D212" i="113" s="1"/>
  <c r="E177" i="111"/>
  <c r="M169" i="95" l="1"/>
  <c r="L170" i="95"/>
  <c r="L157" i="110"/>
  <c r="G157" i="110"/>
  <c r="K157" i="110" s="1"/>
  <c r="P157" i="110" s="1"/>
  <c r="H158" i="110"/>
  <c r="I158" i="110" s="1"/>
  <c r="J158" i="110" s="1"/>
  <c r="F158" i="110"/>
  <c r="V193" i="114"/>
  <c r="W193" i="114" s="1"/>
  <c r="X193" i="114"/>
  <c r="L99" i="113"/>
  <c r="M99" i="113" s="1"/>
  <c r="I161" i="55"/>
  <c r="N161" i="55" s="1"/>
  <c r="G162" i="55"/>
  <c r="Q160" i="55"/>
  <c r="N214" i="110"/>
  <c r="O213" i="110"/>
  <c r="E226" i="110"/>
  <c r="M226" i="110" s="1"/>
  <c r="J195" i="114"/>
  <c r="K195" i="114"/>
  <c r="I196" i="114"/>
  <c r="L194" i="114"/>
  <c r="M194" i="114" s="1"/>
  <c r="U194" i="114" s="1"/>
  <c r="P194" i="114"/>
  <c r="F198" i="114"/>
  <c r="G197" i="114"/>
  <c r="E225" i="88"/>
  <c r="M224" i="88"/>
  <c r="N188" i="88"/>
  <c r="O187" i="88"/>
  <c r="L158" i="88"/>
  <c r="F160" i="88"/>
  <c r="H160" i="88"/>
  <c r="S160" i="88" s="1"/>
  <c r="G159" i="88"/>
  <c r="J158" i="88"/>
  <c r="K158" i="88" s="1"/>
  <c r="P158" i="88" s="1"/>
  <c r="I159" i="88"/>
  <c r="R159" i="88" s="1"/>
  <c r="K202" i="95"/>
  <c r="G203" i="95"/>
  <c r="F112" i="113"/>
  <c r="E178" i="111"/>
  <c r="L177" i="111"/>
  <c r="H211" i="112" s="1"/>
  <c r="D213" i="113" s="1"/>
  <c r="H178" i="95"/>
  <c r="I177" i="95"/>
  <c r="D179" i="93"/>
  <c r="E178" i="93"/>
  <c r="J98" i="112"/>
  <c r="I100" i="113"/>
  <c r="J100" i="113" s="1"/>
  <c r="P160" i="55"/>
  <c r="K162" i="55"/>
  <c r="R161" i="55"/>
  <c r="E163" i="95"/>
  <c r="O163" i="95" s="1"/>
  <c r="F162" i="95"/>
  <c r="J162" i="95" s="1"/>
  <c r="N162" i="95" s="1"/>
  <c r="C176" i="55"/>
  <c r="L171" i="95" l="1"/>
  <c r="M170" i="95"/>
  <c r="G158" i="110"/>
  <c r="K158" i="110" s="1"/>
  <c r="P158" i="110" s="1"/>
  <c r="H159" i="110"/>
  <c r="I159" i="110" s="1"/>
  <c r="J159" i="110" s="1"/>
  <c r="L158" i="110"/>
  <c r="F159" i="110"/>
  <c r="V194" i="114"/>
  <c r="W194" i="114" s="1"/>
  <c r="X194" i="114"/>
  <c r="O99" i="113"/>
  <c r="G163" i="55"/>
  <c r="I162" i="55"/>
  <c r="N162" i="55" s="1"/>
  <c r="Q161" i="55"/>
  <c r="E227" i="110"/>
  <c r="M227" i="110" s="1"/>
  <c r="N215" i="110"/>
  <c r="O214" i="110"/>
  <c r="K196" i="114"/>
  <c r="I197" i="114"/>
  <c r="J196" i="114"/>
  <c r="L195" i="114"/>
  <c r="M195" i="114" s="1"/>
  <c r="U195" i="114" s="1"/>
  <c r="P195" i="114"/>
  <c r="F199" i="114"/>
  <c r="G198" i="114"/>
  <c r="E226" i="88"/>
  <c r="M225" i="88"/>
  <c r="N189" i="88"/>
  <c r="O188" i="88"/>
  <c r="I160" i="88"/>
  <c r="R160" i="88" s="1"/>
  <c r="J159" i="88"/>
  <c r="K159" i="88" s="1"/>
  <c r="P159" i="88" s="1"/>
  <c r="L159" i="88"/>
  <c r="H161" i="88"/>
  <c r="S161" i="88" s="1"/>
  <c r="F161" i="88"/>
  <c r="G160" i="88"/>
  <c r="G204" i="95"/>
  <c r="K203" i="95"/>
  <c r="L100" i="113"/>
  <c r="E179" i="111"/>
  <c r="L178" i="111"/>
  <c r="H212" i="112" s="1"/>
  <c r="D214" i="113" s="1"/>
  <c r="C177" i="55"/>
  <c r="E164" i="95"/>
  <c r="O164" i="95" s="1"/>
  <c r="F163" i="95"/>
  <c r="J163" i="95" s="1"/>
  <c r="N163" i="95" s="1"/>
  <c r="P161" i="55"/>
  <c r="K163" i="55"/>
  <c r="R162" i="55"/>
  <c r="K98" i="112"/>
  <c r="I99" i="112" s="1"/>
  <c r="C101" i="113" s="1"/>
  <c r="H101" i="113" s="1"/>
  <c r="B101" i="113" s="1"/>
  <c r="D180" i="93"/>
  <c r="E179" i="93"/>
  <c r="H179" i="95"/>
  <c r="I178" i="95"/>
  <c r="G112" i="113"/>
  <c r="L172" i="95" l="1"/>
  <c r="M171" i="95"/>
  <c r="H160" i="110"/>
  <c r="I160" i="110" s="1"/>
  <c r="J160" i="110" s="1"/>
  <c r="F160" i="110"/>
  <c r="G159" i="110"/>
  <c r="K159" i="110" s="1"/>
  <c r="P159" i="110" s="1"/>
  <c r="L159" i="110"/>
  <c r="X195" i="114"/>
  <c r="V195" i="114"/>
  <c r="W195" i="114" s="1"/>
  <c r="P99" i="113"/>
  <c r="Q99" i="113" s="1"/>
  <c r="Q162" i="55"/>
  <c r="I163" i="55"/>
  <c r="N163" i="55" s="1"/>
  <c r="G164" i="55"/>
  <c r="N216" i="110"/>
  <c r="O215" i="110"/>
  <c r="E228" i="110"/>
  <c r="M228" i="110" s="1"/>
  <c r="I198" i="114"/>
  <c r="J197" i="114"/>
  <c r="K197" i="114"/>
  <c r="L196" i="114"/>
  <c r="M196" i="114" s="1"/>
  <c r="U196" i="114" s="1"/>
  <c r="P196" i="114"/>
  <c r="F200" i="114"/>
  <c r="G199" i="114"/>
  <c r="M226" i="88"/>
  <c r="E227" i="88"/>
  <c r="N190" i="88"/>
  <c r="O189" i="88"/>
  <c r="I161" i="88"/>
  <c r="R161" i="88" s="1"/>
  <c r="J160" i="88"/>
  <c r="K160" i="88" s="1"/>
  <c r="P160" i="88" s="1"/>
  <c r="L160" i="88"/>
  <c r="F162" i="88"/>
  <c r="H162" i="88"/>
  <c r="S162" i="88" s="1"/>
  <c r="G161" i="88"/>
  <c r="G205" i="95"/>
  <c r="K204" i="95"/>
  <c r="F113" i="113"/>
  <c r="G113" i="113" s="1"/>
  <c r="J99" i="112"/>
  <c r="C178" i="55"/>
  <c r="M100" i="113"/>
  <c r="I101" i="113"/>
  <c r="J101" i="113" s="1"/>
  <c r="H180" i="95"/>
  <c r="I179" i="95"/>
  <c r="D181" i="93"/>
  <c r="E180" i="93"/>
  <c r="P162" i="55"/>
  <c r="K164" i="55"/>
  <c r="R163" i="55"/>
  <c r="E165" i="95"/>
  <c r="O165" i="95" s="1"/>
  <c r="F164" i="95"/>
  <c r="J164" i="95" s="1"/>
  <c r="N164" i="95" s="1"/>
  <c r="L179" i="111"/>
  <c r="H213" i="112" s="1"/>
  <c r="D215" i="113" s="1"/>
  <c r="E180" i="111"/>
  <c r="O100" i="113"/>
  <c r="L173" i="95" l="1"/>
  <c r="M172" i="95"/>
  <c r="G160" i="110"/>
  <c r="K160" i="110" s="1"/>
  <c r="P160" i="110" s="1"/>
  <c r="L160" i="110"/>
  <c r="H161" i="110"/>
  <c r="I161" i="110" s="1"/>
  <c r="J161" i="110" s="1"/>
  <c r="F161" i="110"/>
  <c r="X196" i="114"/>
  <c r="L161" i="88"/>
  <c r="V196" i="114"/>
  <c r="W196" i="114" s="1"/>
  <c r="P100" i="113"/>
  <c r="Q100" i="113" s="1"/>
  <c r="Q163" i="55"/>
  <c r="I164" i="55"/>
  <c r="G165" i="55"/>
  <c r="E229" i="110"/>
  <c r="M229" i="110" s="1"/>
  <c r="N217" i="110"/>
  <c r="O216" i="110"/>
  <c r="L197" i="114"/>
  <c r="M197" i="114" s="1"/>
  <c r="U197" i="114" s="1"/>
  <c r="P197" i="114"/>
  <c r="K198" i="114"/>
  <c r="I199" i="114"/>
  <c r="J198" i="114"/>
  <c r="F201" i="114"/>
  <c r="G200" i="114"/>
  <c r="M227" i="88"/>
  <c r="E228" i="88"/>
  <c r="N191" i="88"/>
  <c r="O190" i="88"/>
  <c r="F163" i="88"/>
  <c r="H163" i="88"/>
  <c r="S163" i="88" s="1"/>
  <c r="G162" i="88"/>
  <c r="J161" i="88"/>
  <c r="K161" i="88" s="1"/>
  <c r="P161" i="88" s="1"/>
  <c r="I162" i="88"/>
  <c r="R162" i="88" s="1"/>
  <c r="G206" i="95"/>
  <c r="K205" i="95"/>
  <c r="F114" i="113"/>
  <c r="G114" i="113" s="1"/>
  <c r="D182" i="93"/>
  <c r="E181" i="93"/>
  <c r="L101" i="113"/>
  <c r="O101" i="113" s="1"/>
  <c r="C179" i="55"/>
  <c r="P163" i="55"/>
  <c r="K165" i="55"/>
  <c r="R164" i="55"/>
  <c r="N164" i="55"/>
  <c r="L180" i="111"/>
  <c r="H214" i="112" s="1"/>
  <c r="D216" i="113" s="1"/>
  <c r="E181" i="111"/>
  <c r="E166" i="95"/>
  <c r="O166" i="95" s="1"/>
  <c r="F165" i="95"/>
  <c r="J165" i="95" s="1"/>
  <c r="N165" i="95" s="1"/>
  <c r="H181" i="95"/>
  <c r="I180" i="95"/>
  <c r="K99" i="112"/>
  <c r="L174" i="95" l="1"/>
  <c r="M173" i="95"/>
  <c r="L161" i="110"/>
  <c r="G161" i="110"/>
  <c r="K161" i="110" s="1"/>
  <c r="P161" i="110" s="1"/>
  <c r="H162" i="110"/>
  <c r="I162" i="110" s="1"/>
  <c r="J162" i="110" s="1"/>
  <c r="F162" i="110"/>
  <c r="X197" i="114"/>
  <c r="V197" i="114"/>
  <c r="W197" i="114" s="1"/>
  <c r="G166" i="55"/>
  <c r="I165" i="55"/>
  <c r="N165" i="55" s="1"/>
  <c r="Q164" i="55"/>
  <c r="N218" i="110"/>
  <c r="O217" i="110"/>
  <c r="E230" i="110"/>
  <c r="M230" i="110" s="1"/>
  <c r="L198" i="114"/>
  <c r="M198" i="114" s="1"/>
  <c r="U198" i="114" s="1"/>
  <c r="V198" i="114" s="1"/>
  <c r="W198" i="114" s="1"/>
  <c r="P198" i="114"/>
  <c r="I100" i="112"/>
  <c r="J100" i="112" s="1"/>
  <c r="K100" i="112" s="1"/>
  <c r="I101" i="112" s="1"/>
  <c r="C103" i="113" s="1"/>
  <c r="H103" i="113" s="1"/>
  <c r="B103" i="113" s="1"/>
  <c r="J199" i="114"/>
  <c r="K199" i="114"/>
  <c r="I200" i="114"/>
  <c r="M101" i="113"/>
  <c r="F202" i="114"/>
  <c r="G201" i="114"/>
  <c r="M228" i="88"/>
  <c r="E229" i="88"/>
  <c r="N192" i="88"/>
  <c r="O191" i="88"/>
  <c r="J162" i="88"/>
  <c r="K162" i="88" s="1"/>
  <c r="P162" i="88" s="1"/>
  <c r="I163" i="88"/>
  <c r="R163" i="88" s="1"/>
  <c r="L162" i="88"/>
  <c r="H164" i="88"/>
  <c r="S164" i="88" s="1"/>
  <c r="G163" i="88"/>
  <c r="F164" i="88"/>
  <c r="K206" i="95"/>
  <c r="G207" i="95"/>
  <c r="F115" i="113"/>
  <c r="G115" i="113" s="1"/>
  <c r="H182" i="95"/>
  <c r="I181" i="95"/>
  <c r="L181" i="111"/>
  <c r="H215" i="112" s="1"/>
  <c r="D217" i="113" s="1"/>
  <c r="E182" i="111"/>
  <c r="P164" i="55"/>
  <c r="K166" i="55"/>
  <c r="R165" i="55"/>
  <c r="C180" i="55"/>
  <c r="P101" i="113"/>
  <c r="E167" i="95"/>
  <c r="O167" i="95" s="1"/>
  <c r="F166" i="95"/>
  <c r="J166" i="95" s="1"/>
  <c r="N166" i="95" s="1"/>
  <c r="D183" i="93"/>
  <c r="E182" i="93"/>
  <c r="L175" i="95" l="1"/>
  <c r="M174" i="95"/>
  <c r="H163" i="110"/>
  <c r="I163" i="110" s="1"/>
  <c r="J163" i="110" s="1"/>
  <c r="F163" i="110"/>
  <c r="L162" i="110"/>
  <c r="G162" i="110"/>
  <c r="K162" i="110" s="1"/>
  <c r="P162" i="110" s="1"/>
  <c r="X198" i="114"/>
  <c r="Q165" i="55"/>
  <c r="G167" i="55"/>
  <c r="I166" i="55"/>
  <c r="N166" i="55" s="1"/>
  <c r="L163" i="88"/>
  <c r="E231" i="110"/>
  <c r="M231" i="110" s="1"/>
  <c r="N219" i="110"/>
  <c r="O218" i="110"/>
  <c r="K200" i="114"/>
  <c r="I201" i="114"/>
  <c r="J200" i="114"/>
  <c r="C102" i="113"/>
  <c r="H102" i="113" s="1"/>
  <c r="P199" i="114"/>
  <c r="L199" i="114"/>
  <c r="M199" i="114" s="1"/>
  <c r="U199" i="114" s="1"/>
  <c r="G202" i="114"/>
  <c r="F203" i="114"/>
  <c r="E230" i="88"/>
  <c r="M229" i="88"/>
  <c r="N193" i="88"/>
  <c r="O192" i="88"/>
  <c r="H165" i="88"/>
  <c r="S165" i="88" s="1"/>
  <c r="F165" i="88"/>
  <c r="G164" i="88"/>
  <c r="J163" i="88"/>
  <c r="K163" i="88" s="1"/>
  <c r="P163" i="88" s="1"/>
  <c r="I164" i="88"/>
  <c r="L164" i="88" s="1"/>
  <c r="K207" i="95"/>
  <c r="J101" i="112"/>
  <c r="K101" i="112" s="1"/>
  <c r="I102" i="112" s="1"/>
  <c r="C104" i="113" s="1"/>
  <c r="H104" i="113" s="1"/>
  <c r="B104" i="113" s="1"/>
  <c r="F116" i="113"/>
  <c r="D184" i="93"/>
  <c r="E183" i="93"/>
  <c r="E168" i="95"/>
  <c r="O168" i="95" s="1"/>
  <c r="F167" i="95"/>
  <c r="J167" i="95" s="1"/>
  <c r="N167" i="95" s="1"/>
  <c r="C181" i="55"/>
  <c r="Q101" i="113"/>
  <c r="P165" i="55"/>
  <c r="K167" i="55"/>
  <c r="R166" i="55"/>
  <c r="H183" i="95"/>
  <c r="I182" i="95"/>
  <c r="E183" i="111"/>
  <c r="L182" i="111"/>
  <c r="H216" i="112" s="1"/>
  <c r="D218" i="113" s="1"/>
  <c r="L176" i="95" l="1"/>
  <c r="M175" i="95"/>
  <c r="H164" i="110"/>
  <c r="I164" i="110" s="1"/>
  <c r="J164" i="110" s="1"/>
  <c r="F164" i="110"/>
  <c r="L163" i="110"/>
  <c r="G163" i="110"/>
  <c r="K163" i="110" s="1"/>
  <c r="P163" i="110" s="1"/>
  <c r="X199" i="114"/>
  <c r="V199" i="114"/>
  <c r="W199" i="114" s="1"/>
  <c r="Q166" i="55"/>
  <c r="I167" i="55"/>
  <c r="G168" i="55"/>
  <c r="N220" i="110"/>
  <c r="O219" i="110"/>
  <c r="E232" i="110"/>
  <c r="M232" i="110" s="1"/>
  <c r="B102" i="113"/>
  <c r="I102" i="113"/>
  <c r="I202" i="114"/>
  <c r="K201" i="114"/>
  <c r="J201" i="114"/>
  <c r="L200" i="114"/>
  <c r="M200" i="114" s="1"/>
  <c r="U200" i="114" s="1"/>
  <c r="P200" i="114"/>
  <c r="F204" i="114"/>
  <c r="G203" i="114"/>
  <c r="M230" i="88"/>
  <c r="E231" i="88"/>
  <c r="N194" i="88"/>
  <c r="O193" i="88"/>
  <c r="H166" i="88"/>
  <c r="S166" i="88" s="1"/>
  <c r="F166" i="88"/>
  <c r="G165" i="88"/>
  <c r="I165" i="88"/>
  <c r="R165" i="88" s="1"/>
  <c r="J164" i="88"/>
  <c r="K164" i="88" s="1"/>
  <c r="P164" i="88" s="1"/>
  <c r="D18" i="159" s="1"/>
  <c r="R164" i="88"/>
  <c r="E184" i="111"/>
  <c r="L183" i="111"/>
  <c r="H217" i="112" s="1"/>
  <c r="D219" i="113" s="1"/>
  <c r="H184" i="95"/>
  <c r="I183" i="95"/>
  <c r="P166" i="55"/>
  <c r="K168" i="55"/>
  <c r="R167" i="55"/>
  <c r="N167" i="55"/>
  <c r="J102" i="112"/>
  <c r="C182" i="55"/>
  <c r="E169" i="95"/>
  <c r="O169" i="95" s="1"/>
  <c r="F168" i="95"/>
  <c r="J168" i="95" s="1"/>
  <c r="N168" i="95" s="1"/>
  <c r="D185" i="93"/>
  <c r="E184" i="93"/>
  <c r="G116" i="113"/>
  <c r="M176" i="95" l="1"/>
  <c r="L177" i="95"/>
  <c r="G164" i="110"/>
  <c r="K164" i="110" s="1"/>
  <c r="L164" i="110"/>
  <c r="F165" i="110"/>
  <c r="H165" i="110"/>
  <c r="I165" i="110" s="1"/>
  <c r="J165" i="110" s="1"/>
  <c r="X200" i="114"/>
  <c r="V200" i="114"/>
  <c r="W200" i="114" s="1"/>
  <c r="Q167" i="55"/>
  <c r="G169" i="55"/>
  <c r="I168" i="55"/>
  <c r="N168" i="55" s="1"/>
  <c r="E233" i="110"/>
  <c r="M233" i="110" s="1"/>
  <c r="N221" i="110"/>
  <c r="O220" i="110"/>
  <c r="P201" i="114"/>
  <c r="L201" i="114"/>
  <c r="M201" i="114" s="1"/>
  <c r="U201" i="114" s="1"/>
  <c r="I203" i="114"/>
  <c r="J202" i="114"/>
  <c r="K202" i="114"/>
  <c r="J102" i="113"/>
  <c r="L102" i="113"/>
  <c r="G204" i="114"/>
  <c r="F205" i="114"/>
  <c r="E232" i="88"/>
  <c r="M231" i="88"/>
  <c r="N195" i="88"/>
  <c r="O194" i="88"/>
  <c r="J165" i="88"/>
  <c r="K165" i="88" s="1"/>
  <c r="P165" i="88" s="1"/>
  <c r="I166" i="88"/>
  <c r="H167" i="88"/>
  <c r="S167" i="88" s="1"/>
  <c r="G166" i="88"/>
  <c r="F167" i="88"/>
  <c r="R166" i="88"/>
  <c r="L165" i="88"/>
  <c r="F117" i="113"/>
  <c r="D186" i="93"/>
  <c r="E185" i="93"/>
  <c r="E170" i="95"/>
  <c r="O170" i="95" s="1"/>
  <c r="F169" i="95"/>
  <c r="J169" i="95" s="1"/>
  <c r="N169" i="95" s="1"/>
  <c r="C183" i="55"/>
  <c r="K102" i="112"/>
  <c r="I103" i="112" s="1"/>
  <c r="C105" i="113" s="1"/>
  <c r="H105" i="113" s="1"/>
  <c r="B105" i="113" s="1"/>
  <c r="P167" i="55"/>
  <c r="K169" i="55"/>
  <c r="R168" i="55"/>
  <c r="E185" i="111"/>
  <c r="L184" i="111"/>
  <c r="H218" i="112" s="1"/>
  <c r="D220" i="113" s="1"/>
  <c r="H185" i="95"/>
  <c r="I184" i="95"/>
  <c r="M177" i="95" l="1"/>
  <c r="L178" i="95"/>
  <c r="L165" i="110"/>
  <c r="H166" i="110"/>
  <c r="I166" i="110" s="1"/>
  <c r="J166" i="110" s="1"/>
  <c r="F166" i="110"/>
  <c r="G165" i="110"/>
  <c r="K165" i="110" s="1"/>
  <c r="P165" i="110" s="1"/>
  <c r="P164" i="110"/>
  <c r="V201" i="114"/>
  <c r="W201" i="114" s="1"/>
  <c r="X201" i="114"/>
  <c r="G170" i="55"/>
  <c r="I169" i="55"/>
  <c r="N169" i="55" s="1"/>
  <c r="Q168" i="55"/>
  <c r="N222" i="110"/>
  <c r="O221" i="110"/>
  <c r="E234" i="110"/>
  <c r="M234" i="110" s="1"/>
  <c r="O102" i="113"/>
  <c r="M102" i="113"/>
  <c r="I204" i="114"/>
  <c r="J203" i="114"/>
  <c r="K203" i="114"/>
  <c r="I103" i="113"/>
  <c r="L103" i="113" s="1"/>
  <c r="P202" i="114"/>
  <c r="L202" i="114"/>
  <c r="M202" i="114" s="1"/>
  <c r="U202" i="114" s="1"/>
  <c r="G205" i="114"/>
  <c r="F206" i="114"/>
  <c r="M232" i="88"/>
  <c r="E233" i="88"/>
  <c r="N196" i="88"/>
  <c r="O195" i="88"/>
  <c r="F168" i="88"/>
  <c r="H168" i="88"/>
  <c r="S168" i="88" s="1"/>
  <c r="G167" i="88"/>
  <c r="L166" i="88"/>
  <c r="J166" i="88"/>
  <c r="K166" i="88" s="1"/>
  <c r="P166" i="88" s="1"/>
  <c r="I167" i="88"/>
  <c r="R167" i="88" s="1"/>
  <c r="H186" i="95"/>
  <c r="I185" i="95"/>
  <c r="L185" i="111"/>
  <c r="H219" i="112" s="1"/>
  <c r="D221" i="113" s="1"/>
  <c r="E186" i="111"/>
  <c r="J103" i="112"/>
  <c r="C184" i="55"/>
  <c r="E171" i="95"/>
  <c r="O171" i="95" s="1"/>
  <c r="F170" i="95"/>
  <c r="J170" i="95" s="1"/>
  <c r="N170" i="95" s="1"/>
  <c r="P168" i="55"/>
  <c r="K170" i="55"/>
  <c r="R169" i="55"/>
  <c r="D187" i="93"/>
  <c r="E186" i="93"/>
  <c r="G117" i="113"/>
  <c r="M178" i="95" l="1"/>
  <c r="L179" i="95"/>
  <c r="G166" i="110"/>
  <c r="K166" i="110" s="1"/>
  <c r="P166" i="110" s="1"/>
  <c r="F167" i="110"/>
  <c r="L166" i="110"/>
  <c r="H167" i="110"/>
  <c r="I167" i="110" s="1"/>
  <c r="J167" i="110" s="1"/>
  <c r="V202" i="114"/>
  <c r="W202" i="114" s="1"/>
  <c r="X202" i="114"/>
  <c r="Q169" i="55"/>
  <c r="G171" i="55"/>
  <c r="I170" i="55"/>
  <c r="N170" i="55" s="1"/>
  <c r="E235" i="110"/>
  <c r="M235" i="110" s="1"/>
  <c r="N223" i="110"/>
  <c r="O222" i="110"/>
  <c r="J103" i="113"/>
  <c r="I104" i="113" s="1"/>
  <c r="I205" i="114"/>
  <c r="J204" i="114"/>
  <c r="K204" i="114"/>
  <c r="O103" i="113"/>
  <c r="M103" i="113"/>
  <c r="P203" i="114"/>
  <c r="L203" i="114"/>
  <c r="M203" i="114" s="1"/>
  <c r="U203" i="114" s="1"/>
  <c r="P102" i="113"/>
  <c r="F207" i="114"/>
  <c r="G206" i="114"/>
  <c r="E234" i="88"/>
  <c r="M233" i="88"/>
  <c r="N197" i="88"/>
  <c r="O196" i="88"/>
  <c r="F169" i="88"/>
  <c r="H169" i="88"/>
  <c r="S169" i="88" s="1"/>
  <c r="G168" i="88"/>
  <c r="I168" i="88"/>
  <c r="J167" i="88"/>
  <c r="K167" i="88" s="1"/>
  <c r="P167" i="88" s="1"/>
  <c r="L167" i="88"/>
  <c r="F118" i="113"/>
  <c r="G118" i="113" s="1"/>
  <c r="P169" i="55"/>
  <c r="K171" i="55"/>
  <c r="R170" i="55"/>
  <c r="E172" i="95"/>
  <c r="O172" i="95" s="1"/>
  <c r="F171" i="95"/>
  <c r="J171" i="95" s="1"/>
  <c r="N171" i="95" s="1"/>
  <c r="C185" i="55"/>
  <c r="K103" i="112"/>
  <c r="I104" i="112" s="1"/>
  <c r="C106" i="113" s="1"/>
  <c r="H106" i="113" s="1"/>
  <c r="B106" i="113" s="1"/>
  <c r="D188" i="93"/>
  <c r="E187" i="93"/>
  <c r="E187" i="111"/>
  <c r="L186" i="111"/>
  <c r="H220" i="112" s="1"/>
  <c r="D222" i="113" s="1"/>
  <c r="H187" i="95"/>
  <c r="I186" i="95"/>
  <c r="M179" i="95" l="1"/>
  <c r="L180" i="95"/>
  <c r="F168" i="110"/>
  <c r="L167" i="110"/>
  <c r="G167" i="110"/>
  <c r="K167" i="110" s="1"/>
  <c r="P167" i="110" s="1"/>
  <c r="H168" i="110"/>
  <c r="I168" i="110" s="1"/>
  <c r="J168" i="110" s="1"/>
  <c r="X203" i="114"/>
  <c r="V203" i="114"/>
  <c r="W203" i="114" s="1"/>
  <c r="Q170" i="55"/>
  <c r="G172" i="55"/>
  <c r="I171" i="55"/>
  <c r="N171" i="55" s="1"/>
  <c r="R171" i="55"/>
  <c r="N224" i="110"/>
  <c r="O223" i="110"/>
  <c r="E236" i="110"/>
  <c r="M236" i="110" s="1"/>
  <c r="L204" i="114"/>
  <c r="M204" i="114" s="1"/>
  <c r="U204" i="114" s="1"/>
  <c r="P204" i="114"/>
  <c r="Q102" i="113"/>
  <c r="P103" i="113"/>
  <c r="K205" i="114"/>
  <c r="I206" i="114"/>
  <c r="J205" i="114"/>
  <c r="J104" i="113"/>
  <c r="L104" i="113"/>
  <c r="G207" i="114"/>
  <c r="F208" i="114"/>
  <c r="E235" i="88"/>
  <c r="M234" i="88"/>
  <c r="N198" i="88"/>
  <c r="O197" i="88"/>
  <c r="I169" i="88"/>
  <c r="R169" i="88" s="1"/>
  <c r="J168" i="88"/>
  <c r="K168" i="88" s="1"/>
  <c r="P168" i="88" s="1"/>
  <c r="L168" i="88"/>
  <c r="R168" i="88"/>
  <c r="F170" i="88"/>
  <c r="H170" i="88"/>
  <c r="S170" i="88" s="1"/>
  <c r="G169" i="88"/>
  <c r="F119" i="113"/>
  <c r="L187" i="111"/>
  <c r="H221" i="112" s="1"/>
  <c r="D223" i="113" s="1"/>
  <c r="E188" i="111"/>
  <c r="J104" i="112"/>
  <c r="E173" i="95"/>
  <c r="O173" i="95" s="1"/>
  <c r="F172" i="95"/>
  <c r="J172" i="95" s="1"/>
  <c r="N172" i="95" s="1"/>
  <c r="P170" i="55"/>
  <c r="K172" i="55"/>
  <c r="H188" i="95"/>
  <c r="I187" i="95"/>
  <c r="D189" i="93"/>
  <c r="E188" i="93"/>
  <c r="C186" i="55"/>
  <c r="L181" i="95" l="1"/>
  <c r="M180" i="95"/>
  <c r="G168" i="110"/>
  <c r="K168" i="110" s="1"/>
  <c r="P168" i="110" s="1"/>
  <c r="F169" i="110"/>
  <c r="L168" i="110"/>
  <c r="H169" i="110"/>
  <c r="I169" i="110" s="1"/>
  <c r="J169" i="110" s="1"/>
  <c r="V204" i="114"/>
  <c r="W204" i="114" s="1"/>
  <c r="X204" i="114"/>
  <c r="R172" i="55"/>
  <c r="Q171" i="55"/>
  <c r="G173" i="55"/>
  <c r="I172" i="55"/>
  <c r="N172" i="55" s="1"/>
  <c r="E237" i="110"/>
  <c r="M237" i="110" s="1"/>
  <c r="N225" i="110"/>
  <c r="O224" i="110"/>
  <c r="I207" i="114"/>
  <c r="J206" i="114"/>
  <c r="K206" i="114"/>
  <c r="O104" i="113"/>
  <c r="M104" i="113"/>
  <c r="P205" i="114"/>
  <c r="L205" i="114"/>
  <c r="M205" i="114" s="1"/>
  <c r="U205" i="114" s="1"/>
  <c r="I105" i="113"/>
  <c r="L105" i="113" s="1"/>
  <c r="Q103" i="113"/>
  <c r="G208" i="114"/>
  <c r="F209" i="114"/>
  <c r="E236" i="88"/>
  <c r="M235" i="88"/>
  <c r="N199" i="88"/>
  <c r="O198" i="88"/>
  <c r="H171" i="88"/>
  <c r="S171" i="88" s="1"/>
  <c r="G170" i="88"/>
  <c r="F171" i="88"/>
  <c r="J169" i="88"/>
  <c r="K169" i="88" s="1"/>
  <c r="P169" i="88" s="1"/>
  <c r="I170" i="88"/>
  <c r="L169" i="88"/>
  <c r="C187" i="55"/>
  <c r="D190" i="93"/>
  <c r="E189" i="93"/>
  <c r="P171" i="55"/>
  <c r="E189" i="111"/>
  <c r="L188" i="111"/>
  <c r="H222" i="112" s="1"/>
  <c r="D224" i="113" s="1"/>
  <c r="H189" i="95"/>
  <c r="I188" i="95"/>
  <c r="K173" i="55"/>
  <c r="E174" i="95"/>
  <c r="O174" i="95" s="1"/>
  <c r="F173" i="95"/>
  <c r="J173" i="95" s="1"/>
  <c r="N173" i="95" s="1"/>
  <c r="K104" i="112"/>
  <c r="G119" i="113"/>
  <c r="L182" i="95" l="1"/>
  <c r="M181" i="95"/>
  <c r="H170" i="110"/>
  <c r="I170" i="110" s="1"/>
  <c r="J170" i="110" s="1"/>
  <c r="F170" i="110"/>
  <c r="L169" i="110"/>
  <c r="G169" i="110"/>
  <c r="K169" i="110" s="1"/>
  <c r="P169" i="110" s="1"/>
  <c r="V205" i="114"/>
  <c r="W205" i="114" s="1"/>
  <c r="X205" i="114"/>
  <c r="R173" i="55"/>
  <c r="Q172" i="55"/>
  <c r="G174" i="55"/>
  <c r="I173" i="55"/>
  <c r="N173" i="55" s="1"/>
  <c r="N226" i="110"/>
  <c r="O225" i="110"/>
  <c r="E238" i="110"/>
  <c r="M238" i="110" s="1"/>
  <c r="O105" i="113"/>
  <c r="P104" i="113"/>
  <c r="L206" i="114"/>
  <c r="M206" i="114" s="1"/>
  <c r="U206" i="114" s="1"/>
  <c r="P206" i="114"/>
  <c r="I105" i="112"/>
  <c r="C107" i="113" s="1"/>
  <c r="H107" i="113" s="1"/>
  <c r="B107" i="113" s="1"/>
  <c r="J105" i="113"/>
  <c r="I106" i="113" s="1"/>
  <c r="M105" i="113"/>
  <c r="I208" i="114"/>
  <c r="J207" i="114"/>
  <c r="K207" i="114"/>
  <c r="G209" i="114"/>
  <c r="F210" i="114"/>
  <c r="M236" i="88"/>
  <c r="E237" i="88"/>
  <c r="N200" i="88"/>
  <c r="O199" i="88"/>
  <c r="I171" i="88"/>
  <c r="J170" i="88"/>
  <c r="K170" i="88" s="1"/>
  <c r="P170" i="88" s="1"/>
  <c r="L170" i="88"/>
  <c r="H172" i="88"/>
  <c r="S172" i="88" s="1"/>
  <c r="G171" i="88"/>
  <c r="F172" i="88"/>
  <c r="R170" i="88"/>
  <c r="E175" i="95"/>
  <c r="O175" i="95" s="1"/>
  <c r="F174" i="95"/>
  <c r="J174" i="95" s="1"/>
  <c r="N174" i="95" s="1"/>
  <c r="K174" i="55"/>
  <c r="D191" i="93"/>
  <c r="E190" i="93"/>
  <c r="F120" i="113"/>
  <c r="G120" i="113" s="1"/>
  <c r="P172" i="55"/>
  <c r="H190" i="95"/>
  <c r="I189" i="95"/>
  <c r="E190" i="111"/>
  <c r="L189" i="111"/>
  <c r="H223" i="112" s="1"/>
  <c r="D225" i="113" s="1"/>
  <c r="C188" i="55"/>
  <c r="M182" i="95" l="1"/>
  <c r="L183" i="95"/>
  <c r="G170" i="110"/>
  <c r="K170" i="110" s="1"/>
  <c r="P170" i="110" s="1"/>
  <c r="H171" i="110"/>
  <c r="I171" i="110" s="1"/>
  <c r="J171" i="110" s="1"/>
  <c r="L170" i="110"/>
  <c r="F171" i="110"/>
  <c r="X206" i="114"/>
  <c r="V206" i="114"/>
  <c r="W206" i="114" s="1"/>
  <c r="J105" i="112"/>
  <c r="R174" i="55"/>
  <c r="Q173" i="55"/>
  <c r="G175" i="55"/>
  <c r="I174" i="55"/>
  <c r="E239" i="110"/>
  <c r="M239" i="110" s="1"/>
  <c r="N227" i="110"/>
  <c r="O226" i="110"/>
  <c r="J208" i="114"/>
  <c r="K208" i="114"/>
  <c r="I209" i="114"/>
  <c r="P105" i="113"/>
  <c r="Q104" i="113"/>
  <c r="L207" i="114"/>
  <c r="M207" i="114" s="1"/>
  <c r="U207" i="114" s="1"/>
  <c r="P207" i="114"/>
  <c r="J106" i="113"/>
  <c r="I107" i="113" s="1"/>
  <c r="J107" i="113" s="1"/>
  <c r="L106" i="113"/>
  <c r="G210" i="114"/>
  <c r="F211" i="114"/>
  <c r="M237" i="88"/>
  <c r="E238" i="88"/>
  <c r="N201" i="88"/>
  <c r="O200" i="88"/>
  <c r="H173" i="88"/>
  <c r="S173" i="88" s="1"/>
  <c r="F173" i="88"/>
  <c r="G172" i="88"/>
  <c r="J171" i="88"/>
  <c r="K171" i="88" s="1"/>
  <c r="P171" i="88" s="1"/>
  <c r="I172" i="88"/>
  <c r="R171" i="88"/>
  <c r="L171" i="88"/>
  <c r="F121" i="113"/>
  <c r="C189" i="55"/>
  <c r="E191" i="111"/>
  <c r="L190" i="111"/>
  <c r="H224" i="112" s="1"/>
  <c r="D226" i="113" s="1"/>
  <c r="H191" i="95"/>
  <c r="I190" i="95"/>
  <c r="D192" i="93"/>
  <c r="E191" i="93"/>
  <c r="K175" i="55"/>
  <c r="N174" i="55"/>
  <c r="K105" i="112"/>
  <c r="I106" i="112" s="1"/>
  <c r="C108" i="113" s="1"/>
  <c r="H108" i="113" s="1"/>
  <c r="B108" i="113" s="1"/>
  <c r="P173" i="55"/>
  <c r="E176" i="95"/>
  <c r="O176" i="95" s="1"/>
  <c r="F175" i="95"/>
  <c r="J175" i="95" s="1"/>
  <c r="N175" i="95" s="1"/>
  <c r="M183" i="95" l="1"/>
  <c r="L184" i="95"/>
  <c r="G171" i="110"/>
  <c r="K171" i="110" s="1"/>
  <c r="P171" i="110" s="1"/>
  <c r="H172" i="110"/>
  <c r="I172" i="110" s="1"/>
  <c r="J172" i="110" s="1"/>
  <c r="F172" i="110"/>
  <c r="L171" i="110"/>
  <c r="X207" i="114"/>
  <c r="V207" i="114"/>
  <c r="W207" i="114" s="1"/>
  <c r="L107" i="113"/>
  <c r="O107" i="113" s="1"/>
  <c r="R175" i="55"/>
  <c r="Q174" i="55"/>
  <c r="G176" i="55"/>
  <c r="I175" i="55"/>
  <c r="N175" i="55" s="1"/>
  <c r="N228" i="110"/>
  <c r="O227" i="110"/>
  <c r="E240" i="110"/>
  <c r="M240" i="110" s="1"/>
  <c r="I210" i="114"/>
  <c r="J209" i="114"/>
  <c r="K209" i="114"/>
  <c r="O106" i="113"/>
  <c r="M106" i="113"/>
  <c r="P208" i="114"/>
  <c r="L208" i="114"/>
  <c r="M208" i="114" s="1"/>
  <c r="U208" i="114" s="1"/>
  <c r="Q105" i="113"/>
  <c r="G211" i="114"/>
  <c r="F212" i="114"/>
  <c r="E239" i="88"/>
  <c r="M238" i="88"/>
  <c r="N202" i="88"/>
  <c r="O201" i="88"/>
  <c r="L172" i="88"/>
  <c r="I173" i="88"/>
  <c r="L173" i="88" s="1"/>
  <c r="J172" i="88"/>
  <c r="K172" i="88" s="1"/>
  <c r="P172" i="88" s="1"/>
  <c r="R172" i="88"/>
  <c r="F174" i="88"/>
  <c r="H174" i="88"/>
  <c r="S174" i="88" s="1"/>
  <c r="G173" i="88"/>
  <c r="J106" i="112"/>
  <c r="P174" i="55"/>
  <c r="L191" i="111"/>
  <c r="H225" i="112" s="1"/>
  <c r="D227" i="113" s="1"/>
  <c r="E192" i="111"/>
  <c r="C190" i="55"/>
  <c r="E177" i="95"/>
  <c r="O177" i="95" s="1"/>
  <c r="F176" i="95"/>
  <c r="J176" i="95" s="1"/>
  <c r="N176" i="95" s="1"/>
  <c r="I108" i="113"/>
  <c r="K176" i="55"/>
  <c r="D193" i="93"/>
  <c r="E192" i="93"/>
  <c r="H192" i="95"/>
  <c r="I191" i="95"/>
  <c r="G121" i="113"/>
  <c r="L185" i="95" l="1"/>
  <c r="M184" i="95"/>
  <c r="L172" i="110"/>
  <c r="H173" i="110"/>
  <c r="I173" i="110" s="1"/>
  <c r="J173" i="110" s="1"/>
  <c r="F173" i="110"/>
  <c r="G172" i="110"/>
  <c r="K172" i="110" s="1"/>
  <c r="P172" i="110" s="1"/>
  <c r="M107" i="113"/>
  <c r="Q175" i="55"/>
  <c r="I176" i="55"/>
  <c r="N176" i="55" s="1"/>
  <c r="G177" i="55"/>
  <c r="R176" i="55"/>
  <c r="R173" i="88"/>
  <c r="E241" i="110"/>
  <c r="M241" i="110" s="1"/>
  <c r="N229" i="110"/>
  <c r="O228" i="110"/>
  <c r="X208" i="114"/>
  <c r="V208" i="114"/>
  <c r="W208" i="114" s="1"/>
  <c r="P106" i="113"/>
  <c r="L209" i="114"/>
  <c r="M209" i="114" s="1"/>
  <c r="U209" i="114" s="1"/>
  <c r="P209" i="114"/>
  <c r="J210" i="114"/>
  <c r="K210" i="114"/>
  <c r="I211" i="114"/>
  <c r="G212" i="114"/>
  <c r="F213" i="114"/>
  <c r="M239" i="88"/>
  <c r="E240" i="88"/>
  <c r="N203" i="88"/>
  <c r="O202" i="88"/>
  <c r="H175" i="88"/>
  <c r="S175" i="88" s="1"/>
  <c r="F175" i="88"/>
  <c r="G174" i="88"/>
  <c r="I174" i="88"/>
  <c r="J173" i="88"/>
  <c r="K173" i="88" s="1"/>
  <c r="P173" i="88" s="1"/>
  <c r="F122" i="113"/>
  <c r="G122" i="113" s="1"/>
  <c r="D194" i="93"/>
  <c r="E193" i="93"/>
  <c r="K177" i="55"/>
  <c r="E178" i="95"/>
  <c r="O178" i="95" s="1"/>
  <c r="F177" i="95"/>
  <c r="J177" i="95" s="1"/>
  <c r="N177" i="95" s="1"/>
  <c r="L192" i="111"/>
  <c r="H226" i="112" s="1"/>
  <c r="D228" i="113" s="1"/>
  <c r="E193" i="111"/>
  <c r="K106" i="112"/>
  <c r="I107" i="112" s="1"/>
  <c r="C109" i="113" s="1"/>
  <c r="H109" i="113" s="1"/>
  <c r="B109" i="113" s="1"/>
  <c r="H193" i="95"/>
  <c r="I192" i="95"/>
  <c r="P175" i="55"/>
  <c r="L108" i="113"/>
  <c r="O108" i="113" s="1"/>
  <c r="C191" i="55"/>
  <c r="J108" i="113"/>
  <c r="M185" i="95" l="1"/>
  <c r="L186" i="95"/>
  <c r="L173" i="110"/>
  <c r="G173" i="110"/>
  <c r="K173" i="110" s="1"/>
  <c r="P173" i="110" s="1"/>
  <c r="F174" i="110"/>
  <c r="H174" i="110"/>
  <c r="I174" i="110" s="1"/>
  <c r="J174" i="110" s="1"/>
  <c r="X209" i="114"/>
  <c r="V209" i="114"/>
  <c r="W209" i="114" s="1"/>
  <c r="G178" i="55"/>
  <c r="I177" i="55"/>
  <c r="N177" i="55" s="1"/>
  <c r="R177" i="55"/>
  <c r="Q176" i="55"/>
  <c r="N230" i="110"/>
  <c r="O229" i="110"/>
  <c r="E242" i="110"/>
  <c r="M242" i="110" s="1"/>
  <c r="J211" i="114"/>
  <c r="K211" i="114"/>
  <c r="I212" i="114"/>
  <c r="P210" i="114"/>
  <c r="L210" i="114"/>
  <c r="M210" i="114" s="1"/>
  <c r="U210" i="114" s="1"/>
  <c r="Q106" i="113"/>
  <c r="P107" i="113"/>
  <c r="G213" i="114"/>
  <c r="F214" i="114"/>
  <c r="M240" i="88"/>
  <c r="E241" i="88"/>
  <c r="N204" i="88"/>
  <c r="O203" i="88"/>
  <c r="J174" i="88"/>
  <c r="K174" i="88" s="1"/>
  <c r="P174" i="88" s="1"/>
  <c r="I175" i="88"/>
  <c r="L175" i="88" s="1"/>
  <c r="L174" i="88"/>
  <c r="F176" i="88"/>
  <c r="H176" i="88"/>
  <c r="S176" i="88" s="1"/>
  <c r="G175" i="88"/>
  <c r="R174" i="88"/>
  <c r="F123" i="113"/>
  <c r="I109" i="113"/>
  <c r="H194" i="95"/>
  <c r="I193" i="95"/>
  <c r="J107" i="112"/>
  <c r="L193" i="111"/>
  <c r="H227" i="112" s="1"/>
  <c r="D229" i="113" s="1"/>
  <c r="E194" i="111"/>
  <c r="E179" i="95"/>
  <c r="O179" i="95" s="1"/>
  <c r="F178" i="95"/>
  <c r="J178" i="95" s="1"/>
  <c r="N178" i="95" s="1"/>
  <c r="P176" i="55"/>
  <c r="D195" i="93"/>
  <c r="E194" i="93"/>
  <c r="C192" i="55"/>
  <c r="M108" i="113"/>
  <c r="K178" i="55"/>
  <c r="L187" i="95" l="1"/>
  <c r="M186" i="95"/>
  <c r="L174" i="110"/>
  <c r="H175" i="110"/>
  <c r="I175" i="110" s="1"/>
  <c r="J175" i="110" s="1"/>
  <c r="F175" i="110"/>
  <c r="G174" i="110"/>
  <c r="K174" i="110" s="1"/>
  <c r="P174" i="110" s="1"/>
  <c r="V210" i="114"/>
  <c r="W210" i="114" s="1"/>
  <c r="X210" i="114"/>
  <c r="P108" i="113"/>
  <c r="R178" i="55"/>
  <c r="Q177" i="55"/>
  <c r="G179" i="55"/>
  <c r="I178" i="55"/>
  <c r="N178" i="55" s="1"/>
  <c r="E243" i="110"/>
  <c r="M243" i="110" s="1"/>
  <c r="N231" i="110"/>
  <c r="O230" i="110"/>
  <c r="Q107" i="113"/>
  <c r="J212" i="114"/>
  <c r="K212" i="114"/>
  <c r="I213" i="114"/>
  <c r="P211" i="114"/>
  <c r="L211" i="114"/>
  <c r="M211" i="114" s="1"/>
  <c r="U211" i="114" s="1"/>
  <c r="G214" i="114"/>
  <c r="F215" i="114"/>
  <c r="E242" i="88"/>
  <c r="M241" i="88"/>
  <c r="R175" i="88"/>
  <c r="N205" i="88"/>
  <c r="O204" i="88"/>
  <c r="H177" i="88"/>
  <c r="S177" i="88" s="1"/>
  <c r="F177" i="88"/>
  <c r="G176" i="88"/>
  <c r="J175" i="88"/>
  <c r="K175" i="88" s="1"/>
  <c r="P175" i="88" s="1"/>
  <c r="I176" i="88"/>
  <c r="R176" i="88" s="1"/>
  <c r="P177" i="55"/>
  <c r="C193" i="55"/>
  <c r="E180" i="95"/>
  <c r="O180" i="95" s="1"/>
  <c r="F179" i="95"/>
  <c r="J179" i="95" s="1"/>
  <c r="N179" i="95" s="1"/>
  <c r="K107" i="112"/>
  <c r="I108" i="112" s="1"/>
  <c r="C110" i="113" s="1"/>
  <c r="H110" i="113" s="1"/>
  <c r="B110" i="113" s="1"/>
  <c r="L109" i="113"/>
  <c r="M109" i="113" s="1"/>
  <c r="K179" i="55"/>
  <c r="D196" i="93"/>
  <c r="E195" i="93"/>
  <c r="L194" i="111"/>
  <c r="H228" i="112" s="1"/>
  <c r="D230" i="113" s="1"/>
  <c r="E195" i="111"/>
  <c r="H195" i="95"/>
  <c r="I194" i="95"/>
  <c r="J109" i="113"/>
  <c r="G123" i="113"/>
  <c r="L188" i="95" l="1"/>
  <c r="M187" i="95"/>
  <c r="H176" i="110"/>
  <c r="I176" i="110" s="1"/>
  <c r="J176" i="110" s="1"/>
  <c r="F176" i="110"/>
  <c r="L175" i="110"/>
  <c r="G175" i="110"/>
  <c r="K175" i="110" s="1"/>
  <c r="P175" i="110" s="1"/>
  <c r="Q108" i="113"/>
  <c r="R179" i="55"/>
  <c r="Q178" i="55"/>
  <c r="G180" i="55"/>
  <c r="I179" i="55"/>
  <c r="N179" i="55" s="1"/>
  <c r="N232" i="110"/>
  <c r="O231" i="110"/>
  <c r="E244" i="110"/>
  <c r="M244" i="110" s="1"/>
  <c r="X211" i="114"/>
  <c r="V211" i="114"/>
  <c r="W211" i="114" s="1"/>
  <c r="L212" i="114"/>
  <c r="M212" i="114" s="1"/>
  <c r="U212" i="114" s="1"/>
  <c r="P212" i="114"/>
  <c r="I214" i="114"/>
  <c r="J213" i="114"/>
  <c r="K213" i="114"/>
  <c r="G215" i="114"/>
  <c r="F216" i="114"/>
  <c r="M242" i="88"/>
  <c r="E243" i="88"/>
  <c r="N206" i="88"/>
  <c r="O205" i="88"/>
  <c r="H178" i="88"/>
  <c r="S178" i="88" s="1"/>
  <c r="F178" i="88"/>
  <c r="G177" i="88"/>
  <c r="I177" i="88"/>
  <c r="L177" i="88" s="1"/>
  <c r="J176" i="88"/>
  <c r="K176" i="88" s="1"/>
  <c r="P176" i="88" s="1"/>
  <c r="L176" i="88"/>
  <c r="F124" i="113"/>
  <c r="H196" i="95"/>
  <c r="I195" i="95"/>
  <c r="E196" i="111"/>
  <c r="L195" i="111"/>
  <c r="H229" i="112" s="1"/>
  <c r="D231" i="113" s="1"/>
  <c r="I110" i="113"/>
  <c r="D197" i="93"/>
  <c r="E196" i="93"/>
  <c r="K180" i="55"/>
  <c r="K181" i="55" s="1"/>
  <c r="O109" i="113"/>
  <c r="J108" i="112"/>
  <c r="K108" i="112" s="1"/>
  <c r="C194" i="55"/>
  <c r="P178" i="55"/>
  <c r="E181" i="95"/>
  <c r="O181" i="95" s="1"/>
  <c r="F180" i="95"/>
  <c r="J180" i="95" s="1"/>
  <c r="N180" i="95" s="1"/>
  <c r="L189" i="95" l="1"/>
  <c r="M188" i="95"/>
  <c r="G176" i="110"/>
  <c r="K176" i="110" s="1"/>
  <c r="P176" i="110" s="1"/>
  <c r="L176" i="110"/>
  <c r="H177" i="110"/>
  <c r="I177" i="110" s="1"/>
  <c r="J177" i="110" s="1"/>
  <c r="F177" i="110"/>
  <c r="V212" i="114"/>
  <c r="W212" i="114" s="1"/>
  <c r="X212" i="114"/>
  <c r="Q179" i="55"/>
  <c r="R180" i="55"/>
  <c r="G181" i="55"/>
  <c r="I180" i="55"/>
  <c r="N180" i="55" s="1"/>
  <c r="E245" i="110"/>
  <c r="M245" i="110" s="1"/>
  <c r="N233" i="110"/>
  <c r="O232" i="110"/>
  <c r="J214" i="114"/>
  <c r="K214" i="114"/>
  <c r="I215" i="114"/>
  <c r="L213" i="114"/>
  <c r="M213" i="114" s="1"/>
  <c r="U213" i="114" s="1"/>
  <c r="P213" i="114"/>
  <c r="F217" i="114"/>
  <c r="G216" i="114"/>
  <c r="E244" i="88"/>
  <c r="M243" i="88"/>
  <c r="N207" i="88"/>
  <c r="O206" i="88"/>
  <c r="I178" i="88"/>
  <c r="L178" i="88" s="1"/>
  <c r="J177" i="88"/>
  <c r="K177" i="88" s="1"/>
  <c r="P177" i="88" s="1"/>
  <c r="R177" i="88"/>
  <c r="H179" i="88"/>
  <c r="S179" i="88" s="1"/>
  <c r="G178" i="88"/>
  <c r="F179" i="88"/>
  <c r="I109" i="112"/>
  <c r="C111" i="113" s="1"/>
  <c r="H111" i="113" s="1"/>
  <c r="B111" i="113" s="1"/>
  <c r="P179" i="55"/>
  <c r="D198" i="93"/>
  <c r="E197" i="93"/>
  <c r="L110" i="113"/>
  <c r="O110" i="113" s="1"/>
  <c r="E197" i="111"/>
  <c r="L196" i="111"/>
  <c r="H230" i="112" s="1"/>
  <c r="D232" i="113" s="1"/>
  <c r="E182" i="95"/>
  <c r="O182" i="95" s="1"/>
  <c r="F181" i="95"/>
  <c r="J181" i="95" s="1"/>
  <c r="N181" i="95" s="1"/>
  <c r="C195" i="55"/>
  <c r="P109" i="113"/>
  <c r="J110" i="113"/>
  <c r="H197" i="95"/>
  <c r="I196" i="95"/>
  <c r="G124" i="113"/>
  <c r="M189" i="95" l="1"/>
  <c r="L190" i="95"/>
  <c r="L177" i="110"/>
  <c r="H178" i="110"/>
  <c r="I178" i="110" s="1"/>
  <c r="J178" i="110" s="1"/>
  <c r="F178" i="110"/>
  <c r="G177" i="110"/>
  <c r="K177" i="110" s="1"/>
  <c r="P177" i="110" s="1"/>
  <c r="V213" i="114"/>
  <c r="W213" i="114" s="1"/>
  <c r="X213" i="114"/>
  <c r="P180" i="55"/>
  <c r="R181" i="55"/>
  <c r="Q180" i="55"/>
  <c r="G182" i="55"/>
  <c r="I181" i="55"/>
  <c r="N234" i="110"/>
  <c r="O233" i="110"/>
  <c r="E246" i="110"/>
  <c r="M246" i="110" s="1"/>
  <c r="I216" i="114"/>
  <c r="K215" i="114"/>
  <c r="J215" i="114"/>
  <c r="P214" i="114"/>
  <c r="L214" i="114"/>
  <c r="M214" i="114" s="1"/>
  <c r="U214" i="114" s="1"/>
  <c r="G217" i="114"/>
  <c r="F218" i="114"/>
  <c r="M244" i="88"/>
  <c r="E245" i="88"/>
  <c r="N208" i="88"/>
  <c r="O207" i="88"/>
  <c r="R178" i="88"/>
  <c r="H180" i="88"/>
  <c r="S180" i="88" s="1"/>
  <c r="G179" i="88"/>
  <c r="F180" i="88"/>
  <c r="I179" i="88"/>
  <c r="R179" i="88" s="1"/>
  <c r="J178" i="88"/>
  <c r="K178" i="88" s="1"/>
  <c r="P178" i="88" s="1"/>
  <c r="F125" i="113"/>
  <c r="G125" i="113" s="1"/>
  <c r="K182" i="55"/>
  <c r="N181" i="55"/>
  <c r="E198" i="111"/>
  <c r="L197" i="111"/>
  <c r="H231" i="112" s="1"/>
  <c r="D233" i="113" s="1"/>
  <c r="H198" i="95"/>
  <c r="I197" i="95"/>
  <c r="I111" i="113"/>
  <c r="J111" i="113" s="1"/>
  <c r="P110" i="113"/>
  <c r="Q109" i="113"/>
  <c r="C196" i="55"/>
  <c r="E183" i="95"/>
  <c r="O183" i="95" s="1"/>
  <c r="F182" i="95"/>
  <c r="J182" i="95" s="1"/>
  <c r="N182" i="95" s="1"/>
  <c r="M110" i="113"/>
  <c r="D199" i="93"/>
  <c r="E198" i="93"/>
  <c r="J109" i="112"/>
  <c r="L191" i="95" l="1"/>
  <c r="M190" i="95"/>
  <c r="H179" i="110"/>
  <c r="I179" i="110" s="1"/>
  <c r="J179" i="110" s="1"/>
  <c r="F179" i="110"/>
  <c r="G178" i="110"/>
  <c r="K178" i="110" s="1"/>
  <c r="P178" i="110" s="1"/>
  <c r="L178" i="110"/>
  <c r="V214" i="114"/>
  <c r="W214" i="114" s="1"/>
  <c r="X214" i="114"/>
  <c r="G183" i="55"/>
  <c r="I182" i="55"/>
  <c r="N182" i="55" s="1"/>
  <c r="R182" i="55"/>
  <c r="Q181" i="55"/>
  <c r="E247" i="110"/>
  <c r="M247" i="110" s="1"/>
  <c r="N235" i="110"/>
  <c r="O234" i="110"/>
  <c r="L215" i="114"/>
  <c r="M215" i="114" s="1"/>
  <c r="U215" i="114" s="1"/>
  <c r="P215" i="114"/>
  <c r="J216" i="114"/>
  <c r="K216" i="114"/>
  <c r="I217" i="114"/>
  <c r="G218" i="114"/>
  <c r="F219" i="114"/>
  <c r="E246" i="88"/>
  <c r="M245" i="88"/>
  <c r="N209" i="88"/>
  <c r="O208" i="88"/>
  <c r="F181" i="88"/>
  <c r="H181" i="88"/>
  <c r="S181" i="88" s="1"/>
  <c r="G180" i="88"/>
  <c r="J179" i="88"/>
  <c r="K179" i="88" s="1"/>
  <c r="P179" i="88" s="1"/>
  <c r="I180" i="88"/>
  <c r="R180" i="88" s="1"/>
  <c r="L179" i="88"/>
  <c r="F126" i="113"/>
  <c r="K109" i="112"/>
  <c r="I110" i="112" s="1"/>
  <c r="C112" i="113" s="1"/>
  <c r="H112" i="113" s="1"/>
  <c r="B112" i="113" s="1"/>
  <c r="D200" i="93"/>
  <c r="E199" i="93"/>
  <c r="E184" i="95"/>
  <c r="O184" i="95" s="1"/>
  <c r="F183" i="95"/>
  <c r="J183" i="95" s="1"/>
  <c r="N183" i="95" s="1"/>
  <c r="Q110" i="113"/>
  <c r="L111" i="113"/>
  <c r="H199" i="95"/>
  <c r="I198" i="95"/>
  <c r="E199" i="111"/>
  <c r="L198" i="111"/>
  <c r="H232" i="112" s="1"/>
  <c r="D234" i="113" s="1"/>
  <c r="P181" i="55"/>
  <c r="C197" i="55"/>
  <c r="K183" i="55"/>
  <c r="M191" i="95" l="1"/>
  <c r="L192" i="95"/>
  <c r="F180" i="110"/>
  <c r="G179" i="110"/>
  <c r="K179" i="110" s="1"/>
  <c r="P179" i="110" s="1"/>
  <c r="L179" i="110"/>
  <c r="H180" i="110"/>
  <c r="I180" i="110" s="1"/>
  <c r="J180" i="110" s="1"/>
  <c r="R183" i="55"/>
  <c r="X215" i="114"/>
  <c r="V215" i="114"/>
  <c r="W215" i="114" s="1"/>
  <c r="Q182" i="55"/>
  <c r="I183" i="55"/>
  <c r="G184" i="55"/>
  <c r="N236" i="110"/>
  <c r="O235" i="110"/>
  <c r="E248" i="110"/>
  <c r="M248" i="110" s="1"/>
  <c r="L216" i="114"/>
  <c r="M216" i="114" s="1"/>
  <c r="U216" i="114" s="1"/>
  <c r="P216" i="114"/>
  <c r="I218" i="114"/>
  <c r="J217" i="114"/>
  <c r="K217" i="114"/>
  <c r="G219" i="114"/>
  <c r="F220" i="114"/>
  <c r="M246" i="88"/>
  <c r="E247" i="88"/>
  <c r="N210" i="88"/>
  <c r="O209" i="88"/>
  <c r="J180" i="88"/>
  <c r="K180" i="88" s="1"/>
  <c r="P180" i="88" s="1"/>
  <c r="I181" i="88"/>
  <c r="R181" i="88" s="1"/>
  <c r="L180" i="88"/>
  <c r="F182" i="88"/>
  <c r="G181" i="88"/>
  <c r="H182" i="88"/>
  <c r="S182" i="88" s="1"/>
  <c r="I112" i="113"/>
  <c r="J112" i="113" s="1"/>
  <c r="P182" i="55"/>
  <c r="C198" i="55"/>
  <c r="L199" i="111"/>
  <c r="H233" i="112" s="1"/>
  <c r="D235" i="113" s="1"/>
  <c r="E200" i="111"/>
  <c r="M111" i="113"/>
  <c r="J110" i="112"/>
  <c r="K184" i="55"/>
  <c r="H200" i="95"/>
  <c r="I199" i="95"/>
  <c r="O111" i="113"/>
  <c r="E185" i="95"/>
  <c r="O185" i="95" s="1"/>
  <c r="F184" i="95"/>
  <c r="J184" i="95" s="1"/>
  <c r="N184" i="95" s="1"/>
  <c r="D201" i="93"/>
  <c r="E200" i="93"/>
  <c r="G126" i="113"/>
  <c r="M192" i="95" l="1"/>
  <c r="L193" i="95"/>
  <c r="L180" i="110"/>
  <c r="H181" i="110"/>
  <c r="I181" i="110" s="1"/>
  <c r="J181" i="110" s="1"/>
  <c r="F181" i="110"/>
  <c r="G180" i="110"/>
  <c r="K180" i="110" s="1"/>
  <c r="P180" i="110" s="1"/>
  <c r="Q183" i="55"/>
  <c r="N183" i="55"/>
  <c r="X216" i="114"/>
  <c r="V216" i="114"/>
  <c r="W216" i="114" s="1"/>
  <c r="R184" i="55"/>
  <c r="K185" i="55"/>
  <c r="K186" i="55" s="1"/>
  <c r="K187" i="55" s="1"/>
  <c r="K188" i="55" s="1"/>
  <c r="K189" i="55" s="1"/>
  <c r="G185" i="55"/>
  <c r="I184" i="55"/>
  <c r="E249" i="110"/>
  <c r="M249" i="110" s="1"/>
  <c r="N237" i="110"/>
  <c r="O236" i="110"/>
  <c r="K218" i="114"/>
  <c r="I219" i="114"/>
  <c r="J218" i="114"/>
  <c r="P217" i="114"/>
  <c r="L217" i="114"/>
  <c r="M217" i="114" s="1"/>
  <c r="U217" i="114" s="1"/>
  <c r="L112" i="113"/>
  <c r="O112" i="113" s="1"/>
  <c r="G220" i="114"/>
  <c r="F221" i="114"/>
  <c r="E248" i="88"/>
  <c r="M247" i="88"/>
  <c r="L181" i="88"/>
  <c r="N211" i="88"/>
  <c r="O210" i="88"/>
  <c r="H183" i="88"/>
  <c r="S183" i="88" s="1"/>
  <c r="G182" i="88"/>
  <c r="F183" i="88"/>
  <c r="J181" i="88"/>
  <c r="K181" i="88" s="1"/>
  <c r="P181" i="88" s="1"/>
  <c r="I182" i="88"/>
  <c r="P111" i="113"/>
  <c r="C199" i="55"/>
  <c r="F127" i="113"/>
  <c r="G127" i="113" s="1"/>
  <c r="D202" i="93"/>
  <c r="E201" i="93"/>
  <c r="E186" i="95"/>
  <c r="O186" i="95" s="1"/>
  <c r="F185" i="95"/>
  <c r="J185" i="95" s="1"/>
  <c r="N185" i="95" s="1"/>
  <c r="P183" i="55"/>
  <c r="E201" i="111"/>
  <c r="L200" i="111"/>
  <c r="H234" i="112" s="1"/>
  <c r="D236" i="113" s="1"/>
  <c r="H201" i="95"/>
  <c r="I200" i="95"/>
  <c r="K110" i="112"/>
  <c r="I111" i="112" s="1"/>
  <c r="C113" i="113" s="1"/>
  <c r="H113" i="113" s="1"/>
  <c r="L194" i="95" l="1"/>
  <c r="M193" i="95"/>
  <c r="L181" i="110"/>
  <c r="H182" i="110"/>
  <c r="I182" i="110" s="1"/>
  <c r="J182" i="110" s="1"/>
  <c r="F182" i="110"/>
  <c r="G181" i="110"/>
  <c r="K181" i="110" s="1"/>
  <c r="P181" i="110" s="1"/>
  <c r="V217" i="114"/>
  <c r="W217" i="114" s="1"/>
  <c r="Q184" i="55"/>
  <c r="N184" i="55"/>
  <c r="X217" i="114"/>
  <c r="M112" i="113"/>
  <c r="R185" i="55"/>
  <c r="I185" i="55"/>
  <c r="N185" i="55" s="1"/>
  <c r="G186" i="55"/>
  <c r="I186" i="55" s="1"/>
  <c r="Q186" i="55" s="1"/>
  <c r="N238" i="110"/>
  <c r="O237" i="110"/>
  <c r="E250" i="110"/>
  <c r="M250" i="110" s="1"/>
  <c r="K219" i="114"/>
  <c r="I220" i="114"/>
  <c r="J219" i="114"/>
  <c r="P218" i="114"/>
  <c r="L218" i="114"/>
  <c r="M218" i="114" s="1"/>
  <c r="U218" i="114" s="1"/>
  <c r="F222" i="114"/>
  <c r="G221" i="114"/>
  <c r="M248" i="88"/>
  <c r="E249" i="88"/>
  <c r="N212" i="88"/>
  <c r="O211" i="88"/>
  <c r="R182" i="88"/>
  <c r="I183" i="88"/>
  <c r="L183" i="88" s="1"/>
  <c r="J182" i="88"/>
  <c r="K182" i="88" s="1"/>
  <c r="P182" i="88" s="1"/>
  <c r="L182" i="88"/>
  <c r="G183" i="88"/>
  <c r="H184" i="88"/>
  <c r="S184" i="88" s="1"/>
  <c r="F184" i="88"/>
  <c r="J111" i="112"/>
  <c r="K111" i="112" s="1"/>
  <c r="I112" i="112" s="1"/>
  <c r="C114" i="113" s="1"/>
  <c r="H114" i="113" s="1"/>
  <c r="B114" i="113" s="1"/>
  <c r="F128" i="113"/>
  <c r="G128" i="113" s="1"/>
  <c r="B113" i="113"/>
  <c r="I113" i="113"/>
  <c r="J113" i="113" s="1"/>
  <c r="L201" i="111"/>
  <c r="H235" i="112" s="1"/>
  <c r="D237" i="113" s="1"/>
  <c r="E202" i="111"/>
  <c r="E187" i="95"/>
  <c r="O187" i="95" s="1"/>
  <c r="F186" i="95"/>
  <c r="J186" i="95" s="1"/>
  <c r="N186" i="95" s="1"/>
  <c r="D203" i="93"/>
  <c r="E202" i="93"/>
  <c r="Q111" i="113"/>
  <c r="P112" i="113"/>
  <c r="P184" i="55"/>
  <c r="H202" i="95"/>
  <c r="I201" i="95"/>
  <c r="L195" i="95" l="1"/>
  <c r="M194" i="95"/>
  <c r="L182" i="110"/>
  <c r="G182" i="110"/>
  <c r="K182" i="110" s="1"/>
  <c r="P182" i="110" s="1"/>
  <c r="H183" i="110"/>
  <c r="I183" i="110" s="1"/>
  <c r="J183" i="110" s="1"/>
  <c r="F183" i="110"/>
  <c r="X218" i="114"/>
  <c r="V218" i="114"/>
  <c r="W218" i="114" s="1"/>
  <c r="R186" i="55"/>
  <c r="Q185" i="55"/>
  <c r="G187" i="55"/>
  <c r="I187" i="55" s="1"/>
  <c r="R183" i="88"/>
  <c r="E251" i="110"/>
  <c r="M251" i="110" s="1"/>
  <c r="N239" i="110"/>
  <c r="O238" i="110"/>
  <c r="J220" i="114"/>
  <c r="K220" i="114"/>
  <c r="I221" i="114"/>
  <c r="L219" i="114"/>
  <c r="M219" i="114" s="1"/>
  <c r="U219" i="114" s="1"/>
  <c r="P219" i="114"/>
  <c r="F223" i="114"/>
  <c r="G222" i="114"/>
  <c r="E250" i="88"/>
  <c r="M249" i="88"/>
  <c r="N213" i="88"/>
  <c r="O212" i="88"/>
  <c r="H185" i="88"/>
  <c r="S185" i="88" s="1"/>
  <c r="G184" i="88"/>
  <c r="F185" i="88"/>
  <c r="I184" i="88"/>
  <c r="J183" i="88"/>
  <c r="K183" i="88" s="1"/>
  <c r="P183" i="88" s="1"/>
  <c r="I114" i="113"/>
  <c r="J114" i="113" s="1"/>
  <c r="F129" i="113"/>
  <c r="G129" i="113" s="1"/>
  <c r="Q112" i="113"/>
  <c r="H203" i="95"/>
  <c r="I202" i="95"/>
  <c r="J112" i="112"/>
  <c r="D204" i="93"/>
  <c r="E203" i="93"/>
  <c r="E188" i="95"/>
  <c r="O188" i="95" s="1"/>
  <c r="F187" i="95"/>
  <c r="J187" i="95" s="1"/>
  <c r="N187" i="95" s="1"/>
  <c r="L202" i="111"/>
  <c r="H236" i="112" s="1"/>
  <c r="D238" i="113" s="1"/>
  <c r="E203" i="111"/>
  <c r="P185" i="55"/>
  <c r="L113" i="113"/>
  <c r="O113" i="113" s="1"/>
  <c r="M195" i="95" l="1"/>
  <c r="L196" i="95"/>
  <c r="G183" i="110"/>
  <c r="K183" i="110" s="1"/>
  <c r="P183" i="110" s="1"/>
  <c r="F184" i="110"/>
  <c r="H184" i="110"/>
  <c r="I184" i="110" s="1"/>
  <c r="J184" i="110" s="1"/>
  <c r="L183" i="110"/>
  <c r="V219" i="114"/>
  <c r="W219" i="114" s="1"/>
  <c r="N186" i="55"/>
  <c r="R187" i="55"/>
  <c r="G188" i="55"/>
  <c r="N240" i="110"/>
  <c r="O239" i="110"/>
  <c r="E252" i="110"/>
  <c r="M252" i="110" s="1"/>
  <c r="X219" i="114"/>
  <c r="K221" i="114"/>
  <c r="I222" i="114"/>
  <c r="J221" i="114"/>
  <c r="L220" i="114"/>
  <c r="M220" i="114" s="1"/>
  <c r="U220" i="114" s="1"/>
  <c r="P220" i="114"/>
  <c r="G223" i="114"/>
  <c r="F224" i="114"/>
  <c r="M250" i="88"/>
  <c r="E251" i="88"/>
  <c r="N214" i="88"/>
  <c r="O213" i="88"/>
  <c r="I185" i="88"/>
  <c r="J184" i="88"/>
  <c r="K184" i="88" s="1"/>
  <c r="P184" i="88" s="1"/>
  <c r="L184" i="88"/>
  <c r="R184" i="88"/>
  <c r="H186" i="88"/>
  <c r="S186" i="88" s="1"/>
  <c r="F186" i="88"/>
  <c r="G185" i="88"/>
  <c r="P113" i="113"/>
  <c r="D205" i="93"/>
  <c r="E204" i="93"/>
  <c r="K112" i="112"/>
  <c r="I113" i="112" s="1"/>
  <c r="C115" i="113" s="1"/>
  <c r="H115" i="113" s="1"/>
  <c r="B115" i="113" s="1"/>
  <c r="F130" i="113"/>
  <c r="G130" i="113" s="1"/>
  <c r="M113" i="113"/>
  <c r="L203" i="111"/>
  <c r="H237" i="112" s="1"/>
  <c r="D239" i="113" s="1"/>
  <c r="E204" i="111"/>
  <c r="E189" i="95"/>
  <c r="O189" i="95" s="1"/>
  <c r="F188" i="95"/>
  <c r="J188" i="95" s="1"/>
  <c r="N188" i="95" s="1"/>
  <c r="H204" i="95"/>
  <c r="I203" i="95"/>
  <c r="L114" i="113"/>
  <c r="M196" i="95" l="1"/>
  <c r="L197" i="95"/>
  <c r="L184" i="110"/>
  <c r="G184" i="110"/>
  <c r="K184" i="110" s="1"/>
  <c r="P184" i="110" s="1"/>
  <c r="H185" i="110"/>
  <c r="I185" i="110" s="1"/>
  <c r="J185" i="110" s="1"/>
  <c r="F185" i="110"/>
  <c r="X220" i="114"/>
  <c r="V220" i="114"/>
  <c r="W220" i="114" s="1"/>
  <c r="N187" i="55"/>
  <c r="P186" i="55"/>
  <c r="R188" i="55"/>
  <c r="Q187" i="55"/>
  <c r="I188" i="55"/>
  <c r="G189" i="55"/>
  <c r="I189" i="55" s="1"/>
  <c r="E253" i="110"/>
  <c r="M253" i="110" s="1"/>
  <c r="N241" i="110"/>
  <c r="O240" i="110"/>
  <c r="I223" i="114"/>
  <c r="J222" i="114"/>
  <c r="K222" i="114"/>
  <c r="P221" i="114"/>
  <c r="L221" i="114"/>
  <c r="M221" i="114" s="1"/>
  <c r="U221" i="114" s="1"/>
  <c r="F225" i="114"/>
  <c r="G224" i="114"/>
  <c r="E252" i="88"/>
  <c r="M251" i="88"/>
  <c r="N215" i="88"/>
  <c r="O214" i="88"/>
  <c r="R185" i="88"/>
  <c r="I186" i="88"/>
  <c r="L186" i="88" s="1"/>
  <c r="J185" i="88"/>
  <c r="K185" i="88" s="1"/>
  <c r="P185" i="88" s="1"/>
  <c r="L185" i="88"/>
  <c r="F187" i="88"/>
  <c r="G186" i="88"/>
  <c r="H187" i="88"/>
  <c r="S187" i="88" s="1"/>
  <c r="I115" i="113"/>
  <c r="J115" i="113" s="1"/>
  <c r="P114" i="113"/>
  <c r="L204" i="111"/>
  <c r="H238" i="112" s="1"/>
  <c r="D240" i="113" s="1"/>
  <c r="E205" i="111"/>
  <c r="M114" i="113"/>
  <c r="J113" i="112"/>
  <c r="D206" i="93"/>
  <c r="E205" i="93"/>
  <c r="Q113" i="113"/>
  <c r="H205" i="95"/>
  <c r="I204" i="95"/>
  <c r="E190" i="95"/>
  <c r="O190" i="95" s="1"/>
  <c r="F189" i="95"/>
  <c r="J189" i="95" s="1"/>
  <c r="N189" i="95" s="1"/>
  <c r="F131" i="113"/>
  <c r="V221" i="114"/>
  <c r="W221" i="114" s="1"/>
  <c r="L198" i="95" l="1"/>
  <c r="M197" i="95"/>
  <c r="G185" i="110"/>
  <c r="K185" i="110" s="1"/>
  <c r="P185" i="110" s="1"/>
  <c r="H186" i="110"/>
  <c r="I186" i="110" s="1"/>
  <c r="J186" i="110" s="1"/>
  <c r="F186" i="110"/>
  <c r="L185" i="110"/>
  <c r="N189" i="55"/>
  <c r="Q188" i="55"/>
  <c r="N188" i="55"/>
  <c r="X221" i="114"/>
  <c r="P187" i="55"/>
  <c r="R189" i="55"/>
  <c r="L115" i="113"/>
  <c r="G190" i="55"/>
  <c r="Q189" i="55"/>
  <c r="N242" i="110"/>
  <c r="O241" i="110"/>
  <c r="E254" i="110"/>
  <c r="M254" i="110" s="1"/>
  <c r="P222" i="114"/>
  <c r="L222" i="114"/>
  <c r="M222" i="114" s="1"/>
  <c r="U222" i="114" s="1"/>
  <c r="K223" i="114"/>
  <c r="J223" i="114"/>
  <c r="I224" i="114"/>
  <c r="F226" i="114"/>
  <c r="G225" i="114"/>
  <c r="E253" i="88"/>
  <c r="M252" i="88"/>
  <c r="N216" i="88"/>
  <c r="O215" i="88"/>
  <c r="R186" i="88"/>
  <c r="J186" i="88"/>
  <c r="K186" i="88" s="1"/>
  <c r="P186" i="88" s="1"/>
  <c r="I187" i="88"/>
  <c r="L187" i="88" s="1"/>
  <c r="H188" i="88"/>
  <c r="S188" i="88" s="1"/>
  <c r="G187" i="88"/>
  <c r="F188" i="88"/>
  <c r="R187" i="88"/>
  <c r="P188" i="55"/>
  <c r="D207" i="93"/>
  <c r="E206" i="93"/>
  <c r="K113" i="112"/>
  <c r="I114" i="112" s="1"/>
  <c r="C116" i="113" s="1"/>
  <c r="H116" i="113" s="1"/>
  <c r="E206" i="111"/>
  <c r="L205" i="111"/>
  <c r="H239" i="112" s="1"/>
  <c r="D241" i="113" s="1"/>
  <c r="K190" i="55"/>
  <c r="G131" i="113"/>
  <c r="E191" i="95"/>
  <c r="O191" i="95" s="1"/>
  <c r="F190" i="95"/>
  <c r="J190" i="95" s="1"/>
  <c r="N190" i="95" s="1"/>
  <c r="H206" i="95"/>
  <c r="I205" i="95"/>
  <c r="Q114" i="113"/>
  <c r="M198" i="95" l="1"/>
  <c r="L199" i="95"/>
  <c r="F187" i="110"/>
  <c r="G186" i="110"/>
  <c r="K186" i="110" s="1"/>
  <c r="P186" i="110" s="1"/>
  <c r="H187" i="110"/>
  <c r="I187" i="110" s="1"/>
  <c r="J187" i="110" s="1"/>
  <c r="L186" i="110"/>
  <c r="X222" i="114"/>
  <c r="V222" i="114"/>
  <c r="W222" i="114" s="1"/>
  <c r="P115" i="113"/>
  <c r="Q115" i="113" s="1"/>
  <c r="M115" i="113"/>
  <c r="R190" i="55"/>
  <c r="G191" i="55"/>
  <c r="I190" i="55"/>
  <c r="E255" i="110"/>
  <c r="M255" i="110" s="1"/>
  <c r="N243" i="110"/>
  <c r="O242" i="110"/>
  <c r="P223" i="114"/>
  <c r="L223" i="114"/>
  <c r="M223" i="114" s="1"/>
  <c r="U223" i="114" s="1"/>
  <c r="K224" i="114"/>
  <c r="I225" i="114"/>
  <c r="J224" i="114"/>
  <c r="G226" i="114"/>
  <c r="F227" i="114"/>
  <c r="E254" i="88"/>
  <c r="M253" i="88"/>
  <c r="N217" i="88"/>
  <c r="O216" i="88"/>
  <c r="F189" i="88"/>
  <c r="H189" i="88"/>
  <c r="S189" i="88" s="1"/>
  <c r="G188" i="88"/>
  <c r="I188" i="88"/>
  <c r="J187" i="88"/>
  <c r="K187" i="88" s="1"/>
  <c r="P187" i="88" s="1"/>
  <c r="J114" i="112"/>
  <c r="K114" i="112" s="1"/>
  <c r="I115" i="112" s="1"/>
  <c r="C117" i="113" s="1"/>
  <c r="H117" i="113" s="1"/>
  <c r="B117" i="113" s="1"/>
  <c r="E192" i="95"/>
  <c r="O192" i="95" s="1"/>
  <c r="F191" i="95"/>
  <c r="J191" i="95" s="1"/>
  <c r="N191" i="95" s="1"/>
  <c r="D208" i="93"/>
  <c r="E207" i="93"/>
  <c r="H207" i="95"/>
  <c r="I206" i="95"/>
  <c r="F132" i="113"/>
  <c r="G132" i="113" s="1"/>
  <c r="E207" i="111"/>
  <c r="L206" i="111"/>
  <c r="H240" i="112" s="1"/>
  <c r="D242" i="113" s="1"/>
  <c r="B116" i="113"/>
  <c r="I116" i="113"/>
  <c r="J116" i="113" s="1"/>
  <c r="L200" i="95" l="1"/>
  <c r="M199" i="95"/>
  <c r="L187" i="110"/>
  <c r="F188" i="110"/>
  <c r="G187" i="110"/>
  <c r="K187" i="110" s="1"/>
  <c r="P187" i="110" s="1"/>
  <c r="H188" i="110"/>
  <c r="I188" i="110" s="1"/>
  <c r="J188" i="110" s="1"/>
  <c r="V223" i="114"/>
  <c r="W223" i="114" s="1"/>
  <c r="Q190" i="55"/>
  <c r="P189" i="55"/>
  <c r="N190" i="55"/>
  <c r="I191" i="55"/>
  <c r="G192" i="55"/>
  <c r="N244" i="110"/>
  <c r="O243" i="110"/>
  <c r="E256" i="110"/>
  <c r="M256" i="110" s="1"/>
  <c r="K225" i="114"/>
  <c r="I226" i="114"/>
  <c r="J225" i="114"/>
  <c r="L224" i="114"/>
  <c r="M224" i="114" s="1"/>
  <c r="U224" i="114" s="1"/>
  <c r="P224" i="114"/>
  <c r="F228" i="114"/>
  <c r="G227" i="114"/>
  <c r="E255" i="88"/>
  <c r="M254" i="88"/>
  <c r="N218" i="88"/>
  <c r="O217" i="88"/>
  <c r="I189" i="88"/>
  <c r="L189" i="88" s="1"/>
  <c r="J188" i="88"/>
  <c r="K188" i="88" s="1"/>
  <c r="P188" i="88" s="1"/>
  <c r="R188" i="88"/>
  <c r="F190" i="88"/>
  <c r="G189" i="88"/>
  <c r="H190" i="88"/>
  <c r="S190" i="88" s="1"/>
  <c r="L188" i="88"/>
  <c r="I117" i="113"/>
  <c r="F133" i="113"/>
  <c r="G133" i="113" s="1"/>
  <c r="E193" i="95"/>
  <c r="O193" i="95" s="1"/>
  <c r="F192" i="95"/>
  <c r="J192" i="95" s="1"/>
  <c r="N192" i="95" s="1"/>
  <c r="L116" i="113"/>
  <c r="O116" i="113" s="1"/>
  <c r="E208" i="111"/>
  <c r="L207" i="111"/>
  <c r="H241" i="112" s="1"/>
  <c r="D243" i="113" s="1"/>
  <c r="I207" i="95"/>
  <c r="D209" i="93"/>
  <c r="E208" i="93"/>
  <c r="J115" i="112"/>
  <c r="L201" i="95" l="1"/>
  <c r="M200" i="95"/>
  <c r="G188" i="110"/>
  <c r="K188" i="110" s="1"/>
  <c r="P188" i="110" s="1"/>
  <c r="F189" i="110"/>
  <c r="H189" i="110"/>
  <c r="I189" i="110" s="1"/>
  <c r="J189" i="110" s="1"/>
  <c r="L188" i="110"/>
  <c r="Q191" i="55"/>
  <c r="V224" i="114"/>
  <c r="W224" i="114" s="1"/>
  <c r="P190" i="55"/>
  <c r="G193" i="55"/>
  <c r="I193" i="55" s="1"/>
  <c r="I192" i="55"/>
  <c r="E257" i="110"/>
  <c r="M257" i="110" s="1"/>
  <c r="N245" i="110"/>
  <c r="O244" i="110"/>
  <c r="I227" i="114"/>
  <c r="J226" i="114"/>
  <c r="K226" i="114"/>
  <c r="P225" i="114"/>
  <c r="L225" i="114"/>
  <c r="M225" i="114" s="1"/>
  <c r="U225" i="114" s="1"/>
  <c r="G228" i="114"/>
  <c r="F229" i="114"/>
  <c r="M255" i="88"/>
  <c r="E256" i="88"/>
  <c r="N219" i="88"/>
  <c r="O218" i="88"/>
  <c r="R189" i="88"/>
  <c r="J189" i="88"/>
  <c r="K189" i="88" s="1"/>
  <c r="P189" i="88" s="1"/>
  <c r="I190" i="88"/>
  <c r="R190" i="88" s="1"/>
  <c r="F191" i="88"/>
  <c r="G190" i="88"/>
  <c r="H191" i="88"/>
  <c r="S191" i="88" s="1"/>
  <c r="P116" i="113"/>
  <c r="F134" i="113"/>
  <c r="K115" i="112"/>
  <c r="I116" i="112" s="1"/>
  <c r="C118" i="113" s="1"/>
  <c r="H118" i="113" s="1"/>
  <c r="B118" i="113" s="1"/>
  <c r="D210" i="93"/>
  <c r="E209" i="93"/>
  <c r="E209" i="111"/>
  <c r="L208" i="111"/>
  <c r="H242" i="112" s="1"/>
  <c r="D244" i="113" s="1"/>
  <c r="L117" i="113"/>
  <c r="O117" i="113" s="1"/>
  <c r="M116" i="113"/>
  <c r="E194" i="95"/>
  <c r="O194" i="95" s="1"/>
  <c r="F193" i="95"/>
  <c r="J193" i="95" s="1"/>
  <c r="N193" i="95" s="1"/>
  <c r="J117" i="113"/>
  <c r="L202" i="95" l="1"/>
  <c r="M201" i="95"/>
  <c r="F190" i="110"/>
  <c r="G189" i="110"/>
  <c r="K189" i="110" s="1"/>
  <c r="P189" i="110" s="1"/>
  <c r="L189" i="110"/>
  <c r="H190" i="110"/>
  <c r="I190" i="110" s="1"/>
  <c r="J190" i="110" s="1"/>
  <c r="Q192" i="55"/>
  <c r="V225" i="114"/>
  <c r="W225" i="114" s="1"/>
  <c r="Q193" i="55"/>
  <c r="G194" i="55"/>
  <c r="N246" i="110"/>
  <c r="O245" i="110"/>
  <c r="E258" i="110"/>
  <c r="M258" i="110" s="1"/>
  <c r="P226" i="114"/>
  <c r="L226" i="114"/>
  <c r="M226" i="114" s="1"/>
  <c r="U226" i="114" s="1"/>
  <c r="I228" i="114"/>
  <c r="J227" i="114"/>
  <c r="K227" i="114"/>
  <c r="G229" i="114"/>
  <c r="F230" i="114"/>
  <c r="M256" i="88"/>
  <c r="E257" i="88"/>
  <c r="N220" i="88"/>
  <c r="O219" i="88"/>
  <c r="L190" i="88"/>
  <c r="F192" i="88"/>
  <c r="G191" i="88"/>
  <c r="H192" i="88"/>
  <c r="S192" i="88" s="1"/>
  <c r="I191" i="88"/>
  <c r="R191" i="88" s="1"/>
  <c r="J190" i="88"/>
  <c r="K190" i="88" s="1"/>
  <c r="P190" i="88" s="1"/>
  <c r="M117" i="113"/>
  <c r="E195" i="95"/>
  <c r="O195" i="95" s="1"/>
  <c r="F194" i="95"/>
  <c r="J194" i="95" s="1"/>
  <c r="N194" i="95" s="1"/>
  <c r="D211" i="93"/>
  <c r="E210" i="93"/>
  <c r="P117" i="113"/>
  <c r="Q116" i="113"/>
  <c r="I118" i="113"/>
  <c r="J118" i="113" s="1"/>
  <c r="L209" i="111"/>
  <c r="H243" i="112" s="1"/>
  <c r="D245" i="113" s="1"/>
  <c r="E210" i="111"/>
  <c r="J116" i="112"/>
  <c r="G134" i="113"/>
  <c r="M202" i="95" l="1"/>
  <c r="L203" i="95"/>
  <c r="G190" i="110"/>
  <c r="K190" i="110" s="1"/>
  <c r="P190" i="110" s="1"/>
  <c r="F191" i="110"/>
  <c r="L190" i="110"/>
  <c r="H191" i="110"/>
  <c r="I191" i="110" s="1"/>
  <c r="J191" i="110" s="1"/>
  <c r="V226" i="114"/>
  <c r="W226" i="114" s="1"/>
  <c r="G195" i="55"/>
  <c r="I194" i="55"/>
  <c r="E259" i="110"/>
  <c r="M259" i="110" s="1"/>
  <c r="N247" i="110"/>
  <c r="O246" i="110"/>
  <c r="K228" i="114"/>
  <c r="I229" i="114"/>
  <c r="J228" i="114"/>
  <c r="L227" i="114"/>
  <c r="M227" i="114" s="1"/>
  <c r="U227" i="114" s="1"/>
  <c r="P227" i="114"/>
  <c r="G230" i="114"/>
  <c r="F231" i="114"/>
  <c r="M257" i="88"/>
  <c r="E258" i="88"/>
  <c r="N221" i="88"/>
  <c r="O220" i="88"/>
  <c r="G192" i="88"/>
  <c r="H193" i="88"/>
  <c r="S193" i="88" s="1"/>
  <c r="F193" i="88"/>
  <c r="I192" i="88"/>
  <c r="J191" i="88"/>
  <c r="K191" i="88" s="1"/>
  <c r="P191" i="88" s="1"/>
  <c r="L191" i="88"/>
  <c r="F135" i="113"/>
  <c r="G135" i="113" s="1"/>
  <c r="D212" i="93"/>
  <c r="E211" i="93"/>
  <c r="E196" i="95"/>
  <c r="O196" i="95" s="1"/>
  <c r="F195" i="95"/>
  <c r="J195" i="95" s="1"/>
  <c r="N195" i="95" s="1"/>
  <c r="K116" i="112"/>
  <c r="I117" i="112" s="1"/>
  <c r="C119" i="113" s="1"/>
  <c r="H119" i="113" s="1"/>
  <c r="B119" i="113" s="1"/>
  <c r="E211" i="111"/>
  <c r="L210" i="111"/>
  <c r="H244" i="112" s="1"/>
  <c r="D246" i="113" s="1"/>
  <c r="L118" i="113"/>
  <c r="Q117" i="113"/>
  <c r="L204" i="95" l="1"/>
  <c r="M203" i="95"/>
  <c r="G191" i="110"/>
  <c r="K191" i="110" s="1"/>
  <c r="P191" i="110" s="1"/>
  <c r="L191" i="110"/>
  <c r="H192" i="110"/>
  <c r="I192" i="110" s="1"/>
  <c r="J192" i="110" s="1"/>
  <c r="F192" i="110"/>
  <c r="Q194" i="55"/>
  <c r="G196" i="55"/>
  <c r="I195" i="55"/>
  <c r="N248" i="110"/>
  <c r="O247" i="110"/>
  <c r="E260" i="110"/>
  <c r="M260" i="110" s="1"/>
  <c r="V227" i="114"/>
  <c r="W227" i="114" s="1"/>
  <c r="I230" i="114"/>
  <c r="J229" i="114"/>
  <c r="K229" i="114"/>
  <c r="L228" i="114"/>
  <c r="M228" i="114" s="1"/>
  <c r="U228" i="114" s="1"/>
  <c r="P228" i="114"/>
  <c r="G231" i="114"/>
  <c r="F232" i="114"/>
  <c r="E259" i="88"/>
  <c r="M258" i="88"/>
  <c r="N222" i="88"/>
  <c r="O221" i="88"/>
  <c r="F194" i="88"/>
  <c r="G193" i="88"/>
  <c r="H194" i="88"/>
  <c r="S194" i="88" s="1"/>
  <c r="R192" i="88"/>
  <c r="I193" i="88"/>
  <c r="L193" i="88" s="1"/>
  <c r="J192" i="88"/>
  <c r="K192" i="88" s="1"/>
  <c r="P192" i="88" s="1"/>
  <c r="L192" i="88"/>
  <c r="M118" i="113"/>
  <c r="J117" i="112"/>
  <c r="I119" i="113"/>
  <c r="J119" i="113" s="1"/>
  <c r="F136" i="113"/>
  <c r="O118" i="113"/>
  <c r="E212" i="111"/>
  <c r="L211" i="111"/>
  <c r="H245" i="112" s="1"/>
  <c r="D247" i="113" s="1"/>
  <c r="E197" i="95"/>
  <c r="O197" i="95" s="1"/>
  <c r="F196" i="95"/>
  <c r="J196" i="95" s="1"/>
  <c r="N196" i="95" s="1"/>
  <c r="D213" i="93"/>
  <c r="E212" i="93"/>
  <c r="M204" i="95" l="1"/>
  <c r="L205" i="95"/>
  <c r="H193" i="110"/>
  <c r="I193" i="110" s="1"/>
  <c r="J193" i="110" s="1"/>
  <c r="L192" i="110"/>
  <c r="G192" i="110"/>
  <c r="K192" i="110" s="1"/>
  <c r="P192" i="110" s="1"/>
  <c r="F193" i="110"/>
  <c r="Q195" i="55"/>
  <c r="G197" i="55"/>
  <c r="I196" i="55"/>
  <c r="E261" i="110"/>
  <c r="M261" i="110" s="1"/>
  <c r="N249" i="110"/>
  <c r="O248" i="110"/>
  <c r="V228" i="114"/>
  <c r="W228" i="114" s="1"/>
  <c r="L229" i="114"/>
  <c r="M229" i="114" s="1"/>
  <c r="U229" i="114" s="1"/>
  <c r="P229" i="114"/>
  <c r="J230" i="114"/>
  <c r="K230" i="114"/>
  <c r="I231" i="114"/>
  <c r="F233" i="114"/>
  <c r="G232" i="114"/>
  <c r="E260" i="88"/>
  <c r="M259" i="88"/>
  <c r="N223" i="88"/>
  <c r="O222" i="88"/>
  <c r="G194" i="88"/>
  <c r="H195" i="88"/>
  <c r="S195" i="88" s="1"/>
  <c r="F195" i="88"/>
  <c r="I194" i="88"/>
  <c r="R194" i="88" s="1"/>
  <c r="J193" i="88"/>
  <c r="K193" i="88" s="1"/>
  <c r="P193" i="88" s="1"/>
  <c r="R193" i="88"/>
  <c r="K117" i="112"/>
  <c r="I118" i="112" s="1"/>
  <c r="C120" i="113" s="1"/>
  <c r="H120" i="113" s="1"/>
  <c r="B120" i="113" s="1"/>
  <c r="C212" i="55"/>
  <c r="E198" i="95"/>
  <c r="O198" i="95" s="1"/>
  <c r="F197" i="95"/>
  <c r="J197" i="95" s="1"/>
  <c r="N197" i="95" s="1"/>
  <c r="E213" i="111"/>
  <c r="L212" i="111"/>
  <c r="H246" i="112" s="1"/>
  <c r="D248" i="113" s="1"/>
  <c r="D214" i="93"/>
  <c r="E213" i="93"/>
  <c r="P118" i="113"/>
  <c r="G136" i="113"/>
  <c r="L119" i="113"/>
  <c r="M119" i="113" s="1"/>
  <c r="L206" i="95" l="1"/>
  <c r="M205" i="95"/>
  <c r="G193" i="110"/>
  <c r="K193" i="110" s="1"/>
  <c r="P193" i="110" s="1"/>
  <c r="H194" i="110"/>
  <c r="I194" i="110" s="1"/>
  <c r="J194" i="110" s="1"/>
  <c r="F194" i="110"/>
  <c r="L193" i="110"/>
  <c r="C213" i="55"/>
  <c r="Q196" i="55"/>
  <c r="G198" i="55"/>
  <c r="G199" i="55" s="1"/>
  <c r="I197" i="55"/>
  <c r="N250" i="110"/>
  <c r="O249" i="110"/>
  <c r="E262" i="110"/>
  <c r="M262" i="110" s="1"/>
  <c r="V229" i="114"/>
  <c r="W229" i="114" s="1"/>
  <c r="I232" i="114"/>
  <c r="J231" i="114"/>
  <c r="K231" i="114"/>
  <c r="P230" i="114"/>
  <c r="L230" i="114"/>
  <c r="M230" i="114" s="1"/>
  <c r="U230" i="114" s="1"/>
  <c r="G233" i="114"/>
  <c r="F234" i="114"/>
  <c r="E261" i="88"/>
  <c r="M260" i="88"/>
  <c r="N224" i="88"/>
  <c r="O223" i="88"/>
  <c r="F196" i="88"/>
  <c r="H196" i="88"/>
  <c r="S196" i="88" s="1"/>
  <c r="G195" i="88"/>
  <c r="J194" i="88"/>
  <c r="K194" i="88" s="1"/>
  <c r="P194" i="88" s="1"/>
  <c r="I195" i="88"/>
  <c r="L195" i="88" s="1"/>
  <c r="L194" i="88"/>
  <c r="I120" i="113"/>
  <c r="J120" i="113" s="1"/>
  <c r="Q118" i="113"/>
  <c r="E214" i="111"/>
  <c r="L213" i="111"/>
  <c r="H247" i="112" s="1"/>
  <c r="D249" i="113" s="1"/>
  <c r="E199" i="95"/>
  <c r="O199" i="95" s="1"/>
  <c r="F198" i="95"/>
  <c r="J198" i="95" s="1"/>
  <c r="N198" i="95" s="1"/>
  <c r="O119" i="113"/>
  <c r="P119" i="113" s="1"/>
  <c r="F137" i="113"/>
  <c r="D215" i="93"/>
  <c r="E214" i="93"/>
  <c r="J118" i="112"/>
  <c r="I199" i="55" l="1"/>
  <c r="M206" i="95"/>
  <c r="L207" i="95"/>
  <c r="M207" i="95" s="1"/>
  <c r="H195" i="110"/>
  <c r="I195" i="110" s="1"/>
  <c r="J195" i="110" s="1"/>
  <c r="F195" i="110"/>
  <c r="G194" i="110"/>
  <c r="K194" i="110" s="1"/>
  <c r="P194" i="110" s="1"/>
  <c r="L194" i="110"/>
  <c r="Q197" i="55"/>
  <c r="C214" i="55"/>
  <c r="I198" i="55"/>
  <c r="E263" i="110"/>
  <c r="M263" i="110" s="1"/>
  <c r="N251" i="110"/>
  <c r="O250" i="110"/>
  <c r="V230" i="114"/>
  <c r="W230" i="114" s="1"/>
  <c r="I233" i="114"/>
  <c r="J232" i="114"/>
  <c r="K232" i="114"/>
  <c r="L231" i="114"/>
  <c r="M231" i="114" s="1"/>
  <c r="U231" i="114" s="1"/>
  <c r="P231" i="114"/>
  <c r="L120" i="113"/>
  <c r="M120" i="113" s="1"/>
  <c r="G234" i="114"/>
  <c r="F235" i="114"/>
  <c r="M261" i="88"/>
  <c r="E262" i="88"/>
  <c r="N225" i="88"/>
  <c r="O224" i="88"/>
  <c r="R195" i="88"/>
  <c r="I196" i="88"/>
  <c r="R196" i="88" s="1"/>
  <c r="J195" i="88"/>
  <c r="K195" i="88" s="1"/>
  <c r="P195" i="88" s="1"/>
  <c r="F197" i="88"/>
  <c r="H197" i="88"/>
  <c r="S197" i="88" s="1"/>
  <c r="G196" i="88"/>
  <c r="Q119" i="113"/>
  <c r="E200" i="95"/>
  <c r="O200" i="95" s="1"/>
  <c r="F199" i="95"/>
  <c r="J199" i="95" s="1"/>
  <c r="N199" i="95" s="1"/>
  <c r="K118" i="112"/>
  <c r="I119" i="112" s="1"/>
  <c r="C121" i="113" s="1"/>
  <c r="H121" i="113" s="1"/>
  <c r="B121" i="113" s="1"/>
  <c r="D216" i="93"/>
  <c r="E215" i="93"/>
  <c r="G137" i="113"/>
  <c r="L214" i="111"/>
  <c r="H248" i="112" s="1"/>
  <c r="D250" i="113" s="1"/>
  <c r="E215" i="111"/>
  <c r="H196" i="110" l="1"/>
  <c r="I196" i="110" s="1"/>
  <c r="J196" i="110" s="1"/>
  <c r="F196" i="110"/>
  <c r="G195" i="110"/>
  <c r="K195" i="110" s="1"/>
  <c r="P195" i="110" s="1"/>
  <c r="L195" i="110"/>
  <c r="C215" i="55"/>
  <c r="Q198" i="55"/>
  <c r="P120" i="113"/>
  <c r="N252" i="110"/>
  <c r="O251" i="110"/>
  <c r="E264" i="110"/>
  <c r="M264" i="110" s="1"/>
  <c r="V231" i="114"/>
  <c r="W231" i="114" s="1"/>
  <c r="K233" i="114"/>
  <c r="I234" i="114"/>
  <c r="J233" i="114"/>
  <c r="P232" i="114"/>
  <c r="L232" i="114"/>
  <c r="M232" i="114" s="1"/>
  <c r="U232" i="114" s="1"/>
  <c r="G235" i="114"/>
  <c r="F236" i="114"/>
  <c r="E263" i="88"/>
  <c r="M262" i="88"/>
  <c r="N226" i="88"/>
  <c r="O225" i="88"/>
  <c r="J196" i="88"/>
  <c r="K196" i="88" s="1"/>
  <c r="P196" i="88" s="1"/>
  <c r="I197" i="88"/>
  <c r="R197" i="88" s="1"/>
  <c r="L196" i="88"/>
  <c r="H198" i="88"/>
  <c r="S198" i="88" s="1"/>
  <c r="F198" i="88"/>
  <c r="G197" i="88"/>
  <c r="I121" i="113"/>
  <c r="L121" i="113" s="1"/>
  <c r="O121" i="113" s="1"/>
  <c r="L215" i="111"/>
  <c r="H249" i="112" s="1"/>
  <c r="D251" i="113" s="1"/>
  <c r="E216" i="111"/>
  <c r="E201" i="95"/>
  <c r="O201" i="95" s="1"/>
  <c r="F200" i="95"/>
  <c r="J200" i="95" s="1"/>
  <c r="N200" i="95" s="1"/>
  <c r="F138" i="113"/>
  <c r="G138" i="113" s="1"/>
  <c r="D217" i="93"/>
  <c r="E216" i="93"/>
  <c r="J119" i="112"/>
  <c r="G196" i="110" l="1"/>
  <c r="K196" i="110" s="1"/>
  <c r="P196" i="110" s="1"/>
  <c r="H197" i="110"/>
  <c r="I197" i="110" s="1"/>
  <c r="J197" i="110" s="1"/>
  <c r="F197" i="110"/>
  <c r="L196" i="110"/>
  <c r="C216" i="55"/>
  <c r="E265" i="110"/>
  <c r="M265" i="110" s="1"/>
  <c r="N253" i="110"/>
  <c r="O252" i="110"/>
  <c r="V232" i="114"/>
  <c r="W232" i="114" s="1"/>
  <c r="P233" i="114"/>
  <c r="L233" i="114"/>
  <c r="M233" i="114" s="1"/>
  <c r="U233" i="114" s="1"/>
  <c r="I235" i="114"/>
  <c r="J234" i="114"/>
  <c r="K234" i="114"/>
  <c r="G236" i="114"/>
  <c r="F237" i="114"/>
  <c r="E264" i="88"/>
  <c r="M263" i="88"/>
  <c r="N227" i="88"/>
  <c r="O226" i="88"/>
  <c r="I198" i="88"/>
  <c r="L198" i="88" s="1"/>
  <c r="J197" i="88"/>
  <c r="K197" i="88" s="1"/>
  <c r="P197" i="88" s="1"/>
  <c r="F199" i="88"/>
  <c r="H199" i="88"/>
  <c r="S199" i="88" s="1"/>
  <c r="G198" i="88"/>
  <c r="L197" i="88"/>
  <c r="J121" i="113"/>
  <c r="K119" i="112"/>
  <c r="I120" i="112" s="1"/>
  <c r="C122" i="113" s="1"/>
  <c r="H122" i="113" s="1"/>
  <c r="B122" i="113" s="1"/>
  <c r="D218" i="93"/>
  <c r="E217" i="93"/>
  <c r="F139" i="113"/>
  <c r="G139" i="113" s="1"/>
  <c r="E202" i="95"/>
  <c r="O202" i="95" s="1"/>
  <c r="F201" i="95"/>
  <c r="J201" i="95" s="1"/>
  <c r="N201" i="95" s="1"/>
  <c r="E217" i="111"/>
  <c r="L216" i="111"/>
  <c r="H250" i="112" s="1"/>
  <c r="D252" i="113" s="1"/>
  <c r="Q120" i="113"/>
  <c r="P121" i="113"/>
  <c r="M121" i="113"/>
  <c r="F198" i="110" l="1"/>
  <c r="G197" i="110"/>
  <c r="K197" i="110" s="1"/>
  <c r="P197" i="110" s="1"/>
  <c r="L197" i="110"/>
  <c r="H198" i="110"/>
  <c r="I198" i="110" s="1"/>
  <c r="J198" i="110" s="1"/>
  <c r="C217" i="55"/>
  <c r="V233" i="114"/>
  <c r="W233" i="114" s="1"/>
  <c r="N254" i="110"/>
  <c r="O253" i="110"/>
  <c r="E266" i="110"/>
  <c r="M266" i="110" s="1"/>
  <c r="L234" i="114"/>
  <c r="M234" i="114" s="1"/>
  <c r="U234" i="114" s="1"/>
  <c r="P234" i="114"/>
  <c r="K235" i="114"/>
  <c r="I236" i="114"/>
  <c r="J235" i="114"/>
  <c r="F238" i="114"/>
  <c r="G237" i="114"/>
  <c r="E265" i="88"/>
  <c r="M264" i="88"/>
  <c r="N228" i="88"/>
  <c r="O227" i="88"/>
  <c r="F200" i="88"/>
  <c r="H200" i="88"/>
  <c r="S200" i="88" s="1"/>
  <c r="G199" i="88"/>
  <c r="I199" i="88"/>
  <c r="J198" i="88"/>
  <c r="K198" i="88" s="1"/>
  <c r="P198" i="88" s="1"/>
  <c r="R198" i="88"/>
  <c r="I122" i="113"/>
  <c r="J122" i="113" s="1"/>
  <c r="D219" i="93"/>
  <c r="E218" i="93"/>
  <c r="J120" i="112"/>
  <c r="Q121" i="113"/>
  <c r="L217" i="111"/>
  <c r="H251" i="112" s="1"/>
  <c r="D253" i="113" s="1"/>
  <c r="E218" i="111"/>
  <c r="E203" i="95"/>
  <c r="O203" i="95" s="1"/>
  <c r="F202" i="95"/>
  <c r="J202" i="95" s="1"/>
  <c r="N202" i="95" s="1"/>
  <c r="F140" i="113"/>
  <c r="G140" i="113" s="1"/>
  <c r="F199" i="110" l="1"/>
  <c r="G198" i="110"/>
  <c r="K198" i="110" s="1"/>
  <c r="P198" i="110" s="1"/>
  <c r="L198" i="110"/>
  <c r="H199" i="110"/>
  <c r="I199" i="110" s="1"/>
  <c r="J199" i="110" s="1"/>
  <c r="Q199" i="55"/>
  <c r="V234" i="114"/>
  <c r="W234" i="114" s="1"/>
  <c r="E267" i="110"/>
  <c r="M267" i="110" s="1"/>
  <c r="N255" i="110"/>
  <c r="O254" i="110"/>
  <c r="J236" i="114"/>
  <c r="K236" i="114"/>
  <c r="I237" i="114"/>
  <c r="L235" i="114"/>
  <c r="M235" i="114" s="1"/>
  <c r="U235" i="114" s="1"/>
  <c r="P235" i="114"/>
  <c r="F239" i="114"/>
  <c r="G238" i="114"/>
  <c r="L122" i="113"/>
  <c r="O122" i="113" s="1"/>
  <c r="M265" i="88"/>
  <c r="E266" i="88"/>
  <c r="N229" i="88"/>
  <c r="O228" i="88"/>
  <c r="J199" i="88"/>
  <c r="K199" i="88" s="1"/>
  <c r="P199" i="88" s="1"/>
  <c r="I200" i="88"/>
  <c r="R200" i="88" s="1"/>
  <c r="R199" i="88"/>
  <c r="H201" i="88"/>
  <c r="S201" i="88" s="1"/>
  <c r="G200" i="88"/>
  <c r="F201" i="88"/>
  <c r="L199" i="88"/>
  <c r="E219" i="111"/>
  <c r="L218" i="111"/>
  <c r="H252" i="112" s="1"/>
  <c r="D254" i="113" s="1"/>
  <c r="K120" i="112"/>
  <c r="I121" i="112" s="1"/>
  <c r="C123" i="113" s="1"/>
  <c r="H123" i="113" s="1"/>
  <c r="F141" i="113"/>
  <c r="G141" i="113" s="1"/>
  <c r="E204" i="95"/>
  <c r="O204" i="95" s="1"/>
  <c r="F203" i="95"/>
  <c r="J203" i="95" s="1"/>
  <c r="N203" i="95" s="1"/>
  <c r="D220" i="93"/>
  <c r="E219" i="93"/>
  <c r="G199" i="110" l="1"/>
  <c r="K199" i="110" s="1"/>
  <c r="P199" i="110" s="1"/>
  <c r="L199" i="110"/>
  <c r="H200" i="110"/>
  <c r="I200" i="110" s="1"/>
  <c r="J200" i="110" s="1"/>
  <c r="F200" i="110"/>
  <c r="N256" i="110"/>
  <c r="O255" i="110"/>
  <c r="E268" i="110"/>
  <c r="M268" i="110" s="1"/>
  <c r="V235" i="114"/>
  <c r="W235" i="114" s="1"/>
  <c r="I238" i="114"/>
  <c r="J237" i="114"/>
  <c r="K237" i="114"/>
  <c r="L236" i="114"/>
  <c r="M236" i="114" s="1"/>
  <c r="U236" i="114" s="1"/>
  <c r="P236" i="114"/>
  <c r="F240" i="114"/>
  <c r="G239" i="114"/>
  <c r="M122" i="113"/>
  <c r="M266" i="88"/>
  <c r="E267" i="88"/>
  <c r="L200" i="88"/>
  <c r="N230" i="88"/>
  <c r="O229" i="88"/>
  <c r="H202" i="88"/>
  <c r="S202" i="88" s="1"/>
  <c r="F202" i="88"/>
  <c r="G201" i="88"/>
  <c r="J200" i="88"/>
  <c r="K200" i="88" s="1"/>
  <c r="P200" i="88" s="1"/>
  <c r="I201" i="88"/>
  <c r="R201" i="88" s="1"/>
  <c r="J121" i="112"/>
  <c r="K121" i="112" s="1"/>
  <c r="I122" i="112" s="1"/>
  <c r="C124" i="113" s="1"/>
  <c r="H124" i="113" s="1"/>
  <c r="B124" i="113" s="1"/>
  <c r="E205" i="95"/>
  <c r="O205" i="95" s="1"/>
  <c r="F204" i="95"/>
  <c r="J204" i="95" s="1"/>
  <c r="N204" i="95" s="1"/>
  <c r="F142" i="113"/>
  <c r="G142" i="113" s="1"/>
  <c r="B123" i="113"/>
  <c r="I123" i="113"/>
  <c r="J123" i="113" s="1"/>
  <c r="L219" i="111"/>
  <c r="H253" i="112" s="1"/>
  <c r="D255" i="113" s="1"/>
  <c r="E220" i="111"/>
  <c r="D221" i="93"/>
  <c r="E220" i="93"/>
  <c r="P122" i="113"/>
  <c r="F201" i="110" l="1"/>
  <c r="H201" i="110"/>
  <c r="I201" i="110" s="1"/>
  <c r="J201" i="110" s="1"/>
  <c r="L200" i="110"/>
  <c r="G200" i="110"/>
  <c r="K200" i="110" s="1"/>
  <c r="P200" i="110" s="1"/>
  <c r="V236" i="114"/>
  <c r="W236" i="114" s="1"/>
  <c r="E269" i="110"/>
  <c r="M269" i="110" s="1"/>
  <c r="N257" i="110"/>
  <c r="O256" i="110"/>
  <c r="L237" i="114"/>
  <c r="M237" i="114" s="1"/>
  <c r="U237" i="114" s="1"/>
  <c r="P237" i="114"/>
  <c r="J238" i="114"/>
  <c r="K238" i="114"/>
  <c r="I239" i="114"/>
  <c r="F241" i="114"/>
  <c r="G240" i="114"/>
  <c r="E268" i="88"/>
  <c r="M267" i="88"/>
  <c r="N231" i="88"/>
  <c r="O230" i="88"/>
  <c r="J201" i="88"/>
  <c r="K201" i="88" s="1"/>
  <c r="P201" i="88" s="1"/>
  <c r="I202" i="88"/>
  <c r="R202" i="88" s="1"/>
  <c r="F203" i="88"/>
  <c r="H203" i="88"/>
  <c r="S203" i="88" s="1"/>
  <c r="G202" i="88"/>
  <c r="L201" i="88"/>
  <c r="I124" i="113"/>
  <c r="J122" i="112"/>
  <c r="Q122" i="113"/>
  <c r="F143" i="113"/>
  <c r="D222" i="93"/>
  <c r="E221" i="93"/>
  <c r="L220" i="111"/>
  <c r="H254" i="112" s="1"/>
  <c r="D256" i="113" s="1"/>
  <c r="E221" i="111"/>
  <c r="L123" i="113"/>
  <c r="E206" i="95"/>
  <c r="O206" i="95" s="1"/>
  <c r="F205" i="95"/>
  <c r="J205" i="95" s="1"/>
  <c r="N205" i="95" s="1"/>
  <c r="H202" i="110" l="1"/>
  <c r="I202" i="110" s="1"/>
  <c r="J202" i="110" s="1"/>
  <c r="F202" i="110"/>
  <c r="G201" i="110"/>
  <c r="K201" i="110" s="1"/>
  <c r="P201" i="110" s="1"/>
  <c r="L201" i="110"/>
  <c r="V237" i="114"/>
  <c r="W237" i="114" s="1"/>
  <c r="N258" i="110"/>
  <c r="O257" i="110"/>
  <c r="E270" i="110"/>
  <c r="M270" i="110" s="1"/>
  <c r="L238" i="114"/>
  <c r="M238" i="114" s="1"/>
  <c r="U238" i="114" s="1"/>
  <c r="P238" i="114"/>
  <c r="I240" i="114"/>
  <c r="K239" i="114"/>
  <c r="J239" i="114"/>
  <c r="F242" i="114"/>
  <c r="G241" i="114"/>
  <c r="L202" i="88"/>
  <c r="E269" i="88"/>
  <c r="M268" i="88"/>
  <c r="N232" i="88"/>
  <c r="O231" i="88"/>
  <c r="F204" i="88"/>
  <c r="H204" i="88"/>
  <c r="S204" i="88" s="1"/>
  <c r="G203" i="88"/>
  <c r="I203" i="88"/>
  <c r="L203" i="88" s="1"/>
  <c r="J202" i="88"/>
  <c r="K202" i="88" s="1"/>
  <c r="P202" i="88" s="1"/>
  <c r="K122" i="112"/>
  <c r="I123" i="112" s="1"/>
  <c r="C125" i="113" s="1"/>
  <c r="H125" i="113" s="1"/>
  <c r="B125" i="113" s="1"/>
  <c r="L124" i="113"/>
  <c r="O124" i="113" s="1"/>
  <c r="M123" i="113"/>
  <c r="E222" i="111"/>
  <c r="L221" i="111"/>
  <c r="H255" i="112" s="1"/>
  <c r="D257" i="113" s="1"/>
  <c r="E207" i="95"/>
  <c r="O207" i="95" s="1"/>
  <c r="F206" i="95"/>
  <c r="J206" i="95" s="1"/>
  <c r="N206" i="95" s="1"/>
  <c r="O123" i="113"/>
  <c r="D223" i="93"/>
  <c r="E222" i="93"/>
  <c r="G143" i="113"/>
  <c r="J124" i="113"/>
  <c r="H203" i="110" l="1"/>
  <c r="I203" i="110" s="1"/>
  <c r="J203" i="110" s="1"/>
  <c r="F203" i="110"/>
  <c r="G202" i="110"/>
  <c r="K202" i="110" s="1"/>
  <c r="P202" i="110" s="1"/>
  <c r="L202" i="110"/>
  <c r="V238" i="114"/>
  <c r="W238" i="114" s="1"/>
  <c r="E271" i="110"/>
  <c r="M271" i="110" s="1"/>
  <c r="N259" i="110"/>
  <c r="O258" i="110"/>
  <c r="L239" i="114"/>
  <c r="M239" i="114" s="1"/>
  <c r="U239" i="114" s="1"/>
  <c r="P239" i="114"/>
  <c r="K240" i="114"/>
  <c r="I241" i="114"/>
  <c r="J240" i="114"/>
  <c r="P123" i="113"/>
  <c r="P124" i="113" s="1"/>
  <c r="G242" i="114"/>
  <c r="F243" i="114"/>
  <c r="E270" i="88"/>
  <c r="M269" i="88"/>
  <c r="N233" i="88"/>
  <c r="O232" i="88"/>
  <c r="F205" i="88"/>
  <c r="H205" i="88"/>
  <c r="S205" i="88" s="1"/>
  <c r="G204" i="88"/>
  <c r="J203" i="88"/>
  <c r="K203" i="88" s="1"/>
  <c r="P203" i="88" s="1"/>
  <c r="I204" i="88"/>
  <c r="R204" i="88" s="1"/>
  <c r="R203" i="88"/>
  <c r="M124" i="113"/>
  <c r="I125" i="113"/>
  <c r="J125" i="113" s="1"/>
  <c r="D224" i="93"/>
  <c r="E223" i="93"/>
  <c r="E208" i="95"/>
  <c r="F207" i="95"/>
  <c r="J207" i="95" s="1"/>
  <c r="N207" i="95" s="1"/>
  <c r="L222" i="111"/>
  <c r="H256" i="112" s="1"/>
  <c r="D258" i="113" s="1"/>
  <c r="E223" i="111"/>
  <c r="J123" i="112"/>
  <c r="F144" i="113"/>
  <c r="G144" i="113" s="1"/>
  <c r="G203" i="110" l="1"/>
  <c r="K203" i="110" s="1"/>
  <c r="P203" i="110" s="1"/>
  <c r="L203" i="110"/>
  <c r="H204" i="110"/>
  <c r="I204" i="110" s="1"/>
  <c r="J204" i="110" s="1"/>
  <c r="F204" i="110"/>
  <c r="V239" i="114"/>
  <c r="W239" i="114" s="1"/>
  <c r="Q123" i="113"/>
  <c r="N260" i="110"/>
  <c r="O259" i="110"/>
  <c r="E272" i="110"/>
  <c r="M272" i="110" s="1"/>
  <c r="I242" i="114"/>
  <c r="J241" i="114"/>
  <c r="K241" i="114"/>
  <c r="L240" i="114"/>
  <c r="M240" i="114" s="1"/>
  <c r="U240" i="114" s="1"/>
  <c r="P240" i="114"/>
  <c r="F244" i="114"/>
  <c r="G243" i="114"/>
  <c r="E271" i="88"/>
  <c r="M270" i="88"/>
  <c r="N234" i="88"/>
  <c r="O233" i="88"/>
  <c r="J204" i="88"/>
  <c r="K204" i="88" s="1"/>
  <c r="P204" i="88" s="1"/>
  <c r="I205" i="88"/>
  <c r="L205" i="88" s="1"/>
  <c r="L204" i="88"/>
  <c r="F206" i="88"/>
  <c r="H206" i="88"/>
  <c r="S206" i="88" s="1"/>
  <c r="G205" i="88"/>
  <c r="F145" i="113"/>
  <c r="Q124" i="113"/>
  <c r="E224" i="111"/>
  <c r="L223" i="111"/>
  <c r="H257" i="112" s="1"/>
  <c r="D259" i="113" s="1"/>
  <c r="D225" i="93"/>
  <c r="E224" i="93"/>
  <c r="K123" i="112"/>
  <c r="I124" i="112" s="1"/>
  <c r="C126" i="113" s="1"/>
  <c r="H126" i="113" s="1"/>
  <c r="B126" i="113" s="1"/>
  <c r="E209" i="95"/>
  <c r="F208" i="95"/>
  <c r="L125" i="113"/>
  <c r="L204" i="110" l="1"/>
  <c r="H205" i="110"/>
  <c r="I205" i="110" s="1"/>
  <c r="J205" i="110" s="1"/>
  <c r="F205" i="110"/>
  <c r="G204" i="110"/>
  <c r="K204" i="110" s="1"/>
  <c r="P204" i="110" s="1"/>
  <c r="E273" i="110"/>
  <c r="M273" i="110" s="1"/>
  <c r="N261" i="110"/>
  <c r="O260" i="110"/>
  <c r="V240" i="114"/>
  <c r="W240" i="114" s="1"/>
  <c r="P241" i="114"/>
  <c r="L241" i="114"/>
  <c r="M241" i="114" s="1"/>
  <c r="U241" i="114" s="1"/>
  <c r="J242" i="114"/>
  <c r="I243" i="114"/>
  <c r="K242" i="114"/>
  <c r="G244" i="114"/>
  <c r="F245" i="114"/>
  <c r="M271" i="88"/>
  <c r="E272" i="88"/>
  <c r="N235" i="88"/>
  <c r="O234" i="88"/>
  <c r="F207" i="88"/>
  <c r="H207" i="88"/>
  <c r="S207" i="88" s="1"/>
  <c r="G206" i="88"/>
  <c r="R205" i="88"/>
  <c r="I206" i="88"/>
  <c r="L206" i="88" s="1"/>
  <c r="J205" i="88"/>
  <c r="K205" i="88" s="1"/>
  <c r="P205" i="88" s="1"/>
  <c r="G208" i="95"/>
  <c r="J124" i="112"/>
  <c r="D226" i="93"/>
  <c r="E225" i="93"/>
  <c r="L224" i="111"/>
  <c r="H258" i="112" s="1"/>
  <c r="D260" i="113" s="1"/>
  <c r="E225" i="111"/>
  <c r="M125" i="113"/>
  <c r="O125" i="113"/>
  <c r="P125" i="113" s="1"/>
  <c r="E210" i="95"/>
  <c r="F209" i="95"/>
  <c r="I126" i="113"/>
  <c r="G145" i="113"/>
  <c r="H206" i="110" l="1"/>
  <c r="I206" i="110" s="1"/>
  <c r="J206" i="110" s="1"/>
  <c r="F206" i="110"/>
  <c r="L205" i="110"/>
  <c r="G205" i="110"/>
  <c r="K205" i="110" s="1"/>
  <c r="P205" i="110" s="1"/>
  <c r="N262" i="110"/>
  <c r="O261" i="110"/>
  <c r="E274" i="110"/>
  <c r="M274" i="110" s="1"/>
  <c r="V241" i="114"/>
  <c r="W241" i="114" s="1"/>
  <c r="K243" i="114"/>
  <c r="I244" i="114"/>
  <c r="J243" i="114"/>
  <c r="L242" i="114"/>
  <c r="M242" i="114" s="1"/>
  <c r="U242" i="114" s="1"/>
  <c r="P242" i="114"/>
  <c r="G245" i="114"/>
  <c r="F246" i="114"/>
  <c r="E273" i="88"/>
  <c r="M272" i="88"/>
  <c r="N236" i="88"/>
  <c r="O235" i="88"/>
  <c r="J206" i="88"/>
  <c r="K206" i="88" s="1"/>
  <c r="P206" i="88" s="1"/>
  <c r="I207" i="88"/>
  <c r="L207" i="88" s="1"/>
  <c r="R206" i="88"/>
  <c r="H208" i="88"/>
  <c r="S208" i="88" s="1"/>
  <c r="F208" i="88"/>
  <c r="G207" i="88"/>
  <c r="K208" i="95"/>
  <c r="L208" i="95" s="1"/>
  <c r="H208" i="95"/>
  <c r="Q125" i="113"/>
  <c r="K124" i="112"/>
  <c r="I125" i="112" s="1"/>
  <c r="C127" i="113" s="1"/>
  <c r="H127" i="113" s="1"/>
  <c r="B127" i="113" s="1"/>
  <c r="F146" i="113"/>
  <c r="G146" i="113" s="1"/>
  <c r="L126" i="113"/>
  <c r="O126" i="113" s="1"/>
  <c r="P126" i="113" s="1"/>
  <c r="E211" i="95"/>
  <c r="F210" i="95"/>
  <c r="E226" i="111"/>
  <c r="L225" i="111"/>
  <c r="H259" i="112" s="1"/>
  <c r="D261" i="113" s="1"/>
  <c r="D227" i="93"/>
  <c r="E226" i="93"/>
  <c r="J126" i="113"/>
  <c r="O208" i="95" l="1"/>
  <c r="G206" i="110"/>
  <c r="K206" i="110" s="1"/>
  <c r="P206" i="110" s="1"/>
  <c r="F207" i="110"/>
  <c r="L206" i="110"/>
  <c r="H207" i="110"/>
  <c r="I207" i="110" s="1"/>
  <c r="J207" i="110" s="1"/>
  <c r="V242" i="114"/>
  <c r="W242" i="114" s="1"/>
  <c r="R207" i="88"/>
  <c r="E275" i="110"/>
  <c r="M275" i="110" s="1"/>
  <c r="N263" i="110"/>
  <c r="O262" i="110"/>
  <c r="J244" i="114"/>
  <c r="K244" i="114"/>
  <c r="I245" i="114"/>
  <c r="P243" i="114"/>
  <c r="L243" i="114"/>
  <c r="M243" i="114" s="1"/>
  <c r="U243" i="114" s="1"/>
  <c r="M126" i="113"/>
  <c r="F247" i="114"/>
  <c r="G246" i="114"/>
  <c r="E274" i="88"/>
  <c r="M273" i="88"/>
  <c r="N237" i="88"/>
  <c r="O236" i="88"/>
  <c r="I208" i="88"/>
  <c r="R208" i="88" s="1"/>
  <c r="J207" i="88"/>
  <c r="K207" i="88" s="1"/>
  <c r="P207" i="88" s="1"/>
  <c r="F209" i="88"/>
  <c r="G208" i="88"/>
  <c r="H209" i="88"/>
  <c r="S209" i="88" s="1"/>
  <c r="L209" i="95"/>
  <c r="M208" i="95"/>
  <c r="H209" i="95"/>
  <c r="I208" i="95"/>
  <c r="J208" i="95" s="1"/>
  <c r="Q126" i="113"/>
  <c r="I127" i="113"/>
  <c r="J127" i="113" s="1"/>
  <c r="D228" i="93"/>
  <c r="E227" i="93"/>
  <c r="E227" i="111"/>
  <c r="L226" i="111"/>
  <c r="H260" i="112" s="1"/>
  <c r="D262" i="113" s="1"/>
  <c r="E212" i="95"/>
  <c r="F211" i="95"/>
  <c r="F147" i="113"/>
  <c r="G147" i="113" s="1"/>
  <c r="J125" i="112"/>
  <c r="O209" i="95" l="1"/>
  <c r="F208" i="110"/>
  <c r="G207" i="110"/>
  <c r="K207" i="110" s="1"/>
  <c r="P207" i="110" s="1"/>
  <c r="L207" i="110"/>
  <c r="H208" i="110"/>
  <c r="I208" i="110" s="1"/>
  <c r="J208" i="110" s="1"/>
  <c r="V243" i="114"/>
  <c r="W243" i="114" s="1"/>
  <c r="N208" i="95"/>
  <c r="N264" i="110"/>
  <c r="O263" i="110"/>
  <c r="E276" i="110"/>
  <c r="M276" i="110" s="1"/>
  <c r="I246" i="114"/>
  <c r="J245" i="114"/>
  <c r="K245" i="114"/>
  <c r="P244" i="114"/>
  <c r="L244" i="114"/>
  <c r="M244" i="114" s="1"/>
  <c r="U244" i="114" s="1"/>
  <c r="F248" i="114"/>
  <c r="G247" i="114"/>
  <c r="M274" i="88"/>
  <c r="E275" i="88"/>
  <c r="N238" i="88"/>
  <c r="O237" i="88"/>
  <c r="L208" i="88"/>
  <c r="F210" i="88"/>
  <c r="H210" i="88"/>
  <c r="S210" i="88" s="1"/>
  <c r="G209" i="88"/>
  <c r="I209" i="88"/>
  <c r="J208" i="88"/>
  <c r="K208" i="88" s="1"/>
  <c r="P208" i="88" s="1"/>
  <c r="I209" i="95"/>
  <c r="J209" i="95" s="1"/>
  <c r="H210" i="95"/>
  <c r="M209" i="95"/>
  <c r="L210" i="95"/>
  <c r="E213" i="95"/>
  <c r="F212" i="95"/>
  <c r="L227" i="111"/>
  <c r="H261" i="112" s="1"/>
  <c r="D263" i="113" s="1"/>
  <c r="E228" i="111"/>
  <c r="K125" i="112"/>
  <c r="I126" i="112" s="1"/>
  <c r="C128" i="113" s="1"/>
  <c r="H128" i="113" s="1"/>
  <c r="B128" i="113" s="1"/>
  <c r="F148" i="113"/>
  <c r="G148" i="113" s="1"/>
  <c r="D229" i="93"/>
  <c r="E228" i="93"/>
  <c r="L127" i="113"/>
  <c r="O127" i="113" s="1"/>
  <c r="P127" i="113" s="1"/>
  <c r="O210" i="95" l="1"/>
  <c r="H209" i="110"/>
  <c r="I209" i="110" s="1"/>
  <c r="J209" i="110" s="1"/>
  <c r="F209" i="110"/>
  <c r="G208" i="110"/>
  <c r="K208" i="110" s="1"/>
  <c r="P208" i="110" s="1"/>
  <c r="L208" i="110"/>
  <c r="V244" i="114"/>
  <c r="W244" i="114" s="1"/>
  <c r="N265" i="110"/>
  <c r="O264" i="110"/>
  <c r="E277" i="110"/>
  <c r="M277" i="110" s="1"/>
  <c r="L245" i="114"/>
  <c r="M245" i="114" s="1"/>
  <c r="U245" i="114" s="1"/>
  <c r="P245" i="114"/>
  <c r="I247" i="114"/>
  <c r="J246" i="114"/>
  <c r="K246" i="114"/>
  <c r="G248" i="114"/>
  <c r="F249" i="114"/>
  <c r="M275" i="88"/>
  <c r="E276" i="88"/>
  <c r="N239" i="88"/>
  <c r="O238" i="88"/>
  <c r="L209" i="88"/>
  <c r="I210" i="88"/>
  <c r="R210" i="88" s="1"/>
  <c r="J209" i="88"/>
  <c r="K209" i="88" s="1"/>
  <c r="P209" i="88" s="1"/>
  <c r="F211" i="88"/>
  <c r="H211" i="88"/>
  <c r="S211" i="88" s="1"/>
  <c r="G210" i="88"/>
  <c r="R209" i="88"/>
  <c r="L211" i="95"/>
  <c r="M210" i="95"/>
  <c r="H211" i="95"/>
  <c r="I210" i="95"/>
  <c r="J210" i="95" s="1"/>
  <c r="N209" i="95"/>
  <c r="Q127" i="113"/>
  <c r="F149" i="113"/>
  <c r="L228" i="111"/>
  <c r="H262" i="112" s="1"/>
  <c r="D264" i="113" s="1"/>
  <c r="E229" i="111"/>
  <c r="M127" i="113"/>
  <c r="D230" i="93"/>
  <c r="E229" i="93"/>
  <c r="J126" i="112"/>
  <c r="I128" i="113"/>
  <c r="E214" i="95"/>
  <c r="F213" i="95"/>
  <c r="O211" i="95" l="1"/>
  <c r="F210" i="110"/>
  <c r="L209" i="110"/>
  <c r="G209" i="110"/>
  <c r="K209" i="110" s="1"/>
  <c r="P209" i="110" s="1"/>
  <c r="H210" i="110"/>
  <c r="I210" i="110" s="1"/>
  <c r="J210" i="110" s="1"/>
  <c r="G212" i="55"/>
  <c r="N210" i="95"/>
  <c r="V245" i="114"/>
  <c r="W245" i="114" s="1"/>
  <c r="E278" i="110"/>
  <c r="M278" i="110" s="1"/>
  <c r="N266" i="110"/>
  <c r="O265" i="110"/>
  <c r="I248" i="114"/>
  <c r="J247" i="114"/>
  <c r="K247" i="114"/>
  <c r="P246" i="114"/>
  <c r="L246" i="114"/>
  <c r="M246" i="114" s="1"/>
  <c r="U246" i="114" s="1"/>
  <c r="G249" i="114"/>
  <c r="F250" i="114"/>
  <c r="E277" i="88"/>
  <c r="M276" i="88"/>
  <c r="N240" i="88"/>
  <c r="O239" i="88"/>
  <c r="F212" i="88"/>
  <c r="G211" i="88"/>
  <c r="H212" i="88"/>
  <c r="S212" i="88" s="1"/>
  <c r="L210" i="88"/>
  <c r="J210" i="88"/>
  <c r="K210" i="88" s="1"/>
  <c r="P210" i="88" s="1"/>
  <c r="I211" i="88"/>
  <c r="R211" i="88" s="1"/>
  <c r="H212" i="95"/>
  <c r="I211" i="95"/>
  <c r="J211" i="95" s="1"/>
  <c r="L212" i="95"/>
  <c r="M211" i="95"/>
  <c r="L128" i="113"/>
  <c r="O128" i="113" s="1"/>
  <c r="P128" i="113" s="1"/>
  <c r="H44" i="160" s="1"/>
  <c r="L229" i="111"/>
  <c r="H263" i="112" s="1"/>
  <c r="D265" i="113" s="1"/>
  <c r="E230" i="111"/>
  <c r="E215" i="95"/>
  <c r="F214" i="95"/>
  <c r="K126" i="112"/>
  <c r="I127" i="112" s="1"/>
  <c r="C129" i="113" s="1"/>
  <c r="H129" i="113" s="1"/>
  <c r="B129" i="113" s="1"/>
  <c r="D231" i="93"/>
  <c r="E230" i="93"/>
  <c r="J128" i="113"/>
  <c r="G149" i="113"/>
  <c r="O212" i="95" l="1"/>
  <c r="H211" i="110"/>
  <c r="I211" i="110" s="1"/>
  <c r="J211" i="110" s="1"/>
  <c r="F211" i="110"/>
  <c r="L210" i="110"/>
  <c r="G210" i="110"/>
  <c r="K210" i="110" s="1"/>
  <c r="P210" i="110" s="1"/>
  <c r="G213" i="55"/>
  <c r="I212" i="55"/>
  <c r="Q212" i="55" s="1"/>
  <c r="V246" i="114"/>
  <c r="W246" i="114" s="1"/>
  <c r="E279" i="110"/>
  <c r="M279" i="110" s="1"/>
  <c r="N267" i="110"/>
  <c r="O266" i="110"/>
  <c r="L247" i="114"/>
  <c r="M247" i="114" s="1"/>
  <c r="U247" i="114" s="1"/>
  <c r="P247" i="114"/>
  <c r="I249" i="114"/>
  <c r="J248" i="114"/>
  <c r="K248" i="114"/>
  <c r="G250" i="114"/>
  <c r="F251" i="114"/>
  <c r="E278" i="88"/>
  <c r="M277" i="88"/>
  <c r="N241" i="88"/>
  <c r="O240" i="88"/>
  <c r="L211" i="88"/>
  <c r="J211" i="88"/>
  <c r="K211" i="88" s="1"/>
  <c r="P211" i="88" s="1"/>
  <c r="I212" i="88"/>
  <c r="F213" i="88"/>
  <c r="H213" i="88"/>
  <c r="S213" i="88" s="1"/>
  <c r="G212" i="88"/>
  <c r="R212" i="88"/>
  <c r="M212" i="95"/>
  <c r="L213" i="95"/>
  <c r="I212" i="95"/>
  <c r="J212" i="95" s="1"/>
  <c r="H213" i="95"/>
  <c r="N211" i="95"/>
  <c r="J127" i="112"/>
  <c r="K127" i="112" s="1"/>
  <c r="I128" i="112" s="1"/>
  <c r="C130" i="113" s="1"/>
  <c r="H130" i="113" s="1"/>
  <c r="B130" i="113" s="1"/>
  <c r="M128" i="113"/>
  <c r="F150" i="113"/>
  <c r="G150" i="113" s="1"/>
  <c r="E216" i="95"/>
  <c r="F215" i="95"/>
  <c r="I129" i="113"/>
  <c r="J129" i="113" s="1"/>
  <c r="D232" i="93"/>
  <c r="E231" i="93"/>
  <c r="L230" i="111"/>
  <c r="H264" i="112" s="1"/>
  <c r="D266" i="113" s="1"/>
  <c r="E231" i="111"/>
  <c r="Q128" i="113"/>
  <c r="I44" i="160" s="1"/>
  <c r="E217" i="95" l="1"/>
  <c r="F217" i="95" s="1"/>
  <c r="O213" i="95"/>
  <c r="F212" i="110"/>
  <c r="L211" i="110"/>
  <c r="G211" i="110"/>
  <c r="K211" i="110" s="1"/>
  <c r="P211" i="110" s="1"/>
  <c r="H212" i="110"/>
  <c r="I212" i="110" s="1"/>
  <c r="J212" i="110" s="1"/>
  <c r="G214" i="55"/>
  <c r="I213" i="55"/>
  <c r="Q213" i="55" s="1"/>
  <c r="N212" i="95"/>
  <c r="V247" i="114"/>
  <c r="W247" i="114" s="1"/>
  <c r="N268" i="110"/>
  <c r="O267" i="110"/>
  <c r="E280" i="110"/>
  <c r="M280" i="110" s="1"/>
  <c r="I250" i="114"/>
  <c r="K249" i="114"/>
  <c r="J249" i="114"/>
  <c r="L248" i="114"/>
  <c r="M248" i="114" s="1"/>
  <c r="U248" i="114" s="1"/>
  <c r="P248" i="114"/>
  <c r="G251" i="114"/>
  <c r="F252" i="114"/>
  <c r="M278" i="88"/>
  <c r="E279" i="88"/>
  <c r="N242" i="88"/>
  <c r="O241" i="88"/>
  <c r="I213" i="88"/>
  <c r="R213" i="88" s="1"/>
  <c r="J212" i="88"/>
  <c r="K212" i="88" s="1"/>
  <c r="P212" i="88" s="1"/>
  <c r="L212" i="88"/>
  <c r="H214" i="88"/>
  <c r="S214" i="88" s="1"/>
  <c r="F214" i="88"/>
  <c r="G213" i="88"/>
  <c r="H214" i="95"/>
  <c r="I213" i="95"/>
  <c r="J213" i="95" s="1"/>
  <c r="L214" i="95"/>
  <c r="M213" i="95"/>
  <c r="D233" i="93"/>
  <c r="E232" i="93"/>
  <c r="I130" i="113"/>
  <c r="J130" i="113" s="1"/>
  <c r="F151" i="113"/>
  <c r="L231" i="111"/>
  <c r="H265" i="112" s="1"/>
  <c r="D267" i="113" s="1"/>
  <c r="E232" i="111"/>
  <c r="J128" i="112"/>
  <c r="L129" i="113"/>
  <c r="O129" i="113" s="1"/>
  <c r="P129" i="113" s="1"/>
  <c r="F216" i="95"/>
  <c r="O214" i="95" l="1"/>
  <c r="E218" i="95"/>
  <c r="H213" i="110"/>
  <c r="I213" i="110" s="1"/>
  <c r="J213" i="110" s="1"/>
  <c r="F213" i="110"/>
  <c r="L212" i="110"/>
  <c r="G212" i="110"/>
  <c r="K212" i="110" s="1"/>
  <c r="P212" i="110" s="1"/>
  <c r="G215" i="55"/>
  <c r="I214" i="55"/>
  <c r="Q214" i="55" s="1"/>
  <c r="V248" i="114"/>
  <c r="W248" i="114" s="1"/>
  <c r="E281" i="110"/>
  <c r="M281" i="110" s="1"/>
  <c r="N269" i="110"/>
  <c r="O268" i="110"/>
  <c r="L249" i="114"/>
  <c r="M249" i="114" s="1"/>
  <c r="U249" i="114" s="1"/>
  <c r="P249" i="114"/>
  <c r="K250" i="114"/>
  <c r="I251" i="114"/>
  <c r="J250" i="114"/>
  <c r="G252" i="114"/>
  <c r="F253" i="114"/>
  <c r="E280" i="88"/>
  <c r="M279" i="88"/>
  <c r="N243" i="88"/>
  <c r="O242" i="88"/>
  <c r="H215" i="88"/>
  <c r="S215" i="88" s="1"/>
  <c r="G214" i="88"/>
  <c r="F215" i="88"/>
  <c r="I214" i="88"/>
  <c r="R214" i="88" s="1"/>
  <c r="J213" i="88"/>
  <c r="K213" i="88" s="1"/>
  <c r="P213" i="88" s="1"/>
  <c r="L213" i="88"/>
  <c r="N213" i="95"/>
  <c r="M214" i="95"/>
  <c r="L215" i="95"/>
  <c r="H215" i="95"/>
  <c r="I214" i="95"/>
  <c r="J214" i="95" s="1"/>
  <c r="F218" i="95"/>
  <c r="E219" i="95"/>
  <c r="Q129" i="113"/>
  <c r="E233" i="111"/>
  <c r="L232" i="111"/>
  <c r="H266" i="112" s="1"/>
  <c r="D268" i="113" s="1"/>
  <c r="D234" i="93"/>
  <c r="E233" i="93"/>
  <c r="M129" i="113"/>
  <c r="K128" i="112"/>
  <c r="I129" i="112" s="1"/>
  <c r="C131" i="113" s="1"/>
  <c r="H131" i="113" s="1"/>
  <c r="B131" i="113" s="1"/>
  <c r="G151" i="113"/>
  <c r="L130" i="113"/>
  <c r="O130" i="113" s="1"/>
  <c r="P130" i="113" s="1"/>
  <c r="O215" i="95" l="1"/>
  <c r="L213" i="110"/>
  <c r="H214" i="110"/>
  <c r="I214" i="110" s="1"/>
  <c r="J214" i="110" s="1"/>
  <c r="F214" i="110"/>
  <c r="G213" i="110"/>
  <c r="K213" i="110" s="1"/>
  <c r="P213" i="110" s="1"/>
  <c r="G216" i="55"/>
  <c r="I216" i="55" s="1"/>
  <c r="I215" i="55"/>
  <c r="Q215" i="55" s="1"/>
  <c r="V249" i="114"/>
  <c r="W249" i="114" s="1"/>
  <c r="N270" i="110"/>
  <c r="O269" i="110"/>
  <c r="E282" i="110"/>
  <c r="M282" i="110" s="1"/>
  <c r="I252" i="114"/>
  <c r="J251" i="114"/>
  <c r="K251" i="114"/>
  <c r="P250" i="114"/>
  <c r="L250" i="114"/>
  <c r="M250" i="114" s="1"/>
  <c r="U250" i="114" s="1"/>
  <c r="N214" i="95"/>
  <c r="F254" i="114"/>
  <c r="G253" i="114"/>
  <c r="E281" i="88"/>
  <c r="M280" i="88"/>
  <c r="N244" i="88"/>
  <c r="O243" i="88"/>
  <c r="H216" i="88"/>
  <c r="S216" i="88" s="1"/>
  <c r="F216" i="88"/>
  <c r="G215" i="88"/>
  <c r="I215" i="88"/>
  <c r="R215" i="88" s="1"/>
  <c r="J214" i="88"/>
  <c r="K214" i="88" s="1"/>
  <c r="P214" i="88" s="1"/>
  <c r="L214" i="88"/>
  <c r="F219" i="95"/>
  <c r="E220" i="95"/>
  <c r="M215" i="95"/>
  <c r="L216" i="95"/>
  <c r="I215" i="95"/>
  <c r="J215" i="95" s="1"/>
  <c r="H216" i="95"/>
  <c r="J129" i="112"/>
  <c r="K129" i="112" s="1"/>
  <c r="I130" i="112" s="1"/>
  <c r="C132" i="113" s="1"/>
  <c r="H132" i="113" s="1"/>
  <c r="B132" i="113" s="1"/>
  <c r="Q130" i="113"/>
  <c r="M130" i="113"/>
  <c r="F152" i="113"/>
  <c r="G152" i="113" s="1"/>
  <c r="D235" i="93"/>
  <c r="E234" i="93"/>
  <c r="I131" i="113"/>
  <c r="E234" i="111"/>
  <c r="L233" i="111"/>
  <c r="H267" i="112" s="1"/>
  <c r="D269" i="113" s="1"/>
  <c r="O216" i="95" l="1"/>
  <c r="F220" i="95"/>
  <c r="G214" i="110"/>
  <c r="K214" i="110" s="1"/>
  <c r="P214" i="110" s="1"/>
  <c r="H215" i="110"/>
  <c r="I215" i="110" s="1"/>
  <c r="J215" i="110" s="1"/>
  <c r="F215" i="110"/>
  <c r="L214" i="110"/>
  <c r="Q216" i="55"/>
  <c r="G217" i="55"/>
  <c r="I217" i="55" s="1"/>
  <c r="Q217" i="55" s="1"/>
  <c r="D14" i="159" s="1"/>
  <c r="V250" i="114"/>
  <c r="W250" i="114" s="1"/>
  <c r="E283" i="110"/>
  <c r="M283" i="110" s="1"/>
  <c r="N271" i="110"/>
  <c r="O270" i="110"/>
  <c r="P251" i="114"/>
  <c r="L251" i="114"/>
  <c r="M251" i="114" s="1"/>
  <c r="U251" i="114" s="1"/>
  <c r="I253" i="114"/>
  <c r="J252" i="114"/>
  <c r="K252" i="114"/>
  <c r="F255" i="114"/>
  <c r="G254" i="114"/>
  <c r="M281" i="88"/>
  <c r="E282" i="88"/>
  <c r="N245" i="88"/>
  <c r="O244" i="88"/>
  <c r="I216" i="88"/>
  <c r="R216" i="88" s="1"/>
  <c r="J215" i="88"/>
  <c r="K215" i="88" s="1"/>
  <c r="P215" i="88" s="1"/>
  <c r="L215" i="88"/>
  <c r="H217" i="88"/>
  <c r="S217" i="88" s="1"/>
  <c r="G216" i="88"/>
  <c r="F217" i="88"/>
  <c r="H217" i="95"/>
  <c r="I216" i="95"/>
  <c r="J216" i="95" s="1"/>
  <c r="N215" i="95"/>
  <c r="L217" i="95"/>
  <c r="M216" i="95"/>
  <c r="L234" i="111"/>
  <c r="H268" i="112" s="1"/>
  <c r="D270" i="113" s="1"/>
  <c r="E235" i="111"/>
  <c r="L131" i="113"/>
  <c r="M131" i="113" s="1"/>
  <c r="J131" i="113"/>
  <c r="J130" i="112"/>
  <c r="D236" i="93"/>
  <c r="E235" i="93"/>
  <c r="F153" i="113"/>
  <c r="G153" i="113" s="1"/>
  <c r="O217" i="95" l="1"/>
  <c r="H216" i="110"/>
  <c r="I216" i="110" s="1"/>
  <c r="J216" i="110" s="1"/>
  <c r="L215" i="110"/>
  <c r="G215" i="110"/>
  <c r="K215" i="110" s="1"/>
  <c r="P215" i="110" s="1"/>
  <c r="F216" i="110"/>
  <c r="E14" i="159"/>
  <c r="V251" i="114"/>
  <c r="W251" i="114" s="1"/>
  <c r="N272" i="110"/>
  <c r="O271" i="110"/>
  <c r="E284" i="110"/>
  <c r="M284" i="110" s="1"/>
  <c r="I254" i="114"/>
  <c r="J253" i="114"/>
  <c r="K253" i="114"/>
  <c r="P252" i="114"/>
  <c r="L252" i="114"/>
  <c r="M252" i="114" s="1"/>
  <c r="U252" i="114" s="1"/>
  <c r="F256" i="114"/>
  <c r="G255" i="114"/>
  <c r="M282" i="88"/>
  <c r="E283" i="88"/>
  <c r="N246" i="88"/>
  <c r="O245" i="88"/>
  <c r="I217" i="88"/>
  <c r="L217" i="88" s="1"/>
  <c r="J216" i="88"/>
  <c r="K216" i="88" s="1"/>
  <c r="P216" i="88" s="1"/>
  <c r="L216" i="88"/>
  <c r="H218" i="88"/>
  <c r="S218" i="88" s="1"/>
  <c r="G217" i="88"/>
  <c r="F218" i="88"/>
  <c r="L218" i="95"/>
  <c r="M217" i="95"/>
  <c r="I217" i="95"/>
  <c r="J217" i="95" s="1"/>
  <c r="H218" i="95"/>
  <c r="N216" i="95"/>
  <c r="F154" i="113"/>
  <c r="G154" i="113" s="1"/>
  <c r="K130" i="112"/>
  <c r="I131" i="112" s="1"/>
  <c r="C133" i="113" s="1"/>
  <c r="H133" i="113" s="1"/>
  <c r="B133" i="113" s="1"/>
  <c r="I132" i="113"/>
  <c r="J132" i="113" s="1"/>
  <c r="D237" i="93"/>
  <c r="E236" i="93"/>
  <c r="O131" i="113"/>
  <c r="P131" i="113" s="1"/>
  <c r="E236" i="111"/>
  <c r="L235" i="111"/>
  <c r="H269" i="112" s="1"/>
  <c r="D271" i="113" s="1"/>
  <c r="O218" i="95" l="1"/>
  <c r="F217" i="110"/>
  <c r="G216" i="110"/>
  <c r="K216" i="110" s="1"/>
  <c r="P216" i="110" s="1"/>
  <c r="L216" i="110"/>
  <c r="H217" i="110"/>
  <c r="I217" i="110" s="1"/>
  <c r="J217" i="110" s="1"/>
  <c r="V252" i="114"/>
  <c r="W252" i="114" s="1"/>
  <c r="E285" i="110"/>
  <c r="M285" i="110" s="1"/>
  <c r="N273" i="110"/>
  <c r="O272" i="110"/>
  <c r="P253" i="114"/>
  <c r="L253" i="114"/>
  <c r="M253" i="114" s="1"/>
  <c r="U253" i="114" s="1"/>
  <c r="J254" i="114"/>
  <c r="K254" i="114"/>
  <c r="I255" i="114"/>
  <c r="F257" i="114"/>
  <c r="G256" i="114"/>
  <c r="M283" i="88"/>
  <c r="E284" i="88"/>
  <c r="N247" i="88"/>
  <c r="O246" i="88"/>
  <c r="J217" i="88"/>
  <c r="K217" i="88" s="1"/>
  <c r="P217" i="88" s="1"/>
  <c r="I218" i="88"/>
  <c r="R218" i="88" s="1"/>
  <c r="R217" i="88"/>
  <c r="F219" i="88"/>
  <c r="G218" i="88"/>
  <c r="H219" i="88"/>
  <c r="S219" i="88" s="1"/>
  <c r="L219" i="95"/>
  <c r="M218" i="95"/>
  <c r="I218" i="95"/>
  <c r="J218" i="95" s="1"/>
  <c r="H219" i="95"/>
  <c r="N217" i="95"/>
  <c r="E237" i="111"/>
  <c r="L236" i="111"/>
  <c r="H270" i="112" s="1"/>
  <c r="D272" i="113" s="1"/>
  <c r="D238" i="93"/>
  <c r="E237" i="93"/>
  <c r="I133" i="113"/>
  <c r="F155" i="113"/>
  <c r="G155" i="113" s="1"/>
  <c r="Q131" i="113"/>
  <c r="L132" i="113"/>
  <c r="J131" i="112"/>
  <c r="O219" i="95" l="1"/>
  <c r="G217" i="110"/>
  <c r="K217" i="110" s="1"/>
  <c r="P217" i="110" s="1"/>
  <c r="L217" i="110"/>
  <c r="H218" i="110"/>
  <c r="I218" i="110" s="1"/>
  <c r="J218" i="110" s="1"/>
  <c r="F218" i="110"/>
  <c r="V253" i="114"/>
  <c r="W253" i="114" s="1"/>
  <c r="N274" i="110"/>
  <c r="O273" i="110"/>
  <c r="E286" i="110"/>
  <c r="M286" i="110" s="1"/>
  <c r="L254" i="114"/>
  <c r="M254" i="114" s="1"/>
  <c r="U254" i="114" s="1"/>
  <c r="P254" i="114"/>
  <c r="J255" i="114"/>
  <c r="I256" i="114"/>
  <c r="K255" i="114"/>
  <c r="G257" i="114"/>
  <c r="F258" i="114"/>
  <c r="E285" i="88"/>
  <c r="M284" i="88"/>
  <c r="L218" i="88"/>
  <c r="N248" i="88"/>
  <c r="O247" i="88"/>
  <c r="H220" i="88"/>
  <c r="S220" i="88" s="1"/>
  <c r="F220" i="88"/>
  <c r="G219" i="88"/>
  <c r="I219" i="88"/>
  <c r="R219" i="88" s="1"/>
  <c r="J218" i="88"/>
  <c r="K218" i="88" s="1"/>
  <c r="P218" i="88" s="1"/>
  <c r="L220" i="95"/>
  <c r="M220" i="95" s="1"/>
  <c r="M219" i="95"/>
  <c r="I219" i="95"/>
  <c r="J219" i="95" s="1"/>
  <c r="H220" i="95"/>
  <c r="N218" i="95"/>
  <c r="F156" i="113"/>
  <c r="M132" i="113"/>
  <c r="L133" i="113"/>
  <c r="D239" i="93"/>
  <c r="E238" i="93"/>
  <c r="L237" i="111"/>
  <c r="H271" i="112" s="1"/>
  <c r="D273" i="113" s="1"/>
  <c r="E238" i="111"/>
  <c r="K131" i="112"/>
  <c r="I132" i="112" s="1"/>
  <c r="C134" i="113" s="1"/>
  <c r="H134" i="113" s="1"/>
  <c r="B134" i="113" s="1"/>
  <c r="O132" i="113"/>
  <c r="P132" i="113" s="1"/>
  <c r="J133" i="113"/>
  <c r="I220" i="95" l="1"/>
  <c r="J220" i="95" s="1"/>
  <c r="O220" i="95"/>
  <c r="F219" i="110"/>
  <c r="H219" i="110"/>
  <c r="I219" i="110" s="1"/>
  <c r="J219" i="110" s="1"/>
  <c r="L218" i="110"/>
  <c r="G218" i="110"/>
  <c r="K218" i="110" s="1"/>
  <c r="P218" i="110" s="1"/>
  <c r="V254" i="114"/>
  <c r="W254" i="114" s="1"/>
  <c r="E287" i="110"/>
  <c r="M287" i="110" s="1"/>
  <c r="N275" i="110"/>
  <c r="O274" i="110"/>
  <c r="I257" i="114"/>
  <c r="J256" i="114"/>
  <c r="K256" i="114"/>
  <c r="P255" i="114"/>
  <c r="L255" i="114"/>
  <c r="M255" i="114" s="1"/>
  <c r="U255" i="114" s="1"/>
  <c r="N220" i="95"/>
  <c r="G258" i="114"/>
  <c r="F259" i="114"/>
  <c r="E286" i="88"/>
  <c r="M285" i="88"/>
  <c r="N249" i="88"/>
  <c r="O248" i="88"/>
  <c r="J219" i="88"/>
  <c r="K219" i="88" s="1"/>
  <c r="P219" i="88" s="1"/>
  <c r="I220" i="88"/>
  <c r="L219" i="88"/>
  <c r="F221" i="88"/>
  <c r="G220" i="88"/>
  <c r="H221" i="88"/>
  <c r="S221" i="88" s="1"/>
  <c r="N219" i="95"/>
  <c r="I134" i="113"/>
  <c r="J134" i="113" s="1"/>
  <c r="Q132" i="113"/>
  <c r="J132" i="112"/>
  <c r="E239" i="111"/>
  <c r="L238" i="111"/>
  <c r="H272" i="112" s="1"/>
  <c r="D274" i="113" s="1"/>
  <c r="D240" i="93"/>
  <c r="E239" i="93"/>
  <c r="O133" i="113"/>
  <c r="P133" i="113" s="1"/>
  <c r="M133" i="113"/>
  <c r="G156" i="113"/>
  <c r="F220" i="110" l="1"/>
  <c r="H220" i="110"/>
  <c r="I220" i="110" s="1"/>
  <c r="J220" i="110" s="1"/>
  <c r="G219" i="110"/>
  <c r="K219" i="110" s="1"/>
  <c r="P219" i="110" s="1"/>
  <c r="L219" i="110"/>
  <c r="V255" i="114"/>
  <c r="W255" i="114" s="1"/>
  <c r="E288" i="110"/>
  <c r="M288" i="110" s="1"/>
  <c r="N276" i="110"/>
  <c r="O275" i="110"/>
  <c r="P256" i="114"/>
  <c r="L256" i="114"/>
  <c r="M256" i="114" s="1"/>
  <c r="U256" i="114" s="1"/>
  <c r="I258" i="114"/>
  <c r="J257" i="114"/>
  <c r="K257" i="114"/>
  <c r="F260" i="114"/>
  <c r="G259" i="114"/>
  <c r="M286" i="88"/>
  <c r="E287" i="88"/>
  <c r="N250" i="88"/>
  <c r="O249" i="88"/>
  <c r="F222" i="88"/>
  <c r="G221" i="88"/>
  <c r="H222" i="88"/>
  <c r="S222" i="88" s="1"/>
  <c r="L220" i="88"/>
  <c r="J220" i="88"/>
  <c r="K220" i="88" s="1"/>
  <c r="P220" i="88" s="1"/>
  <c r="I221" i="88"/>
  <c r="R220" i="88"/>
  <c r="Q133" i="113"/>
  <c r="F157" i="113"/>
  <c r="D241" i="93"/>
  <c r="E240" i="93"/>
  <c r="E240" i="111"/>
  <c r="L239" i="111"/>
  <c r="H273" i="112" s="1"/>
  <c r="D275" i="113" s="1"/>
  <c r="K132" i="112"/>
  <c r="I133" i="112" s="1"/>
  <c r="C135" i="113" s="1"/>
  <c r="H135" i="113" s="1"/>
  <c r="B135" i="113" s="1"/>
  <c r="L134" i="113"/>
  <c r="M134" i="113" s="1"/>
  <c r="F221" i="110" l="1"/>
  <c r="L220" i="110"/>
  <c r="G220" i="110"/>
  <c r="K220" i="110" s="1"/>
  <c r="P220" i="110" s="1"/>
  <c r="H221" i="110"/>
  <c r="I221" i="110" s="1"/>
  <c r="J221" i="110" s="1"/>
  <c r="V256" i="114"/>
  <c r="W256" i="114" s="1"/>
  <c r="N277" i="110"/>
  <c r="O276" i="110"/>
  <c r="E289" i="110"/>
  <c r="M289" i="110" s="1"/>
  <c r="I259" i="114"/>
  <c r="J258" i="114"/>
  <c r="K258" i="114"/>
  <c r="L257" i="114"/>
  <c r="M257" i="114" s="1"/>
  <c r="U257" i="114" s="1"/>
  <c r="P257" i="114"/>
  <c r="F261" i="114"/>
  <c r="G260" i="114"/>
  <c r="M287" i="88"/>
  <c r="E288" i="88"/>
  <c r="N251" i="88"/>
  <c r="O250" i="88"/>
  <c r="H223" i="88"/>
  <c r="S223" i="88" s="1"/>
  <c r="F223" i="88"/>
  <c r="G222" i="88"/>
  <c r="I222" i="88"/>
  <c r="R222" i="88" s="1"/>
  <c r="J221" i="88"/>
  <c r="K221" i="88" s="1"/>
  <c r="P221" i="88" s="1"/>
  <c r="R221" i="88"/>
  <c r="L221" i="88"/>
  <c r="L240" i="111"/>
  <c r="H274" i="112" s="1"/>
  <c r="D276" i="113" s="1"/>
  <c r="E241" i="111"/>
  <c r="I135" i="113"/>
  <c r="J135" i="113" s="1"/>
  <c r="O134" i="113"/>
  <c r="P134" i="113" s="1"/>
  <c r="J133" i="112"/>
  <c r="D242" i="93"/>
  <c r="E241" i="93"/>
  <c r="G157" i="113"/>
  <c r="G221" i="110" l="1"/>
  <c r="K221" i="110" s="1"/>
  <c r="P221" i="110" s="1"/>
  <c r="H222" i="110"/>
  <c r="I222" i="110" s="1"/>
  <c r="J222" i="110" s="1"/>
  <c r="F222" i="110"/>
  <c r="L221" i="110"/>
  <c r="E290" i="110"/>
  <c r="M290" i="110" s="1"/>
  <c r="N278" i="110"/>
  <c r="O277" i="110"/>
  <c r="V257" i="114"/>
  <c r="W257" i="114" s="1"/>
  <c r="L258" i="114"/>
  <c r="M258" i="114" s="1"/>
  <c r="U258" i="114" s="1"/>
  <c r="P258" i="114"/>
  <c r="I260" i="114"/>
  <c r="J259" i="114"/>
  <c r="K259" i="114"/>
  <c r="F262" i="114"/>
  <c r="G261" i="114"/>
  <c r="M288" i="88"/>
  <c r="E289" i="88"/>
  <c r="N252" i="88"/>
  <c r="O251" i="88"/>
  <c r="I223" i="88"/>
  <c r="J222" i="88"/>
  <c r="K222" i="88" s="1"/>
  <c r="P222" i="88" s="1"/>
  <c r="L222" i="88"/>
  <c r="H224" i="88"/>
  <c r="S224" i="88" s="1"/>
  <c r="F224" i="88"/>
  <c r="G223" i="88"/>
  <c r="F158" i="113"/>
  <c r="G158" i="113" s="1"/>
  <c r="D243" i="93"/>
  <c r="E242" i="93"/>
  <c r="L135" i="113"/>
  <c r="K133" i="112"/>
  <c r="I134" i="112" s="1"/>
  <c r="C136" i="113" s="1"/>
  <c r="H136" i="113" s="1"/>
  <c r="B136" i="113" s="1"/>
  <c r="Q134" i="113"/>
  <c r="D43" i="162" s="1"/>
  <c r="L241" i="111"/>
  <c r="H275" i="112" s="1"/>
  <c r="D277" i="113" s="1"/>
  <c r="E242" i="111"/>
  <c r="D22" i="159" l="1"/>
  <c r="D32" i="159" s="1"/>
  <c r="F223" i="110"/>
  <c r="H223" i="110"/>
  <c r="I223" i="110" s="1"/>
  <c r="J223" i="110" s="1"/>
  <c r="L222" i="110"/>
  <c r="G222" i="110"/>
  <c r="K222" i="110" s="1"/>
  <c r="P222" i="110" s="1"/>
  <c r="V258" i="114"/>
  <c r="W258" i="114" s="1"/>
  <c r="N279" i="110"/>
  <c r="O278" i="110"/>
  <c r="E291" i="110"/>
  <c r="M291" i="110" s="1"/>
  <c r="I261" i="114"/>
  <c r="J260" i="114"/>
  <c r="K260" i="114"/>
  <c r="L259" i="114"/>
  <c r="M259" i="114" s="1"/>
  <c r="U259" i="114" s="1"/>
  <c r="P259" i="114"/>
  <c r="G262" i="114"/>
  <c r="F263" i="114"/>
  <c r="M289" i="88"/>
  <c r="E290" i="88"/>
  <c r="N253" i="88"/>
  <c r="O252" i="88"/>
  <c r="F225" i="88"/>
  <c r="G224" i="88"/>
  <c r="H225" i="88"/>
  <c r="S225" i="88" s="1"/>
  <c r="I224" i="88"/>
  <c r="L224" i="88" s="1"/>
  <c r="J223" i="88"/>
  <c r="K223" i="88" s="1"/>
  <c r="P223" i="88" s="1"/>
  <c r="R223" i="88"/>
  <c r="L223" i="88"/>
  <c r="F159" i="113"/>
  <c r="L242" i="111"/>
  <c r="H276" i="112" s="1"/>
  <c r="D278" i="113" s="1"/>
  <c r="E243" i="111"/>
  <c r="M135" i="113"/>
  <c r="D244" i="93"/>
  <c r="E243" i="93"/>
  <c r="I136" i="113"/>
  <c r="J136" i="113" s="1"/>
  <c r="J134" i="112"/>
  <c r="O135" i="113"/>
  <c r="P135" i="113" s="1"/>
  <c r="D44" i="162" l="1"/>
  <c r="G223" i="110"/>
  <c r="K223" i="110" s="1"/>
  <c r="P223" i="110" s="1"/>
  <c r="H224" i="110"/>
  <c r="I224" i="110" s="1"/>
  <c r="J224" i="110" s="1"/>
  <c r="L223" i="110"/>
  <c r="F224" i="110"/>
  <c r="E292" i="110"/>
  <c r="M292" i="110" s="1"/>
  <c r="N280" i="110"/>
  <c r="O279" i="110"/>
  <c r="V259" i="114"/>
  <c r="W259" i="114" s="1"/>
  <c r="P260" i="114"/>
  <c r="L260" i="114"/>
  <c r="M260" i="114" s="1"/>
  <c r="U260" i="114" s="1"/>
  <c r="I262" i="114"/>
  <c r="J261" i="114"/>
  <c r="K261" i="114"/>
  <c r="G263" i="114"/>
  <c r="F264" i="114"/>
  <c r="E291" i="88"/>
  <c r="M290" i="88"/>
  <c r="N254" i="88"/>
  <c r="O253" i="88"/>
  <c r="H226" i="88"/>
  <c r="S226" i="88" s="1"/>
  <c r="G225" i="88"/>
  <c r="F226" i="88"/>
  <c r="J224" i="88"/>
  <c r="K224" i="88" s="1"/>
  <c r="P224" i="88" s="1"/>
  <c r="I225" i="88"/>
  <c r="R224" i="88"/>
  <c r="Q135" i="113"/>
  <c r="K134" i="112"/>
  <c r="I135" i="112" s="1"/>
  <c r="C137" i="113" s="1"/>
  <c r="H137" i="113" s="1"/>
  <c r="B137" i="113" s="1"/>
  <c r="D245" i="93"/>
  <c r="E244" i="93"/>
  <c r="L136" i="113"/>
  <c r="O136" i="113" s="1"/>
  <c r="P136" i="113" s="1"/>
  <c r="L243" i="111"/>
  <c r="H277" i="112" s="1"/>
  <c r="D279" i="113" s="1"/>
  <c r="E244" i="111"/>
  <c r="G159" i="113"/>
  <c r="F225" i="110" l="1"/>
  <c r="H225" i="110"/>
  <c r="I225" i="110" s="1"/>
  <c r="J225" i="110" s="1"/>
  <c r="L224" i="110"/>
  <c r="G224" i="110"/>
  <c r="K224" i="110" s="1"/>
  <c r="P224" i="110" s="1"/>
  <c r="V260" i="114"/>
  <c r="W260" i="114" s="1"/>
  <c r="N281" i="110"/>
  <c r="O280" i="110"/>
  <c r="E293" i="110"/>
  <c r="M293" i="110" s="1"/>
  <c r="K262" i="114"/>
  <c r="J262" i="114"/>
  <c r="I263" i="114"/>
  <c r="P261" i="114"/>
  <c r="L261" i="114"/>
  <c r="M261" i="114" s="1"/>
  <c r="U261" i="114" s="1"/>
  <c r="I137" i="113"/>
  <c r="J137" i="113" s="1"/>
  <c r="G264" i="114"/>
  <c r="F265" i="114"/>
  <c r="M291" i="88"/>
  <c r="E292" i="88"/>
  <c r="N255" i="88"/>
  <c r="O254" i="88"/>
  <c r="J225" i="88"/>
  <c r="K225" i="88" s="1"/>
  <c r="P225" i="88" s="1"/>
  <c r="I226" i="88"/>
  <c r="L226" i="88" s="1"/>
  <c r="H227" i="88"/>
  <c r="S227" i="88" s="1"/>
  <c r="F227" i="88"/>
  <c r="G226" i="88"/>
  <c r="R226" i="88"/>
  <c r="L225" i="88"/>
  <c r="R225" i="88"/>
  <c r="Q136" i="113"/>
  <c r="E245" i="111"/>
  <c r="L244" i="111"/>
  <c r="H278" i="112" s="1"/>
  <c r="D280" i="113" s="1"/>
  <c r="M136" i="113"/>
  <c r="J135" i="112"/>
  <c r="F160" i="113"/>
  <c r="D246" i="93"/>
  <c r="E245" i="93"/>
  <c r="F226" i="110" l="1"/>
  <c r="H226" i="110"/>
  <c r="I226" i="110" s="1"/>
  <c r="J226" i="110" s="1"/>
  <c r="G225" i="110"/>
  <c r="K225" i="110" s="1"/>
  <c r="P225" i="110" s="1"/>
  <c r="L225" i="110"/>
  <c r="L137" i="113"/>
  <c r="O137" i="113" s="1"/>
  <c r="P137" i="113" s="1"/>
  <c r="Q137" i="113" s="1"/>
  <c r="V261" i="114"/>
  <c r="W261" i="114" s="1"/>
  <c r="E294" i="110"/>
  <c r="M294" i="110" s="1"/>
  <c r="N282" i="110"/>
  <c r="O281" i="110"/>
  <c r="I264" i="114"/>
  <c r="J263" i="114"/>
  <c r="K263" i="114"/>
  <c r="P262" i="114"/>
  <c r="L262" i="114"/>
  <c r="M262" i="114" s="1"/>
  <c r="U262" i="114" s="1"/>
  <c r="F266" i="114"/>
  <c r="G265" i="114"/>
  <c r="E293" i="88"/>
  <c r="M292" i="88"/>
  <c r="N256" i="88"/>
  <c r="O255" i="88"/>
  <c r="F228" i="88"/>
  <c r="H228" i="88"/>
  <c r="S228" i="88" s="1"/>
  <c r="G227" i="88"/>
  <c r="I227" i="88"/>
  <c r="J226" i="88"/>
  <c r="K226" i="88" s="1"/>
  <c r="P226" i="88" s="1"/>
  <c r="D247" i="93"/>
  <c r="E246" i="93"/>
  <c r="G160" i="113"/>
  <c r="K135" i="112"/>
  <c r="I136" i="112" s="1"/>
  <c r="C138" i="113" s="1"/>
  <c r="H138" i="113" s="1"/>
  <c r="E246" i="111"/>
  <c r="L245" i="111"/>
  <c r="H279" i="112" s="1"/>
  <c r="D281" i="113" s="1"/>
  <c r="L226" i="110" l="1"/>
  <c r="G226" i="110"/>
  <c r="K226" i="110" s="1"/>
  <c r="P226" i="110" s="1"/>
  <c r="H227" i="110"/>
  <c r="I227" i="110" s="1"/>
  <c r="J227" i="110" s="1"/>
  <c r="F227" i="110"/>
  <c r="M137" i="113"/>
  <c r="V262" i="114"/>
  <c r="W262" i="114" s="1"/>
  <c r="N283" i="110"/>
  <c r="O282" i="110"/>
  <c r="E295" i="110"/>
  <c r="M295" i="110" s="1"/>
  <c r="L263" i="114"/>
  <c r="M263" i="114" s="1"/>
  <c r="U263" i="114" s="1"/>
  <c r="P263" i="114"/>
  <c r="I265" i="114"/>
  <c r="J264" i="114"/>
  <c r="K264" i="114"/>
  <c r="F267" i="114"/>
  <c r="G266" i="114"/>
  <c r="M293" i="88"/>
  <c r="E294" i="88"/>
  <c r="N257" i="88"/>
  <c r="O256" i="88"/>
  <c r="I228" i="88"/>
  <c r="L228" i="88" s="1"/>
  <c r="J227" i="88"/>
  <c r="K227" i="88" s="1"/>
  <c r="P227" i="88" s="1"/>
  <c r="R227" i="88"/>
  <c r="L227" i="88"/>
  <c r="F229" i="88"/>
  <c r="H229" i="88"/>
  <c r="S229" i="88" s="1"/>
  <c r="G228" i="88"/>
  <c r="J136" i="112"/>
  <c r="K136" i="112" s="1"/>
  <c r="I137" i="112" s="1"/>
  <c r="C139" i="113" s="1"/>
  <c r="H139" i="113" s="1"/>
  <c r="B139" i="113" s="1"/>
  <c r="L246" i="111"/>
  <c r="H280" i="112" s="1"/>
  <c r="D282" i="113" s="1"/>
  <c r="E247" i="111"/>
  <c r="B138" i="113"/>
  <c r="I138" i="113"/>
  <c r="D248" i="93"/>
  <c r="E247" i="93"/>
  <c r="F161" i="113"/>
  <c r="G161" i="113" s="1"/>
  <c r="L227" i="110" l="1"/>
  <c r="G227" i="110"/>
  <c r="K227" i="110" s="1"/>
  <c r="P227" i="110" s="1"/>
  <c r="F228" i="110"/>
  <c r="H228" i="110"/>
  <c r="I228" i="110" s="1"/>
  <c r="J228" i="110" s="1"/>
  <c r="V263" i="114"/>
  <c r="W263" i="114" s="1"/>
  <c r="E296" i="110"/>
  <c r="M296" i="110" s="1"/>
  <c r="N284" i="110"/>
  <c r="O283" i="110"/>
  <c r="K265" i="114"/>
  <c r="I266" i="114"/>
  <c r="J265" i="114"/>
  <c r="P264" i="114"/>
  <c r="L264" i="114"/>
  <c r="M264" i="114" s="1"/>
  <c r="U264" i="114" s="1"/>
  <c r="G267" i="114"/>
  <c r="F268" i="114"/>
  <c r="E295" i="88"/>
  <c r="M294" i="88"/>
  <c r="N258" i="88"/>
  <c r="O257" i="88"/>
  <c r="I229" i="88"/>
  <c r="L229" i="88" s="1"/>
  <c r="J228" i="88"/>
  <c r="K228" i="88" s="1"/>
  <c r="P228" i="88" s="1"/>
  <c r="F230" i="88"/>
  <c r="H230" i="88"/>
  <c r="S230" i="88" s="1"/>
  <c r="G229" i="88"/>
  <c r="R228" i="88"/>
  <c r="F162" i="113"/>
  <c r="G162" i="113" s="1"/>
  <c r="D249" i="93"/>
  <c r="E248" i="93"/>
  <c r="L138" i="113"/>
  <c r="J137" i="112"/>
  <c r="J138" i="113"/>
  <c r="L247" i="111"/>
  <c r="H281" i="112" s="1"/>
  <c r="D283" i="113" s="1"/>
  <c r="E248" i="111"/>
  <c r="G228" i="110" l="1"/>
  <c r="K228" i="110" s="1"/>
  <c r="P228" i="110" s="1"/>
  <c r="H229" i="110"/>
  <c r="I229" i="110" s="1"/>
  <c r="J229" i="110" s="1"/>
  <c r="F229" i="110"/>
  <c r="L228" i="110"/>
  <c r="V264" i="114"/>
  <c r="W264" i="114" s="1"/>
  <c r="E297" i="110"/>
  <c r="M297" i="110" s="1"/>
  <c r="N285" i="110"/>
  <c r="O284" i="110"/>
  <c r="I267" i="114"/>
  <c r="K266" i="114"/>
  <c r="J266" i="114"/>
  <c r="P265" i="114"/>
  <c r="L265" i="114"/>
  <c r="M265" i="114" s="1"/>
  <c r="U265" i="114" s="1"/>
  <c r="G268" i="114"/>
  <c r="F269" i="114"/>
  <c r="E296" i="88"/>
  <c r="M295" i="88"/>
  <c r="N259" i="88"/>
  <c r="O258" i="88"/>
  <c r="R229" i="88"/>
  <c r="I230" i="88"/>
  <c r="L230" i="88" s="1"/>
  <c r="J229" i="88"/>
  <c r="K229" i="88" s="1"/>
  <c r="P229" i="88" s="1"/>
  <c r="F231" i="88"/>
  <c r="G230" i="88"/>
  <c r="H231" i="88"/>
  <c r="S231" i="88" s="1"/>
  <c r="F163" i="113"/>
  <c r="L248" i="111"/>
  <c r="H282" i="112" s="1"/>
  <c r="D284" i="113" s="1"/>
  <c r="E249" i="111"/>
  <c r="M138" i="113"/>
  <c r="I139" i="113"/>
  <c r="J139" i="113" s="1"/>
  <c r="K137" i="112"/>
  <c r="I138" i="112" s="1"/>
  <c r="C140" i="113" s="1"/>
  <c r="H140" i="113" s="1"/>
  <c r="B140" i="113" s="1"/>
  <c r="O138" i="113"/>
  <c r="P138" i="113" s="1"/>
  <c r="D250" i="93"/>
  <c r="E249" i="93"/>
  <c r="L229" i="110" l="1"/>
  <c r="G229" i="110"/>
  <c r="K229" i="110" s="1"/>
  <c r="P229" i="110" s="1"/>
  <c r="H230" i="110"/>
  <c r="I230" i="110" s="1"/>
  <c r="J230" i="110" s="1"/>
  <c r="F230" i="110"/>
  <c r="V265" i="114"/>
  <c r="W265" i="114" s="1"/>
  <c r="N286" i="110"/>
  <c r="O285" i="110"/>
  <c r="E298" i="110"/>
  <c r="M298" i="110" s="1"/>
  <c r="P266" i="114"/>
  <c r="L266" i="114"/>
  <c r="M266" i="114" s="1"/>
  <c r="U266" i="114" s="1"/>
  <c r="I268" i="114"/>
  <c r="J267" i="114"/>
  <c r="K267" i="114"/>
  <c r="F270" i="114"/>
  <c r="G269" i="114"/>
  <c r="M296" i="88"/>
  <c r="E297" i="88"/>
  <c r="N260" i="88"/>
  <c r="O259" i="88"/>
  <c r="H232" i="88"/>
  <c r="S232" i="88" s="1"/>
  <c r="F232" i="88"/>
  <c r="G231" i="88"/>
  <c r="R230" i="88"/>
  <c r="I231" i="88"/>
  <c r="R231" i="88" s="1"/>
  <c r="J230" i="88"/>
  <c r="K230" i="88" s="1"/>
  <c r="P230" i="88" s="1"/>
  <c r="D251" i="93"/>
  <c r="E250" i="93"/>
  <c r="L139" i="113"/>
  <c r="M139" i="113" s="1"/>
  <c r="Q138" i="113"/>
  <c r="J138" i="112"/>
  <c r="I140" i="113"/>
  <c r="J140" i="113" s="1"/>
  <c r="E250" i="111"/>
  <c r="E251" i="111" s="1"/>
  <c r="L249" i="111"/>
  <c r="G163" i="113"/>
  <c r="F231" i="110" l="1"/>
  <c r="H231" i="110"/>
  <c r="I231" i="110" s="1"/>
  <c r="J231" i="110" s="1"/>
  <c r="L230" i="110"/>
  <c r="G230" i="110"/>
  <c r="K230" i="110" s="1"/>
  <c r="P230" i="110" s="1"/>
  <c r="V266" i="114"/>
  <c r="W266" i="114" s="1"/>
  <c r="E299" i="110"/>
  <c r="M299" i="110" s="1"/>
  <c r="N287" i="110"/>
  <c r="O286" i="110"/>
  <c r="I269" i="114"/>
  <c r="K268" i="114"/>
  <c r="J268" i="114"/>
  <c r="P267" i="114"/>
  <c r="L267" i="114"/>
  <c r="M267" i="114" s="1"/>
  <c r="U267" i="114" s="1"/>
  <c r="G270" i="114"/>
  <c r="F271" i="114"/>
  <c r="E298" i="88"/>
  <c r="M297" i="88"/>
  <c r="N261" i="88"/>
  <c r="O260" i="88"/>
  <c r="J231" i="88"/>
  <c r="K231" i="88" s="1"/>
  <c r="P231" i="88" s="1"/>
  <c r="I232" i="88"/>
  <c r="L232" i="88" s="1"/>
  <c r="F233" i="88"/>
  <c r="H233" i="88"/>
  <c r="S233" i="88" s="1"/>
  <c r="G232" i="88"/>
  <c r="L231" i="88"/>
  <c r="F164" i="113"/>
  <c r="G164" i="113" s="1"/>
  <c r="K138" i="112"/>
  <c r="I139" i="112" s="1"/>
  <c r="C141" i="113" s="1"/>
  <c r="H141" i="113" s="1"/>
  <c r="B141" i="113" s="1"/>
  <c r="D252" i="93"/>
  <c r="E251" i="93"/>
  <c r="H283" i="112"/>
  <c r="L253" i="111"/>
  <c r="L140" i="113"/>
  <c r="M140" i="113" s="1"/>
  <c r="O139" i="113"/>
  <c r="P139" i="113" s="1"/>
  <c r="F232" i="110" l="1"/>
  <c r="L231" i="110"/>
  <c r="G231" i="110"/>
  <c r="K231" i="110" s="1"/>
  <c r="P231" i="110" s="1"/>
  <c r="H232" i="110"/>
  <c r="I232" i="110" s="1"/>
  <c r="J232" i="110" s="1"/>
  <c r="V267" i="114"/>
  <c r="W267" i="114" s="1"/>
  <c r="R232" i="88"/>
  <c r="N288" i="110"/>
  <c r="O287" i="110"/>
  <c r="E300" i="110"/>
  <c r="M300" i="110" s="1"/>
  <c r="L268" i="114"/>
  <c r="M268" i="114" s="1"/>
  <c r="U268" i="114" s="1"/>
  <c r="P268" i="114"/>
  <c r="I270" i="114"/>
  <c r="J269" i="114"/>
  <c r="K269" i="114"/>
  <c r="F272" i="114"/>
  <c r="G271" i="114"/>
  <c r="E299" i="88"/>
  <c r="M298" i="88"/>
  <c r="N262" i="88"/>
  <c r="O261" i="88"/>
  <c r="H234" i="88"/>
  <c r="S234" i="88" s="1"/>
  <c r="G233" i="88"/>
  <c r="F234" i="88"/>
  <c r="J232" i="88"/>
  <c r="K232" i="88" s="1"/>
  <c r="P232" i="88" s="1"/>
  <c r="I233" i="88"/>
  <c r="O140" i="113"/>
  <c r="P140" i="113" s="1"/>
  <c r="J139" i="112"/>
  <c r="K139" i="112" s="1"/>
  <c r="I140" i="112" s="1"/>
  <c r="F165" i="113"/>
  <c r="Q139" i="113"/>
  <c r="D285" i="113"/>
  <c r="H288" i="112"/>
  <c r="D253" i="93"/>
  <c r="E252" i="93"/>
  <c r="I141" i="113"/>
  <c r="G232" i="110" l="1"/>
  <c r="K232" i="110" s="1"/>
  <c r="P232" i="110" s="1"/>
  <c r="F233" i="110"/>
  <c r="L232" i="110"/>
  <c r="H233" i="110"/>
  <c r="I233" i="110" s="1"/>
  <c r="J233" i="110" s="1"/>
  <c r="V268" i="114"/>
  <c r="W268" i="114" s="1"/>
  <c r="E301" i="110"/>
  <c r="M301" i="110" s="1"/>
  <c r="N289" i="110"/>
  <c r="O288" i="110"/>
  <c r="J270" i="114"/>
  <c r="K270" i="114"/>
  <c r="I271" i="114"/>
  <c r="P269" i="114"/>
  <c r="L269" i="114"/>
  <c r="M269" i="114" s="1"/>
  <c r="U269" i="114" s="1"/>
  <c r="G272" i="114"/>
  <c r="F273" i="114"/>
  <c r="E300" i="88"/>
  <c r="M299" i="88"/>
  <c r="N263" i="88"/>
  <c r="O262" i="88"/>
  <c r="I234" i="88"/>
  <c r="R234" i="88" s="1"/>
  <c r="J233" i="88"/>
  <c r="K233" i="88" s="1"/>
  <c r="P233" i="88" s="1"/>
  <c r="L233" i="88"/>
  <c r="R233" i="88"/>
  <c r="H235" i="88"/>
  <c r="S235" i="88" s="1"/>
  <c r="F235" i="88"/>
  <c r="G234" i="88"/>
  <c r="C142" i="113"/>
  <c r="H142" i="113" s="1"/>
  <c r="B142" i="113" s="1"/>
  <c r="J140" i="112"/>
  <c r="K140" i="112" s="1"/>
  <c r="I141" i="112" s="1"/>
  <c r="C143" i="113" s="1"/>
  <c r="H143" i="113" s="1"/>
  <c r="B143" i="113" s="1"/>
  <c r="L141" i="113"/>
  <c r="O141" i="113" s="1"/>
  <c r="P141" i="113" s="1"/>
  <c r="D254" i="93"/>
  <c r="E253" i="93"/>
  <c r="D299" i="113"/>
  <c r="J141" i="113"/>
  <c r="Q140" i="113"/>
  <c r="G165" i="113"/>
  <c r="H234" i="110" l="1"/>
  <c r="I234" i="110" s="1"/>
  <c r="J234" i="110" s="1"/>
  <c r="L233" i="110"/>
  <c r="F234" i="110"/>
  <c r="G233" i="110"/>
  <c r="K233" i="110" s="1"/>
  <c r="P233" i="110" s="1"/>
  <c r="V269" i="114"/>
  <c r="W269" i="114" s="1"/>
  <c r="N290" i="110"/>
  <c r="O289" i="110"/>
  <c r="E302" i="110"/>
  <c r="M302" i="110" s="1"/>
  <c r="J271" i="114"/>
  <c r="K271" i="114"/>
  <c r="I272" i="114"/>
  <c r="P270" i="114"/>
  <c r="L270" i="114"/>
  <c r="M270" i="114" s="1"/>
  <c r="U270" i="114" s="1"/>
  <c r="F274" i="114"/>
  <c r="G273" i="114"/>
  <c r="E301" i="88"/>
  <c r="M300" i="88"/>
  <c r="N264" i="88"/>
  <c r="O263" i="88"/>
  <c r="H236" i="88"/>
  <c r="S236" i="88" s="1"/>
  <c r="F236" i="88"/>
  <c r="G235" i="88"/>
  <c r="I235" i="88"/>
  <c r="J234" i="88"/>
  <c r="K234" i="88" s="1"/>
  <c r="P234" i="88" s="1"/>
  <c r="L234" i="88"/>
  <c r="J141" i="112"/>
  <c r="K141" i="112" s="1"/>
  <c r="I142" i="112" s="1"/>
  <c r="C144" i="113" s="1"/>
  <c r="H144" i="113" s="1"/>
  <c r="B144" i="113" s="1"/>
  <c r="Q141" i="113"/>
  <c r="I142" i="113"/>
  <c r="J142" i="113" s="1"/>
  <c r="F166" i="113"/>
  <c r="G166" i="113" s="1"/>
  <c r="D255" i="93"/>
  <c r="E254" i="93"/>
  <c r="M141" i="113"/>
  <c r="L234" i="110" l="1"/>
  <c r="G234" i="110"/>
  <c r="K234" i="110" s="1"/>
  <c r="P234" i="110" s="1"/>
  <c r="H235" i="110"/>
  <c r="I235" i="110" s="1"/>
  <c r="J235" i="110" s="1"/>
  <c r="F235" i="110"/>
  <c r="V270" i="114"/>
  <c r="W270" i="114" s="1"/>
  <c r="E303" i="110"/>
  <c r="M303" i="110" s="1"/>
  <c r="N291" i="110"/>
  <c r="O290" i="110"/>
  <c r="I273" i="114"/>
  <c r="J272" i="114"/>
  <c r="K272" i="114"/>
  <c r="L271" i="114"/>
  <c r="M271" i="114" s="1"/>
  <c r="U271" i="114" s="1"/>
  <c r="P271" i="114"/>
  <c r="F275" i="114"/>
  <c r="G274" i="114"/>
  <c r="M301" i="88"/>
  <c r="E302" i="88"/>
  <c r="N265" i="88"/>
  <c r="O264" i="88"/>
  <c r="R235" i="88"/>
  <c r="I236" i="88"/>
  <c r="L236" i="88" s="1"/>
  <c r="J235" i="88"/>
  <c r="K235" i="88" s="1"/>
  <c r="P235" i="88" s="1"/>
  <c r="L235" i="88"/>
  <c r="H237" i="88"/>
  <c r="S237" i="88" s="1"/>
  <c r="F237" i="88"/>
  <c r="G236" i="88"/>
  <c r="F167" i="113"/>
  <c r="G167" i="113" s="1"/>
  <c r="D256" i="93"/>
  <c r="E255" i="93"/>
  <c r="J142" i="112"/>
  <c r="I143" i="113"/>
  <c r="L142" i="113"/>
  <c r="F236" i="110" l="1"/>
  <c r="G235" i="110"/>
  <c r="K235" i="110" s="1"/>
  <c r="P235" i="110" s="1"/>
  <c r="H236" i="110"/>
  <c r="I236" i="110" s="1"/>
  <c r="J236" i="110" s="1"/>
  <c r="L235" i="110"/>
  <c r="N292" i="110"/>
  <c r="O291" i="110"/>
  <c r="E304" i="110"/>
  <c r="M304" i="110" s="1"/>
  <c r="P272" i="114"/>
  <c r="L272" i="114"/>
  <c r="M272" i="114" s="1"/>
  <c r="U272" i="114" s="1"/>
  <c r="V271" i="114"/>
  <c r="W271" i="114" s="1"/>
  <c r="I274" i="114"/>
  <c r="J273" i="114"/>
  <c r="K273" i="114"/>
  <c r="F276" i="114"/>
  <c r="G275" i="114"/>
  <c r="M302" i="88"/>
  <c r="E303" i="88"/>
  <c r="N266" i="88"/>
  <c r="O265" i="88"/>
  <c r="R236" i="88"/>
  <c r="H238" i="88"/>
  <c r="S238" i="88" s="1"/>
  <c r="F238" i="88"/>
  <c r="G237" i="88"/>
  <c r="I237" i="88"/>
  <c r="L237" i="88" s="1"/>
  <c r="J236" i="88"/>
  <c r="K236" i="88" s="1"/>
  <c r="P236" i="88" s="1"/>
  <c r="O142" i="113"/>
  <c r="P142" i="113" s="1"/>
  <c r="M142" i="113"/>
  <c r="L143" i="113"/>
  <c r="O143" i="113" s="1"/>
  <c r="F168" i="113"/>
  <c r="G168" i="113" s="1"/>
  <c r="J143" i="113"/>
  <c r="K142" i="112"/>
  <c r="I143" i="112" s="1"/>
  <c r="C145" i="113" s="1"/>
  <c r="H145" i="113" s="1"/>
  <c r="B145" i="113" s="1"/>
  <c r="D257" i="93"/>
  <c r="E256" i="93"/>
  <c r="H237" i="110" l="1"/>
  <c r="I237" i="110" s="1"/>
  <c r="J237" i="110" s="1"/>
  <c r="F237" i="110"/>
  <c r="L236" i="110"/>
  <c r="G236" i="110"/>
  <c r="K236" i="110" s="1"/>
  <c r="P236" i="110" s="1"/>
  <c r="V272" i="114"/>
  <c r="W272" i="114" s="1"/>
  <c r="E305" i="110"/>
  <c r="M305" i="110" s="1"/>
  <c r="N293" i="110"/>
  <c r="O292" i="110"/>
  <c r="K274" i="114"/>
  <c r="I275" i="114"/>
  <c r="J274" i="114"/>
  <c r="L273" i="114"/>
  <c r="M273" i="114" s="1"/>
  <c r="U273" i="114" s="1"/>
  <c r="P273" i="114"/>
  <c r="G276" i="114"/>
  <c r="F277" i="114"/>
  <c r="M303" i="88"/>
  <c r="E304" i="88"/>
  <c r="N267" i="88"/>
  <c r="O266" i="88"/>
  <c r="J237" i="88"/>
  <c r="K237" i="88" s="1"/>
  <c r="P237" i="88" s="1"/>
  <c r="I238" i="88"/>
  <c r="L238" i="88" s="1"/>
  <c r="H239" i="88"/>
  <c r="S239" i="88" s="1"/>
  <c r="F239" i="88"/>
  <c r="G238" i="88"/>
  <c r="R237" i="88"/>
  <c r="D258" i="93"/>
  <c r="E257" i="93"/>
  <c r="J143" i="112"/>
  <c r="I144" i="113"/>
  <c r="J144" i="113" s="1"/>
  <c r="F169" i="113"/>
  <c r="G169" i="113" s="1"/>
  <c r="M143" i="113"/>
  <c r="Q142" i="113"/>
  <c r="P143" i="113"/>
  <c r="F238" i="110" l="1"/>
  <c r="L237" i="110"/>
  <c r="H238" i="110"/>
  <c r="I238" i="110" s="1"/>
  <c r="J238" i="110" s="1"/>
  <c r="G237" i="110"/>
  <c r="K237" i="110" s="1"/>
  <c r="P237" i="110" s="1"/>
  <c r="N294" i="110"/>
  <c r="O293" i="110"/>
  <c r="E306" i="110"/>
  <c r="M306" i="110" s="1"/>
  <c r="V273" i="114"/>
  <c r="W273" i="114" s="1"/>
  <c r="J275" i="114"/>
  <c r="K275" i="114"/>
  <c r="I276" i="114"/>
  <c r="P274" i="114"/>
  <c r="L274" i="114"/>
  <c r="M274" i="114" s="1"/>
  <c r="U274" i="114" s="1"/>
  <c r="F278" i="114"/>
  <c r="G277" i="114"/>
  <c r="E305" i="88"/>
  <c r="M304" i="88"/>
  <c r="N268" i="88"/>
  <c r="O267" i="88"/>
  <c r="H240" i="88"/>
  <c r="S240" i="88" s="1"/>
  <c r="F240" i="88"/>
  <c r="G239" i="88"/>
  <c r="I239" i="88"/>
  <c r="J238" i="88"/>
  <c r="K238" i="88" s="1"/>
  <c r="P238" i="88" s="1"/>
  <c r="I145" i="113"/>
  <c r="J145" i="113" s="1"/>
  <c r="F170" i="113"/>
  <c r="Q143" i="113"/>
  <c r="K143" i="112"/>
  <c r="I144" i="112" s="1"/>
  <c r="C146" i="113" s="1"/>
  <c r="H146" i="113" s="1"/>
  <c r="B146" i="113" s="1"/>
  <c r="D259" i="93"/>
  <c r="E258" i="93"/>
  <c r="L144" i="113"/>
  <c r="L238" i="110" l="1"/>
  <c r="H239" i="110"/>
  <c r="I239" i="110" s="1"/>
  <c r="J239" i="110" s="1"/>
  <c r="G238" i="110"/>
  <c r="K238" i="110" s="1"/>
  <c r="P238" i="110" s="1"/>
  <c r="F239" i="110"/>
  <c r="E307" i="110"/>
  <c r="M307" i="110" s="1"/>
  <c r="N295" i="110"/>
  <c r="O294" i="110"/>
  <c r="V274" i="114"/>
  <c r="W274" i="114" s="1"/>
  <c r="I277" i="114"/>
  <c r="J276" i="114"/>
  <c r="K276" i="114"/>
  <c r="L275" i="114"/>
  <c r="M275" i="114" s="1"/>
  <c r="U275" i="114" s="1"/>
  <c r="P275" i="114"/>
  <c r="F279" i="114"/>
  <c r="G278" i="114"/>
  <c r="E306" i="88"/>
  <c r="M305" i="88"/>
  <c r="N269" i="88"/>
  <c r="O268" i="88"/>
  <c r="I240" i="88"/>
  <c r="J239" i="88"/>
  <c r="K239" i="88" s="1"/>
  <c r="P239" i="88" s="1"/>
  <c r="L239" i="88"/>
  <c r="H241" i="88"/>
  <c r="S241" i="88" s="1"/>
  <c r="G240" i="88"/>
  <c r="F241" i="88"/>
  <c r="D260" i="93"/>
  <c r="E259" i="93"/>
  <c r="I146" i="113"/>
  <c r="J146" i="113" s="1"/>
  <c r="O144" i="113"/>
  <c r="P144" i="113" s="1"/>
  <c r="J144" i="112"/>
  <c r="M144" i="113"/>
  <c r="G170" i="113"/>
  <c r="L145" i="113"/>
  <c r="O145" i="113" s="1"/>
  <c r="G239" i="110" l="1"/>
  <c r="K239" i="110" s="1"/>
  <c r="P239" i="110" s="1"/>
  <c r="L239" i="110"/>
  <c r="H240" i="110"/>
  <c r="I240" i="110" s="1"/>
  <c r="J240" i="110" s="1"/>
  <c r="F240" i="110"/>
  <c r="N296" i="110"/>
  <c r="O295" i="110"/>
  <c r="E308" i="110"/>
  <c r="M308" i="110" s="1"/>
  <c r="V275" i="114"/>
  <c r="W275" i="114" s="1"/>
  <c r="I278" i="114"/>
  <c r="J277" i="114"/>
  <c r="K277" i="114"/>
  <c r="L276" i="114"/>
  <c r="M276" i="114" s="1"/>
  <c r="U276" i="114" s="1"/>
  <c r="P276" i="114"/>
  <c r="G279" i="114"/>
  <c r="F280" i="114"/>
  <c r="E307" i="88"/>
  <c r="M306" i="88"/>
  <c r="N270" i="88"/>
  <c r="O269" i="88"/>
  <c r="H242" i="88"/>
  <c r="S242" i="88" s="1"/>
  <c r="G241" i="88"/>
  <c r="F242" i="88"/>
  <c r="J240" i="88"/>
  <c r="K240" i="88" s="1"/>
  <c r="P240" i="88" s="1"/>
  <c r="I241" i="88"/>
  <c r="L240" i="88"/>
  <c r="K144" i="112"/>
  <c r="I145" i="112" s="1"/>
  <c r="C147" i="113" s="1"/>
  <c r="H147" i="113" s="1"/>
  <c r="B147" i="113" s="1"/>
  <c r="Q144" i="113"/>
  <c r="P145" i="113"/>
  <c r="D261" i="93"/>
  <c r="E260" i="93"/>
  <c r="F171" i="113"/>
  <c r="G171" i="113" s="1"/>
  <c r="M145" i="113"/>
  <c r="L146" i="113"/>
  <c r="F241" i="110" l="1"/>
  <c r="L240" i="110"/>
  <c r="G240" i="110"/>
  <c r="K240" i="110" s="1"/>
  <c r="P240" i="110" s="1"/>
  <c r="H241" i="110"/>
  <c r="I241" i="110" s="1"/>
  <c r="J241" i="110" s="1"/>
  <c r="E309" i="110"/>
  <c r="M309" i="110" s="1"/>
  <c r="N297" i="110"/>
  <c r="O296" i="110"/>
  <c r="V276" i="114"/>
  <c r="W276" i="114" s="1"/>
  <c r="J278" i="114"/>
  <c r="K278" i="114"/>
  <c r="I279" i="114"/>
  <c r="P277" i="114"/>
  <c r="L277" i="114"/>
  <c r="M277" i="114" s="1"/>
  <c r="U277" i="114" s="1"/>
  <c r="F281" i="114"/>
  <c r="G280" i="114"/>
  <c r="M307" i="88"/>
  <c r="E308" i="88"/>
  <c r="N271" i="88"/>
  <c r="O270" i="88"/>
  <c r="G242" i="88"/>
  <c r="F243" i="88"/>
  <c r="H243" i="88"/>
  <c r="S243" i="88" s="1"/>
  <c r="I242" i="88"/>
  <c r="J241" i="88"/>
  <c r="K241" i="88" s="1"/>
  <c r="P241" i="88" s="1"/>
  <c r="L241" i="88"/>
  <c r="F172" i="113"/>
  <c r="G172" i="113" s="1"/>
  <c r="M146" i="113"/>
  <c r="Q145" i="113"/>
  <c r="J145" i="112"/>
  <c r="I147" i="113"/>
  <c r="J147" i="113" s="1"/>
  <c r="O146" i="113"/>
  <c r="D262" i="93"/>
  <c r="E261" i="93"/>
  <c r="F242" i="110" l="1"/>
  <c r="L241" i="110"/>
  <c r="G241" i="110"/>
  <c r="K241" i="110" s="1"/>
  <c r="P241" i="110" s="1"/>
  <c r="H242" i="110"/>
  <c r="I242" i="110" s="1"/>
  <c r="J242" i="110" s="1"/>
  <c r="N298" i="110"/>
  <c r="O297" i="110"/>
  <c r="E310" i="110"/>
  <c r="M310" i="110" s="1"/>
  <c r="V277" i="114"/>
  <c r="W277" i="114" s="1"/>
  <c r="K279" i="114"/>
  <c r="I280" i="114"/>
  <c r="J279" i="114"/>
  <c r="P278" i="114"/>
  <c r="L278" i="114"/>
  <c r="M278" i="114" s="1"/>
  <c r="U278" i="114" s="1"/>
  <c r="G281" i="114"/>
  <c r="F282" i="114"/>
  <c r="E309" i="88"/>
  <c r="M308" i="88"/>
  <c r="N272" i="88"/>
  <c r="O271" i="88"/>
  <c r="I243" i="88"/>
  <c r="J242" i="88"/>
  <c r="K242" i="88" s="1"/>
  <c r="P242" i="88" s="1"/>
  <c r="H244" i="88"/>
  <c r="S244" i="88" s="1"/>
  <c r="G243" i="88"/>
  <c r="F244" i="88"/>
  <c r="L242" i="88"/>
  <c r="F173" i="113"/>
  <c r="G173" i="113" s="1"/>
  <c r="D263" i="93"/>
  <c r="E262" i="93"/>
  <c r="L147" i="113"/>
  <c r="M147" i="113" s="1"/>
  <c r="P146" i="113"/>
  <c r="K145" i="112"/>
  <c r="I146" i="112" s="1"/>
  <c r="C148" i="113" s="1"/>
  <c r="H148" i="113" s="1"/>
  <c r="B148" i="113" s="1"/>
  <c r="F243" i="110" l="1"/>
  <c r="L242" i="110"/>
  <c r="H243" i="110"/>
  <c r="I243" i="110" s="1"/>
  <c r="J243" i="110" s="1"/>
  <c r="G242" i="110"/>
  <c r="K242" i="110" s="1"/>
  <c r="P242" i="110" s="1"/>
  <c r="E311" i="110"/>
  <c r="M311" i="110" s="1"/>
  <c r="N299" i="110"/>
  <c r="O298" i="110"/>
  <c r="V278" i="114"/>
  <c r="W278" i="114" s="1"/>
  <c r="P279" i="114"/>
  <c r="L279" i="114"/>
  <c r="M279" i="114" s="1"/>
  <c r="U279" i="114" s="1"/>
  <c r="K280" i="114"/>
  <c r="I281" i="114"/>
  <c r="J280" i="114"/>
  <c r="F283" i="114"/>
  <c r="G282" i="114"/>
  <c r="E310" i="88"/>
  <c r="M309" i="88"/>
  <c r="N273" i="88"/>
  <c r="O272" i="88"/>
  <c r="F245" i="88"/>
  <c r="H245" i="88"/>
  <c r="S245" i="88" s="1"/>
  <c r="G244" i="88"/>
  <c r="J243" i="88"/>
  <c r="K243" i="88" s="1"/>
  <c r="P243" i="88" s="1"/>
  <c r="I244" i="88"/>
  <c r="L244" i="88" s="1"/>
  <c r="L243" i="88"/>
  <c r="J146" i="112"/>
  <c r="K146" i="112" s="1"/>
  <c r="I147" i="112" s="1"/>
  <c r="C149" i="113" s="1"/>
  <c r="H149" i="113" s="1"/>
  <c r="B149" i="113" s="1"/>
  <c r="F174" i="113"/>
  <c r="D264" i="93"/>
  <c r="E263" i="93"/>
  <c r="Q146" i="113"/>
  <c r="O147" i="113"/>
  <c r="I148" i="113"/>
  <c r="G243" i="110" l="1"/>
  <c r="K243" i="110" s="1"/>
  <c r="P243" i="110" s="1"/>
  <c r="H244" i="110"/>
  <c r="I244" i="110" s="1"/>
  <c r="J244" i="110" s="1"/>
  <c r="F244" i="110"/>
  <c r="L243" i="110"/>
  <c r="V279" i="114"/>
  <c r="W279" i="114" s="1"/>
  <c r="N300" i="110"/>
  <c r="O299" i="110"/>
  <c r="E312" i="110"/>
  <c r="M312" i="110" s="1"/>
  <c r="J281" i="114"/>
  <c r="I282" i="114"/>
  <c r="K281" i="114"/>
  <c r="P280" i="114"/>
  <c r="L280" i="114"/>
  <c r="M280" i="114" s="1"/>
  <c r="U280" i="114" s="1"/>
  <c r="F284" i="114"/>
  <c r="G283" i="114"/>
  <c r="E311" i="88"/>
  <c r="M310" i="88"/>
  <c r="N274" i="88"/>
  <c r="O273" i="88"/>
  <c r="F246" i="88"/>
  <c r="G245" i="88"/>
  <c r="H246" i="88"/>
  <c r="S246" i="88" s="1"/>
  <c r="I245" i="88"/>
  <c r="L245" i="88" s="1"/>
  <c r="J244" i="88"/>
  <c r="K244" i="88" s="1"/>
  <c r="P244" i="88" s="1"/>
  <c r="L148" i="113"/>
  <c r="O148" i="113" s="1"/>
  <c r="P147" i="113"/>
  <c r="J147" i="112"/>
  <c r="J148" i="113"/>
  <c r="D265" i="93"/>
  <c r="E264" i="93"/>
  <c r="G174" i="113"/>
  <c r="H245" i="110" l="1"/>
  <c r="I245" i="110" s="1"/>
  <c r="J245" i="110" s="1"/>
  <c r="F245" i="110"/>
  <c r="L244" i="110"/>
  <c r="G244" i="110"/>
  <c r="K244" i="110" s="1"/>
  <c r="P244" i="110" s="1"/>
  <c r="V280" i="114"/>
  <c r="W280" i="114" s="1"/>
  <c r="E313" i="110"/>
  <c r="M313" i="110" s="1"/>
  <c r="N301" i="110"/>
  <c r="O300" i="110"/>
  <c r="P281" i="114"/>
  <c r="L281" i="114"/>
  <c r="M281" i="114" s="1"/>
  <c r="U281" i="114" s="1"/>
  <c r="J282" i="114"/>
  <c r="I283" i="114"/>
  <c r="K282" i="114"/>
  <c r="F285" i="114"/>
  <c r="G284" i="114"/>
  <c r="E312" i="88"/>
  <c r="M311" i="88"/>
  <c r="N275" i="88"/>
  <c r="O274" i="88"/>
  <c r="H247" i="88"/>
  <c r="S247" i="88" s="1"/>
  <c r="F247" i="88"/>
  <c r="G246" i="88"/>
  <c r="I246" i="88"/>
  <c r="L246" i="88" s="1"/>
  <c r="J245" i="88"/>
  <c r="K245" i="88" s="1"/>
  <c r="P245" i="88" s="1"/>
  <c r="F175" i="113"/>
  <c r="G175" i="113" s="1"/>
  <c r="I149" i="113"/>
  <c r="J149" i="113" s="1"/>
  <c r="Q147" i="113"/>
  <c r="P148" i="113"/>
  <c r="D266" i="93"/>
  <c r="E265" i="93"/>
  <c r="K147" i="112"/>
  <c r="I148" i="112" s="1"/>
  <c r="C150" i="113" s="1"/>
  <c r="H150" i="113" s="1"/>
  <c r="B150" i="113" s="1"/>
  <c r="M148" i="113"/>
  <c r="L245" i="110" l="1"/>
  <c r="F246" i="110"/>
  <c r="G245" i="110"/>
  <c r="K245" i="110" s="1"/>
  <c r="P245" i="110" s="1"/>
  <c r="H246" i="110"/>
  <c r="I246" i="110" s="1"/>
  <c r="J246" i="110" s="1"/>
  <c r="V281" i="114"/>
  <c r="W281" i="114" s="1"/>
  <c r="N302" i="110"/>
  <c r="O301" i="110"/>
  <c r="E314" i="110"/>
  <c r="M314" i="110" s="1"/>
  <c r="J283" i="114"/>
  <c r="K283" i="114"/>
  <c r="I284" i="114"/>
  <c r="L282" i="114"/>
  <c r="M282" i="114" s="1"/>
  <c r="U282" i="114" s="1"/>
  <c r="P282" i="114"/>
  <c r="F286" i="114"/>
  <c r="G285" i="114"/>
  <c r="E313" i="88"/>
  <c r="M312" i="88"/>
  <c r="N276" i="88"/>
  <c r="O275" i="88"/>
  <c r="F248" i="88"/>
  <c r="H248" i="88"/>
  <c r="S248" i="88" s="1"/>
  <c r="G247" i="88"/>
  <c r="I247" i="88"/>
  <c r="J246" i="88"/>
  <c r="K246" i="88" s="1"/>
  <c r="P246" i="88" s="1"/>
  <c r="J148" i="112"/>
  <c r="K148" i="112" s="1"/>
  <c r="I149" i="112" s="1"/>
  <c r="C151" i="113" s="1"/>
  <c r="H151" i="113" s="1"/>
  <c r="B151" i="113" s="1"/>
  <c r="F176" i="113"/>
  <c r="D267" i="93"/>
  <c r="E266" i="93"/>
  <c r="L149" i="113"/>
  <c r="M149" i="113" s="1"/>
  <c r="Q148" i="113"/>
  <c r="I150" i="113"/>
  <c r="F247" i="110" l="1"/>
  <c r="G246" i="110"/>
  <c r="K246" i="110" s="1"/>
  <c r="P246" i="110" s="1"/>
  <c r="L246" i="110"/>
  <c r="H247" i="110"/>
  <c r="I247" i="110" s="1"/>
  <c r="J247" i="110" s="1"/>
  <c r="E315" i="110"/>
  <c r="M315" i="110" s="1"/>
  <c r="N303" i="110"/>
  <c r="O302" i="110"/>
  <c r="I285" i="114"/>
  <c r="J284" i="114"/>
  <c r="K284" i="114"/>
  <c r="L283" i="114"/>
  <c r="M283" i="114" s="1"/>
  <c r="U283" i="114" s="1"/>
  <c r="P283" i="114"/>
  <c r="V282" i="114"/>
  <c r="W282" i="114" s="1"/>
  <c r="F287" i="114"/>
  <c r="G286" i="114"/>
  <c r="M313" i="88"/>
  <c r="E314" i="88"/>
  <c r="N277" i="88"/>
  <c r="O276" i="88"/>
  <c r="F249" i="88"/>
  <c r="G248" i="88"/>
  <c r="H249" i="88"/>
  <c r="S249" i="88" s="1"/>
  <c r="L247" i="88"/>
  <c r="J247" i="88"/>
  <c r="K247" i="88" s="1"/>
  <c r="P247" i="88" s="1"/>
  <c r="I248" i="88"/>
  <c r="L150" i="113"/>
  <c r="J150" i="113"/>
  <c r="J149" i="112"/>
  <c r="O149" i="113"/>
  <c r="P149" i="113" s="1"/>
  <c r="D268" i="93"/>
  <c r="E268" i="93" s="1"/>
  <c r="E267" i="93"/>
  <c r="G176" i="113"/>
  <c r="F248" i="110" l="1"/>
  <c r="H248" i="110"/>
  <c r="I248" i="110" s="1"/>
  <c r="J248" i="110" s="1"/>
  <c r="L247" i="110"/>
  <c r="G247" i="110"/>
  <c r="K247" i="110" s="1"/>
  <c r="P247" i="110" s="1"/>
  <c r="N304" i="110"/>
  <c r="O303" i="110"/>
  <c r="E316" i="110"/>
  <c r="M316" i="110" s="1"/>
  <c r="V283" i="114"/>
  <c r="W283" i="114" s="1"/>
  <c r="L284" i="114"/>
  <c r="M284" i="114" s="1"/>
  <c r="U284" i="114" s="1"/>
  <c r="P284" i="114"/>
  <c r="J285" i="114"/>
  <c r="K285" i="114"/>
  <c r="I286" i="114"/>
  <c r="F288" i="114"/>
  <c r="G287" i="114"/>
  <c r="E315" i="88"/>
  <c r="M314" i="88"/>
  <c r="N278" i="88"/>
  <c r="O277" i="88"/>
  <c r="F250" i="88"/>
  <c r="G249" i="88"/>
  <c r="H250" i="88"/>
  <c r="S250" i="88" s="1"/>
  <c r="I249" i="88"/>
  <c r="J248" i="88"/>
  <c r="K248" i="88" s="1"/>
  <c r="P248" i="88" s="1"/>
  <c r="L248" i="88"/>
  <c r="K149" i="112"/>
  <c r="I150" i="112" s="1"/>
  <c r="C152" i="113" s="1"/>
  <c r="H152" i="113" s="1"/>
  <c r="B152" i="113" s="1"/>
  <c r="F177" i="113"/>
  <c r="G177" i="113" s="1"/>
  <c r="Q149" i="113"/>
  <c r="I151" i="113"/>
  <c r="J151" i="113" s="1"/>
  <c r="O150" i="113"/>
  <c r="M150" i="113"/>
  <c r="H249" i="110" l="1"/>
  <c r="I249" i="110" s="1"/>
  <c r="J249" i="110" s="1"/>
  <c r="F249" i="110"/>
  <c r="L248" i="110"/>
  <c r="G248" i="110"/>
  <c r="K248" i="110" s="1"/>
  <c r="P248" i="110" s="1"/>
  <c r="V284" i="114"/>
  <c r="W284" i="114" s="1"/>
  <c r="E317" i="110"/>
  <c r="M317" i="110" s="1"/>
  <c r="N305" i="110"/>
  <c r="O304" i="110"/>
  <c r="P285" i="114"/>
  <c r="L285" i="114"/>
  <c r="M285" i="114" s="1"/>
  <c r="U285" i="114" s="1"/>
  <c r="I287" i="114"/>
  <c r="J286" i="114"/>
  <c r="K286" i="114"/>
  <c r="F289" i="114"/>
  <c r="G288" i="114"/>
  <c r="E316" i="88"/>
  <c r="M315" i="88"/>
  <c r="N279" i="88"/>
  <c r="O278" i="88"/>
  <c r="J249" i="88"/>
  <c r="K249" i="88" s="1"/>
  <c r="P249" i="88" s="1"/>
  <c r="I250" i="88"/>
  <c r="L250" i="88" s="1"/>
  <c r="H251" i="88"/>
  <c r="S251" i="88" s="1"/>
  <c r="F251" i="88"/>
  <c r="G250" i="88"/>
  <c r="L249" i="88"/>
  <c r="J150" i="112"/>
  <c r="K150" i="112" s="1"/>
  <c r="I151" i="112" s="1"/>
  <c r="C153" i="113" s="1"/>
  <c r="H153" i="113" s="1"/>
  <c r="B153" i="113" s="1"/>
  <c r="F178" i="113"/>
  <c r="I152" i="113"/>
  <c r="L151" i="113"/>
  <c r="P150" i="113"/>
  <c r="L249" i="110" l="1"/>
  <c r="G249" i="110"/>
  <c r="K249" i="110" s="1"/>
  <c r="P249" i="110" s="1"/>
  <c r="H250" i="110"/>
  <c r="I250" i="110" s="1"/>
  <c r="J250" i="110" s="1"/>
  <c r="F250" i="110"/>
  <c r="V285" i="114"/>
  <c r="W285" i="114" s="1"/>
  <c r="N306" i="110"/>
  <c r="O305" i="110"/>
  <c r="E318" i="110"/>
  <c r="J287" i="114"/>
  <c r="K287" i="114"/>
  <c r="I288" i="114"/>
  <c r="P286" i="114"/>
  <c r="L286" i="114"/>
  <c r="M286" i="114" s="1"/>
  <c r="U286" i="114" s="1"/>
  <c r="F290" i="114"/>
  <c r="G289" i="114"/>
  <c r="M316" i="88"/>
  <c r="E317" i="88"/>
  <c r="N280" i="88"/>
  <c r="O279" i="88"/>
  <c r="H252" i="88"/>
  <c r="S252" i="88" s="1"/>
  <c r="F252" i="88"/>
  <c r="G251" i="88"/>
  <c r="I251" i="88"/>
  <c r="L251" i="88" s="1"/>
  <c r="J250" i="88"/>
  <c r="K250" i="88" s="1"/>
  <c r="P250" i="88" s="1"/>
  <c r="J151" i="112"/>
  <c r="K151" i="112" s="1"/>
  <c r="I152" i="112" s="1"/>
  <c r="C154" i="113" s="1"/>
  <c r="H154" i="113" s="1"/>
  <c r="B154" i="113" s="1"/>
  <c r="L152" i="113"/>
  <c r="O152" i="113" s="1"/>
  <c r="Q150" i="113"/>
  <c r="O151" i="113"/>
  <c r="J152" i="113"/>
  <c r="M151" i="113"/>
  <c r="G178" i="113"/>
  <c r="E319" i="110" l="1"/>
  <c r="M318" i="110"/>
  <c r="H251" i="110"/>
  <c r="I251" i="110" s="1"/>
  <c r="J251" i="110" s="1"/>
  <c r="F251" i="110"/>
  <c r="L250" i="110"/>
  <c r="G250" i="110"/>
  <c r="K250" i="110" s="1"/>
  <c r="P250" i="110" s="1"/>
  <c r="V286" i="114"/>
  <c r="W286" i="114" s="1"/>
  <c r="N307" i="110"/>
  <c r="O306" i="110"/>
  <c r="J288" i="114"/>
  <c r="K288" i="114"/>
  <c r="I289" i="114"/>
  <c r="P287" i="114"/>
  <c r="L287" i="114"/>
  <c r="M287" i="114" s="1"/>
  <c r="U287" i="114" s="1"/>
  <c r="G290" i="114"/>
  <c r="F291" i="114"/>
  <c r="M152" i="113"/>
  <c r="E318" i="88"/>
  <c r="M318" i="88" s="1"/>
  <c r="M317" i="88"/>
  <c r="N281" i="88"/>
  <c r="O280" i="88"/>
  <c r="F253" i="88"/>
  <c r="G252" i="88"/>
  <c r="H253" i="88"/>
  <c r="S253" i="88" s="1"/>
  <c r="J251" i="88"/>
  <c r="K251" i="88" s="1"/>
  <c r="P251" i="88" s="1"/>
  <c r="I252" i="88"/>
  <c r="F179" i="113"/>
  <c r="I153" i="113"/>
  <c r="J153" i="113" s="1"/>
  <c r="P151" i="113"/>
  <c r="J152" i="112"/>
  <c r="E320" i="110" l="1"/>
  <c r="M319" i="110"/>
  <c r="G251" i="110"/>
  <c r="K251" i="110" s="1"/>
  <c r="P251" i="110" s="1"/>
  <c r="L251" i="110"/>
  <c r="H252" i="110"/>
  <c r="I252" i="110" s="1"/>
  <c r="J252" i="110" s="1"/>
  <c r="F252" i="110"/>
  <c r="V287" i="114"/>
  <c r="W287" i="114" s="1"/>
  <c r="N308" i="110"/>
  <c r="O307" i="110"/>
  <c r="K289" i="114"/>
  <c r="I290" i="114"/>
  <c r="J289" i="114"/>
  <c r="P288" i="114"/>
  <c r="L288" i="114"/>
  <c r="M288" i="114" s="1"/>
  <c r="U288" i="114" s="1"/>
  <c r="F292" i="114"/>
  <c r="G291" i="114"/>
  <c r="E319" i="88"/>
  <c r="E320" i="88" s="1"/>
  <c r="E321" i="88" s="1"/>
  <c r="E322" i="88" s="1"/>
  <c r="E323" i="88" s="1"/>
  <c r="E324" i="88" s="1"/>
  <c r="E325" i="88" s="1"/>
  <c r="E326" i="88" s="1"/>
  <c r="E327" i="88" s="1"/>
  <c r="E328" i="88" s="1"/>
  <c r="E329" i="88" s="1"/>
  <c r="E330" i="88" s="1"/>
  <c r="N282" i="88"/>
  <c r="O281" i="88"/>
  <c r="F254" i="88"/>
  <c r="G253" i="88"/>
  <c r="H254" i="88"/>
  <c r="S254" i="88" s="1"/>
  <c r="J252" i="88"/>
  <c r="K252" i="88" s="1"/>
  <c r="P252" i="88" s="1"/>
  <c r="I253" i="88"/>
  <c r="L252" i="88"/>
  <c r="Q151" i="113"/>
  <c r="P152" i="113"/>
  <c r="I154" i="113"/>
  <c r="J154" i="113" s="1"/>
  <c r="K152" i="112"/>
  <c r="I153" i="112" s="1"/>
  <c r="C155" i="113" s="1"/>
  <c r="H155" i="113" s="1"/>
  <c r="B155" i="113" s="1"/>
  <c r="L153" i="113"/>
  <c r="O153" i="113" s="1"/>
  <c r="G179" i="113"/>
  <c r="E321" i="110" l="1"/>
  <c r="M320" i="110"/>
  <c r="H253" i="110"/>
  <c r="I253" i="110" s="1"/>
  <c r="J253" i="110" s="1"/>
  <c r="L252" i="110"/>
  <c r="G252" i="110"/>
  <c r="K252" i="110" s="1"/>
  <c r="P252" i="110" s="1"/>
  <c r="F253" i="110"/>
  <c r="V288" i="114"/>
  <c r="W288" i="114" s="1"/>
  <c r="N309" i="110"/>
  <c r="O308" i="110"/>
  <c r="K290" i="114"/>
  <c r="I291" i="114"/>
  <c r="J290" i="114"/>
  <c r="L289" i="114"/>
  <c r="M289" i="114" s="1"/>
  <c r="U289" i="114" s="1"/>
  <c r="P289" i="114"/>
  <c r="F293" i="114"/>
  <c r="G292" i="114"/>
  <c r="N283" i="88"/>
  <c r="O282" i="88"/>
  <c r="H255" i="88"/>
  <c r="S255" i="88" s="1"/>
  <c r="F255" i="88"/>
  <c r="G254" i="88"/>
  <c r="J253" i="88"/>
  <c r="K253" i="88" s="1"/>
  <c r="P253" i="88" s="1"/>
  <c r="I254" i="88"/>
  <c r="L253" i="88"/>
  <c r="I155" i="113"/>
  <c r="F180" i="113"/>
  <c r="G180" i="113" s="1"/>
  <c r="J153" i="112"/>
  <c r="M153" i="113"/>
  <c r="L154" i="113"/>
  <c r="O154" i="113" s="1"/>
  <c r="Q152" i="113"/>
  <c r="P153" i="113"/>
  <c r="E322" i="110" l="1"/>
  <c r="M321" i="110"/>
  <c r="F254" i="110"/>
  <c r="L253" i="110"/>
  <c r="H254" i="110"/>
  <c r="I254" i="110" s="1"/>
  <c r="J254" i="110" s="1"/>
  <c r="G253" i="110"/>
  <c r="K253" i="110" s="1"/>
  <c r="P253" i="110" s="1"/>
  <c r="N310" i="110"/>
  <c r="O309" i="110"/>
  <c r="V289" i="114"/>
  <c r="W289" i="114" s="1"/>
  <c r="J291" i="114"/>
  <c r="K291" i="114"/>
  <c r="I292" i="114"/>
  <c r="P290" i="114"/>
  <c r="L290" i="114"/>
  <c r="M290" i="114" s="1"/>
  <c r="U290" i="114" s="1"/>
  <c r="F294" i="114"/>
  <c r="G293" i="114"/>
  <c r="N284" i="88"/>
  <c r="O283" i="88"/>
  <c r="H256" i="88"/>
  <c r="S256" i="88" s="1"/>
  <c r="F256" i="88"/>
  <c r="G255" i="88"/>
  <c r="J254" i="88"/>
  <c r="K254" i="88" s="1"/>
  <c r="P254" i="88" s="1"/>
  <c r="I255" i="88"/>
  <c r="L254" i="88"/>
  <c r="F181" i="113"/>
  <c r="G181" i="113" s="1"/>
  <c r="Q153" i="113"/>
  <c r="P154" i="113"/>
  <c r="K153" i="112"/>
  <c r="I154" i="112" s="1"/>
  <c r="C156" i="113" s="1"/>
  <c r="H156" i="113" s="1"/>
  <c r="B156" i="113" s="1"/>
  <c r="L155" i="113"/>
  <c r="O155" i="113" s="1"/>
  <c r="M154" i="113"/>
  <c r="J155" i="113"/>
  <c r="E323" i="110" l="1"/>
  <c r="M322" i="110"/>
  <c r="G254" i="110"/>
  <c r="K254" i="110" s="1"/>
  <c r="P254" i="110" s="1"/>
  <c r="L254" i="110"/>
  <c r="H255" i="110"/>
  <c r="I255" i="110" s="1"/>
  <c r="J255" i="110" s="1"/>
  <c r="F255" i="110"/>
  <c r="V290" i="114"/>
  <c r="W290" i="114" s="1"/>
  <c r="N311" i="110"/>
  <c r="O310" i="110"/>
  <c r="I293" i="114"/>
  <c r="J292" i="114"/>
  <c r="K292" i="114"/>
  <c r="P291" i="114"/>
  <c r="L291" i="114"/>
  <c r="M291" i="114" s="1"/>
  <c r="U291" i="114" s="1"/>
  <c r="F295" i="114"/>
  <c r="G294" i="114"/>
  <c r="N285" i="88"/>
  <c r="O284" i="88"/>
  <c r="F257" i="88"/>
  <c r="H257" i="88"/>
  <c r="S257" i="88" s="1"/>
  <c r="G256" i="88"/>
  <c r="I256" i="88"/>
  <c r="J255" i="88"/>
  <c r="K255" i="88" s="1"/>
  <c r="P255" i="88" s="1"/>
  <c r="L255" i="88"/>
  <c r="M155" i="113"/>
  <c r="F182" i="113"/>
  <c r="I156" i="113"/>
  <c r="J154" i="112"/>
  <c r="Q154" i="113"/>
  <c r="P155" i="113"/>
  <c r="E324" i="110" l="1"/>
  <c r="M323" i="110"/>
  <c r="F256" i="110"/>
  <c r="L255" i="110"/>
  <c r="H256" i="110"/>
  <c r="I256" i="110" s="1"/>
  <c r="J256" i="110" s="1"/>
  <c r="G255" i="110"/>
  <c r="K255" i="110" s="1"/>
  <c r="P255" i="110" s="1"/>
  <c r="V291" i="114"/>
  <c r="W291" i="114" s="1"/>
  <c r="N312" i="110"/>
  <c r="O311" i="110"/>
  <c r="L292" i="114"/>
  <c r="M292" i="114" s="1"/>
  <c r="U292" i="114" s="1"/>
  <c r="P292" i="114"/>
  <c r="I294" i="114"/>
  <c r="J293" i="114"/>
  <c r="K293" i="114"/>
  <c r="G295" i="114"/>
  <c r="F296" i="114"/>
  <c r="N286" i="88"/>
  <c r="O285" i="88"/>
  <c r="I257" i="88"/>
  <c r="L257" i="88" s="1"/>
  <c r="J256" i="88"/>
  <c r="K256" i="88" s="1"/>
  <c r="P256" i="88" s="1"/>
  <c r="L256" i="88"/>
  <c r="H258" i="88"/>
  <c r="S258" i="88" s="1"/>
  <c r="G257" i="88"/>
  <c r="F258" i="88"/>
  <c r="Q155" i="113"/>
  <c r="L156" i="113"/>
  <c r="K154" i="112"/>
  <c r="I155" i="112" s="1"/>
  <c r="C157" i="113" s="1"/>
  <c r="H157" i="113" s="1"/>
  <c r="B157" i="113" s="1"/>
  <c r="J156" i="113"/>
  <c r="G182" i="113"/>
  <c r="E325" i="110" l="1"/>
  <c r="M324" i="110"/>
  <c r="L256" i="110"/>
  <c r="G256" i="110"/>
  <c r="K256" i="110" s="1"/>
  <c r="P256" i="110" s="1"/>
  <c r="H257" i="110"/>
  <c r="I257" i="110" s="1"/>
  <c r="J257" i="110" s="1"/>
  <c r="F257" i="110"/>
  <c r="V292" i="114"/>
  <c r="W292" i="114" s="1"/>
  <c r="N313" i="110"/>
  <c r="O312" i="110"/>
  <c r="I295" i="114"/>
  <c r="J294" i="114"/>
  <c r="K294" i="114"/>
  <c r="P293" i="114"/>
  <c r="L293" i="114"/>
  <c r="M293" i="114" s="1"/>
  <c r="U293" i="114" s="1"/>
  <c r="F297" i="114"/>
  <c r="G296" i="114"/>
  <c r="N287" i="88"/>
  <c r="O286" i="88"/>
  <c r="J257" i="88"/>
  <c r="K257" i="88" s="1"/>
  <c r="P257" i="88" s="1"/>
  <c r="I258" i="88"/>
  <c r="L258" i="88" s="1"/>
  <c r="F259" i="88"/>
  <c r="H259" i="88"/>
  <c r="S259" i="88" s="1"/>
  <c r="G258" i="88"/>
  <c r="F183" i="113"/>
  <c r="G183" i="113" s="1"/>
  <c r="M156" i="113"/>
  <c r="I157" i="113"/>
  <c r="J157" i="113" s="1"/>
  <c r="J155" i="112"/>
  <c r="O156" i="113"/>
  <c r="P156" i="113" s="1"/>
  <c r="E326" i="110" l="1"/>
  <c r="M325" i="110"/>
  <c r="L257" i="110"/>
  <c r="G257" i="110"/>
  <c r="K257" i="110" s="1"/>
  <c r="P257" i="110" s="1"/>
  <c r="H258" i="110"/>
  <c r="I258" i="110" s="1"/>
  <c r="J258" i="110" s="1"/>
  <c r="F258" i="110"/>
  <c r="V293" i="114"/>
  <c r="W293" i="114" s="1"/>
  <c r="N314" i="110"/>
  <c r="O313" i="110"/>
  <c r="P294" i="114"/>
  <c r="L294" i="114"/>
  <c r="M294" i="114" s="1"/>
  <c r="U294" i="114" s="1"/>
  <c r="K295" i="114"/>
  <c r="I296" i="114"/>
  <c r="J295" i="114"/>
  <c r="G297" i="114"/>
  <c r="F298" i="114"/>
  <c r="N288" i="88"/>
  <c r="O287" i="88"/>
  <c r="H260" i="88"/>
  <c r="S260" i="88" s="1"/>
  <c r="F260" i="88"/>
  <c r="G259" i="88"/>
  <c r="I259" i="88"/>
  <c r="J258" i="88"/>
  <c r="K258" i="88" s="1"/>
  <c r="P258" i="88" s="1"/>
  <c r="F184" i="113"/>
  <c r="K155" i="112"/>
  <c r="I156" i="112" s="1"/>
  <c r="C158" i="113" s="1"/>
  <c r="H158" i="113" s="1"/>
  <c r="B158" i="113" s="1"/>
  <c r="L157" i="113"/>
  <c r="O157" i="113" s="1"/>
  <c r="P157" i="113" s="1"/>
  <c r="Q156" i="113"/>
  <c r="E327" i="110" l="1"/>
  <c r="M326" i="110"/>
  <c r="H259" i="110"/>
  <c r="I259" i="110" s="1"/>
  <c r="J259" i="110" s="1"/>
  <c r="L258" i="110"/>
  <c r="G258" i="110"/>
  <c r="K258" i="110" s="1"/>
  <c r="P258" i="110" s="1"/>
  <c r="F259" i="110"/>
  <c r="V294" i="114"/>
  <c r="W294" i="114" s="1"/>
  <c r="N315" i="110"/>
  <c r="O314" i="110"/>
  <c r="J296" i="114"/>
  <c r="K296" i="114"/>
  <c r="I297" i="114"/>
  <c r="P295" i="114"/>
  <c r="L295" i="114"/>
  <c r="M295" i="114" s="1"/>
  <c r="U295" i="114" s="1"/>
  <c r="I158" i="113"/>
  <c r="J158" i="113" s="1"/>
  <c r="F299" i="114"/>
  <c r="G298" i="114"/>
  <c r="N289" i="88"/>
  <c r="O288" i="88"/>
  <c r="L259" i="88"/>
  <c r="I260" i="88"/>
  <c r="L260" i="88" s="1"/>
  <c r="J259" i="88"/>
  <c r="K259" i="88" s="1"/>
  <c r="P259" i="88" s="1"/>
  <c r="F261" i="88"/>
  <c r="H261" i="88"/>
  <c r="S261" i="88" s="1"/>
  <c r="G260" i="88"/>
  <c r="M157" i="113"/>
  <c r="Q157" i="113"/>
  <c r="J156" i="112"/>
  <c r="G184" i="113"/>
  <c r="E328" i="110" l="1"/>
  <c r="E329" i="110" s="1"/>
  <c r="E330" i="110" s="1"/>
  <c r="E331" i="110" s="1"/>
  <c r="M327" i="110"/>
  <c r="H260" i="110"/>
  <c r="I260" i="110" s="1"/>
  <c r="J260" i="110" s="1"/>
  <c r="G259" i="110"/>
  <c r="K259" i="110" s="1"/>
  <c r="P259" i="110" s="1"/>
  <c r="F260" i="110"/>
  <c r="L259" i="110"/>
  <c r="V295" i="114"/>
  <c r="W295" i="114" s="1"/>
  <c r="N316" i="110"/>
  <c r="O315" i="110"/>
  <c r="J297" i="114"/>
  <c r="K297" i="114"/>
  <c r="I298" i="114"/>
  <c r="L296" i="114"/>
  <c r="M296" i="114" s="1"/>
  <c r="U296" i="114" s="1"/>
  <c r="P296" i="114"/>
  <c r="L158" i="113"/>
  <c r="M158" i="113" s="1"/>
  <c r="G299" i="114"/>
  <c r="F300" i="114"/>
  <c r="N290" i="88"/>
  <c r="O289" i="88"/>
  <c r="H262" i="88"/>
  <c r="S262" i="88" s="1"/>
  <c r="G261" i="88"/>
  <c r="F262" i="88"/>
  <c r="I261" i="88"/>
  <c r="J260" i="88"/>
  <c r="K260" i="88" s="1"/>
  <c r="P260" i="88" s="1"/>
  <c r="F185" i="113"/>
  <c r="G185" i="113" s="1"/>
  <c r="K156" i="112"/>
  <c r="I157" i="112" s="1"/>
  <c r="C159" i="113" s="1"/>
  <c r="H159" i="113" s="1"/>
  <c r="F261" i="110" l="1"/>
  <c r="G260" i="110"/>
  <c r="K260" i="110" s="1"/>
  <c r="P260" i="110" s="1"/>
  <c r="H261" i="110"/>
  <c r="I261" i="110" s="1"/>
  <c r="J261" i="110" s="1"/>
  <c r="L260" i="110"/>
  <c r="N317" i="110"/>
  <c r="O316" i="110"/>
  <c r="V296" i="114"/>
  <c r="W296" i="114" s="1"/>
  <c r="I299" i="114"/>
  <c r="J298" i="114"/>
  <c r="K298" i="114"/>
  <c r="P297" i="114"/>
  <c r="L297" i="114"/>
  <c r="M297" i="114" s="1"/>
  <c r="U297" i="114" s="1"/>
  <c r="O158" i="113"/>
  <c r="P158" i="113" s="1"/>
  <c r="Q158" i="113" s="1"/>
  <c r="F301" i="114"/>
  <c r="G300" i="114"/>
  <c r="N291" i="88"/>
  <c r="O290" i="88"/>
  <c r="H263" i="88"/>
  <c r="S263" i="88" s="1"/>
  <c r="G262" i="88"/>
  <c r="F263" i="88"/>
  <c r="L261" i="88"/>
  <c r="J261" i="88"/>
  <c r="K261" i="88" s="1"/>
  <c r="P261" i="88" s="1"/>
  <c r="I262" i="88"/>
  <c r="J157" i="112"/>
  <c r="K157" i="112" s="1"/>
  <c r="I158" i="112" s="1"/>
  <c r="C160" i="113" s="1"/>
  <c r="H160" i="113" s="1"/>
  <c r="B160" i="113" s="1"/>
  <c r="F186" i="113"/>
  <c r="B159" i="113"/>
  <c r="I159" i="113"/>
  <c r="J159" i="113" s="1"/>
  <c r="G261" i="110" l="1"/>
  <c r="K261" i="110" s="1"/>
  <c r="P261" i="110" s="1"/>
  <c r="L261" i="110"/>
  <c r="H262" i="110"/>
  <c r="I262" i="110" s="1"/>
  <c r="J262" i="110" s="1"/>
  <c r="F262" i="110"/>
  <c r="N318" i="110"/>
  <c r="O317" i="110"/>
  <c r="V297" i="114"/>
  <c r="W297" i="114" s="1"/>
  <c r="P298" i="114"/>
  <c r="L298" i="114"/>
  <c r="M298" i="114" s="1"/>
  <c r="U298" i="114" s="1"/>
  <c r="K299" i="114"/>
  <c r="J299" i="114"/>
  <c r="I300" i="114"/>
  <c r="G301" i="114"/>
  <c r="F302" i="114"/>
  <c r="N292" i="88"/>
  <c r="O291" i="88"/>
  <c r="J262" i="88"/>
  <c r="K262" i="88" s="1"/>
  <c r="P262" i="88" s="1"/>
  <c r="I263" i="88"/>
  <c r="F264" i="88"/>
  <c r="G263" i="88"/>
  <c r="H264" i="88"/>
  <c r="S264" i="88" s="1"/>
  <c r="L263" i="88"/>
  <c r="L262" i="88"/>
  <c r="I160" i="113"/>
  <c r="J160" i="113" s="1"/>
  <c r="L159" i="113"/>
  <c r="O159" i="113" s="1"/>
  <c r="P159" i="113" s="1"/>
  <c r="J158" i="112"/>
  <c r="G186" i="113"/>
  <c r="F263" i="110" l="1"/>
  <c r="L262" i="110"/>
  <c r="G262" i="110"/>
  <c r="K262" i="110" s="1"/>
  <c r="P262" i="110" s="1"/>
  <c r="H263" i="110"/>
  <c r="I263" i="110" s="1"/>
  <c r="J263" i="110" s="1"/>
  <c r="V298" i="114"/>
  <c r="W298" i="114" s="1"/>
  <c r="N319" i="110"/>
  <c r="O318" i="110"/>
  <c r="I301" i="114"/>
  <c r="K300" i="114"/>
  <c r="J300" i="114"/>
  <c r="P299" i="114"/>
  <c r="L299" i="114"/>
  <c r="M299" i="114" s="1"/>
  <c r="U299" i="114" s="1"/>
  <c r="F303" i="114"/>
  <c r="G302" i="114"/>
  <c r="N293" i="88"/>
  <c r="O292" i="88"/>
  <c r="H265" i="88"/>
  <c r="S265" i="88" s="1"/>
  <c r="F265" i="88"/>
  <c r="G264" i="88"/>
  <c r="I264" i="88"/>
  <c r="J263" i="88"/>
  <c r="K263" i="88" s="1"/>
  <c r="P263" i="88" s="1"/>
  <c r="Q159" i="113"/>
  <c r="F187" i="113"/>
  <c r="K158" i="112"/>
  <c r="I159" i="112" s="1"/>
  <c r="C161" i="113" s="1"/>
  <c r="H161" i="113" s="1"/>
  <c r="B161" i="113" s="1"/>
  <c r="M159" i="113"/>
  <c r="L160" i="113"/>
  <c r="O160" i="113" s="1"/>
  <c r="P160" i="113" s="1"/>
  <c r="L263" i="110" l="1"/>
  <c r="G263" i="110"/>
  <c r="K263" i="110" s="1"/>
  <c r="P263" i="110" s="1"/>
  <c r="H264" i="110"/>
  <c r="I264" i="110" s="1"/>
  <c r="J264" i="110" s="1"/>
  <c r="F264" i="110"/>
  <c r="V299" i="114"/>
  <c r="W299" i="114" s="1"/>
  <c r="N320" i="110"/>
  <c r="O319" i="110"/>
  <c r="P300" i="114"/>
  <c r="L300" i="114"/>
  <c r="M300" i="114" s="1"/>
  <c r="U300" i="114" s="1"/>
  <c r="K301" i="114"/>
  <c r="I302" i="114"/>
  <c r="J301" i="114"/>
  <c r="G303" i="114"/>
  <c r="F304" i="114"/>
  <c r="N294" i="88"/>
  <c r="O293" i="88"/>
  <c r="I265" i="88"/>
  <c r="L265" i="88" s="1"/>
  <c r="J264" i="88"/>
  <c r="K264" i="88" s="1"/>
  <c r="P264" i="88" s="1"/>
  <c r="L264" i="88"/>
  <c r="H266" i="88"/>
  <c r="S266" i="88" s="1"/>
  <c r="F266" i="88"/>
  <c r="G265" i="88"/>
  <c r="J159" i="112"/>
  <c r="K159" i="112" s="1"/>
  <c r="I160" i="112" s="1"/>
  <c r="C162" i="113" s="1"/>
  <c r="H162" i="113" s="1"/>
  <c r="B162" i="113" s="1"/>
  <c r="Q160" i="113"/>
  <c r="M160" i="113"/>
  <c r="I161" i="113"/>
  <c r="J161" i="113" s="1"/>
  <c r="G187" i="113"/>
  <c r="G264" i="110" l="1"/>
  <c r="K264" i="110" s="1"/>
  <c r="P264" i="110" s="1"/>
  <c r="H265" i="110"/>
  <c r="I265" i="110" s="1"/>
  <c r="J265" i="110" s="1"/>
  <c r="F265" i="110"/>
  <c r="L264" i="110"/>
  <c r="V300" i="114"/>
  <c r="W300" i="114" s="1"/>
  <c r="N321" i="110"/>
  <c r="O320" i="110"/>
  <c r="J302" i="114"/>
  <c r="K302" i="114"/>
  <c r="I303" i="114"/>
  <c r="P301" i="114"/>
  <c r="L301" i="114"/>
  <c r="M301" i="114" s="1"/>
  <c r="U301" i="114" s="1"/>
  <c r="G304" i="114"/>
  <c r="F305" i="114"/>
  <c r="N295" i="88"/>
  <c r="O294" i="88"/>
  <c r="F267" i="88"/>
  <c r="H267" i="88"/>
  <c r="S267" i="88" s="1"/>
  <c r="G266" i="88"/>
  <c r="J265" i="88"/>
  <c r="K265" i="88" s="1"/>
  <c r="P265" i="88" s="1"/>
  <c r="I266" i="88"/>
  <c r="F188" i="113"/>
  <c r="G188" i="113" s="1"/>
  <c r="I162" i="113"/>
  <c r="J162" i="113" s="1"/>
  <c r="L161" i="113"/>
  <c r="M161" i="113" s="1"/>
  <c r="J160" i="112"/>
  <c r="F266" i="110" l="1"/>
  <c r="G265" i="110"/>
  <c r="K265" i="110" s="1"/>
  <c r="P265" i="110" s="1"/>
  <c r="L265" i="110"/>
  <c r="H266" i="110"/>
  <c r="I266" i="110" s="1"/>
  <c r="J266" i="110" s="1"/>
  <c r="V301" i="114"/>
  <c r="W301" i="114" s="1"/>
  <c r="N322" i="110"/>
  <c r="O321" i="110"/>
  <c r="K303" i="114"/>
  <c r="I304" i="114"/>
  <c r="J303" i="114"/>
  <c r="L302" i="114"/>
  <c r="M302" i="114" s="1"/>
  <c r="U302" i="114" s="1"/>
  <c r="P302" i="114"/>
  <c r="G305" i="114"/>
  <c r="F306" i="114"/>
  <c r="N296" i="88"/>
  <c r="O295" i="88"/>
  <c r="L266" i="88"/>
  <c r="I267" i="88"/>
  <c r="J266" i="88"/>
  <c r="K266" i="88" s="1"/>
  <c r="P266" i="88" s="1"/>
  <c r="F268" i="88"/>
  <c r="H268" i="88"/>
  <c r="S268" i="88" s="1"/>
  <c r="L267" i="88"/>
  <c r="G267" i="88"/>
  <c r="K160" i="112"/>
  <c r="I161" i="112" s="1"/>
  <c r="C163" i="113" s="1"/>
  <c r="H163" i="113" s="1"/>
  <c r="B163" i="113" s="1"/>
  <c r="O161" i="113"/>
  <c r="P161" i="113" s="1"/>
  <c r="L162" i="113"/>
  <c r="F189" i="113"/>
  <c r="H267" i="110" l="1"/>
  <c r="I267" i="110" s="1"/>
  <c r="J267" i="110" s="1"/>
  <c r="L266" i="110"/>
  <c r="F267" i="110"/>
  <c r="G266" i="110"/>
  <c r="K266" i="110" s="1"/>
  <c r="P266" i="110" s="1"/>
  <c r="N323" i="110"/>
  <c r="O322" i="110"/>
  <c r="V302" i="114"/>
  <c r="W302" i="114" s="1"/>
  <c r="I305" i="114"/>
  <c r="J304" i="114"/>
  <c r="K304" i="114"/>
  <c r="P303" i="114"/>
  <c r="L303" i="114"/>
  <c r="M303" i="114" s="1"/>
  <c r="U303" i="114" s="1"/>
  <c r="F307" i="114"/>
  <c r="G306" i="114"/>
  <c r="N297" i="88"/>
  <c r="O296" i="88"/>
  <c r="F269" i="88"/>
  <c r="H269" i="88"/>
  <c r="S269" i="88" s="1"/>
  <c r="G268" i="88"/>
  <c r="J267" i="88"/>
  <c r="K267" i="88" s="1"/>
  <c r="P267" i="88" s="1"/>
  <c r="I268" i="88"/>
  <c r="Q161" i="113"/>
  <c r="M162" i="113"/>
  <c r="G189" i="113"/>
  <c r="O162" i="113"/>
  <c r="J161" i="112"/>
  <c r="I163" i="113"/>
  <c r="J163" i="113" s="1"/>
  <c r="L267" i="110" l="1"/>
  <c r="H268" i="110"/>
  <c r="I268" i="110" s="1"/>
  <c r="J268" i="110" s="1"/>
  <c r="F268" i="110"/>
  <c r="G267" i="110"/>
  <c r="K267" i="110" s="1"/>
  <c r="P267" i="110" s="1"/>
  <c r="N324" i="110"/>
  <c r="O323" i="110"/>
  <c r="V303" i="114"/>
  <c r="W303" i="114" s="1"/>
  <c r="P304" i="114"/>
  <c r="L304" i="114"/>
  <c r="M304" i="114" s="1"/>
  <c r="U304" i="114" s="1"/>
  <c r="I306" i="114"/>
  <c r="J305" i="114"/>
  <c r="K305" i="114"/>
  <c r="G307" i="114"/>
  <c r="F308" i="114"/>
  <c r="N298" i="88"/>
  <c r="O297" i="88"/>
  <c r="H270" i="88"/>
  <c r="S270" i="88" s="1"/>
  <c r="G269" i="88"/>
  <c r="F270" i="88"/>
  <c r="J268" i="88"/>
  <c r="K268" i="88" s="1"/>
  <c r="P268" i="88" s="1"/>
  <c r="I269" i="88"/>
  <c r="L268" i="88"/>
  <c r="F190" i="113"/>
  <c r="G190" i="113" s="1"/>
  <c r="P162" i="113"/>
  <c r="L163" i="113"/>
  <c r="M163" i="113" s="1"/>
  <c r="K161" i="112"/>
  <c r="I162" i="112" s="1"/>
  <c r="C164" i="113" s="1"/>
  <c r="H164" i="113" s="1"/>
  <c r="B164" i="113" s="1"/>
  <c r="F269" i="110" l="1"/>
  <c r="H269" i="110"/>
  <c r="I269" i="110" s="1"/>
  <c r="J269" i="110" s="1"/>
  <c r="G268" i="110"/>
  <c r="K268" i="110" s="1"/>
  <c r="P268" i="110" s="1"/>
  <c r="L268" i="110"/>
  <c r="N325" i="110"/>
  <c r="O324" i="110"/>
  <c r="V304" i="114"/>
  <c r="W304" i="114" s="1"/>
  <c r="L305" i="114"/>
  <c r="M305" i="114" s="1"/>
  <c r="U305" i="114" s="1"/>
  <c r="P305" i="114"/>
  <c r="I307" i="114"/>
  <c r="J306" i="114"/>
  <c r="K306" i="114"/>
  <c r="F309" i="114"/>
  <c r="G308" i="114"/>
  <c r="N299" i="88"/>
  <c r="O298" i="88"/>
  <c r="I270" i="88"/>
  <c r="J269" i="88"/>
  <c r="K269" i="88" s="1"/>
  <c r="P269" i="88" s="1"/>
  <c r="L269" i="88"/>
  <c r="H271" i="88"/>
  <c r="S271" i="88" s="1"/>
  <c r="G270" i="88"/>
  <c r="F271" i="88"/>
  <c r="J162" i="112"/>
  <c r="K162" i="112" s="1"/>
  <c r="I163" i="112" s="1"/>
  <c r="C165" i="113" s="1"/>
  <c r="H165" i="113" s="1"/>
  <c r="B165" i="113" s="1"/>
  <c r="F191" i="113"/>
  <c r="Q162" i="113"/>
  <c r="I164" i="113"/>
  <c r="J164" i="113" s="1"/>
  <c r="O163" i="113"/>
  <c r="L269" i="110" l="1"/>
  <c r="H270" i="110"/>
  <c r="I270" i="110" s="1"/>
  <c r="J270" i="110" s="1"/>
  <c r="G269" i="110"/>
  <c r="K269" i="110" s="1"/>
  <c r="P269" i="110" s="1"/>
  <c r="F270" i="110"/>
  <c r="N326" i="110"/>
  <c r="O325" i="110"/>
  <c r="V305" i="114"/>
  <c r="W305" i="114" s="1"/>
  <c r="I308" i="114"/>
  <c r="J307" i="114"/>
  <c r="K307" i="114"/>
  <c r="L306" i="114"/>
  <c r="M306" i="114" s="1"/>
  <c r="U306" i="114" s="1"/>
  <c r="P306" i="114"/>
  <c r="G309" i="114"/>
  <c r="F310" i="114"/>
  <c r="N300" i="88"/>
  <c r="O299" i="88"/>
  <c r="H272" i="88"/>
  <c r="S272" i="88" s="1"/>
  <c r="G271" i="88"/>
  <c r="F272" i="88"/>
  <c r="I271" i="88"/>
  <c r="J270" i="88"/>
  <c r="K270" i="88" s="1"/>
  <c r="P270" i="88" s="1"/>
  <c r="L270" i="88"/>
  <c r="L164" i="113"/>
  <c r="P163" i="113"/>
  <c r="I165" i="113"/>
  <c r="J163" i="112"/>
  <c r="G191" i="113"/>
  <c r="L270" i="110" l="1"/>
  <c r="G270" i="110"/>
  <c r="K270" i="110" s="1"/>
  <c r="P270" i="110" s="1"/>
  <c r="H271" i="110"/>
  <c r="I271" i="110" s="1"/>
  <c r="J271" i="110" s="1"/>
  <c r="F271" i="110"/>
  <c r="V306" i="114"/>
  <c r="W306" i="114" s="1"/>
  <c r="N327" i="110"/>
  <c r="O326" i="110"/>
  <c r="L307" i="114"/>
  <c r="M307" i="114" s="1"/>
  <c r="U307" i="114" s="1"/>
  <c r="P307" i="114"/>
  <c r="J308" i="114"/>
  <c r="K308" i="114"/>
  <c r="I309" i="114"/>
  <c r="F311" i="114"/>
  <c r="G310" i="114"/>
  <c r="N301" i="88"/>
  <c r="O300" i="88"/>
  <c r="J271" i="88"/>
  <c r="K271" i="88" s="1"/>
  <c r="P271" i="88" s="1"/>
  <c r="I272" i="88"/>
  <c r="L272" i="88" s="1"/>
  <c r="F273" i="88"/>
  <c r="H273" i="88"/>
  <c r="S273" i="88" s="1"/>
  <c r="G272" i="88"/>
  <c r="L271" i="88"/>
  <c r="F192" i="113"/>
  <c r="G192" i="113" s="1"/>
  <c r="L165" i="113"/>
  <c r="O165" i="113" s="1"/>
  <c r="M164" i="113"/>
  <c r="K163" i="112"/>
  <c r="I164" i="112" s="1"/>
  <c r="C166" i="113" s="1"/>
  <c r="H166" i="113" s="1"/>
  <c r="B166" i="113" s="1"/>
  <c r="J165" i="113"/>
  <c r="Q163" i="113"/>
  <c r="O164" i="113"/>
  <c r="G271" i="110" l="1"/>
  <c r="K271" i="110" s="1"/>
  <c r="P271" i="110" s="1"/>
  <c r="L271" i="110"/>
  <c r="H272" i="110"/>
  <c r="I272" i="110" s="1"/>
  <c r="J272" i="110" s="1"/>
  <c r="F272" i="110"/>
  <c r="N328" i="110"/>
  <c r="O327" i="110"/>
  <c r="V307" i="114"/>
  <c r="W307" i="114" s="1"/>
  <c r="K309" i="114"/>
  <c r="I310" i="114"/>
  <c r="J309" i="114"/>
  <c r="P308" i="114"/>
  <c r="L308" i="114"/>
  <c r="M308" i="114" s="1"/>
  <c r="U308" i="114" s="1"/>
  <c r="F312" i="114"/>
  <c r="G311" i="114"/>
  <c r="N302" i="88"/>
  <c r="O301" i="88"/>
  <c r="H274" i="88"/>
  <c r="S274" i="88" s="1"/>
  <c r="F274" i="88"/>
  <c r="G273" i="88"/>
  <c r="J272" i="88"/>
  <c r="K272" i="88" s="1"/>
  <c r="P272" i="88" s="1"/>
  <c r="I273" i="88"/>
  <c r="J164" i="112"/>
  <c r="K164" i="112" s="1"/>
  <c r="I165" i="112" s="1"/>
  <c r="C167" i="113" s="1"/>
  <c r="H167" i="113" s="1"/>
  <c r="B167" i="113" s="1"/>
  <c r="M165" i="113"/>
  <c r="P164" i="113"/>
  <c r="I166" i="113"/>
  <c r="J166" i="113" s="1"/>
  <c r="F193" i="113"/>
  <c r="G193" i="113" s="1"/>
  <c r="F273" i="110" l="1"/>
  <c r="G272" i="110"/>
  <c r="K272" i="110" s="1"/>
  <c r="P272" i="110" s="1"/>
  <c r="L272" i="110"/>
  <c r="H273" i="110"/>
  <c r="I273" i="110" s="1"/>
  <c r="J273" i="110" s="1"/>
  <c r="N329" i="110"/>
  <c r="O328" i="110"/>
  <c r="V308" i="114"/>
  <c r="W308" i="114" s="1"/>
  <c r="P309" i="114"/>
  <c r="L309" i="114"/>
  <c r="M309" i="114" s="1"/>
  <c r="U309" i="114" s="1"/>
  <c r="J310" i="114"/>
  <c r="K310" i="114"/>
  <c r="I311" i="114"/>
  <c r="F313" i="114"/>
  <c r="G312" i="114"/>
  <c r="N303" i="88"/>
  <c r="O302" i="88"/>
  <c r="I274" i="88"/>
  <c r="L274" i="88" s="1"/>
  <c r="J273" i="88"/>
  <c r="K273" i="88" s="1"/>
  <c r="P273" i="88" s="1"/>
  <c r="L273" i="88"/>
  <c r="G274" i="88"/>
  <c r="F275" i="88"/>
  <c r="H275" i="88"/>
  <c r="S275" i="88" s="1"/>
  <c r="F194" i="113"/>
  <c r="G194" i="113" s="1"/>
  <c r="I167" i="113"/>
  <c r="J167" i="113" s="1"/>
  <c r="J165" i="112"/>
  <c r="L166" i="113"/>
  <c r="O166" i="113" s="1"/>
  <c r="Q164" i="113"/>
  <c r="P165" i="113"/>
  <c r="H274" i="110" l="1"/>
  <c r="I274" i="110" s="1"/>
  <c r="J274" i="110" s="1"/>
  <c r="F274" i="110"/>
  <c r="G273" i="110"/>
  <c r="K273" i="110" s="1"/>
  <c r="P273" i="110" s="1"/>
  <c r="L273" i="110"/>
  <c r="V309" i="114"/>
  <c r="W309" i="114" s="1"/>
  <c r="N330" i="110"/>
  <c r="O329" i="110"/>
  <c r="I312" i="114"/>
  <c r="J311" i="114"/>
  <c r="K311" i="114"/>
  <c r="L310" i="114"/>
  <c r="M310" i="114" s="1"/>
  <c r="U310" i="114" s="1"/>
  <c r="P310" i="114"/>
  <c r="F314" i="114"/>
  <c r="G313" i="114"/>
  <c r="N304" i="88"/>
  <c r="O303" i="88"/>
  <c r="H276" i="88"/>
  <c r="S276" i="88" s="1"/>
  <c r="G275" i="88"/>
  <c r="F276" i="88"/>
  <c r="I275" i="88"/>
  <c r="J274" i="88"/>
  <c r="K274" i="88" s="1"/>
  <c r="P274" i="88" s="1"/>
  <c r="F195" i="113"/>
  <c r="L167" i="113"/>
  <c r="Q165" i="113"/>
  <c r="P166" i="113"/>
  <c r="M166" i="113"/>
  <c r="K165" i="112"/>
  <c r="I166" i="112" s="1"/>
  <c r="C168" i="113" s="1"/>
  <c r="H168" i="113" s="1"/>
  <c r="B168" i="113" s="1"/>
  <c r="G274" i="110" l="1"/>
  <c r="K274" i="110" s="1"/>
  <c r="P274" i="110" s="1"/>
  <c r="L274" i="110"/>
  <c r="H275" i="110"/>
  <c r="I275" i="110" s="1"/>
  <c r="J275" i="110" s="1"/>
  <c r="F275" i="110"/>
  <c r="N331" i="110"/>
  <c r="O331" i="110" s="1"/>
  <c r="O330" i="110"/>
  <c r="V310" i="114"/>
  <c r="W310" i="114" s="1"/>
  <c r="P311" i="114"/>
  <c r="L311" i="114"/>
  <c r="M311" i="114" s="1"/>
  <c r="U311" i="114" s="1"/>
  <c r="K312" i="114"/>
  <c r="J312" i="114"/>
  <c r="I313" i="114"/>
  <c r="M167" i="113"/>
  <c r="G314" i="114"/>
  <c r="F315" i="114"/>
  <c r="N305" i="88"/>
  <c r="O304" i="88"/>
  <c r="J275" i="88"/>
  <c r="K275" i="88" s="1"/>
  <c r="P275" i="88" s="1"/>
  <c r="I276" i="88"/>
  <c r="F277" i="88"/>
  <c r="H277" i="88"/>
  <c r="S277" i="88" s="1"/>
  <c r="G276" i="88"/>
  <c r="L276" i="88"/>
  <c r="L275" i="88"/>
  <c r="J166" i="112"/>
  <c r="K166" i="112" s="1"/>
  <c r="I167" i="112" s="1"/>
  <c r="C169" i="113" s="1"/>
  <c r="H169" i="113" s="1"/>
  <c r="B169" i="113" s="1"/>
  <c r="I168" i="113"/>
  <c r="L168" i="113" s="1"/>
  <c r="Q166" i="113"/>
  <c r="O167" i="113"/>
  <c r="P167" i="113" s="1"/>
  <c r="G195" i="113"/>
  <c r="F276" i="110" l="1"/>
  <c r="L275" i="110"/>
  <c r="G275" i="110"/>
  <c r="K275" i="110" s="1"/>
  <c r="P275" i="110" s="1"/>
  <c r="H276" i="110"/>
  <c r="I276" i="110" s="1"/>
  <c r="J276" i="110" s="1"/>
  <c r="V311" i="114"/>
  <c r="W311" i="114" s="1"/>
  <c r="L312" i="114"/>
  <c r="M312" i="114" s="1"/>
  <c r="U312" i="114" s="1"/>
  <c r="P312" i="114"/>
  <c r="I314" i="114"/>
  <c r="J313" i="114"/>
  <c r="K313" i="114"/>
  <c r="F316" i="114"/>
  <c r="G315" i="114"/>
  <c r="J168" i="113"/>
  <c r="I169" i="113" s="1"/>
  <c r="J169" i="113" s="1"/>
  <c r="N306" i="88"/>
  <c r="O305" i="88"/>
  <c r="F278" i="88"/>
  <c r="H278" i="88"/>
  <c r="S278" i="88" s="1"/>
  <c r="G277" i="88"/>
  <c r="I277" i="88"/>
  <c r="L277" i="88" s="1"/>
  <c r="J276" i="88"/>
  <c r="K276" i="88" s="1"/>
  <c r="P276" i="88" s="1"/>
  <c r="Q167" i="113"/>
  <c r="F196" i="113"/>
  <c r="O168" i="113"/>
  <c r="P168" i="113" s="1"/>
  <c r="M168" i="113"/>
  <c r="J167" i="112"/>
  <c r="H277" i="110" l="1"/>
  <c r="I277" i="110" s="1"/>
  <c r="J277" i="110" s="1"/>
  <c r="F277" i="110"/>
  <c r="G276" i="110"/>
  <c r="K276" i="110" s="1"/>
  <c r="P276" i="110" s="1"/>
  <c r="L276" i="110"/>
  <c r="V312" i="114"/>
  <c r="W312" i="114" s="1"/>
  <c r="L313" i="114"/>
  <c r="M313" i="114" s="1"/>
  <c r="U313" i="114" s="1"/>
  <c r="P313" i="114"/>
  <c r="J314" i="114"/>
  <c r="K314" i="114"/>
  <c r="I315" i="114"/>
  <c r="G316" i="114"/>
  <c r="F317" i="114"/>
  <c r="N307" i="88"/>
  <c r="O306" i="88"/>
  <c r="I278" i="88"/>
  <c r="J277" i="88"/>
  <c r="K277" i="88" s="1"/>
  <c r="P277" i="88" s="1"/>
  <c r="F279" i="88"/>
  <c r="G278" i="88"/>
  <c r="H279" i="88"/>
  <c r="S279" i="88" s="1"/>
  <c r="Q168" i="113"/>
  <c r="K167" i="112"/>
  <c r="I168" i="112" s="1"/>
  <c r="C170" i="113" s="1"/>
  <c r="H170" i="113" s="1"/>
  <c r="B170" i="113" s="1"/>
  <c r="L169" i="113"/>
  <c r="G196" i="113"/>
  <c r="F278" i="110" l="1"/>
  <c r="G277" i="110"/>
  <c r="K277" i="110" s="1"/>
  <c r="P277" i="110" s="1"/>
  <c r="L277" i="110"/>
  <c r="H278" i="110"/>
  <c r="I278" i="110" s="1"/>
  <c r="J278" i="110" s="1"/>
  <c r="V313" i="114"/>
  <c r="W313" i="114" s="1"/>
  <c r="J315" i="114"/>
  <c r="K315" i="114"/>
  <c r="I316" i="114"/>
  <c r="L314" i="114"/>
  <c r="M314" i="114" s="1"/>
  <c r="U314" i="114" s="1"/>
  <c r="P314" i="114"/>
  <c r="G317" i="114"/>
  <c r="F318" i="114"/>
  <c r="N308" i="88"/>
  <c r="O307" i="88"/>
  <c r="F280" i="88"/>
  <c r="G279" i="88"/>
  <c r="H280" i="88"/>
  <c r="S280" i="88" s="1"/>
  <c r="J278" i="88"/>
  <c r="K278" i="88" s="1"/>
  <c r="P278" i="88" s="1"/>
  <c r="I279" i="88"/>
  <c r="L278" i="88"/>
  <c r="I170" i="113"/>
  <c r="J170" i="113" s="1"/>
  <c r="F197" i="113"/>
  <c r="G197" i="113" s="1"/>
  <c r="M169" i="113"/>
  <c r="O169" i="113"/>
  <c r="P169" i="113" s="1"/>
  <c r="J168" i="112"/>
  <c r="G278" i="110" l="1"/>
  <c r="K278" i="110" s="1"/>
  <c r="P278" i="110" s="1"/>
  <c r="H279" i="110"/>
  <c r="I279" i="110" s="1"/>
  <c r="J279" i="110" s="1"/>
  <c r="F279" i="110"/>
  <c r="L278" i="110"/>
  <c r="V314" i="114"/>
  <c r="W314" i="114" s="1"/>
  <c r="I317" i="114"/>
  <c r="J316" i="114"/>
  <c r="K316" i="114"/>
  <c r="P315" i="114"/>
  <c r="L315" i="114"/>
  <c r="M315" i="114" s="1"/>
  <c r="U315" i="114" s="1"/>
  <c r="G318" i="114"/>
  <c r="F319" i="114"/>
  <c r="L170" i="113"/>
  <c r="O170" i="113" s="1"/>
  <c r="P170" i="113" s="1"/>
  <c r="N309" i="88"/>
  <c r="O308" i="88"/>
  <c r="F281" i="88"/>
  <c r="H281" i="88"/>
  <c r="S281" i="88" s="1"/>
  <c r="G280" i="88"/>
  <c r="J279" i="88"/>
  <c r="K279" i="88" s="1"/>
  <c r="P279" i="88" s="1"/>
  <c r="I280" i="88"/>
  <c r="L279" i="88"/>
  <c r="F198" i="113"/>
  <c r="K168" i="112"/>
  <c r="I169" i="112" s="1"/>
  <c r="C171" i="113" s="1"/>
  <c r="H171" i="113" s="1"/>
  <c r="Q169" i="113"/>
  <c r="G279" i="110" l="1"/>
  <c r="K279" i="110" s="1"/>
  <c r="P279" i="110" s="1"/>
  <c r="L279" i="110"/>
  <c r="F280" i="110"/>
  <c r="H280" i="110"/>
  <c r="I280" i="110" s="1"/>
  <c r="J280" i="110" s="1"/>
  <c r="V315" i="114"/>
  <c r="W315" i="114" s="1"/>
  <c r="I318" i="114"/>
  <c r="K317" i="114"/>
  <c r="J317" i="114"/>
  <c r="L316" i="114"/>
  <c r="M316" i="114" s="1"/>
  <c r="U316" i="114" s="1"/>
  <c r="P316" i="114"/>
  <c r="F320" i="114"/>
  <c r="G319" i="114"/>
  <c r="M170" i="113"/>
  <c r="N310" i="88"/>
  <c r="O309" i="88"/>
  <c r="H282" i="88"/>
  <c r="S282" i="88" s="1"/>
  <c r="F282" i="88"/>
  <c r="G281" i="88"/>
  <c r="I281" i="88"/>
  <c r="J280" i="88"/>
  <c r="K280" i="88" s="1"/>
  <c r="P280" i="88" s="1"/>
  <c r="L280" i="88"/>
  <c r="Q170" i="113"/>
  <c r="B171" i="113"/>
  <c r="I171" i="113"/>
  <c r="J169" i="112"/>
  <c r="G198" i="113"/>
  <c r="G280" i="110" l="1"/>
  <c r="K280" i="110" s="1"/>
  <c r="P280" i="110" s="1"/>
  <c r="L280" i="110"/>
  <c r="F281" i="110"/>
  <c r="H281" i="110"/>
  <c r="I281" i="110" s="1"/>
  <c r="J281" i="110" s="1"/>
  <c r="V316" i="114"/>
  <c r="W316" i="114" s="1"/>
  <c r="K318" i="114"/>
  <c r="I319" i="114"/>
  <c r="J318" i="114"/>
  <c r="P317" i="114"/>
  <c r="L317" i="114"/>
  <c r="M317" i="114" s="1"/>
  <c r="U317" i="114" s="1"/>
  <c r="G320" i="114"/>
  <c r="F321" i="114"/>
  <c r="N311" i="88"/>
  <c r="O310" i="88"/>
  <c r="I282" i="88"/>
  <c r="J281" i="88"/>
  <c r="K281" i="88" s="1"/>
  <c r="P281" i="88" s="1"/>
  <c r="F283" i="88"/>
  <c r="H283" i="88"/>
  <c r="S283" i="88" s="1"/>
  <c r="L282" i="88"/>
  <c r="G282" i="88"/>
  <c r="L281" i="88"/>
  <c r="L171" i="113"/>
  <c r="O171" i="113" s="1"/>
  <c r="P171" i="113" s="1"/>
  <c r="F199" i="113"/>
  <c r="K169" i="112"/>
  <c r="I170" i="112" s="1"/>
  <c r="C172" i="113" s="1"/>
  <c r="H172" i="113" s="1"/>
  <c r="B172" i="113" s="1"/>
  <c r="J171" i="113"/>
  <c r="G281" i="110" l="1"/>
  <c r="K281" i="110" s="1"/>
  <c r="P281" i="110" s="1"/>
  <c r="F282" i="110"/>
  <c r="H282" i="110"/>
  <c r="I282" i="110" s="1"/>
  <c r="J282" i="110" s="1"/>
  <c r="L281" i="110"/>
  <c r="V317" i="114"/>
  <c r="W317" i="114" s="1"/>
  <c r="L318" i="114"/>
  <c r="M318" i="114" s="1"/>
  <c r="U318" i="114" s="1"/>
  <c r="P318" i="114"/>
  <c r="I320" i="114"/>
  <c r="K319" i="114"/>
  <c r="J319" i="114"/>
  <c r="F322" i="114"/>
  <c r="G321" i="114"/>
  <c r="N312" i="88"/>
  <c r="O311" i="88"/>
  <c r="G283" i="88"/>
  <c r="H284" i="88"/>
  <c r="S284" i="88" s="1"/>
  <c r="F284" i="88"/>
  <c r="I283" i="88"/>
  <c r="J282" i="88"/>
  <c r="K282" i="88" s="1"/>
  <c r="P282" i="88" s="1"/>
  <c r="Q171" i="113"/>
  <c r="J170" i="112"/>
  <c r="I172" i="113"/>
  <c r="J172" i="113" s="1"/>
  <c r="G199" i="113"/>
  <c r="M171" i="113"/>
  <c r="F283" i="110" l="1"/>
  <c r="H283" i="110"/>
  <c r="I283" i="110" s="1"/>
  <c r="J283" i="110" s="1"/>
  <c r="L282" i="110"/>
  <c r="G282" i="110"/>
  <c r="K282" i="110" s="1"/>
  <c r="P282" i="110" s="1"/>
  <c r="V318" i="114"/>
  <c r="W318" i="114" s="1"/>
  <c r="L319" i="114"/>
  <c r="M319" i="114" s="1"/>
  <c r="U319" i="114" s="1"/>
  <c r="P319" i="114"/>
  <c r="J320" i="114"/>
  <c r="K320" i="114"/>
  <c r="I321" i="114"/>
  <c r="F323" i="114"/>
  <c r="G322" i="114"/>
  <c r="N313" i="88"/>
  <c r="O312" i="88"/>
  <c r="I284" i="88"/>
  <c r="J283" i="88"/>
  <c r="K283" i="88" s="1"/>
  <c r="P283" i="88" s="1"/>
  <c r="L283" i="88"/>
  <c r="F285" i="88"/>
  <c r="G284" i="88"/>
  <c r="H285" i="88"/>
  <c r="S285" i="88" s="1"/>
  <c r="F200" i="113"/>
  <c r="G200" i="113" s="1"/>
  <c r="L172" i="113"/>
  <c r="O172" i="113" s="1"/>
  <c r="P172" i="113" s="1"/>
  <c r="K170" i="112"/>
  <c r="I171" i="112" s="1"/>
  <c r="C173" i="113" s="1"/>
  <c r="H173" i="113" s="1"/>
  <c r="B173" i="113" s="1"/>
  <c r="H284" i="110" l="1"/>
  <c r="I284" i="110" s="1"/>
  <c r="J284" i="110" s="1"/>
  <c r="F284" i="110"/>
  <c r="G283" i="110"/>
  <c r="K283" i="110" s="1"/>
  <c r="P283" i="110" s="1"/>
  <c r="L283" i="110"/>
  <c r="V319" i="114"/>
  <c r="W319" i="114" s="1"/>
  <c r="J321" i="114"/>
  <c r="K321" i="114"/>
  <c r="I322" i="114"/>
  <c r="P320" i="114"/>
  <c r="L320" i="114"/>
  <c r="M320" i="114" s="1"/>
  <c r="U320" i="114" s="1"/>
  <c r="G323" i="114"/>
  <c r="F324" i="114"/>
  <c r="N314" i="88"/>
  <c r="O313" i="88"/>
  <c r="L284" i="88"/>
  <c r="I285" i="88"/>
  <c r="J284" i="88"/>
  <c r="K284" i="88" s="1"/>
  <c r="P284" i="88" s="1"/>
  <c r="H286" i="88"/>
  <c r="S286" i="88" s="1"/>
  <c r="G285" i="88"/>
  <c r="F286" i="88"/>
  <c r="F201" i="113"/>
  <c r="G201" i="113" s="1"/>
  <c r="I173" i="113"/>
  <c r="J173" i="113" s="1"/>
  <c r="J171" i="112"/>
  <c r="Q172" i="113"/>
  <c r="M172" i="113"/>
  <c r="F285" i="110" l="1"/>
  <c r="L284" i="110"/>
  <c r="G284" i="110"/>
  <c r="K284" i="110" s="1"/>
  <c r="P284" i="110" s="1"/>
  <c r="H285" i="110"/>
  <c r="I285" i="110" s="1"/>
  <c r="J285" i="110" s="1"/>
  <c r="V320" i="114"/>
  <c r="W320" i="114" s="1"/>
  <c r="I323" i="114"/>
  <c r="J322" i="114"/>
  <c r="K322" i="114"/>
  <c r="L321" i="114"/>
  <c r="M321" i="114" s="1"/>
  <c r="U321" i="114" s="1"/>
  <c r="P321" i="114"/>
  <c r="G324" i="114"/>
  <c r="F325" i="114"/>
  <c r="N315" i="88"/>
  <c r="O314" i="88"/>
  <c r="H287" i="88"/>
  <c r="S287" i="88" s="1"/>
  <c r="G286" i="88"/>
  <c r="F287" i="88"/>
  <c r="I286" i="88"/>
  <c r="J285" i="88"/>
  <c r="K285" i="88" s="1"/>
  <c r="P285" i="88" s="1"/>
  <c r="L285" i="88"/>
  <c r="F202" i="113"/>
  <c r="G202" i="113" s="1"/>
  <c r="L173" i="113"/>
  <c r="O173" i="113" s="1"/>
  <c r="P173" i="113" s="1"/>
  <c r="K171" i="112"/>
  <c r="I172" i="112" s="1"/>
  <c r="C174" i="113" s="1"/>
  <c r="H174" i="113" s="1"/>
  <c r="B174" i="113" s="1"/>
  <c r="H286" i="110" l="1"/>
  <c r="I286" i="110" s="1"/>
  <c r="J286" i="110" s="1"/>
  <c r="G285" i="110"/>
  <c r="K285" i="110" s="1"/>
  <c r="P285" i="110" s="1"/>
  <c r="F286" i="110"/>
  <c r="L285" i="110"/>
  <c r="V321" i="114"/>
  <c r="W321" i="114" s="1"/>
  <c r="I324" i="114"/>
  <c r="K323" i="114"/>
  <c r="J323" i="114"/>
  <c r="P322" i="114"/>
  <c r="L322" i="114"/>
  <c r="M322" i="114" s="1"/>
  <c r="U322" i="114" s="1"/>
  <c r="F326" i="114"/>
  <c r="G325" i="114"/>
  <c r="N316" i="88"/>
  <c r="O315" i="88"/>
  <c r="F288" i="88"/>
  <c r="H288" i="88"/>
  <c r="S288" i="88" s="1"/>
  <c r="G287" i="88"/>
  <c r="L286" i="88"/>
  <c r="I287" i="88"/>
  <c r="J286" i="88"/>
  <c r="K286" i="88" s="1"/>
  <c r="P286" i="88" s="1"/>
  <c r="Q173" i="113"/>
  <c r="F203" i="113"/>
  <c r="J172" i="112"/>
  <c r="I174" i="113"/>
  <c r="J174" i="113" s="1"/>
  <c r="M173" i="113"/>
  <c r="H287" i="110" l="1"/>
  <c r="I287" i="110" s="1"/>
  <c r="J287" i="110" s="1"/>
  <c r="G286" i="110"/>
  <c r="K286" i="110" s="1"/>
  <c r="P286" i="110" s="1"/>
  <c r="F287" i="110"/>
  <c r="L286" i="110"/>
  <c r="V322" i="114"/>
  <c r="W322" i="114" s="1"/>
  <c r="J324" i="114"/>
  <c r="K324" i="114"/>
  <c r="I325" i="114"/>
  <c r="P323" i="114"/>
  <c r="L323" i="114"/>
  <c r="M323" i="114" s="1"/>
  <c r="U323" i="114" s="1"/>
  <c r="F327" i="114"/>
  <c r="G326" i="114"/>
  <c r="N317" i="88"/>
  <c r="O316" i="88"/>
  <c r="L287" i="88"/>
  <c r="I288" i="88"/>
  <c r="L288" i="88" s="1"/>
  <c r="J287" i="88"/>
  <c r="K287" i="88" s="1"/>
  <c r="P287" i="88" s="1"/>
  <c r="G288" i="88"/>
  <c r="H289" i="88"/>
  <c r="S289" i="88" s="1"/>
  <c r="F289" i="88"/>
  <c r="K172" i="112"/>
  <c r="I173" i="112" s="1"/>
  <c r="C175" i="113" s="1"/>
  <c r="H175" i="113" s="1"/>
  <c r="B175" i="113" s="1"/>
  <c r="L174" i="113"/>
  <c r="O174" i="113" s="1"/>
  <c r="P174" i="113" s="1"/>
  <c r="G203" i="113"/>
  <c r="F288" i="110" l="1"/>
  <c r="L287" i="110"/>
  <c r="H288" i="110"/>
  <c r="I288" i="110" s="1"/>
  <c r="J288" i="110" s="1"/>
  <c r="G287" i="110"/>
  <c r="K287" i="110" s="1"/>
  <c r="P287" i="110" s="1"/>
  <c r="V323" i="114"/>
  <c r="W323" i="114" s="1"/>
  <c r="J325" i="114"/>
  <c r="K325" i="114"/>
  <c r="I326" i="114"/>
  <c r="P324" i="114"/>
  <c r="L324" i="114"/>
  <c r="M324" i="114" s="1"/>
  <c r="U324" i="114" s="1"/>
  <c r="G327" i="114"/>
  <c r="F328" i="114"/>
  <c r="N318" i="88"/>
  <c r="O317" i="88"/>
  <c r="H290" i="88"/>
  <c r="S290" i="88" s="1"/>
  <c r="F290" i="88"/>
  <c r="G289" i="88"/>
  <c r="J288" i="88"/>
  <c r="K288" i="88" s="1"/>
  <c r="P288" i="88" s="1"/>
  <c r="I289" i="88"/>
  <c r="I175" i="113"/>
  <c r="J175" i="113" s="1"/>
  <c r="F204" i="113"/>
  <c r="G204" i="113" s="1"/>
  <c r="Q174" i="113"/>
  <c r="M174" i="113"/>
  <c r="J173" i="112"/>
  <c r="F289" i="110" l="1"/>
  <c r="H289" i="110"/>
  <c r="I289" i="110" s="1"/>
  <c r="J289" i="110" s="1"/>
  <c r="L288" i="110"/>
  <c r="G288" i="110"/>
  <c r="K288" i="110" s="1"/>
  <c r="P288" i="110" s="1"/>
  <c r="V324" i="114"/>
  <c r="W324" i="114" s="1"/>
  <c r="I327" i="114"/>
  <c r="J326" i="114"/>
  <c r="K326" i="114"/>
  <c r="P325" i="114"/>
  <c r="L325" i="114"/>
  <c r="M325" i="114" s="1"/>
  <c r="U325" i="114" s="1"/>
  <c r="G328" i="114"/>
  <c r="F329" i="114"/>
  <c r="M319" i="88"/>
  <c r="N319" i="88" s="1"/>
  <c r="O318" i="88"/>
  <c r="L289" i="88"/>
  <c r="J289" i="88"/>
  <c r="K289" i="88" s="1"/>
  <c r="P289" i="88" s="1"/>
  <c r="I290" i="88"/>
  <c r="F291" i="88"/>
  <c r="G290" i="88"/>
  <c r="H291" i="88"/>
  <c r="S291" i="88" s="1"/>
  <c r="L290" i="88"/>
  <c r="L175" i="113"/>
  <c r="O175" i="113" s="1"/>
  <c r="P175" i="113" s="1"/>
  <c r="Q175" i="113" s="1"/>
  <c r="F205" i="113"/>
  <c r="K173" i="112"/>
  <c r="I174" i="112" s="1"/>
  <c r="C176" i="113" s="1"/>
  <c r="H176" i="113" s="1"/>
  <c r="F290" i="110" l="1"/>
  <c r="L289" i="110"/>
  <c r="G289" i="110"/>
  <c r="K289" i="110" s="1"/>
  <c r="P289" i="110" s="1"/>
  <c r="H290" i="110"/>
  <c r="I290" i="110" s="1"/>
  <c r="J290" i="110" s="1"/>
  <c r="V325" i="114"/>
  <c r="W325" i="114" s="1"/>
  <c r="K327" i="114"/>
  <c r="I328" i="114"/>
  <c r="J327" i="114"/>
  <c r="P326" i="114"/>
  <c r="L326" i="114"/>
  <c r="M326" i="114" s="1"/>
  <c r="U326" i="114" s="1"/>
  <c r="G329" i="114"/>
  <c r="F330" i="114"/>
  <c r="N320" i="88"/>
  <c r="O319" i="88"/>
  <c r="J290" i="88"/>
  <c r="K290" i="88" s="1"/>
  <c r="P290" i="88" s="1"/>
  <c r="I291" i="88"/>
  <c r="F292" i="88"/>
  <c r="H292" i="88"/>
  <c r="S292" i="88" s="1"/>
  <c r="G291" i="88"/>
  <c r="L291" i="88"/>
  <c r="M175" i="113"/>
  <c r="J174" i="112"/>
  <c r="K174" i="112" s="1"/>
  <c r="I175" i="112" s="1"/>
  <c r="C177" i="113" s="1"/>
  <c r="H177" i="113" s="1"/>
  <c r="B177" i="113" s="1"/>
  <c r="B176" i="113"/>
  <c r="I176" i="113"/>
  <c r="J176" i="113" s="1"/>
  <c r="G205" i="113"/>
  <c r="H291" i="110" l="1"/>
  <c r="I291" i="110" s="1"/>
  <c r="J291" i="110" s="1"/>
  <c r="F291" i="110"/>
  <c r="L290" i="110"/>
  <c r="G290" i="110"/>
  <c r="K290" i="110" s="1"/>
  <c r="P290" i="110" s="1"/>
  <c r="V326" i="114"/>
  <c r="W326" i="114" s="1"/>
  <c r="P327" i="114"/>
  <c r="L327" i="114"/>
  <c r="M327" i="114" s="1"/>
  <c r="U327" i="114" s="1"/>
  <c r="K328" i="114"/>
  <c r="I329" i="114"/>
  <c r="J328" i="114"/>
  <c r="G330" i="114"/>
  <c r="F331" i="114"/>
  <c r="N321" i="88"/>
  <c r="O320" i="88"/>
  <c r="F293" i="88"/>
  <c r="H293" i="88"/>
  <c r="S293" i="88" s="1"/>
  <c r="G292" i="88"/>
  <c r="J291" i="88"/>
  <c r="K291" i="88" s="1"/>
  <c r="P291" i="88" s="1"/>
  <c r="I292" i="88"/>
  <c r="J175" i="112"/>
  <c r="K175" i="112" s="1"/>
  <c r="I176" i="112" s="1"/>
  <c r="C178" i="113" s="1"/>
  <c r="H178" i="113" s="1"/>
  <c r="B178" i="113" s="1"/>
  <c r="I177" i="113"/>
  <c r="F206" i="113"/>
  <c r="L176" i="113"/>
  <c r="O176" i="113" s="1"/>
  <c r="P176" i="113" s="1"/>
  <c r="H292" i="110" l="1"/>
  <c r="I292" i="110" s="1"/>
  <c r="J292" i="110" s="1"/>
  <c r="L291" i="110"/>
  <c r="G291" i="110"/>
  <c r="K291" i="110" s="1"/>
  <c r="P291" i="110" s="1"/>
  <c r="F292" i="110"/>
  <c r="V327" i="114"/>
  <c r="W327" i="114" s="1"/>
  <c r="K329" i="114"/>
  <c r="J329" i="114"/>
  <c r="I330" i="114"/>
  <c r="P328" i="114"/>
  <c r="L328" i="114"/>
  <c r="M328" i="114" s="1"/>
  <c r="U328" i="114" s="1"/>
  <c r="F332" i="114"/>
  <c r="G331" i="114"/>
  <c r="N322" i="88"/>
  <c r="O321" i="88"/>
  <c r="I293" i="88"/>
  <c r="J292" i="88"/>
  <c r="K292" i="88" s="1"/>
  <c r="P292" i="88" s="1"/>
  <c r="L292" i="88"/>
  <c r="F294" i="88"/>
  <c r="H294" i="88"/>
  <c r="S294" i="88" s="1"/>
  <c r="G293" i="88"/>
  <c r="Q176" i="113"/>
  <c r="L177" i="113"/>
  <c r="M176" i="113"/>
  <c r="J176" i="112"/>
  <c r="G206" i="113"/>
  <c r="J177" i="113"/>
  <c r="G292" i="110" l="1"/>
  <c r="K292" i="110" s="1"/>
  <c r="P292" i="110" s="1"/>
  <c r="L292" i="110"/>
  <c r="H293" i="110"/>
  <c r="I293" i="110" s="1"/>
  <c r="J293" i="110" s="1"/>
  <c r="F293" i="110"/>
  <c r="V328" i="114"/>
  <c r="W328" i="114" s="1"/>
  <c r="P329" i="114"/>
  <c r="L329" i="114"/>
  <c r="M329" i="114" s="1"/>
  <c r="U329" i="114" s="1"/>
  <c r="I331" i="114"/>
  <c r="J330" i="114"/>
  <c r="K330" i="114"/>
  <c r="G332" i="114"/>
  <c r="F333" i="114"/>
  <c r="N323" i="88"/>
  <c r="O322" i="88"/>
  <c r="F295" i="88"/>
  <c r="H295" i="88"/>
  <c r="S295" i="88" s="1"/>
  <c r="G294" i="88"/>
  <c r="L293" i="88"/>
  <c r="I294" i="88"/>
  <c r="J293" i="88"/>
  <c r="K293" i="88" s="1"/>
  <c r="P293" i="88" s="1"/>
  <c r="M177" i="113"/>
  <c r="F207" i="113"/>
  <c r="G207" i="113" s="1"/>
  <c r="I178" i="113"/>
  <c r="J178" i="113" s="1"/>
  <c r="K176" i="112"/>
  <c r="I177" i="112" s="1"/>
  <c r="C179" i="113" s="1"/>
  <c r="H179" i="113" s="1"/>
  <c r="B179" i="113" s="1"/>
  <c r="O177" i="113"/>
  <c r="P177" i="113" s="1"/>
  <c r="L293" i="110" l="1"/>
  <c r="F294" i="110"/>
  <c r="H294" i="110"/>
  <c r="I294" i="110" s="1"/>
  <c r="J294" i="110" s="1"/>
  <c r="G293" i="110"/>
  <c r="K293" i="110" s="1"/>
  <c r="P293" i="110" s="1"/>
  <c r="V329" i="114"/>
  <c r="W329" i="114" s="1"/>
  <c r="K331" i="114"/>
  <c r="I332" i="114"/>
  <c r="J331" i="114"/>
  <c r="L330" i="114"/>
  <c r="M330" i="114" s="1"/>
  <c r="U330" i="114" s="1"/>
  <c r="P330" i="114"/>
  <c r="F334" i="114"/>
  <c r="G333" i="114"/>
  <c r="N324" i="88"/>
  <c r="O323" i="88"/>
  <c r="G295" i="88"/>
  <c r="F296" i="88"/>
  <c r="H296" i="88"/>
  <c r="S296" i="88" s="1"/>
  <c r="I295" i="88"/>
  <c r="J294" i="88"/>
  <c r="K294" i="88" s="1"/>
  <c r="P294" i="88" s="1"/>
  <c r="L294" i="88"/>
  <c r="I179" i="113"/>
  <c r="J179" i="113" s="1"/>
  <c r="Q177" i="113"/>
  <c r="J177" i="112"/>
  <c r="L178" i="113"/>
  <c r="O178" i="113" s="1"/>
  <c r="P178" i="113" s="1"/>
  <c r="F208" i="113"/>
  <c r="G208" i="113" s="1"/>
  <c r="H295" i="110" l="1"/>
  <c r="I295" i="110" s="1"/>
  <c r="J295" i="110" s="1"/>
  <c r="G294" i="110"/>
  <c r="K294" i="110" s="1"/>
  <c r="P294" i="110" s="1"/>
  <c r="F295" i="110"/>
  <c r="L294" i="110"/>
  <c r="V330" i="114"/>
  <c r="W330" i="114" s="1"/>
  <c r="I333" i="114"/>
  <c r="J332" i="114"/>
  <c r="K332" i="114"/>
  <c r="L331" i="114"/>
  <c r="M331" i="114" s="1"/>
  <c r="U331" i="114" s="1"/>
  <c r="P331" i="114"/>
  <c r="F335" i="114"/>
  <c r="G334" i="114"/>
  <c r="N325" i="88"/>
  <c r="O324" i="88"/>
  <c r="I296" i="88"/>
  <c r="J295" i="88"/>
  <c r="K295" i="88" s="1"/>
  <c r="P295" i="88" s="1"/>
  <c r="F297" i="88"/>
  <c r="H297" i="88"/>
  <c r="S297" i="88" s="1"/>
  <c r="G296" i="88"/>
  <c r="L295" i="88"/>
  <c r="Q178" i="113"/>
  <c r="F209" i="113"/>
  <c r="M178" i="113"/>
  <c r="K177" i="112"/>
  <c r="I178" i="112" s="1"/>
  <c r="C180" i="113" s="1"/>
  <c r="H180" i="113" s="1"/>
  <c r="B180" i="113" s="1"/>
  <c r="L179" i="113"/>
  <c r="O179" i="113" s="1"/>
  <c r="P179" i="113" s="1"/>
  <c r="G295" i="110" l="1"/>
  <c r="K295" i="110" s="1"/>
  <c r="P295" i="110" s="1"/>
  <c r="H296" i="110"/>
  <c r="I296" i="110" s="1"/>
  <c r="J296" i="110" s="1"/>
  <c r="L295" i="110"/>
  <c r="F296" i="110"/>
  <c r="V331" i="114"/>
  <c r="W331" i="114" s="1"/>
  <c r="L332" i="114"/>
  <c r="M332" i="114" s="1"/>
  <c r="U332" i="114" s="1"/>
  <c r="P332" i="114"/>
  <c r="K333" i="114"/>
  <c r="I334" i="114"/>
  <c r="J333" i="114"/>
  <c r="F336" i="114"/>
  <c r="G335" i="114"/>
  <c r="N326" i="88"/>
  <c r="O325" i="88"/>
  <c r="G297" i="88"/>
  <c r="F298" i="88"/>
  <c r="H298" i="88"/>
  <c r="S298" i="88" s="1"/>
  <c r="J296" i="88"/>
  <c r="K296" i="88" s="1"/>
  <c r="P296" i="88" s="1"/>
  <c r="I297" i="88"/>
  <c r="L297" i="88" s="1"/>
  <c r="L296" i="88"/>
  <c r="J178" i="112"/>
  <c r="K178" i="112" s="1"/>
  <c r="I179" i="112" s="1"/>
  <c r="C181" i="113" s="1"/>
  <c r="H181" i="113" s="1"/>
  <c r="B181" i="113" s="1"/>
  <c r="Q179" i="113"/>
  <c r="M179" i="113"/>
  <c r="G209" i="113"/>
  <c r="I180" i="113"/>
  <c r="H297" i="110" l="1"/>
  <c r="I297" i="110" s="1"/>
  <c r="J297" i="110" s="1"/>
  <c r="F297" i="110"/>
  <c r="L296" i="110"/>
  <c r="G296" i="110"/>
  <c r="K296" i="110" s="1"/>
  <c r="P296" i="110" s="1"/>
  <c r="V332" i="114"/>
  <c r="W332" i="114" s="1"/>
  <c r="K334" i="114"/>
  <c r="I335" i="114"/>
  <c r="J334" i="114"/>
  <c r="L333" i="114"/>
  <c r="M333" i="114" s="1"/>
  <c r="U333" i="114" s="1"/>
  <c r="P333" i="114"/>
  <c r="F337" i="114"/>
  <c r="G336" i="114"/>
  <c r="N327" i="88"/>
  <c r="O326" i="88"/>
  <c r="H299" i="88"/>
  <c r="S299" i="88" s="1"/>
  <c r="F299" i="88"/>
  <c r="G298" i="88"/>
  <c r="I298" i="88"/>
  <c r="J297" i="88"/>
  <c r="K297" i="88" s="1"/>
  <c r="P297" i="88" s="1"/>
  <c r="F210" i="113"/>
  <c r="G210" i="113" s="1"/>
  <c r="L180" i="113"/>
  <c r="M180" i="113" s="1"/>
  <c r="J180" i="113"/>
  <c r="J179" i="112"/>
  <c r="G297" i="110" l="1"/>
  <c r="K297" i="110" s="1"/>
  <c r="P297" i="110" s="1"/>
  <c r="H298" i="110"/>
  <c r="I298" i="110" s="1"/>
  <c r="J298" i="110" s="1"/>
  <c r="L297" i="110"/>
  <c r="F298" i="110"/>
  <c r="V333" i="114"/>
  <c r="W333" i="114" s="1"/>
  <c r="J335" i="114"/>
  <c r="K335" i="114"/>
  <c r="I336" i="114"/>
  <c r="L334" i="114"/>
  <c r="M334" i="114" s="1"/>
  <c r="U334" i="114" s="1"/>
  <c r="P334" i="114"/>
  <c r="G337" i="114"/>
  <c r="F338" i="114"/>
  <c r="N328" i="88"/>
  <c r="O327" i="88"/>
  <c r="J298" i="88"/>
  <c r="K298" i="88" s="1"/>
  <c r="P298" i="88" s="1"/>
  <c r="I299" i="88"/>
  <c r="L299" i="88" s="1"/>
  <c r="L298" i="88"/>
  <c r="G299" i="88"/>
  <c r="H300" i="88"/>
  <c r="S300" i="88" s="1"/>
  <c r="F300" i="88"/>
  <c r="F211" i="113"/>
  <c r="I181" i="113"/>
  <c r="K179" i="112"/>
  <c r="I180" i="112" s="1"/>
  <c r="C182" i="113" s="1"/>
  <c r="H182" i="113" s="1"/>
  <c r="B182" i="113" s="1"/>
  <c r="O180" i="113"/>
  <c r="P180" i="113" s="1"/>
  <c r="H299" i="110" l="1"/>
  <c r="I299" i="110" s="1"/>
  <c r="J299" i="110" s="1"/>
  <c r="L298" i="110"/>
  <c r="G298" i="110"/>
  <c r="K298" i="110" s="1"/>
  <c r="P298" i="110" s="1"/>
  <c r="F299" i="110"/>
  <c r="V334" i="114"/>
  <c r="W334" i="114" s="1"/>
  <c r="J336" i="114"/>
  <c r="K336" i="114"/>
  <c r="I337" i="114"/>
  <c r="L335" i="114"/>
  <c r="M335" i="114" s="1"/>
  <c r="U335" i="114" s="1"/>
  <c r="P335" i="114"/>
  <c r="G338" i="114"/>
  <c r="F339" i="114"/>
  <c r="N329" i="88"/>
  <c r="O328" i="88"/>
  <c r="F301" i="88"/>
  <c r="G300" i="88"/>
  <c r="H301" i="88"/>
  <c r="S301" i="88" s="1"/>
  <c r="I300" i="88"/>
  <c r="J299" i="88"/>
  <c r="K299" i="88" s="1"/>
  <c r="P299" i="88" s="1"/>
  <c r="J180" i="112"/>
  <c r="K180" i="112" s="1"/>
  <c r="I181" i="112" s="1"/>
  <c r="C183" i="113" s="1"/>
  <c r="H183" i="113" s="1"/>
  <c r="B183" i="113" s="1"/>
  <c r="Q180" i="113"/>
  <c r="L181" i="113"/>
  <c r="J181" i="113"/>
  <c r="G211" i="113"/>
  <c r="L299" i="110" l="1"/>
  <c r="F300" i="110"/>
  <c r="G299" i="110"/>
  <c r="K299" i="110" s="1"/>
  <c r="P299" i="110" s="1"/>
  <c r="H300" i="110"/>
  <c r="I300" i="110" s="1"/>
  <c r="J300" i="110" s="1"/>
  <c r="V335" i="114"/>
  <c r="W335" i="114" s="1"/>
  <c r="J337" i="114"/>
  <c r="K337" i="114"/>
  <c r="I338" i="114"/>
  <c r="P336" i="114"/>
  <c r="L336" i="114"/>
  <c r="M336" i="114" s="1"/>
  <c r="U336" i="114" s="1"/>
  <c r="F340" i="114"/>
  <c r="G339" i="114"/>
  <c r="N330" i="88"/>
  <c r="O330" i="88" s="1"/>
  <c r="O329" i="88"/>
  <c r="J300" i="88"/>
  <c r="K300" i="88" s="1"/>
  <c r="P300" i="88" s="1"/>
  <c r="I301" i="88"/>
  <c r="L300" i="88"/>
  <c r="H302" i="88"/>
  <c r="S302" i="88" s="1"/>
  <c r="F302" i="88"/>
  <c r="G301" i="88"/>
  <c r="J181" i="112"/>
  <c r="K181" i="112" s="1"/>
  <c r="I182" i="112" s="1"/>
  <c r="C184" i="113" s="1"/>
  <c r="H184" i="113" s="1"/>
  <c r="B184" i="113" s="1"/>
  <c r="M181" i="113"/>
  <c r="I182" i="113"/>
  <c r="J182" i="113" s="1"/>
  <c r="F212" i="113"/>
  <c r="G212" i="113" s="1"/>
  <c r="O181" i="113"/>
  <c r="P181" i="113" s="1"/>
  <c r="H301" i="110" l="1"/>
  <c r="I301" i="110" s="1"/>
  <c r="J301" i="110" s="1"/>
  <c r="L300" i="110"/>
  <c r="G300" i="110"/>
  <c r="K300" i="110" s="1"/>
  <c r="P300" i="110" s="1"/>
  <c r="F301" i="110"/>
  <c r="V336" i="114"/>
  <c r="W336" i="114" s="1"/>
  <c r="J338" i="114"/>
  <c r="K338" i="114"/>
  <c r="I339" i="114"/>
  <c r="P337" i="114"/>
  <c r="L337" i="114"/>
  <c r="M337" i="114" s="1"/>
  <c r="U337" i="114" s="1"/>
  <c r="F341" i="114"/>
  <c r="G340" i="114"/>
  <c r="F303" i="88"/>
  <c r="H303" i="88"/>
  <c r="S303" i="88" s="1"/>
  <c r="G302" i="88"/>
  <c r="L301" i="88"/>
  <c r="I302" i="88"/>
  <c r="J301" i="88"/>
  <c r="K301" i="88" s="1"/>
  <c r="P301" i="88" s="1"/>
  <c r="F213" i="113"/>
  <c r="G213" i="113" s="1"/>
  <c r="I183" i="113"/>
  <c r="Q181" i="113"/>
  <c r="J182" i="112"/>
  <c r="L182" i="113"/>
  <c r="O182" i="113" s="1"/>
  <c r="P182" i="113" s="1"/>
  <c r="G301" i="110" l="1"/>
  <c r="K301" i="110" s="1"/>
  <c r="P301" i="110" s="1"/>
  <c r="F302" i="110"/>
  <c r="L301" i="110"/>
  <c r="H302" i="110"/>
  <c r="I302" i="110" s="1"/>
  <c r="J302" i="110" s="1"/>
  <c r="V337" i="114"/>
  <c r="W337" i="114" s="1"/>
  <c r="I340" i="114"/>
  <c r="J339" i="114"/>
  <c r="K339" i="114"/>
  <c r="L338" i="114"/>
  <c r="M338" i="114" s="1"/>
  <c r="U338" i="114" s="1"/>
  <c r="P338" i="114"/>
  <c r="F342" i="114"/>
  <c r="G341" i="114"/>
  <c r="H304" i="88"/>
  <c r="S304" i="88" s="1"/>
  <c r="F304" i="88"/>
  <c r="G303" i="88"/>
  <c r="I303" i="88"/>
  <c r="J302" i="88"/>
  <c r="K302" i="88" s="1"/>
  <c r="P302" i="88" s="1"/>
  <c r="L302" i="88"/>
  <c r="Q182" i="113"/>
  <c r="L183" i="113"/>
  <c r="F214" i="113"/>
  <c r="K182" i="112"/>
  <c r="I183" i="112" s="1"/>
  <c r="C185" i="113" s="1"/>
  <c r="H185" i="113" s="1"/>
  <c r="B185" i="113" s="1"/>
  <c r="M182" i="113"/>
  <c r="J183" i="113"/>
  <c r="H303" i="110" l="1"/>
  <c r="I303" i="110" s="1"/>
  <c r="J303" i="110" s="1"/>
  <c r="L302" i="110"/>
  <c r="G302" i="110"/>
  <c r="K302" i="110" s="1"/>
  <c r="P302" i="110" s="1"/>
  <c r="F303" i="110"/>
  <c r="V338" i="114"/>
  <c r="W338" i="114" s="1"/>
  <c r="K340" i="114"/>
  <c r="I341" i="114"/>
  <c r="J340" i="114"/>
  <c r="L339" i="114"/>
  <c r="M339" i="114" s="1"/>
  <c r="U339" i="114" s="1"/>
  <c r="P339" i="114"/>
  <c r="G342" i="114"/>
  <c r="F343" i="114"/>
  <c r="I304" i="88"/>
  <c r="J303" i="88"/>
  <c r="K303" i="88" s="1"/>
  <c r="P303" i="88" s="1"/>
  <c r="H305" i="88"/>
  <c r="S305" i="88" s="1"/>
  <c r="F305" i="88"/>
  <c r="G304" i="88"/>
  <c r="L303" i="88"/>
  <c r="M183" i="113"/>
  <c r="I184" i="113"/>
  <c r="J183" i="112"/>
  <c r="G214" i="113"/>
  <c r="O183" i="113"/>
  <c r="P183" i="113" s="1"/>
  <c r="H304" i="110" l="1"/>
  <c r="I304" i="110" s="1"/>
  <c r="J304" i="110" s="1"/>
  <c r="G303" i="110"/>
  <c r="K303" i="110" s="1"/>
  <c r="P303" i="110" s="1"/>
  <c r="F304" i="110"/>
  <c r="L303" i="110"/>
  <c r="V339" i="114"/>
  <c r="W339" i="114" s="1"/>
  <c r="L340" i="114"/>
  <c r="M340" i="114" s="1"/>
  <c r="U340" i="114" s="1"/>
  <c r="P340" i="114"/>
  <c r="K341" i="114"/>
  <c r="I342" i="114"/>
  <c r="J341" i="114"/>
  <c r="G343" i="114"/>
  <c r="F344" i="114"/>
  <c r="H306" i="88"/>
  <c r="S306" i="88" s="1"/>
  <c r="G305" i="88"/>
  <c r="F306" i="88"/>
  <c r="J304" i="88"/>
  <c r="K304" i="88" s="1"/>
  <c r="P304" i="88" s="1"/>
  <c r="I305" i="88"/>
  <c r="L304" i="88"/>
  <c r="Q183" i="113"/>
  <c r="L184" i="113"/>
  <c r="O184" i="113" s="1"/>
  <c r="P184" i="113" s="1"/>
  <c r="F215" i="113"/>
  <c r="G215" i="113" s="1"/>
  <c r="K183" i="112"/>
  <c r="I184" i="112" s="1"/>
  <c r="C186" i="113" s="1"/>
  <c r="H186" i="113" s="1"/>
  <c r="B186" i="113" s="1"/>
  <c r="J184" i="113"/>
  <c r="L304" i="110" l="1"/>
  <c r="G304" i="110"/>
  <c r="K304" i="110" s="1"/>
  <c r="P304" i="110" s="1"/>
  <c r="F305" i="110"/>
  <c r="H305" i="110"/>
  <c r="I305" i="110" s="1"/>
  <c r="J305" i="110" s="1"/>
  <c r="V340" i="114"/>
  <c r="W340" i="114" s="1"/>
  <c r="I343" i="114"/>
  <c r="J342" i="114"/>
  <c r="K342" i="114"/>
  <c r="L341" i="114"/>
  <c r="M341" i="114" s="1"/>
  <c r="U341" i="114" s="1"/>
  <c r="P341" i="114"/>
  <c r="F345" i="114"/>
  <c r="G344" i="114"/>
  <c r="H307" i="88"/>
  <c r="S307" i="88" s="1"/>
  <c r="F307" i="88"/>
  <c r="G306" i="88"/>
  <c r="I306" i="88"/>
  <c r="J305" i="88"/>
  <c r="K305" i="88" s="1"/>
  <c r="P305" i="88" s="1"/>
  <c r="L305" i="88"/>
  <c r="Q184" i="113"/>
  <c r="I185" i="113"/>
  <c r="J185" i="113" s="1"/>
  <c r="F216" i="113"/>
  <c r="J184" i="112"/>
  <c r="M184" i="113"/>
  <c r="F306" i="110" l="1"/>
  <c r="L305" i="110"/>
  <c r="H306" i="110"/>
  <c r="I306" i="110" s="1"/>
  <c r="J306" i="110" s="1"/>
  <c r="G305" i="110"/>
  <c r="K305" i="110" s="1"/>
  <c r="P305" i="110" s="1"/>
  <c r="V341" i="114"/>
  <c r="W341" i="114" s="1"/>
  <c r="I344" i="114"/>
  <c r="J343" i="114"/>
  <c r="K343" i="114"/>
  <c r="P342" i="114"/>
  <c r="L342" i="114"/>
  <c r="M342" i="114" s="1"/>
  <c r="U342" i="114" s="1"/>
  <c r="F346" i="114"/>
  <c r="G345" i="114"/>
  <c r="I307" i="88"/>
  <c r="J306" i="88"/>
  <c r="K306" i="88" s="1"/>
  <c r="P306" i="88" s="1"/>
  <c r="L306" i="88"/>
  <c r="F308" i="88"/>
  <c r="H308" i="88"/>
  <c r="S308" i="88" s="1"/>
  <c r="G307" i="88"/>
  <c r="I186" i="113"/>
  <c r="J186" i="113" s="1"/>
  <c r="K184" i="112"/>
  <c r="I185" i="112" s="1"/>
  <c r="C187" i="113" s="1"/>
  <c r="H187" i="113" s="1"/>
  <c r="B187" i="113" s="1"/>
  <c r="G216" i="113"/>
  <c r="L185" i="113"/>
  <c r="O185" i="113" s="1"/>
  <c r="P185" i="113" s="1"/>
  <c r="G306" i="110" l="1"/>
  <c r="K306" i="110" s="1"/>
  <c r="P306" i="110" s="1"/>
  <c r="F307" i="110"/>
  <c r="H307" i="110"/>
  <c r="I307" i="110" s="1"/>
  <c r="J307" i="110" s="1"/>
  <c r="L306" i="110"/>
  <c r="V342" i="114"/>
  <c r="W342" i="114" s="1"/>
  <c r="I345" i="114"/>
  <c r="J344" i="114"/>
  <c r="K344" i="114"/>
  <c r="L343" i="114"/>
  <c r="M343" i="114" s="1"/>
  <c r="U343" i="114" s="1"/>
  <c r="P343" i="114"/>
  <c r="F347" i="114"/>
  <c r="G346" i="114"/>
  <c r="L307" i="88"/>
  <c r="J307" i="88"/>
  <c r="K307" i="88" s="1"/>
  <c r="P307" i="88" s="1"/>
  <c r="I308" i="88"/>
  <c r="L308" i="88" s="1"/>
  <c r="G308" i="88"/>
  <c r="F309" i="88"/>
  <c r="H309" i="88"/>
  <c r="S309" i="88" s="1"/>
  <c r="I187" i="113"/>
  <c r="J187" i="113" s="1"/>
  <c r="Q185" i="113"/>
  <c r="F217" i="113"/>
  <c r="J185" i="112"/>
  <c r="M185" i="113"/>
  <c r="L186" i="113"/>
  <c r="O186" i="113" s="1"/>
  <c r="P186" i="113" s="1"/>
  <c r="F308" i="110" l="1"/>
  <c r="H308" i="110"/>
  <c r="I308" i="110" s="1"/>
  <c r="J308" i="110" s="1"/>
  <c r="G307" i="110"/>
  <c r="K307" i="110" s="1"/>
  <c r="P307" i="110" s="1"/>
  <c r="L307" i="110"/>
  <c r="V343" i="114"/>
  <c r="W343" i="114" s="1"/>
  <c r="I346" i="114"/>
  <c r="J345" i="114"/>
  <c r="K345" i="114"/>
  <c r="P344" i="114"/>
  <c r="L344" i="114"/>
  <c r="M344" i="114" s="1"/>
  <c r="U344" i="114" s="1"/>
  <c r="F348" i="114"/>
  <c r="G347" i="114"/>
  <c r="H310" i="88"/>
  <c r="S310" i="88" s="1"/>
  <c r="G309" i="88"/>
  <c r="F310" i="88"/>
  <c r="I309" i="88"/>
  <c r="J308" i="88"/>
  <c r="K308" i="88" s="1"/>
  <c r="P308" i="88" s="1"/>
  <c r="Q186" i="113"/>
  <c r="M186" i="113"/>
  <c r="K185" i="112"/>
  <c r="I186" i="112" s="1"/>
  <c r="C188" i="113" s="1"/>
  <c r="H188" i="113" s="1"/>
  <c r="B188" i="113" s="1"/>
  <c r="G217" i="113"/>
  <c r="L187" i="113"/>
  <c r="O187" i="113" s="1"/>
  <c r="P187" i="113" s="1"/>
  <c r="F309" i="110" l="1"/>
  <c r="G308" i="110"/>
  <c r="K308" i="110" s="1"/>
  <c r="P308" i="110" s="1"/>
  <c r="L308" i="110"/>
  <c r="H309" i="110"/>
  <c r="I309" i="110" s="1"/>
  <c r="J309" i="110" s="1"/>
  <c r="V344" i="114"/>
  <c r="W344" i="114" s="1"/>
  <c r="I347" i="114"/>
  <c r="J346" i="114"/>
  <c r="K346" i="114"/>
  <c r="P345" i="114"/>
  <c r="L345" i="114"/>
  <c r="M345" i="114" s="1"/>
  <c r="U345" i="114" s="1"/>
  <c r="F349" i="114"/>
  <c r="G348" i="114"/>
  <c r="I310" i="88"/>
  <c r="J309" i="88"/>
  <c r="K309" i="88" s="1"/>
  <c r="P309" i="88" s="1"/>
  <c r="H311" i="88"/>
  <c r="S311" i="88" s="1"/>
  <c r="G310" i="88"/>
  <c r="L310" i="88"/>
  <c r="F311" i="88"/>
  <c r="L309" i="88"/>
  <c r="I188" i="113"/>
  <c r="J188" i="113" s="1"/>
  <c r="J186" i="112"/>
  <c r="K186" i="112" s="1"/>
  <c r="I187" i="112" s="1"/>
  <c r="C189" i="113" s="1"/>
  <c r="H189" i="113" s="1"/>
  <c r="B189" i="113" s="1"/>
  <c r="Q187" i="113"/>
  <c r="F218" i="113"/>
  <c r="G218" i="113" s="1"/>
  <c r="M187" i="113"/>
  <c r="L309" i="110" l="1"/>
  <c r="H310" i="110"/>
  <c r="I310" i="110" s="1"/>
  <c r="J310" i="110" s="1"/>
  <c r="G309" i="110"/>
  <c r="K309" i="110" s="1"/>
  <c r="P309" i="110" s="1"/>
  <c r="F310" i="110"/>
  <c r="L188" i="113"/>
  <c r="O188" i="113" s="1"/>
  <c r="P188" i="113" s="1"/>
  <c r="Q188" i="113" s="1"/>
  <c r="V345" i="114"/>
  <c r="W345" i="114" s="1"/>
  <c r="J347" i="114"/>
  <c r="I348" i="114"/>
  <c r="K347" i="114"/>
  <c r="L346" i="114"/>
  <c r="M346" i="114" s="1"/>
  <c r="U346" i="114" s="1"/>
  <c r="P346" i="114"/>
  <c r="G349" i="114"/>
  <c r="F350" i="114"/>
  <c r="J310" i="88"/>
  <c r="K310" i="88" s="1"/>
  <c r="P310" i="88" s="1"/>
  <c r="I311" i="88"/>
  <c r="H312" i="88"/>
  <c r="S312" i="88" s="1"/>
  <c r="G311" i="88"/>
  <c r="F312" i="88"/>
  <c r="L311" i="88"/>
  <c r="J187" i="112"/>
  <c r="K187" i="112" s="1"/>
  <c r="I188" i="112" s="1"/>
  <c r="C190" i="113" s="1"/>
  <c r="H190" i="113" s="1"/>
  <c r="B190" i="113" s="1"/>
  <c r="F219" i="113"/>
  <c r="I189" i="113"/>
  <c r="L310" i="110" l="1"/>
  <c r="H311" i="110"/>
  <c r="I311" i="110" s="1"/>
  <c r="J311" i="110" s="1"/>
  <c r="G310" i="110"/>
  <c r="K310" i="110" s="1"/>
  <c r="P310" i="110" s="1"/>
  <c r="F311" i="110"/>
  <c r="M188" i="113"/>
  <c r="V346" i="114"/>
  <c r="W346" i="114" s="1"/>
  <c r="L347" i="114"/>
  <c r="M347" i="114" s="1"/>
  <c r="U347" i="114" s="1"/>
  <c r="P347" i="114"/>
  <c r="J348" i="114"/>
  <c r="K348" i="114"/>
  <c r="I349" i="114"/>
  <c r="G350" i="114"/>
  <c r="F351" i="114"/>
  <c r="H313" i="88"/>
  <c r="S313" i="88" s="1"/>
  <c r="F313" i="88"/>
  <c r="G312" i="88"/>
  <c r="J311" i="88"/>
  <c r="K311" i="88" s="1"/>
  <c r="P311" i="88" s="1"/>
  <c r="I312" i="88"/>
  <c r="L189" i="113"/>
  <c r="O189" i="113" s="1"/>
  <c r="P189" i="113" s="1"/>
  <c r="J189" i="113"/>
  <c r="J188" i="112"/>
  <c r="G219" i="113"/>
  <c r="H312" i="110" l="1"/>
  <c r="I312" i="110" s="1"/>
  <c r="J312" i="110" s="1"/>
  <c r="F312" i="110"/>
  <c r="L311" i="110"/>
  <c r="G311" i="110"/>
  <c r="K311" i="110" s="1"/>
  <c r="P311" i="110" s="1"/>
  <c r="V347" i="114"/>
  <c r="W347" i="114" s="1"/>
  <c r="I350" i="114"/>
  <c r="J349" i="114"/>
  <c r="K349" i="114"/>
  <c r="L348" i="114"/>
  <c r="M348" i="114" s="1"/>
  <c r="U348" i="114" s="1"/>
  <c r="P348" i="114"/>
  <c r="G351" i="114"/>
  <c r="F352" i="114"/>
  <c r="J312" i="88"/>
  <c r="K312" i="88" s="1"/>
  <c r="P312" i="88" s="1"/>
  <c r="I313" i="88"/>
  <c r="L312" i="88"/>
  <c r="F314" i="88"/>
  <c r="H314" i="88"/>
  <c r="S314" i="88" s="1"/>
  <c r="G313" i="88"/>
  <c r="F220" i="113"/>
  <c r="Q189" i="113"/>
  <c r="I190" i="113"/>
  <c r="J190" i="113" s="1"/>
  <c r="K188" i="112"/>
  <c r="I189" i="112" s="1"/>
  <c r="C191" i="113" s="1"/>
  <c r="H191" i="113" s="1"/>
  <c r="B191" i="113" s="1"/>
  <c r="M189" i="113"/>
  <c r="F313" i="110" l="1"/>
  <c r="G312" i="110"/>
  <c r="K312" i="110" s="1"/>
  <c r="P312" i="110" s="1"/>
  <c r="H313" i="110"/>
  <c r="I313" i="110" s="1"/>
  <c r="J313" i="110" s="1"/>
  <c r="L312" i="110"/>
  <c r="V348" i="114"/>
  <c r="W348" i="114" s="1"/>
  <c r="K350" i="114"/>
  <c r="I351" i="114"/>
  <c r="J350" i="114"/>
  <c r="P349" i="114"/>
  <c r="L349" i="114"/>
  <c r="M349" i="114" s="1"/>
  <c r="U349" i="114" s="1"/>
  <c r="F353" i="114"/>
  <c r="G352" i="114"/>
  <c r="F315" i="88"/>
  <c r="H315" i="88"/>
  <c r="S315" i="88" s="1"/>
  <c r="G314" i="88"/>
  <c r="L313" i="88"/>
  <c r="J313" i="88"/>
  <c r="K313" i="88" s="1"/>
  <c r="P313" i="88" s="1"/>
  <c r="I314" i="88"/>
  <c r="L314" i="88" s="1"/>
  <c r="I191" i="113"/>
  <c r="J191" i="113" s="1"/>
  <c r="J189" i="112"/>
  <c r="L190" i="113"/>
  <c r="M190" i="113" s="1"/>
  <c r="G220" i="113"/>
  <c r="L313" i="110" l="1"/>
  <c r="F314" i="110"/>
  <c r="G313" i="110"/>
  <c r="K313" i="110" s="1"/>
  <c r="P313" i="110" s="1"/>
  <c r="H314" i="110"/>
  <c r="I314" i="110" s="1"/>
  <c r="J314" i="110" s="1"/>
  <c r="V349" i="114"/>
  <c r="W349" i="114" s="1"/>
  <c r="L350" i="114"/>
  <c r="M350" i="114" s="1"/>
  <c r="U350" i="114" s="1"/>
  <c r="P350" i="114"/>
  <c r="K351" i="114"/>
  <c r="I352" i="114"/>
  <c r="J351" i="114"/>
  <c r="G353" i="114"/>
  <c r="F354" i="114"/>
  <c r="J314" i="88"/>
  <c r="K314" i="88" s="1"/>
  <c r="P314" i="88" s="1"/>
  <c r="I315" i="88"/>
  <c r="L315" i="88" s="1"/>
  <c r="F316" i="88"/>
  <c r="G315" i="88"/>
  <c r="H316" i="88"/>
  <c r="S316" i="88" s="1"/>
  <c r="O190" i="113"/>
  <c r="P190" i="113" s="1"/>
  <c r="F221" i="113"/>
  <c r="K189" i="112"/>
  <c r="I190" i="112" s="1"/>
  <c r="C192" i="113" s="1"/>
  <c r="H192" i="113" s="1"/>
  <c r="B192" i="113" s="1"/>
  <c r="L191" i="113"/>
  <c r="O191" i="113" s="1"/>
  <c r="F315" i="110" l="1"/>
  <c r="L314" i="110"/>
  <c r="H315" i="110"/>
  <c r="I315" i="110" s="1"/>
  <c r="J315" i="110" s="1"/>
  <c r="G314" i="110"/>
  <c r="K314" i="110" s="1"/>
  <c r="P314" i="110" s="1"/>
  <c r="V350" i="114"/>
  <c r="W350" i="114" s="1"/>
  <c r="K352" i="114"/>
  <c r="I353" i="114"/>
  <c r="J352" i="114"/>
  <c r="L351" i="114"/>
  <c r="M351" i="114" s="1"/>
  <c r="U351" i="114" s="1"/>
  <c r="P351" i="114"/>
  <c r="G354" i="114"/>
  <c r="F355" i="114"/>
  <c r="H317" i="88"/>
  <c r="S317" i="88" s="1"/>
  <c r="F317" i="88"/>
  <c r="G316" i="88"/>
  <c r="I316" i="88"/>
  <c r="J315" i="88"/>
  <c r="K315" i="88" s="1"/>
  <c r="P315" i="88" s="1"/>
  <c r="I192" i="113"/>
  <c r="J192" i="113" s="1"/>
  <c r="J190" i="112"/>
  <c r="G221" i="113"/>
  <c r="P191" i="113"/>
  <c r="Q190" i="113"/>
  <c r="M191" i="113"/>
  <c r="G315" i="110" l="1"/>
  <c r="K315" i="110" s="1"/>
  <c r="P315" i="110" s="1"/>
  <c r="F316" i="110"/>
  <c r="L315" i="110"/>
  <c r="H316" i="110"/>
  <c r="I316" i="110" s="1"/>
  <c r="J316" i="110" s="1"/>
  <c r="V351" i="114"/>
  <c r="W351" i="114" s="1"/>
  <c r="L352" i="114"/>
  <c r="M352" i="114" s="1"/>
  <c r="U352" i="114" s="1"/>
  <c r="P352" i="114"/>
  <c r="J353" i="114"/>
  <c r="I354" i="114"/>
  <c r="K353" i="114"/>
  <c r="G355" i="114"/>
  <c r="F356" i="114"/>
  <c r="J316" i="88"/>
  <c r="K316" i="88" s="1"/>
  <c r="P316" i="88" s="1"/>
  <c r="I317" i="88"/>
  <c r="L317" i="88" s="1"/>
  <c r="L316" i="88"/>
  <c r="G317" i="88"/>
  <c r="H318" i="88"/>
  <c r="S318" i="88" s="1"/>
  <c r="F318" i="88"/>
  <c r="F222" i="113"/>
  <c r="Q191" i="113"/>
  <c r="K190" i="112"/>
  <c r="I191" i="112" s="1"/>
  <c r="C193" i="113" s="1"/>
  <c r="H193" i="113" s="1"/>
  <c r="B193" i="113" s="1"/>
  <c r="L192" i="113"/>
  <c r="L316" i="110" l="1"/>
  <c r="G316" i="110"/>
  <c r="K316" i="110" s="1"/>
  <c r="P316" i="110" s="1"/>
  <c r="H317" i="110"/>
  <c r="I317" i="110" s="1"/>
  <c r="J317" i="110" s="1"/>
  <c r="F317" i="110"/>
  <c r="V352" i="114"/>
  <c r="W352" i="114" s="1"/>
  <c r="P353" i="114"/>
  <c r="L353" i="114"/>
  <c r="M353" i="114" s="1"/>
  <c r="U353" i="114" s="1"/>
  <c r="I355" i="114"/>
  <c r="K354" i="114"/>
  <c r="J354" i="114"/>
  <c r="F357" i="114"/>
  <c r="G356" i="114"/>
  <c r="G318" i="88"/>
  <c r="F319" i="88"/>
  <c r="J317" i="88"/>
  <c r="K317" i="88" s="1"/>
  <c r="P317" i="88" s="1"/>
  <c r="I318" i="88"/>
  <c r="O192" i="113"/>
  <c r="P192" i="113" s="1"/>
  <c r="J191" i="112"/>
  <c r="G222" i="113"/>
  <c r="I193" i="113"/>
  <c r="M192" i="113"/>
  <c r="F318" i="110" l="1"/>
  <c r="G317" i="110"/>
  <c r="K317" i="110" s="1"/>
  <c r="P317" i="110" s="1"/>
  <c r="H318" i="110"/>
  <c r="I318" i="110" s="1"/>
  <c r="L317" i="110"/>
  <c r="V353" i="114"/>
  <c r="W353" i="114" s="1"/>
  <c r="P354" i="114"/>
  <c r="L354" i="114"/>
  <c r="M354" i="114" s="1"/>
  <c r="U354" i="114" s="1"/>
  <c r="I356" i="114"/>
  <c r="J355" i="114"/>
  <c r="K355" i="114"/>
  <c r="G357" i="114"/>
  <c r="F358" i="114"/>
  <c r="J318" i="88"/>
  <c r="K318" i="88" s="1"/>
  <c r="P318" i="88" s="1"/>
  <c r="L318" i="88"/>
  <c r="H319" i="88" s="1"/>
  <c r="G319" i="88"/>
  <c r="F320" i="88"/>
  <c r="F223" i="113"/>
  <c r="K191" i="112"/>
  <c r="I192" i="112" s="1"/>
  <c r="C194" i="113" s="1"/>
  <c r="H194" i="113" s="1"/>
  <c r="B194" i="113" s="1"/>
  <c r="L193" i="113"/>
  <c r="O193" i="113" s="1"/>
  <c r="P193" i="113" s="1"/>
  <c r="Q192" i="113"/>
  <c r="J193" i="113"/>
  <c r="J318" i="110" l="1"/>
  <c r="G318" i="110"/>
  <c r="L318" i="110"/>
  <c r="H319" i="110" s="1"/>
  <c r="H320" i="110" s="1"/>
  <c r="H321" i="110" s="1"/>
  <c r="H322" i="110" s="1"/>
  <c r="H323" i="110" s="1"/>
  <c r="H324" i="110" s="1"/>
  <c r="H325" i="110" s="1"/>
  <c r="H326" i="110" s="1"/>
  <c r="H327" i="110" s="1"/>
  <c r="H328" i="110" s="1"/>
  <c r="H329" i="110" s="1"/>
  <c r="H330" i="110" s="1"/>
  <c r="H331" i="110" s="1"/>
  <c r="F319" i="110"/>
  <c r="V354" i="114"/>
  <c r="W354" i="114" s="1"/>
  <c r="L355" i="114"/>
  <c r="M355" i="114" s="1"/>
  <c r="U355" i="114" s="1"/>
  <c r="P355" i="114"/>
  <c r="K356" i="114"/>
  <c r="I357" i="114"/>
  <c r="J356" i="114"/>
  <c r="G358" i="114"/>
  <c r="F359" i="114"/>
  <c r="H320" i="88"/>
  <c r="S319" i="88"/>
  <c r="F321" i="88"/>
  <c r="G320" i="88"/>
  <c r="I319" i="88"/>
  <c r="Q193" i="113"/>
  <c r="I194" i="113"/>
  <c r="J194" i="113" s="1"/>
  <c r="J192" i="112"/>
  <c r="M193" i="113"/>
  <c r="G223" i="113"/>
  <c r="K318" i="110" l="1"/>
  <c r="P318" i="110" s="1"/>
  <c r="I319" i="110"/>
  <c r="L319" i="110" s="1"/>
  <c r="G319" i="110"/>
  <c r="F320" i="110"/>
  <c r="V355" i="114"/>
  <c r="W355" i="114" s="1"/>
  <c r="J357" i="114"/>
  <c r="I358" i="114"/>
  <c r="K357" i="114"/>
  <c r="P356" i="114"/>
  <c r="L356" i="114"/>
  <c r="M356" i="114" s="1"/>
  <c r="U356" i="114" s="1"/>
  <c r="G359" i="114"/>
  <c r="F360" i="114"/>
  <c r="H321" i="88"/>
  <c r="S320" i="88"/>
  <c r="I320" i="88"/>
  <c r="L319" i="88"/>
  <c r="J319" i="88"/>
  <c r="K319" i="88" s="1"/>
  <c r="P319" i="88" s="1"/>
  <c r="F322" i="88"/>
  <c r="G321" i="88"/>
  <c r="F224" i="113"/>
  <c r="K192" i="112"/>
  <c r="I193" i="112" s="1"/>
  <c r="C195" i="113" s="1"/>
  <c r="H195" i="113" s="1"/>
  <c r="B195" i="113" s="1"/>
  <c r="L194" i="113"/>
  <c r="O194" i="113" s="1"/>
  <c r="P194" i="113" s="1"/>
  <c r="G320" i="110" l="1"/>
  <c r="F321" i="110"/>
  <c r="I320" i="110"/>
  <c r="J319" i="110"/>
  <c r="K319" i="110" s="1"/>
  <c r="P319" i="110" s="1"/>
  <c r="V356" i="114"/>
  <c r="W356" i="114" s="1"/>
  <c r="L357" i="114"/>
  <c r="M357" i="114" s="1"/>
  <c r="U357" i="114" s="1"/>
  <c r="P357" i="114"/>
  <c r="I359" i="114"/>
  <c r="J358" i="114"/>
  <c r="K358" i="114"/>
  <c r="F361" i="114"/>
  <c r="G360" i="114"/>
  <c r="H322" i="88"/>
  <c r="S321" i="88"/>
  <c r="J320" i="88"/>
  <c r="K320" i="88" s="1"/>
  <c r="P320" i="88" s="1"/>
  <c r="I321" i="88"/>
  <c r="L320" i="88"/>
  <c r="G322" i="88"/>
  <c r="F323" i="88"/>
  <c r="Q194" i="113"/>
  <c r="J193" i="112"/>
  <c r="I195" i="113"/>
  <c r="M194" i="113"/>
  <c r="G224" i="113"/>
  <c r="F322" i="110" l="1"/>
  <c r="G321" i="110"/>
  <c r="I321" i="110"/>
  <c r="J320" i="110"/>
  <c r="K320" i="110" s="1"/>
  <c r="P320" i="110" s="1"/>
  <c r="L320" i="110"/>
  <c r="V357" i="114"/>
  <c r="W357" i="114" s="1"/>
  <c r="J359" i="114"/>
  <c r="I360" i="114"/>
  <c r="K359" i="114"/>
  <c r="P358" i="114"/>
  <c r="L358" i="114"/>
  <c r="M358" i="114" s="1"/>
  <c r="U358" i="114" s="1"/>
  <c r="G361" i="114"/>
  <c r="F362" i="114"/>
  <c r="H323" i="88"/>
  <c r="S322" i="88"/>
  <c r="F324" i="88"/>
  <c r="G323" i="88"/>
  <c r="I322" i="88"/>
  <c r="J321" i="88"/>
  <c r="K321" i="88" s="1"/>
  <c r="P321" i="88" s="1"/>
  <c r="L321" i="88"/>
  <c r="K193" i="112"/>
  <c r="I194" i="112" s="1"/>
  <c r="C196" i="113" s="1"/>
  <c r="H196" i="113" s="1"/>
  <c r="B196" i="113" s="1"/>
  <c r="F225" i="113"/>
  <c r="G225" i="113" s="1"/>
  <c r="L195" i="113"/>
  <c r="J195" i="113"/>
  <c r="L321" i="110" l="1"/>
  <c r="I322" i="110"/>
  <c r="L322" i="110" s="1"/>
  <c r="J321" i="110"/>
  <c r="K321" i="110" s="1"/>
  <c r="P321" i="110" s="1"/>
  <c r="G322" i="110"/>
  <c r="F323" i="110"/>
  <c r="V358" i="114"/>
  <c r="W358" i="114" s="1"/>
  <c r="L359" i="114"/>
  <c r="M359" i="114" s="1"/>
  <c r="U359" i="114" s="1"/>
  <c r="P359" i="114"/>
  <c r="I361" i="114"/>
  <c r="K360" i="114"/>
  <c r="J360" i="114"/>
  <c r="G362" i="114"/>
  <c r="F363" i="114"/>
  <c r="H324" i="88"/>
  <c r="S323" i="88"/>
  <c r="J322" i="88"/>
  <c r="K322" i="88" s="1"/>
  <c r="P322" i="88" s="1"/>
  <c r="I323" i="88"/>
  <c r="L322" i="88"/>
  <c r="F325" i="88"/>
  <c r="G324" i="88"/>
  <c r="I196" i="113"/>
  <c r="F226" i="113"/>
  <c r="G226" i="113" s="1"/>
  <c r="O195" i="113"/>
  <c r="P195" i="113" s="1"/>
  <c r="J194" i="112"/>
  <c r="M195" i="113"/>
  <c r="G323" i="110" l="1"/>
  <c r="F324" i="110"/>
  <c r="I323" i="110"/>
  <c r="J322" i="110"/>
  <c r="K322" i="110" s="1"/>
  <c r="P322" i="110" s="1"/>
  <c r="V359" i="114"/>
  <c r="W359" i="114" s="1"/>
  <c r="P360" i="114"/>
  <c r="L360" i="114"/>
  <c r="M360" i="114" s="1"/>
  <c r="U360" i="114" s="1"/>
  <c r="J361" i="114"/>
  <c r="K361" i="114"/>
  <c r="I362" i="114"/>
  <c r="F364" i="114"/>
  <c r="G363" i="114"/>
  <c r="H325" i="88"/>
  <c r="S324" i="88"/>
  <c r="G325" i="88"/>
  <c r="F326" i="88"/>
  <c r="J323" i="88"/>
  <c r="K323" i="88" s="1"/>
  <c r="P323" i="88" s="1"/>
  <c r="I324" i="88"/>
  <c r="L323" i="88"/>
  <c r="F227" i="113"/>
  <c r="K194" i="112"/>
  <c r="I195" i="112" s="1"/>
  <c r="C197" i="113" s="1"/>
  <c r="H197" i="113" s="1"/>
  <c r="B197" i="113" s="1"/>
  <c r="L196" i="113"/>
  <c r="Q195" i="113"/>
  <c r="J196" i="113"/>
  <c r="I324" i="110" l="1"/>
  <c r="L324" i="110" s="1"/>
  <c r="J323" i="110"/>
  <c r="K323" i="110" s="1"/>
  <c r="P323" i="110" s="1"/>
  <c r="L323" i="110"/>
  <c r="G324" i="110"/>
  <c r="F325" i="110"/>
  <c r="V360" i="114"/>
  <c r="W360" i="114" s="1"/>
  <c r="P361" i="114"/>
  <c r="L361" i="114"/>
  <c r="M361" i="114" s="1"/>
  <c r="U361" i="114" s="1"/>
  <c r="K362" i="114"/>
  <c r="J362" i="114"/>
  <c r="I363" i="114"/>
  <c r="G364" i="114"/>
  <c r="F365" i="114"/>
  <c r="H326" i="88"/>
  <c r="S325" i="88"/>
  <c r="I325" i="88"/>
  <c r="J324" i="88"/>
  <c r="K324" i="88" s="1"/>
  <c r="P324" i="88" s="1"/>
  <c r="L324" i="88"/>
  <c r="F327" i="88"/>
  <c r="G326" i="88"/>
  <c r="J195" i="112"/>
  <c r="K195" i="112" s="1"/>
  <c r="I196" i="112" s="1"/>
  <c r="C198" i="113" s="1"/>
  <c r="H198" i="113" s="1"/>
  <c r="B198" i="113" s="1"/>
  <c r="I197" i="113"/>
  <c r="O196" i="113"/>
  <c r="P196" i="113" s="1"/>
  <c r="M196" i="113"/>
  <c r="G227" i="113"/>
  <c r="G325" i="110" l="1"/>
  <c r="F326" i="110"/>
  <c r="J324" i="110"/>
  <c r="K324" i="110" s="1"/>
  <c r="P324" i="110" s="1"/>
  <c r="I325" i="110"/>
  <c r="L325" i="110" s="1"/>
  <c r="V361" i="114"/>
  <c r="W361" i="114" s="1"/>
  <c r="L362" i="114"/>
  <c r="M362" i="114" s="1"/>
  <c r="U362" i="114" s="1"/>
  <c r="P362" i="114"/>
  <c r="I364" i="114"/>
  <c r="J363" i="114"/>
  <c r="K363" i="114"/>
  <c r="G365" i="114"/>
  <c r="F366" i="114"/>
  <c r="H327" i="88"/>
  <c r="S326" i="88"/>
  <c r="I326" i="88"/>
  <c r="L325" i="88"/>
  <c r="J325" i="88"/>
  <c r="K325" i="88" s="1"/>
  <c r="P325" i="88" s="1"/>
  <c r="G327" i="88"/>
  <c r="F328" i="88"/>
  <c r="J196" i="112"/>
  <c r="K196" i="112" s="1"/>
  <c r="I197" i="112" s="1"/>
  <c r="C199" i="113" s="1"/>
  <c r="H199" i="113" s="1"/>
  <c r="B199" i="113" s="1"/>
  <c r="F228" i="113"/>
  <c r="L197" i="113"/>
  <c r="Q196" i="113"/>
  <c r="J197" i="113"/>
  <c r="F327" i="110" l="1"/>
  <c r="G326" i="110"/>
  <c r="I326" i="110"/>
  <c r="J325" i="110"/>
  <c r="K325" i="110" s="1"/>
  <c r="P325" i="110" s="1"/>
  <c r="V362" i="114"/>
  <c r="W362" i="114" s="1"/>
  <c r="I365" i="114"/>
  <c r="J364" i="114"/>
  <c r="K364" i="114"/>
  <c r="L363" i="114"/>
  <c r="M363" i="114" s="1"/>
  <c r="U363" i="114" s="1"/>
  <c r="P363" i="114"/>
  <c r="G366" i="114"/>
  <c r="F367" i="114"/>
  <c r="H328" i="88"/>
  <c r="S327" i="88"/>
  <c r="G328" i="88"/>
  <c r="F329" i="88"/>
  <c r="I327" i="88"/>
  <c r="L326" i="88"/>
  <c r="J326" i="88"/>
  <c r="K326" i="88" s="1"/>
  <c r="P326" i="88" s="1"/>
  <c r="M197" i="113"/>
  <c r="O197" i="113"/>
  <c r="P197" i="113" s="1"/>
  <c r="J197" i="112"/>
  <c r="I198" i="113"/>
  <c r="J198" i="113" s="1"/>
  <c r="G228" i="113"/>
  <c r="I327" i="110" l="1"/>
  <c r="L327" i="110" s="1"/>
  <c r="J326" i="110"/>
  <c r="K326" i="110" s="1"/>
  <c r="P326" i="110" s="1"/>
  <c r="L326" i="110"/>
  <c r="G327" i="110"/>
  <c r="F328" i="110"/>
  <c r="P364" i="114"/>
  <c r="L364" i="114"/>
  <c r="M364" i="114" s="1"/>
  <c r="U364" i="114" s="1"/>
  <c r="V363" i="114"/>
  <c r="W363" i="114" s="1"/>
  <c r="J365" i="114"/>
  <c r="I366" i="114"/>
  <c r="K365" i="114"/>
  <c r="F368" i="114"/>
  <c r="G367" i="114"/>
  <c r="H329" i="88"/>
  <c r="S328" i="88"/>
  <c r="J327" i="88"/>
  <c r="K327" i="88" s="1"/>
  <c r="P327" i="88" s="1"/>
  <c r="I328" i="88"/>
  <c r="L327" i="88"/>
  <c r="G329" i="88"/>
  <c r="F330" i="88"/>
  <c r="F229" i="113"/>
  <c r="I199" i="113"/>
  <c r="Q197" i="113"/>
  <c r="L198" i="113"/>
  <c r="O198" i="113" s="1"/>
  <c r="P198" i="113" s="1"/>
  <c r="K197" i="112"/>
  <c r="I198" i="112" s="1"/>
  <c r="C200" i="113" s="1"/>
  <c r="H200" i="113" s="1"/>
  <c r="B200" i="113" s="1"/>
  <c r="F329" i="110" l="1"/>
  <c r="G328" i="110"/>
  <c r="J327" i="110"/>
  <c r="K327" i="110" s="1"/>
  <c r="P327" i="110" s="1"/>
  <c r="I328" i="110"/>
  <c r="L365" i="114"/>
  <c r="M365" i="114" s="1"/>
  <c r="U365" i="114" s="1"/>
  <c r="P365" i="114"/>
  <c r="V364" i="114"/>
  <c r="W364" i="114" s="1"/>
  <c r="K366" i="114"/>
  <c r="I367" i="114"/>
  <c r="J366" i="114"/>
  <c r="M198" i="113"/>
  <c r="G368" i="114"/>
  <c r="F369" i="114"/>
  <c r="H330" i="88"/>
  <c r="S330" i="88" s="1"/>
  <c r="S329" i="88"/>
  <c r="G330" i="88"/>
  <c r="I329" i="88"/>
  <c r="J328" i="88"/>
  <c r="K328" i="88" s="1"/>
  <c r="P328" i="88" s="1"/>
  <c r="L328" i="88"/>
  <c r="Q198" i="113"/>
  <c r="L199" i="113"/>
  <c r="O199" i="113" s="1"/>
  <c r="P199" i="113" s="1"/>
  <c r="J198" i="112"/>
  <c r="J199" i="113"/>
  <c r="G229" i="113"/>
  <c r="F330" i="110" l="1"/>
  <c r="G329" i="110"/>
  <c r="J328" i="110"/>
  <c r="K328" i="110" s="1"/>
  <c r="P328" i="110" s="1"/>
  <c r="I329" i="110"/>
  <c r="L329" i="110" s="1"/>
  <c r="L328" i="110"/>
  <c r="L366" i="114"/>
  <c r="M366" i="114" s="1"/>
  <c r="U366" i="114" s="1"/>
  <c r="P366" i="114"/>
  <c r="V365" i="114"/>
  <c r="W365" i="114" s="1"/>
  <c r="J367" i="114"/>
  <c r="K367" i="114"/>
  <c r="I368" i="114"/>
  <c r="G369" i="114"/>
  <c r="F370" i="114"/>
  <c r="J329" i="88"/>
  <c r="K329" i="88" s="1"/>
  <c r="P329" i="88" s="1"/>
  <c r="I330" i="88"/>
  <c r="L329" i="88"/>
  <c r="Q199" i="113"/>
  <c r="I200" i="113"/>
  <c r="F230" i="113"/>
  <c r="G230" i="113" s="1"/>
  <c r="K198" i="112"/>
  <c r="I199" i="112" s="1"/>
  <c r="C201" i="113" s="1"/>
  <c r="H201" i="113" s="1"/>
  <c r="B201" i="113" s="1"/>
  <c r="M199" i="113"/>
  <c r="J329" i="110" l="1"/>
  <c r="K329" i="110" s="1"/>
  <c r="P329" i="110" s="1"/>
  <c r="I330" i="110"/>
  <c r="G330" i="110"/>
  <c r="F331" i="110"/>
  <c r="V366" i="114"/>
  <c r="W366" i="114" s="1"/>
  <c r="K368" i="114"/>
  <c r="I369" i="114"/>
  <c r="H370" i="114" s="1"/>
  <c r="I370" i="114" s="1"/>
  <c r="J368" i="114"/>
  <c r="L367" i="114"/>
  <c r="M367" i="114" s="1"/>
  <c r="U367" i="114" s="1"/>
  <c r="P367" i="114"/>
  <c r="G370" i="114"/>
  <c r="F371" i="114"/>
  <c r="J330" i="88"/>
  <c r="K330" i="88" s="1"/>
  <c r="P330" i="88" s="1"/>
  <c r="L330" i="88"/>
  <c r="F231" i="113"/>
  <c r="L200" i="113"/>
  <c r="J199" i="112"/>
  <c r="J200" i="113"/>
  <c r="L330" i="110" l="1"/>
  <c r="J330" i="110"/>
  <c r="K330" i="110" s="1"/>
  <c r="P330" i="110" s="1"/>
  <c r="I331" i="110"/>
  <c r="J331" i="110" s="1"/>
  <c r="G331" i="110"/>
  <c r="J370" i="114"/>
  <c r="I371" i="114"/>
  <c r="J371" i="114" s="1"/>
  <c r="V367" i="114"/>
  <c r="W367" i="114" s="1"/>
  <c r="K370" i="114"/>
  <c r="L370" i="114" s="1"/>
  <c r="K369" i="114"/>
  <c r="J369" i="114"/>
  <c r="L368" i="114"/>
  <c r="M368" i="114" s="1"/>
  <c r="U368" i="114" s="1"/>
  <c r="P368" i="114"/>
  <c r="F372" i="114"/>
  <c r="G371" i="114"/>
  <c r="I201" i="113"/>
  <c r="K199" i="112"/>
  <c r="I200" i="112" s="1"/>
  <c r="C202" i="113" s="1"/>
  <c r="H202" i="113" s="1"/>
  <c r="B202" i="113" s="1"/>
  <c r="O200" i="113"/>
  <c r="P200" i="113" s="1"/>
  <c r="M200" i="113"/>
  <c r="G231" i="113"/>
  <c r="K331" i="110" l="1"/>
  <c r="P331" i="110" s="1"/>
  <c r="L331" i="110"/>
  <c r="P370" i="114"/>
  <c r="K371" i="114"/>
  <c r="L371" i="114" s="1"/>
  <c r="M371" i="114" s="1"/>
  <c r="I372" i="114"/>
  <c r="I373" i="114" s="1"/>
  <c r="V368" i="114"/>
  <c r="W368" i="114" s="1"/>
  <c r="P369" i="114"/>
  <c r="L369" i="114"/>
  <c r="M369" i="114" s="1"/>
  <c r="U369" i="114" s="1"/>
  <c r="G372" i="114"/>
  <c r="F373" i="114"/>
  <c r="L201" i="113"/>
  <c r="O201" i="113" s="1"/>
  <c r="P201" i="113" s="1"/>
  <c r="Q200" i="113"/>
  <c r="F232" i="113"/>
  <c r="G232" i="113" s="1"/>
  <c r="J200" i="112"/>
  <c r="J201" i="113"/>
  <c r="P371" i="114" l="1"/>
  <c r="K372" i="114"/>
  <c r="P372" i="114" s="1"/>
  <c r="J372" i="114"/>
  <c r="V369" i="114"/>
  <c r="W369" i="114" s="1"/>
  <c r="M370" i="114"/>
  <c r="U370" i="114" s="1"/>
  <c r="F374" i="114"/>
  <c r="G373" i="114"/>
  <c r="Q201" i="113"/>
  <c r="I374" i="114"/>
  <c r="J373" i="114"/>
  <c r="K373" i="114"/>
  <c r="F233" i="113"/>
  <c r="G233" i="113" s="1"/>
  <c r="L372" i="114"/>
  <c r="M372" i="114" s="1"/>
  <c r="I202" i="113"/>
  <c r="J202" i="113" s="1"/>
  <c r="K200" i="112"/>
  <c r="I201" i="112" s="1"/>
  <c r="C203" i="113" s="1"/>
  <c r="H203" i="113" s="1"/>
  <c r="B203" i="113" s="1"/>
  <c r="M201" i="113"/>
  <c r="U371" i="114" l="1"/>
  <c r="U372" i="114" s="1"/>
  <c r="V370" i="114"/>
  <c r="W370" i="114" s="1"/>
  <c r="G374" i="114"/>
  <c r="F375" i="114"/>
  <c r="F234" i="113"/>
  <c r="L202" i="113"/>
  <c r="O202" i="113" s="1"/>
  <c r="P202" i="113" s="1"/>
  <c r="J201" i="112"/>
  <c r="I203" i="113"/>
  <c r="P373" i="114"/>
  <c r="L373" i="114"/>
  <c r="M373" i="114" s="1"/>
  <c r="I375" i="114"/>
  <c r="J374" i="114"/>
  <c r="K374" i="114"/>
  <c r="V371" i="114" l="1"/>
  <c r="W371" i="114" s="1"/>
  <c r="G375" i="114"/>
  <c r="F376" i="114"/>
  <c r="P374" i="114"/>
  <c r="L374" i="114"/>
  <c r="M374" i="114" s="1"/>
  <c r="I376" i="114"/>
  <c r="J375" i="114"/>
  <c r="K375" i="114"/>
  <c r="L203" i="113"/>
  <c r="O203" i="113" s="1"/>
  <c r="P203" i="113" s="1"/>
  <c r="U373" i="114"/>
  <c r="V372" i="114"/>
  <c r="W372" i="114" s="1"/>
  <c r="Q202" i="113"/>
  <c r="J203" i="113"/>
  <c r="K201" i="112"/>
  <c r="I202" i="112" s="1"/>
  <c r="C204" i="113" s="1"/>
  <c r="H204" i="113" s="1"/>
  <c r="B204" i="113" s="1"/>
  <c r="M202" i="113"/>
  <c r="G234" i="113"/>
  <c r="G376" i="114" l="1"/>
  <c r="F377" i="114"/>
  <c r="M203" i="113"/>
  <c r="J202" i="112"/>
  <c r="K202" i="112" s="1"/>
  <c r="I203" i="112" s="1"/>
  <c r="C205" i="113" s="1"/>
  <c r="H205" i="113" s="1"/>
  <c r="B205" i="113" s="1"/>
  <c r="Q203" i="113"/>
  <c r="F235" i="113"/>
  <c r="U374" i="114"/>
  <c r="V373" i="114"/>
  <c r="W373" i="114" s="1"/>
  <c r="P375" i="114"/>
  <c r="L375" i="114"/>
  <c r="M375" i="114" s="1"/>
  <c r="I377" i="114"/>
  <c r="J376" i="114"/>
  <c r="K376" i="114"/>
  <c r="I204" i="113"/>
  <c r="J204" i="113" s="1"/>
  <c r="F378" i="114" l="1"/>
  <c r="G377" i="114"/>
  <c r="J203" i="112"/>
  <c r="K203" i="112" s="1"/>
  <c r="I204" i="112" s="1"/>
  <c r="C206" i="113" s="1"/>
  <c r="H206" i="113" s="1"/>
  <c r="B206" i="113" s="1"/>
  <c r="I205" i="113"/>
  <c r="L204" i="113"/>
  <c r="O204" i="113" s="1"/>
  <c r="P204" i="113" s="1"/>
  <c r="L376" i="114"/>
  <c r="M376" i="114" s="1"/>
  <c r="P376" i="114"/>
  <c r="I378" i="114"/>
  <c r="J377" i="114"/>
  <c r="K377" i="114"/>
  <c r="U375" i="114"/>
  <c r="V374" i="114"/>
  <c r="W374" i="114" s="1"/>
  <c r="G235" i="113"/>
  <c r="G378" i="114" l="1"/>
  <c r="F379" i="114"/>
  <c r="Q204" i="113"/>
  <c r="L205" i="113"/>
  <c r="L377" i="114"/>
  <c r="M377" i="114" s="1"/>
  <c r="P377" i="114"/>
  <c r="I379" i="114"/>
  <c r="J378" i="114"/>
  <c r="K378" i="114"/>
  <c r="F236" i="113"/>
  <c r="U376" i="114"/>
  <c r="V375" i="114"/>
  <c r="W375" i="114" s="1"/>
  <c r="M204" i="113"/>
  <c r="J204" i="112"/>
  <c r="J205" i="113"/>
  <c r="M205" i="113" l="1"/>
  <c r="F380" i="114"/>
  <c r="G379" i="114"/>
  <c r="K204" i="112"/>
  <c r="I205" i="112" s="1"/>
  <c r="C207" i="113" s="1"/>
  <c r="H207" i="113" s="1"/>
  <c r="B207" i="113" s="1"/>
  <c r="P378" i="114"/>
  <c r="L378" i="114"/>
  <c r="M378" i="114" s="1"/>
  <c r="I380" i="114"/>
  <c r="J379" i="114"/>
  <c r="K379" i="114"/>
  <c r="I206" i="113"/>
  <c r="J206" i="113" s="1"/>
  <c r="U377" i="114"/>
  <c r="V376" i="114"/>
  <c r="W376" i="114" s="1"/>
  <c r="G236" i="113"/>
  <c r="O205" i="113"/>
  <c r="P205" i="113" s="1"/>
  <c r="G380" i="114" l="1"/>
  <c r="F381" i="114"/>
  <c r="J205" i="112"/>
  <c r="K205" i="112" s="1"/>
  <c r="I206" i="112" s="1"/>
  <c r="C208" i="113" s="1"/>
  <c r="H208" i="113" s="1"/>
  <c r="B208" i="113" s="1"/>
  <c r="F237" i="113"/>
  <c r="G237" i="113" s="1"/>
  <c r="U378" i="114"/>
  <c r="V377" i="114"/>
  <c r="W377" i="114" s="1"/>
  <c r="I207" i="113"/>
  <c r="J207" i="113" s="1"/>
  <c r="Q205" i="113"/>
  <c r="L206" i="113"/>
  <c r="O206" i="113" s="1"/>
  <c r="P206" i="113" s="1"/>
  <c r="L379" i="114"/>
  <c r="M379" i="114" s="1"/>
  <c r="P379" i="114"/>
  <c r="I381" i="114"/>
  <c r="I382" i="114" s="1"/>
  <c r="J380" i="114"/>
  <c r="K380" i="114"/>
  <c r="F382" i="114" l="1"/>
  <c r="G382" i="114" s="1"/>
  <c r="G381" i="114"/>
  <c r="J382" i="114"/>
  <c r="Q206" i="113"/>
  <c r="P380" i="114"/>
  <c r="L380" i="114"/>
  <c r="M380" i="114" s="1"/>
  <c r="J381" i="114"/>
  <c r="K381" i="114"/>
  <c r="I208" i="113"/>
  <c r="J208" i="113" s="1"/>
  <c r="U379" i="114"/>
  <c r="V378" i="114"/>
  <c r="W378" i="114" s="1"/>
  <c r="F238" i="113"/>
  <c r="M206" i="113"/>
  <c r="J206" i="112"/>
  <c r="L207" i="113"/>
  <c r="K382" i="114" l="1"/>
  <c r="L382" i="114" s="1"/>
  <c r="K206" i="112"/>
  <c r="I207" i="112" s="1"/>
  <c r="C209" i="113" s="1"/>
  <c r="H209" i="113" s="1"/>
  <c r="B209" i="113" s="1"/>
  <c r="L381" i="114"/>
  <c r="M381" i="114" s="1"/>
  <c r="P381" i="114"/>
  <c r="O207" i="113"/>
  <c r="P207" i="113" s="1"/>
  <c r="M207" i="113"/>
  <c r="G238" i="113"/>
  <c r="U380" i="114"/>
  <c r="V379" i="114"/>
  <c r="W379" i="114" s="1"/>
  <c r="L208" i="113"/>
  <c r="P382" i="114" l="1"/>
  <c r="M382" i="114"/>
  <c r="F239" i="113"/>
  <c r="G239" i="113" s="1"/>
  <c r="Q207" i="113"/>
  <c r="I209" i="113"/>
  <c r="J207" i="112"/>
  <c r="O208" i="113"/>
  <c r="U381" i="114"/>
  <c r="V380" i="114"/>
  <c r="W380" i="114" s="1"/>
  <c r="M208" i="113"/>
  <c r="U382" i="114" l="1"/>
  <c r="V382" i="114" s="1"/>
  <c r="W382" i="114" s="1"/>
  <c r="V381" i="114"/>
  <c r="W381" i="114" s="1"/>
  <c r="F240" i="113"/>
  <c r="L209" i="113"/>
  <c r="M209" i="113" s="1"/>
  <c r="J209" i="113"/>
  <c r="K207" i="112"/>
  <c r="I208" i="112" s="1"/>
  <c r="C210" i="113" s="1"/>
  <c r="H210" i="113" s="1"/>
  <c r="B210" i="113" s="1"/>
  <c r="P208" i="113"/>
  <c r="J208" i="112" l="1"/>
  <c r="K208" i="112" s="1"/>
  <c r="I209" i="112" s="1"/>
  <c r="C211" i="113" s="1"/>
  <c r="H211" i="113" s="1"/>
  <c r="B211" i="113" s="1"/>
  <c r="Q208" i="113"/>
  <c r="I210" i="113"/>
  <c r="J210" i="113" s="1"/>
  <c r="O209" i="113"/>
  <c r="G240" i="113"/>
  <c r="I211" i="113" l="1"/>
  <c r="F241" i="113"/>
  <c r="P209" i="113"/>
  <c r="J209" i="112"/>
  <c r="L210" i="113"/>
  <c r="M210" i="113" l="1"/>
  <c r="K209" i="112"/>
  <c r="I210" i="112" s="1"/>
  <c r="C212" i="113" s="1"/>
  <c r="H212" i="113" s="1"/>
  <c r="B212" i="113" s="1"/>
  <c r="L211" i="113"/>
  <c r="O211" i="113" s="1"/>
  <c r="O210" i="113"/>
  <c r="Q209" i="113"/>
  <c r="G241" i="113"/>
  <c r="J211" i="113"/>
  <c r="F242" i="113" l="1"/>
  <c r="P210" i="113"/>
  <c r="J210" i="112"/>
  <c r="M211" i="113"/>
  <c r="I212" i="113"/>
  <c r="L212" i="113" l="1"/>
  <c r="J212" i="113"/>
  <c r="K210" i="112"/>
  <c r="I211" i="112" s="1"/>
  <c r="C213" i="113" s="1"/>
  <c r="H213" i="113" s="1"/>
  <c r="B213" i="113" s="1"/>
  <c r="Q210" i="113"/>
  <c r="P211" i="113"/>
  <c r="G242" i="113"/>
  <c r="J211" i="112" l="1"/>
  <c r="K211" i="112" s="1"/>
  <c r="I212" i="112" s="1"/>
  <c r="F243" i="113"/>
  <c r="Q211" i="113"/>
  <c r="I213" i="113"/>
  <c r="J213" i="113" s="1"/>
  <c r="M212" i="113"/>
  <c r="O212" i="113"/>
  <c r="P212" i="113" s="1"/>
  <c r="C214" i="113" l="1"/>
  <c r="H214" i="113" s="1"/>
  <c r="B214" i="113" s="1"/>
  <c r="J212" i="112"/>
  <c r="K212" i="112" s="1"/>
  <c r="I213" i="112" s="1"/>
  <c r="C215" i="113" s="1"/>
  <c r="H215" i="113" s="1"/>
  <c r="B215" i="113" s="1"/>
  <c r="Q212" i="113"/>
  <c r="L213" i="113"/>
  <c r="O213" i="113" s="1"/>
  <c r="P213" i="113" s="1"/>
  <c r="G243" i="113"/>
  <c r="I214" i="113" l="1"/>
  <c r="J214" i="113" s="1"/>
  <c r="I215" i="113" s="1"/>
  <c r="J215" i="113" s="1"/>
  <c r="Q213" i="113"/>
  <c r="J213" i="112"/>
  <c r="M213" i="113"/>
  <c r="F244" i="113"/>
  <c r="G244" i="113" s="1"/>
  <c r="L214" i="113" l="1"/>
  <c r="O214" i="113" s="1"/>
  <c r="P214" i="113" s="1"/>
  <c r="F245" i="113"/>
  <c r="L215" i="113"/>
  <c r="K213" i="112"/>
  <c r="I214" i="112" s="1"/>
  <c r="C216" i="113" s="1"/>
  <c r="H216" i="113" s="1"/>
  <c r="B216" i="113" s="1"/>
  <c r="M214" i="113" l="1"/>
  <c r="M215" i="113" s="1"/>
  <c r="Q214" i="113"/>
  <c r="I216" i="113"/>
  <c r="J214" i="112"/>
  <c r="O215" i="113"/>
  <c r="P215" i="113" s="1"/>
  <c r="G245" i="113"/>
  <c r="Q215" i="113" l="1"/>
  <c r="F246" i="113"/>
  <c r="L216" i="113"/>
  <c r="M216" i="113" s="1"/>
  <c r="K214" i="112"/>
  <c r="I215" i="112" s="1"/>
  <c r="C217" i="113" s="1"/>
  <c r="H217" i="113" s="1"/>
  <c r="B217" i="113" s="1"/>
  <c r="J216" i="113"/>
  <c r="I217" i="113" l="1"/>
  <c r="J215" i="112"/>
  <c r="O216" i="113"/>
  <c r="P216" i="113" s="1"/>
  <c r="G246" i="113"/>
  <c r="Q216" i="113" l="1"/>
  <c r="L217" i="113"/>
  <c r="F247" i="113"/>
  <c r="G247" i="113" s="1"/>
  <c r="K215" i="112"/>
  <c r="I216" i="112" s="1"/>
  <c r="C218" i="113" s="1"/>
  <c r="H218" i="113" s="1"/>
  <c r="B218" i="113" s="1"/>
  <c r="J217" i="113"/>
  <c r="F248" i="113" l="1"/>
  <c r="M217" i="113"/>
  <c r="I218" i="113"/>
  <c r="J218" i="113" s="1"/>
  <c r="J216" i="112"/>
  <c r="O217" i="113"/>
  <c r="P217" i="113" s="1"/>
  <c r="Q217" i="113" l="1"/>
  <c r="K216" i="112"/>
  <c r="I217" i="112" s="1"/>
  <c r="C219" i="113" s="1"/>
  <c r="H219" i="113" s="1"/>
  <c r="B219" i="113" s="1"/>
  <c r="L218" i="113"/>
  <c r="O218" i="113" s="1"/>
  <c r="P218" i="113" s="1"/>
  <c r="G248" i="113"/>
  <c r="Q218" i="113" l="1"/>
  <c r="F249" i="113"/>
  <c r="G249" i="113" s="1"/>
  <c r="J217" i="112"/>
  <c r="M218" i="113"/>
  <c r="I219" i="113"/>
  <c r="F250" i="113" l="1"/>
  <c r="G250" i="113" s="1"/>
  <c r="L219" i="113"/>
  <c r="O219" i="113" s="1"/>
  <c r="P219" i="113" s="1"/>
  <c r="K217" i="112"/>
  <c r="I218" i="112" s="1"/>
  <c r="C220" i="113" s="1"/>
  <c r="H220" i="113" s="1"/>
  <c r="B220" i="113" s="1"/>
  <c r="J219" i="113"/>
  <c r="Q219" i="113" l="1"/>
  <c r="F251" i="113"/>
  <c r="I220" i="113"/>
  <c r="J220" i="113" s="1"/>
  <c r="J218" i="112"/>
  <c r="M219" i="113"/>
  <c r="K218" i="112" l="1"/>
  <c r="I219" i="112" s="1"/>
  <c r="C221" i="113" s="1"/>
  <c r="H221" i="113" s="1"/>
  <c r="B221" i="113" s="1"/>
  <c r="L220" i="113"/>
  <c r="G251" i="113"/>
  <c r="F252" i="113" l="1"/>
  <c r="G252" i="113" s="1"/>
  <c r="O220" i="113"/>
  <c r="P220" i="113" s="1"/>
  <c r="J219" i="112"/>
  <c r="M220" i="113"/>
  <c r="I221" i="113"/>
  <c r="F253" i="113" l="1"/>
  <c r="L221" i="113"/>
  <c r="M221" i="113" s="1"/>
  <c r="J221" i="113"/>
  <c r="Q220" i="113"/>
  <c r="K219" i="112"/>
  <c r="I220" i="112" s="1"/>
  <c r="C222" i="113" s="1"/>
  <c r="H222" i="113" s="1"/>
  <c r="B222" i="113" s="1"/>
  <c r="J220" i="112" l="1"/>
  <c r="I222" i="113"/>
  <c r="J222" i="113" s="1"/>
  <c r="O221" i="113"/>
  <c r="P221" i="113" s="1"/>
  <c r="G253" i="113"/>
  <c r="Q221" i="113" l="1"/>
  <c r="F254" i="113"/>
  <c r="L222" i="113"/>
  <c r="K220" i="112"/>
  <c r="I221" i="112" s="1"/>
  <c r="C223" i="113" s="1"/>
  <c r="H223" i="113" s="1"/>
  <c r="B223" i="113" s="1"/>
  <c r="J221" i="112" l="1"/>
  <c r="K221" i="112" s="1"/>
  <c r="I222" i="112" s="1"/>
  <c r="C224" i="113" s="1"/>
  <c r="H224" i="113" s="1"/>
  <c r="B224" i="113" s="1"/>
  <c r="M222" i="113"/>
  <c r="O222" i="113"/>
  <c r="P222" i="113" s="1"/>
  <c r="G254" i="113"/>
  <c r="I223" i="113"/>
  <c r="L223" i="113" l="1"/>
  <c r="Q222" i="113"/>
  <c r="F255" i="113"/>
  <c r="G255" i="113" s="1"/>
  <c r="J223" i="113"/>
  <c r="J222" i="112"/>
  <c r="I224" i="113" l="1"/>
  <c r="J224" i="113" s="1"/>
  <c r="K222" i="112"/>
  <c r="I223" i="112" s="1"/>
  <c r="C225" i="113" s="1"/>
  <c r="H225" i="113" s="1"/>
  <c r="B225" i="113" s="1"/>
  <c r="F256" i="113"/>
  <c r="G256" i="113" s="1"/>
  <c r="M223" i="113"/>
  <c r="O223" i="113"/>
  <c r="P223" i="113" s="1"/>
  <c r="I225" i="113" l="1"/>
  <c r="J225" i="113" s="1"/>
  <c r="F257" i="113"/>
  <c r="G257" i="113" s="1"/>
  <c r="Q223" i="113"/>
  <c r="J223" i="112"/>
  <c r="L224" i="113"/>
  <c r="O224" i="113" s="1"/>
  <c r="P224" i="113" s="1"/>
  <c r="Q224" i="113" l="1"/>
  <c r="K223" i="112"/>
  <c r="I224" i="112" s="1"/>
  <c r="C226" i="113" s="1"/>
  <c r="H226" i="113" s="1"/>
  <c r="B226" i="113" s="1"/>
  <c r="F258" i="113"/>
  <c r="G258" i="113" s="1"/>
  <c r="M224" i="113"/>
  <c r="L225" i="113"/>
  <c r="O225" i="113" s="1"/>
  <c r="P225" i="113" s="1"/>
  <c r="I226" i="113" l="1"/>
  <c r="J226" i="113" s="1"/>
  <c r="Q225" i="113"/>
  <c r="M225" i="113"/>
  <c r="J224" i="112"/>
  <c r="F259" i="113"/>
  <c r="L226" i="113" l="1"/>
  <c r="O226" i="113" s="1"/>
  <c r="P226" i="113" s="1"/>
  <c r="Q226" i="113" s="1"/>
  <c r="G259" i="113"/>
  <c r="K224" i="112"/>
  <c r="I225" i="112" s="1"/>
  <c r="C227" i="113" s="1"/>
  <c r="H227" i="113" s="1"/>
  <c r="M226" i="113" l="1"/>
  <c r="J225" i="112"/>
  <c r="B227" i="113"/>
  <c r="I227" i="113"/>
  <c r="J227" i="113" s="1"/>
  <c r="F260" i="113"/>
  <c r="G260" i="113" s="1"/>
  <c r="F261" i="113" l="1"/>
  <c r="L227" i="113"/>
  <c r="K225" i="112"/>
  <c r="I226" i="112" s="1"/>
  <c r="C228" i="113" s="1"/>
  <c r="H228" i="113" s="1"/>
  <c r="B228" i="113" s="1"/>
  <c r="M227" i="113" l="1"/>
  <c r="J226" i="112"/>
  <c r="O227" i="113"/>
  <c r="P227" i="113" s="1"/>
  <c r="I228" i="113"/>
  <c r="G261" i="113"/>
  <c r="K226" i="112" l="1"/>
  <c r="I227" i="112" s="1"/>
  <c r="C229" i="113" s="1"/>
  <c r="H229" i="113" s="1"/>
  <c r="B229" i="113" s="1"/>
  <c r="L228" i="113"/>
  <c r="O228" i="113" s="1"/>
  <c r="P228" i="113" s="1"/>
  <c r="F262" i="113"/>
  <c r="Q227" i="113"/>
  <c r="J228" i="113"/>
  <c r="Q228" i="113" l="1"/>
  <c r="I229" i="113"/>
  <c r="J229" i="113" s="1"/>
  <c r="G262" i="113"/>
  <c r="J227" i="112"/>
  <c r="M228" i="113"/>
  <c r="K227" i="112" l="1"/>
  <c r="I228" i="112" s="1"/>
  <c r="C230" i="113" s="1"/>
  <c r="H230" i="113" s="1"/>
  <c r="B230" i="113" s="1"/>
  <c r="F263" i="113"/>
  <c r="G263" i="113" s="1"/>
  <c r="L229" i="113"/>
  <c r="O229" i="113" s="1"/>
  <c r="P229" i="113" s="1"/>
  <c r="Q229" i="113" l="1"/>
  <c r="F264" i="113"/>
  <c r="I230" i="113"/>
  <c r="J230" i="113" s="1"/>
  <c r="M229" i="113"/>
  <c r="J228" i="112"/>
  <c r="K228" i="112" l="1"/>
  <c r="I229" i="112" s="1"/>
  <c r="C231" i="113" s="1"/>
  <c r="H231" i="113" s="1"/>
  <c r="B231" i="113" s="1"/>
  <c r="L230" i="113"/>
  <c r="O230" i="113" s="1"/>
  <c r="P230" i="113" s="1"/>
  <c r="G264" i="113"/>
  <c r="F265" i="113" l="1"/>
  <c r="Q230" i="113"/>
  <c r="I231" i="113"/>
  <c r="J231" i="113" s="1"/>
  <c r="J229" i="112"/>
  <c r="M230" i="113"/>
  <c r="K229" i="112" l="1"/>
  <c r="I230" i="112" s="1"/>
  <c r="C232" i="113" s="1"/>
  <c r="H232" i="113" s="1"/>
  <c r="B232" i="113" s="1"/>
  <c r="L231" i="113"/>
  <c r="O231" i="113" s="1"/>
  <c r="P231" i="113" s="1"/>
  <c r="G265" i="113"/>
  <c r="F266" i="113" l="1"/>
  <c r="Q231" i="113"/>
  <c r="I232" i="113"/>
  <c r="M231" i="113"/>
  <c r="J230" i="112"/>
  <c r="K230" i="112" l="1"/>
  <c r="I231" i="112" s="1"/>
  <c r="C233" i="113" s="1"/>
  <c r="H233" i="113" s="1"/>
  <c r="B233" i="113" s="1"/>
  <c r="L232" i="113"/>
  <c r="O232" i="113" s="1"/>
  <c r="P232" i="113" s="1"/>
  <c r="J232" i="113"/>
  <c r="G266" i="113"/>
  <c r="I233" i="113" l="1"/>
  <c r="J233" i="113" s="1"/>
  <c r="Q232" i="113"/>
  <c r="F267" i="113"/>
  <c r="J231" i="112"/>
  <c r="M232" i="113"/>
  <c r="K231" i="112" l="1"/>
  <c r="I232" i="112" s="1"/>
  <c r="C234" i="113" s="1"/>
  <c r="H234" i="113" s="1"/>
  <c r="B234" i="113" s="1"/>
  <c r="G267" i="113"/>
  <c r="L233" i="113"/>
  <c r="F268" i="113" l="1"/>
  <c r="G268" i="113" s="1"/>
  <c r="O233" i="113"/>
  <c r="P233" i="113" s="1"/>
  <c r="M233" i="113"/>
  <c r="I234" i="113"/>
  <c r="J234" i="113" s="1"/>
  <c r="J232" i="112"/>
  <c r="F269" i="113" l="1"/>
  <c r="K232" i="112"/>
  <c r="I233" i="112" s="1"/>
  <c r="C235" i="113" s="1"/>
  <c r="H235" i="113" s="1"/>
  <c r="B235" i="113" s="1"/>
  <c r="L234" i="113"/>
  <c r="O234" i="113" s="1"/>
  <c r="P234" i="113" s="1"/>
  <c r="Q233" i="113"/>
  <c r="J233" i="112" l="1"/>
  <c r="K233" i="112" s="1"/>
  <c r="I234" i="112" s="1"/>
  <c r="C236" i="113" s="1"/>
  <c r="H236" i="113" s="1"/>
  <c r="B236" i="113" s="1"/>
  <c r="Q234" i="113"/>
  <c r="I235" i="113"/>
  <c r="J235" i="113" s="1"/>
  <c r="M234" i="113"/>
  <c r="G269" i="113"/>
  <c r="L235" i="113" l="1"/>
  <c r="O235" i="113" s="1"/>
  <c r="P235" i="113" s="1"/>
  <c r="F270" i="113"/>
  <c r="G270" i="113" s="1"/>
  <c r="J234" i="112"/>
  <c r="I236" i="113"/>
  <c r="J236" i="113" s="1"/>
  <c r="F271" i="113" l="1"/>
  <c r="Q235" i="113"/>
  <c r="K234" i="112"/>
  <c r="I235" i="112" s="1"/>
  <c r="C237" i="113" s="1"/>
  <c r="H237" i="113" s="1"/>
  <c r="B237" i="113" s="1"/>
  <c r="A1" i="113" s="1"/>
  <c r="L236" i="113"/>
  <c r="O236" i="113" s="1"/>
  <c r="P236" i="113" s="1"/>
  <c r="M235" i="113"/>
  <c r="M236" i="113" l="1"/>
  <c r="Q236" i="113"/>
  <c r="J235" i="112"/>
  <c r="G271" i="113"/>
  <c r="I237" i="113"/>
  <c r="L237" i="113" l="1"/>
  <c r="J237" i="113"/>
  <c r="F272" i="113"/>
  <c r="G272" i="113" s="1"/>
  <c r="K235" i="112"/>
  <c r="I236" i="112" s="1"/>
  <c r="C238" i="113" s="1"/>
  <c r="H238" i="113" s="1"/>
  <c r="B238" i="113" s="1"/>
  <c r="J236" i="112" l="1"/>
  <c r="F273" i="113"/>
  <c r="G273" i="113" s="1"/>
  <c r="M237" i="113"/>
  <c r="I238" i="113"/>
  <c r="J238" i="113" s="1"/>
  <c r="O237" i="113"/>
  <c r="P237" i="113" s="1"/>
  <c r="F274" i="113" l="1"/>
  <c r="Q237" i="113"/>
  <c r="A2" i="113"/>
  <c r="L238" i="113"/>
  <c r="K236" i="112"/>
  <c r="I237" i="112" s="1"/>
  <c r="C239" i="113" s="1"/>
  <c r="H239" i="113" s="1"/>
  <c r="B239" i="113" s="1"/>
  <c r="J237" i="112" l="1"/>
  <c r="M238" i="113"/>
  <c r="O238" i="113"/>
  <c r="P238" i="113" s="1"/>
  <c r="I239" i="113"/>
  <c r="J239" i="113" s="1"/>
  <c r="K237" i="112"/>
  <c r="I238" i="112" s="1"/>
  <c r="C240" i="113" s="1"/>
  <c r="H240" i="113" s="1"/>
  <c r="B240" i="113" s="1"/>
  <c r="G274" i="113"/>
  <c r="F275" i="113" l="1"/>
  <c r="I240" i="113"/>
  <c r="J240" i="113" s="1"/>
  <c r="J238" i="112"/>
  <c r="L239" i="113"/>
  <c r="O239" i="113" s="1"/>
  <c r="P239" i="113" s="1"/>
  <c r="Q238" i="113"/>
  <c r="M239" i="113" l="1"/>
  <c r="Q239" i="113"/>
  <c r="K238" i="112"/>
  <c r="I239" i="112" s="1"/>
  <c r="C241" i="113" s="1"/>
  <c r="H241" i="113" s="1"/>
  <c r="B241" i="113" s="1"/>
  <c r="L240" i="113"/>
  <c r="G275" i="113"/>
  <c r="J239" i="112" l="1"/>
  <c r="K239" i="112" s="1"/>
  <c r="I240" i="112" s="1"/>
  <c r="C242" i="113" s="1"/>
  <c r="H242" i="113" s="1"/>
  <c r="B242" i="113" s="1"/>
  <c r="F276" i="113"/>
  <c r="G276" i="113" s="1"/>
  <c r="O240" i="113"/>
  <c r="P240" i="113" s="1"/>
  <c r="M240" i="113"/>
  <c r="I241" i="113"/>
  <c r="J241" i="113" s="1"/>
  <c r="I242" i="113" l="1"/>
  <c r="J242" i="113" s="1"/>
  <c r="Q240" i="113"/>
  <c r="J240" i="112"/>
  <c r="L241" i="113"/>
  <c r="F277" i="113"/>
  <c r="K240" i="112" l="1"/>
  <c r="I241" i="112" s="1"/>
  <c r="C243" i="113" s="1"/>
  <c r="H243" i="113" s="1"/>
  <c r="B243" i="113" s="1"/>
  <c r="G277" i="113"/>
  <c r="O241" i="113"/>
  <c r="P241" i="113" s="1"/>
  <c r="M241" i="113"/>
  <c r="L242" i="113"/>
  <c r="M242" i="113" l="1"/>
  <c r="F278" i="113"/>
  <c r="I243" i="113"/>
  <c r="J243" i="113" s="1"/>
  <c r="O242" i="113"/>
  <c r="Q241" i="113"/>
  <c r="J241" i="112"/>
  <c r="K241" i="112" l="1"/>
  <c r="I242" i="112" s="1"/>
  <c r="C244" i="113" s="1"/>
  <c r="H244" i="113" s="1"/>
  <c r="B244" i="113" s="1"/>
  <c r="P242" i="113"/>
  <c r="L243" i="113"/>
  <c r="O243" i="113" s="1"/>
  <c r="G278" i="113"/>
  <c r="I244" i="113" l="1"/>
  <c r="L244" i="113" s="1"/>
  <c r="F279" i="113"/>
  <c r="P243" i="113"/>
  <c r="Q242" i="113"/>
  <c r="J242" i="112"/>
  <c r="M243" i="113"/>
  <c r="J244" i="113" l="1"/>
  <c r="M244" i="113"/>
  <c r="Q243" i="113"/>
  <c r="K242" i="112"/>
  <c r="I243" i="112" s="1"/>
  <c r="C245" i="113" s="1"/>
  <c r="H245" i="113" s="1"/>
  <c r="B245" i="113" s="1"/>
  <c r="O244" i="113"/>
  <c r="G279" i="113"/>
  <c r="F280" i="113" l="1"/>
  <c r="J243" i="112"/>
  <c r="P244" i="113"/>
  <c r="I245" i="113"/>
  <c r="J245" i="113" s="1"/>
  <c r="Q244" i="113" l="1"/>
  <c r="L245" i="113"/>
  <c r="K243" i="112"/>
  <c r="I244" i="112" s="1"/>
  <c r="C246" i="113" s="1"/>
  <c r="H246" i="113" s="1"/>
  <c r="B246" i="113" s="1"/>
  <c r="G280" i="113"/>
  <c r="I246" i="113" l="1"/>
  <c r="J246" i="113" s="1"/>
  <c r="M245" i="113"/>
  <c r="F281" i="113"/>
  <c r="G281" i="113" s="1"/>
  <c r="J244" i="112"/>
  <c r="O245" i="113"/>
  <c r="P245" i="113" s="1"/>
  <c r="F282" i="113" l="1"/>
  <c r="K244" i="112"/>
  <c r="I245" i="112" s="1"/>
  <c r="C247" i="113" s="1"/>
  <c r="H247" i="113" s="1"/>
  <c r="B247" i="113" s="1"/>
  <c r="Q245" i="113"/>
  <c r="L246" i="113"/>
  <c r="O246" i="113" s="1"/>
  <c r="P246" i="113" s="1"/>
  <c r="J245" i="112" l="1"/>
  <c r="K245" i="112" s="1"/>
  <c r="I246" i="112" s="1"/>
  <c r="C248" i="113" s="1"/>
  <c r="H248" i="113" s="1"/>
  <c r="B248" i="113" s="1"/>
  <c r="Q246" i="113"/>
  <c r="M246" i="113"/>
  <c r="I247" i="113"/>
  <c r="J247" i="113" s="1"/>
  <c r="G282" i="113"/>
  <c r="F283" i="113" l="1"/>
  <c r="I248" i="113"/>
  <c r="J248" i="113" s="1"/>
  <c r="L247" i="113"/>
  <c r="J246" i="112"/>
  <c r="M247" i="113" l="1"/>
  <c r="K246" i="112"/>
  <c r="I247" i="112" s="1"/>
  <c r="C249" i="113" s="1"/>
  <c r="H249" i="113" s="1"/>
  <c r="B249" i="113" s="1"/>
  <c r="O247" i="113"/>
  <c r="P247" i="113" s="1"/>
  <c r="L248" i="113"/>
  <c r="O248" i="113" s="1"/>
  <c r="G283" i="113"/>
  <c r="M248" i="113" l="1"/>
  <c r="F284" i="113"/>
  <c r="Q247" i="113"/>
  <c r="P248" i="113"/>
  <c r="J247" i="112"/>
  <c r="I249" i="113"/>
  <c r="K247" i="112" l="1"/>
  <c r="I248" i="112" s="1"/>
  <c r="C250" i="113" s="1"/>
  <c r="H250" i="113" s="1"/>
  <c r="B250" i="113" s="1"/>
  <c r="L249" i="113"/>
  <c r="O249" i="113" s="1"/>
  <c r="P249" i="113" s="1"/>
  <c r="Q248" i="113"/>
  <c r="G284" i="113"/>
  <c r="J249" i="113"/>
  <c r="F285" i="113" l="1"/>
  <c r="Q249" i="113"/>
  <c r="I250" i="113"/>
  <c r="J248" i="112"/>
  <c r="M249" i="113"/>
  <c r="K248" i="112" l="1"/>
  <c r="I249" i="112" s="1"/>
  <c r="C251" i="113" s="1"/>
  <c r="H251" i="113" s="1"/>
  <c r="B251" i="113" s="1"/>
  <c r="L250" i="113"/>
  <c r="O250" i="113" s="1"/>
  <c r="P250" i="113" s="1"/>
  <c r="J250" i="113"/>
  <c r="G285" i="113"/>
  <c r="M250" i="113" l="1"/>
  <c r="I251" i="113"/>
  <c r="J251" i="113" s="1"/>
  <c r="J249" i="112"/>
  <c r="F286" i="113"/>
  <c r="Q250" i="113"/>
  <c r="G286" i="113" l="1"/>
  <c r="K249" i="112"/>
  <c r="I250" i="112" s="1"/>
  <c r="C252" i="113" s="1"/>
  <c r="H252" i="113" s="1"/>
  <c r="B252" i="113" s="1"/>
  <c r="L251" i="113"/>
  <c r="M251" i="113" l="1"/>
  <c r="F287" i="113"/>
  <c r="G287" i="113" s="1"/>
  <c r="O251" i="113"/>
  <c r="P251" i="113" s="1"/>
  <c r="J250" i="112"/>
  <c r="I252" i="113"/>
  <c r="Q251" i="113" l="1"/>
  <c r="F288" i="113"/>
  <c r="G288" i="113" s="1"/>
  <c r="L252" i="113"/>
  <c r="O252" i="113" s="1"/>
  <c r="P252" i="113" s="1"/>
  <c r="K250" i="112"/>
  <c r="I251" i="112" s="1"/>
  <c r="C253" i="113" s="1"/>
  <c r="H253" i="113" s="1"/>
  <c r="B253" i="113" s="1"/>
  <c r="J252" i="113"/>
  <c r="J251" i="112" l="1"/>
  <c r="F289" i="113"/>
  <c r="G289" i="113" s="1"/>
  <c r="Q252" i="113"/>
  <c r="I253" i="113"/>
  <c r="J253" i="113" s="1"/>
  <c r="K251" i="112"/>
  <c r="I252" i="112" s="1"/>
  <c r="C254" i="113" s="1"/>
  <c r="H254" i="113" s="1"/>
  <c r="B254" i="113" s="1"/>
  <c r="M252" i="113"/>
  <c r="I254" i="113" l="1"/>
  <c r="J254" i="113" s="1"/>
  <c r="J252" i="112"/>
  <c r="L253" i="113"/>
  <c r="F299" i="113"/>
  <c r="K252" i="112" l="1"/>
  <c r="I253" i="112" s="1"/>
  <c r="C255" i="113" s="1"/>
  <c r="H255" i="113" s="1"/>
  <c r="B255" i="113" s="1"/>
  <c r="O253" i="113"/>
  <c r="P253" i="113" s="1"/>
  <c r="M253" i="113"/>
  <c r="L254" i="113"/>
  <c r="O254" i="113" s="1"/>
  <c r="P254" i="113" l="1"/>
  <c r="Q253" i="113"/>
  <c r="M254" i="113"/>
  <c r="I255" i="113"/>
  <c r="J253" i="112"/>
  <c r="L255" i="113" l="1"/>
  <c r="K253" i="112"/>
  <c r="I254" i="112" s="1"/>
  <c r="C256" i="113" s="1"/>
  <c r="H256" i="113" s="1"/>
  <c r="B256" i="113" s="1"/>
  <c r="J255" i="113"/>
  <c r="Q254" i="113"/>
  <c r="I256" i="113" l="1"/>
  <c r="M255" i="113"/>
  <c r="J254" i="112"/>
  <c r="O255" i="113"/>
  <c r="P255" i="113" s="1"/>
  <c r="L256" i="113" l="1"/>
  <c r="O256" i="113" s="1"/>
  <c r="P256" i="113" s="1"/>
  <c r="Q255" i="113"/>
  <c r="K254" i="112"/>
  <c r="I255" i="112" s="1"/>
  <c r="C257" i="113" s="1"/>
  <c r="H257" i="113" s="1"/>
  <c r="B257" i="113" s="1"/>
  <c r="J256" i="113"/>
  <c r="Q256" i="113" l="1"/>
  <c r="I257" i="113"/>
  <c r="J257" i="113" s="1"/>
  <c r="J255" i="112"/>
  <c r="M256" i="113"/>
  <c r="K255" i="112" l="1"/>
  <c r="I256" i="112" s="1"/>
  <c r="C258" i="113" s="1"/>
  <c r="H258" i="113" s="1"/>
  <c r="B258" i="113" s="1"/>
  <c r="L257" i="113"/>
  <c r="O257" i="113" l="1"/>
  <c r="P257" i="113" s="1"/>
  <c r="J256" i="112"/>
  <c r="M257" i="113"/>
  <c r="I258" i="113"/>
  <c r="J258" i="113" s="1"/>
  <c r="Q257" i="113" l="1"/>
  <c r="L258" i="113"/>
  <c r="K256" i="112"/>
  <c r="I257" i="112" s="1"/>
  <c r="C259" i="113" s="1"/>
  <c r="H259" i="113" s="1"/>
  <c r="B259" i="113" s="1"/>
  <c r="J257" i="112" l="1"/>
  <c r="M258" i="113"/>
  <c r="O258" i="113"/>
  <c r="P258" i="113" s="1"/>
  <c r="I259" i="113"/>
  <c r="L259" i="113" l="1"/>
  <c r="J259" i="113"/>
  <c r="Q258" i="113"/>
  <c r="K257" i="112"/>
  <c r="I258" i="112" s="1"/>
  <c r="C260" i="113" s="1"/>
  <c r="H260" i="113" s="1"/>
  <c r="B260" i="113" s="1"/>
  <c r="I260" i="113" l="1"/>
  <c r="J258" i="112"/>
  <c r="M259" i="113"/>
  <c r="O259" i="113"/>
  <c r="P259" i="113" s="1"/>
  <c r="Q259" i="113" l="1"/>
  <c r="L260" i="113"/>
  <c r="K258" i="112"/>
  <c r="I259" i="112" s="1"/>
  <c r="C261" i="113" s="1"/>
  <c r="H261" i="113" s="1"/>
  <c r="B261" i="113" s="1"/>
  <c r="J260" i="113"/>
  <c r="I261" i="113" l="1"/>
  <c r="J261" i="113" s="1"/>
  <c r="M260" i="113"/>
  <c r="J259" i="112"/>
  <c r="O260" i="113"/>
  <c r="P260" i="113" s="1"/>
  <c r="Q260" i="113" l="1"/>
  <c r="K259" i="112"/>
  <c r="I260" i="112" s="1"/>
  <c r="C262" i="113" s="1"/>
  <c r="H262" i="113" s="1"/>
  <c r="B262" i="113" s="1"/>
  <c r="L261" i="113"/>
  <c r="O261" i="113" l="1"/>
  <c r="P261" i="113" s="1"/>
  <c r="J260" i="112"/>
  <c r="I262" i="113"/>
  <c r="M261" i="113"/>
  <c r="Q261" i="113" l="1"/>
  <c r="L262" i="113"/>
  <c r="O262" i="113" s="1"/>
  <c r="P262" i="113" s="1"/>
  <c r="J262" i="113"/>
  <c r="K260" i="112"/>
  <c r="I261" i="112" s="1"/>
  <c r="C263" i="113" s="1"/>
  <c r="H263" i="113" s="1"/>
  <c r="B263" i="113" s="1"/>
  <c r="Q262" i="113" l="1"/>
  <c r="J261" i="112"/>
  <c r="I263" i="113"/>
  <c r="M262" i="113"/>
  <c r="L263" i="113" l="1"/>
  <c r="J263" i="113"/>
  <c r="K261" i="112"/>
  <c r="I262" i="112" s="1"/>
  <c r="C264" i="113" s="1"/>
  <c r="H264" i="113" s="1"/>
  <c r="B264" i="113" s="1"/>
  <c r="J262" i="112" l="1"/>
  <c r="K262" i="112" s="1"/>
  <c r="I263" i="112" s="1"/>
  <c r="C265" i="113" s="1"/>
  <c r="H265" i="113" s="1"/>
  <c r="B265" i="113" s="1"/>
  <c r="I264" i="113"/>
  <c r="M263" i="113"/>
  <c r="O263" i="113"/>
  <c r="P263" i="113" s="1"/>
  <c r="Q263" i="113" l="1"/>
  <c r="L264" i="113"/>
  <c r="J264" i="113"/>
  <c r="J263" i="112"/>
  <c r="I265" i="113" l="1"/>
  <c r="K263" i="112"/>
  <c r="I264" i="112" s="1"/>
  <c r="C266" i="113" s="1"/>
  <c r="H266" i="113" s="1"/>
  <c r="B266" i="113" s="1"/>
  <c r="M264" i="113"/>
  <c r="O264" i="113"/>
  <c r="P264" i="113" s="1"/>
  <c r="L265" i="113" l="1"/>
  <c r="Q264" i="113"/>
  <c r="J264" i="112"/>
  <c r="J265" i="113"/>
  <c r="I266" i="113" l="1"/>
  <c r="J266" i="113" s="1"/>
  <c r="K264" i="112"/>
  <c r="I265" i="112" s="1"/>
  <c r="C267" i="113" s="1"/>
  <c r="H267" i="113" s="1"/>
  <c r="B267" i="113" s="1"/>
  <c r="M265" i="113"/>
  <c r="O265" i="113"/>
  <c r="P265" i="113" s="1"/>
  <c r="I267" i="113" l="1"/>
  <c r="J267" i="113" s="1"/>
  <c r="Q265" i="113"/>
  <c r="J265" i="112"/>
  <c r="L266" i="113"/>
  <c r="O266" i="113" s="1"/>
  <c r="P266" i="113" s="1"/>
  <c r="Q266" i="113" l="1"/>
  <c r="K265" i="112"/>
  <c r="I266" i="112" s="1"/>
  <c r="C268" i="113" s="1"/>
  <c r="H268" i="113" s="1"/>
  <c r="B268" i="113" s="1"/>
  <c r="M266" i="113"/>
  <c r="L267" i="113"/>
  <c r="O267" i="113" s="1"/>
  <c r="P267" i="113" s="1"/>
  <c r="I268" i="113" l="1"/>
  <c r="J268" i="113" s="1"/>
  <c r="Q267" i="113"/>
  <c r="M267" i="113"/>
  <c r="J266" i="112"/>
  <c r="L268" i="113" l="1"/>
  <c r="M268" i="113" s="1"/>
  <c r="K266" i="112"/>
  <c r="I267" i="112" s="1"/>
  <c r="C269" i="113" s="1"/>
  <c r="H269" i="113" s="1"/>
  <c r="B269" i="113" s="1"/>
  <c r="O268" i="113" l="1"/>
  <c r="P268" i="113" s="1"/>
  <c r="Q268" i="113" s="1"/>
  <c r="I269" i="113"/>
  <c r="J267" i="112"/>
  <c r="K267" i="112" l="1"/>
  <c r="I268" i="112" s="1"/>
  <c r="C270" i="113" s="1"/>
  <c r="H270" i="113" s="1"/>
  <c r="B270" i="113" s="1"/>
  <c r="L269" i="113"/>
  <c r="J269" i="113"/>
  <c r="J268" i="112" l="1"/>
  <c r="K268" i="112" s="1"/>
  <c r="I269" i="112" s="1"/>
  <c r="C271" i="113" s="1"/>
  <c r="H271" i="113" s="1"/>
  <c r="B271" i="113" s="1"/>
  <c r="I270" i="113"/>
  <c r="J270" i="113" s="1"/>
  <c r="M269" i="113"/>
  <c r="O269" i="113"/>
  <c r="P269" i="113" s="1"/>
  <c r="J269" i="112" l="1"/>
  <c r="K269" i="112" s="1"/>
  <c r="I270" i="112" s="1"/>
  <c r="C272" i="113" s="1"/>
  <c r="H272" i="113" s="1"/>
  <c r="B272" i="113" s="1"/>
  <c r="Q269" i="113"/>
  <c r="I271" i="113"/>
  <c r="J271" i="113" s="1"/>
  <c r="L270" i="113"/>
  <c r="J270" i="112" l="1"/>
  <c r="K270" i="112" s="1"/>
  <c r="I271" i="112" s="1"/>
  <c r="C273" i="113" s="1"/>
  <c r="H273" i="113" s="1"/>
  <c r="B273" i="113" s="1"/>
  <c r="L271" i="113"/>
  <c r="O271" i="113" s="1"/>
  <c r="O270" i="113"/>
  <c r="P270" i="113" s="1"/>
  <c r="I272" i="113"/>
  <c r="M270" i="113"/>
  <c r="M271" i="113" l="1"/>
  <c r="L272" i="113"/>
  <c r="J272" i="113"/>
  <c r="P271" i="113"/>
  <c r="Q270" i="113"/>
  <c r="J271" i="112"/>
  <c r="M272" i="113" l="1"/>
  <c r="K271" i="112"/>
  <c r="I272" i="112" s="1"/>
  <c r="C274" i="113" s="1"/>
  <c r="H274" i="113" s="1"/>
  <c r="B274" i="113" s="1"/>
  <c r="Q271" i="113"/>
  <c r="I273" i="113"/>
  <c r="O272" i="113"/>
  <c r="P272" i="113" s="1"/>
  <c r="Q272" i="113" l="1"/>
  <c r="L273" i="113"/>
  <c r="J273" i="113"/>
  <c r="J272" i="112"/>
  <c r="M273" i="113" l="1"/>
  <c r="I274" i="113"/>
  <c r="J274" i="113" s="1"/>
  <c r="K272" i="112"/>
  <c r="I273" i="112" s="1"/>
  <c r="C275" i="113" s="1"/>
  <c r="H275" i="113" s="1"/>
  <c r="B275" i="113" s="1"/>
  <c r="O273" i="113"/>
  <c r="P273" i="113" s="1"/>
  <c r="J273" i="112" l="1"/>
  <c r="K273" i="112" s="1"/>
  <c r="I274" i="112" s="1"/>
  <c r="C276" i="113" s="1"/>
  <c r="H276" i="113" s="1"/>
  <c r="B276" i="113" s="1"/>
  <c r="Q273" i="113"/>
  <c r="I275" i="113"/>
  <c r="J275" i="113" s="1"/>
  <c r="L274" i="113"/>
  <c r="O274" i="113" s="1"/>
  <c r="P274" i="113" s="1"/>
  <c r="Q274" i="113" l="1"/>
  <c r="I276" i="113"/>
  <c r="J276" i="113" s="1"/>
  <c r="M274" i="113"/>
  <c r="L275" i="113"/>
  <c r="J274" i="112"/>
  <c r="M275" i="113" l="1"/>
  <c r="K274" i="112"/>
  <c r="I275" i="112" s="1"/>
  <c r="C277" i="113" s="1"/>
  <c r="H277" i="113" s="1"/>
  <c r="B277" i="113" s="1"/>
  <c r="O275" i="113"/>
  <c r="P275" i="113" s="1"/>
  <c r="L276" i="113"/>
  <c r="O276" i="113" s="1"/>
  <c r="I277" i="113" l="1"/>
  <c r="J277" i="113" s="1"/>
  <c r="Q275" i="113"/>
  <c r="P276" i="113"/>
  <c r="J275" i="112"/>
  <c r="M276" i="113"/>
  <c r="L277" i="113" l="1"/>
  <c r="O277" i="113" s="1"/>
  <c r="P277" i="113" s="1"/>
  <c r="K275" i="112"/>
  <c r="I276" i="112" s="1"/>
  <c r="C278" i="113" s="1"/>
  <c r="H278" i="113" s="1"/>
  <c r="B278" i="113" s="1"/>
  <c r="Q276" i="113"/>
  <c r="Q277" i="113" l="1"/>
  <c r="I278" i="113"/>
  <c r="J278" i="113" s="1"/>
  <c r="J276" i="112"/>
  <c r="M277" i="113"/>
  <c r="K276" i="112" l="1"/>
  <c r="I277" i="112" s="1"/>
  <c r="C279" i="113" s="1"/>
  <c r="H279" i="113" s="1"/>
  <c r="B279" i="113" s="1"/>
  <c r="L278" i="113"/>
  <c r="O278" i="113" s="1"/>
  <c r="P278" i="113" s="1"/>
  <c r="Q278" i="113" l="1"/>
  <c r="J277" i="112"/>
  <c r="M278" i="113"/>
  <c r="I279" i="113"/>
  <c r="L279" i="113" l="1"/>
  <c r="O279" i="113" s="1"/>
  <c r="P279" i="113" s="1"/>
  <c r="K277" i="112"/>
  <c r="I278" i="112" s="1"/>
  <c r="C280" i="113" s="1"/>
  <c r="H280" i="113" s="1"/>
  <c r="B280" i="113" s="1"/>
  <c r="J279" i="113"/>
  <c r="I280" i="113" l="1"/>
  <c r="J280" i="113" s="1"/>
  <c r="Q279" i="113"/>
  <c r="J278" i="112"/>
  <c r="M279" i="113"/>
  <c r="K278" i="112" l="1"/>
  <c r="I279" i="112" s="1"/>
  <c r="C281" i="113" s="1"/>
  <c r="H281" i="113" s="1"/>
  <c r="B281" i="113" s="1"/>
  <c r="L280" i="113"/>
  <c r="O280" i="113" s="1"/>
  <c r="P280" i="113" s="1"/>
  <c r="Q280" i="113" l="1"/>
  <c r="J279" i="112"/>
  <c r="M280" i="113"/>
  <c r="I281" i="113"/>
  <c r="L281" i="113" l="1"/>
  <c r="O281" i="113" s="1"/>
  <c r="P281" i="113" s="1"/>
  <c r="K279" i="112"/>
  <c r="I280" i="112" s="1"/>
  <c r="C282" i="113" s="1"/>
  <c r="H282" i="113" s="1"/>
  <c r="B282" i="113" s="1"/>
  <c r="J281" i="113"/>
  <c r="I282" i="113" l="1"/>
  <c r="J282" i="113" s="1"/>
  <c r="Q281" i="113"/>
  <c r="J280" i="112"/>
  <c r="M281" i="113"/>
  <c r="K280" i="112" l="1"/>
  <c r="I281" i="112" s="1"/>
  <c r="C283" i="113" s="1"/>
  <c r="H283" i="113" s="1"/>
  <c r="B283" i="113" s="1"/>
  <c r="L282" i="113"/>
  <c r="O282" i="113" s="1"/>
  <c r="P282" i="113" s="1"/>
  <c r="Q282" i="113" l="1"/>
  <c r="J281" i="112"/>
  <c r="M282" i="113"/>
  <c r="I283" i="113"/>
  <c r="L283" i="113" l="1"/>
  <c r="O283" i="113" s="1"/>
  <c r="P283" i="113" s="1"/>
  <c r="K281" i="112"/>
  <c r="I282" i="112" s="1"/>
  <c r="C284" i="113" s="1"/>
  <c r="H284" i="113" s="1"/>
  <c r="B284" i="113" s="1"/>
  <c r="J283" i="113"/>
  <c r="I284" i="113" l="1"/>
  <c r="J284" i="113" s="1"/>
  <c r="Q283" i="113"/>
  <c r="J282" i="112"/>
  <c r="M283" i="113"/>
  <c r="K282" i="112" l="1"/>
  <c r="I283" i="112" s="1"/>
  <c r="L284" i="113"/>
  <c r="O284" i="113" s="1"/>
  <c r="P284" i="113" s="1"/>
  <c r="C285" i="113" l="1"/>
  <c r="I288" i="112"/>
  <c r="Q284" i="113"/>
  <c r="J283" i="112"/>
  <c r="K283" i="112" s="1"/>
  <c r="M284" i="113"/>
  <c r="H285" i="113" l="1"/>
  <c r="C299" i="113"/>
  <c r="B285" i="113" l="1"/>
  <c r="H299" i="113"/>
  <c r="I285" i="113"/>
  <c r="J285" i="113" s="1"/>
  <c r="I286" i="113" l="1"/>
  <c r="J286" i="113" s="1"/>
  <c r="L285" i="113"/>
  <c r="I287" i="113" l="1"/>
  <c r="M285" i="113"/>
  <c r="O285" i="113"/>
  <c r="P285" i="113" s="1"/>
  <c r="L286" i="113" l="1"/>
  <c r="M286" i="113" s="1"/>
  <c r="L287" i="113"/>
  <c r="O286" i="113"/>
  <c r="P286" i="113" s="1"/>
  <c r="Q285" i="113"/>
  <c r="J287" i="113"/>
  <c r="M287" i="113" l="1"/>
  <c r="Q286" i="113"/>
  <c r="I288" i="113"/>
  <c r="J288" i="113" s="1"/>
  <c r="O287" i="113"/>
  <c r="P287" i="113" s="1"/>
  <c r="Q287" i="113" l="1"/>
  <c r="I289" i="113"/>
  <c r="J289" i="113" s="1"/>
  <c r="L288" i="113"/>
  <c r="M288" i="113" l="1"/>
  <c r="O288" i="113"/>
  <c r="P288" i="113" s="1"/>
  <c r="I299" i="113"/>
  <c r="L289" i="113"/>
  <c r="L299" i="113" l="1"/>
  <c r="O289" i="113"/>
  <c r="O299" i="113" s="1"/>
  <c r="M289" i="113"/>
  <c r="Q288" i="113"/>
  <c r="P289" i="113" l="1"/>
  <c r="P290" i="113" s="1"/>
  <c r="Q289" i="113" l="1"/>
  <c r="P291" i="113"/>
  <c r="Q290" i="113"/>
  <c r="P292" i="113" l="1"/>
  <c r="Q291" i="113"/>
  <c r="Q292" i="113" l="1"/>
  <c r="P293" i="113"/>
  <c r="Q293" i="113" l="1"/>
  <c r="P294" i="113"/>
  <c r="Q294" i="113" l="1"/>
  <c r="P295" i="113"/>
  <c r="Q295" i="113" l="1"/>
  <c r="Q297" i="113"/>
  <c r="Q296" i="113"/>
  <c r="Q298" i="113"/>
  <c r="K191" i="55" l="1"/>
  <c r="R191" i="55" s="1"/>
  <c r="N191" i="55" l="1"/>
  <c r="K192" i="55"/>
  <c r="R192" i="55" l="1"/>
  <c r="N192" i="55"/>
  <c r="K193" i="55"/>
  <c r="P191" i="55"/>
  <c r="N193" i="55" l="1"/>
  <c r="K194" i="55"/>
  <c r="R193" i="55"/>
  <c r="P192" i="55"/>
  <c r="R194" i="55" l="1"/>
  <c r="K195" i="55"/>
  <c r="N194" i="55"/>
  <c r="P193" i="55"/>
  <c r="P194" i="55" l="1"/>
  <c r="R195" i="55"/>
  <c r="K196" i="55"/>
  <c r="N195" i="55"/>
  <c r="R196" i="55" l="1"/>
  <c r="N196" i="55"/>
  <c r="K197" i="55"/>
  <c r="P195" i="55"/>
  <c r="N197" i="55" l="1"/>
  <c r="R197" i="55"/>
  <c r="K198" i="55"/>
  <c r="P196" i="55"/>
  <c r="R198" i="55" l="1"/>
  <c r="K199" i="55"/>
  <c r="N198" i="55"/>
  <c r="P197" i="55"/>
  <c r="P198" i="55" l="1"/>
  <c r="N199" i="55"/>
  <c r="R199" i="55"/>
  <c r="P199" i="55" l="1"/>
  <c r="K212" i="55" l="1"/>
  <c r="N212" i="55" l="1"/>
  <c r="P212" i="55" s="1"/>
  <c r="K213" i="55"/>
  <c r="R212" i="55"/>
  <c r="N213" i="55" l="1"/>
  <c r="P213" i="55" s="1"/>
  <c r="K214" i="55"/>
  <c r="R213" i="55"/>
  <c r="K215" i="55" l="1"/>
  <c r="N214" i="55"/>
  <c r="P214" i="55" s="1"/>
  <c r="R214" i="55"/>
  <c r="N215" i="55" l="1"/>
  <c r="P215" i="55" s="1"/>
  <c r="K216" i="55"/>
  <c r="R215" i="55"/>
  <c r="N216" i="55" l="1"/>
  <c r="P216" i="55" s="1"/>
  <c r="K217" i="55"/>
  <c r="R216" i="55"/>
  <c r="N217" i="55" l="1"/>
  <c r="P217" i="55" s="1"/>
  <c r="R217" i="55"/>
  <c r="E95" i="162" l="1"/>
  <c r="C88" i="162" l="1"/>
  <c r="E88" i="162" s="1"/>
  <c r="H20" i="162" s="1"/>
  <c r="C61" i="162"/>
  <c r="E61" i="162" s="1"/>
  <c r="H19" i="162" s="1"/>
  <c r="C76" i="162"/>
  <c r="E76" i="162" s="1"/>
  <c r="H18" i="162" s="1"/>
  <c r="C55" i="162"/>
  <c r="C25" i="162"/>
  <c r="E25" i="162" s="1"/>
  <c r="H16" i="162" s="1"/>
  <c r="C29" i="162"/>
  <c r="E29" i="162" s="1"/>
  <c r="H13" i="162" s="1"/>
  <c r="C6" i="162"/>
  <c r="E6" i="162" s="1"/>
  <c r="C68" i="162"/>
  <c r="E68" i="162" s="1"/>
  <c r="H11" i="162" s="1"/>
  <c r="C48" i="162"/>
  <c r="E48" i="162" s="1"/>
  <c r="H10" i="162" s="1"/>
  <c r="C15" i="162"/>
  <c r="E15" i="162" s="1"/>
  <c r="C80" i="162"/>
  <c r="E80" i="162" s="1"/>
  <c r="H9" i="162" s="1"/>
  <c r="C84" i="162"/>
  <c r="E84" i="162" s="1"/>
  <c r="H8" i="162" s="1"/>
  <c r="C11" i="162"/>
  <c r="E11" i="162" s="1"/>
  <c r="H6" i="162" s="1"/>
  <c r="C5" i="162"/>
  <c r="E5" i="162" s="1"/>
  <c r="C83" i="162" l="1"/>
  <c r="C85" i="160"/>
  <c r="C4" i="162"/>
  <c r="C7" i="160"/>
  <c r="C67" i="162"/>
  <c r="C69" i="160"/>
  <c r="C26" i="159" s="1"/>
  <c r="C47" i="162"/>
  <c r="C49" i="160"/>
  <c r="C14" i="162"/>
  <c r="C17" i="160"/>
  <c r="C16" i="159" s="1"/>
  <c r="C79" i="162"/>
  <c r="C81" i="160"/>
  <c r="C43" i="162"/>
  <c r="C44" i="160"/>
  <c r="C39" i="162"/>
  <c r="C40" i="162" s="1"/>
  <c r="C40" i="160"/>
  <c r="C21" i="159" s="1"/>
  <c r="C28" i="162"/>
  <c r="C30" i="160"/>
  <c r="C36" i="162"/>
  <c r="C37" i="160"/>
  <c r="C22" i="162"/>
  <c r="C26" i="160"/>
  <c r="C75" i="162"/>
  <c r="C77" i="160"/>
  <c r="C10" i="162"/>
  <c r="C12" i="160"/>
  <c r="C15" i="159" s="1"/>
  <c r="C32" i="162"/>
  <c r="H33" i="160"/>
  <c r="C33" i="160"/>
  <c r="C19" i="159" s="1"/>
  <c r="C87" i="162"/>
  <c r="C89" i="160"/>
  <c r="C30" i="159" s="1"/>
  <c r="C54" i="162"/>
  <c r="C56" i="162" s="1"/>
  <c r="C56" i="160"/>
  <c r="C24" i="159" s="1"/>
  <c r="C60" i="162"/>
  <c r="C62" i="160"/>
  <c r="C25" i="159" s="1"/>
  <c r="H12" i="162"/>
  <c r="D44" i="160"/>
  <c r="I45" i="160" s="1"/>
  <c r="D37" i="160"/>
  <c r="I38" i="160" s="1"/>
  <c r="D55" i="162"/>
  <c r="E55" i="162" s="1"/>
  <c r="H17" i="162" s="1"/>
  <c r="D12" i="160" l="1"/>
  <c r="D17" i="160"/>
  <c r="D77" i="160"/>
  <c r="I78" i="160" s="1"/>
  <c r="D81" i="160"/>
  <c r="I82" i="160" s="1"/>
  <c r="E25" i="159"/>
  <c r="E30" i="159"/>
  <c r="E16" i="159"/>
  <c r="E26" i="159"/>
  <c r="E21" i="159"/>
  <c r="D26" i="160"/>
  <c r="I27" i="160" s="1"/>
  <c r="E24" i="159"/>
  <c r="E19" i="159"/>
  <c r="D30" i="160"/>
  <c r="I31" i="160" s="1"/>
  <c r="D39" i="162"/>
  <c r="D40" i="160"/>
  <c r="I33" i="160"/>
  <c r="D33" i="160"/>
  <c r="C62" i="162"/>
  <c r="E60" i="162"/>
  <c r="E62" i="162" s="1"/>
  <c r="C89" i="162"/>
  <c r="E87" i="162"/>
  <c r="E89" i="162" s="1"/>
  <c r="D32" i="162"/>
  <c r="C33" i="162"/>
  <c r="C77" i="162"/>
  <c r="E75" i="162"/>
  <c r="E77" i="162" s="1"/>
  <c r="C37" i="162"/>
  <c r="E36" i="162"/>
  <c r="E37" i="162" s="1"/>
  <c r="C81" i="162"/>
  <c r="E79" i="162"/>
  <c r="E81" i="162" s="1"/>
  <c r="C49" i="162"/>
  <c r="E47" i="162"/>
  <c r="E49" i="162" s="1"/>
  <c r="C91" i="160"/>
  <c r="C94" i="160" s="1"/>
  <c r="C7" i="162"/>
  <c r="E4" i="162"/>
  <c r="D49" i="160"/>
  <c r="I50" i="160" s="1"/>
  <c r="D69" i="160"/>
  <c r="C17" i="159"/>
  <c r="H27" i="160"/>
  <c r="D62" i="160"/>
  <c r="I63" i="160" s="1"/>
  <c r="E15" i="159"/>
  <c r="H31" i="160"/>
  <c r="C18" i="159"/>
  <c r="C22" i="159"/>
  <c r="H45" i="160"/>
  <c r="C12" i="162"/>
  <c r="E10" i="162"/>
  <c r="E12" i="162" s="1"/>
  <c r="C26" i="162"/>
  <c r="E22" i="162"/>
  <c r="E26" i="162" s="1"/>
  <c r="C30" i="162"/>
  <c r="E28" i="162"/>
  <c r="E30" i="162" s="1"/>
  <c r="C44" i="162"/>
  <c r="E43" i="162"/>
  <c r="E44" i="162" s="1"/>
  <c r="E14" i="162"/>
  <c r="C17" i="162"/>
  <c r="C29" i="159"/>
  <c r="H86" i="160"/>
  <c r="D85" i="160"/>
  <c r="I86" i="160" s="1"/>
  <c r="D54" i="162"/>
  <c r="D56" i="160"/>
  <c r="D89" i="160"/>
  <c r="H78" i="160"/>
  <c r="C27" i="159"/>
  <c r="H38" i="160"/>
  <c r="C20" i="159"/>
  <c r="H82" i="160"/>
  <c r="C28" i="159"/>
  <c r="H50" i="160"/>
  <c r="C23" i="159"/>
  <c r="C69" i="162"/>
  <c r="E67" i="162"/>
  <c r="E69" i="162" s="1"/>
  <c r="C85" i="162"/>
  <c r="E83" i="162"/>
  <c r="E85" i="162" s="1"/>
  <c r="C91" i="162" l="1"/>
  <c r="E18" i="159"/>
  <c r="E17" i="159"/>
  <c r="E29" i="159"/>
  <c r="E22" i="159"/>
  <c r="D91" i="160"/>
  <c r="E28" i="159"/>
  <c r="E27" i="159"/>
  <c r="E23" i="159"/>
  <c r="E20" i="159"/>
  <c r="H7" i="162"/>
  <c r="E17" i="162"/>
  <c r="C65" i="159"/>
  <c r="D33" i="162"/>
  <c r="E32" i="162"/>
  <c r="E33" i="162" s="1"/>
  <c r="D40" i="162"/>
  <c r="E39" i="162"/>
  <c r="E40" i="162" s="1"/>
  <c r="E54" i="162"/>
  <c r="E56" i="162" s="1"/>
  <c r="D56" i="162"/>
  <c r="E7" i="162"/>
  <c r="C32" i="159"/>
  <c r="C92" i="162" s="1"/>
  <c r="C93" i="162" s="1"/>
  <c r="E32" i="159" l="1"/>
  <c r="E97" i="162" s="1"/>
  <c r="D91" i="162"/>
  <c r="C64" i="159"/>
  <c r="E91" i="162"/>
  <c r="E99" i="162" l="1"/>
  <c r="C66" i="159"/>
</calcChain>
</file>

<file path=xl/comments1.xml><?xml version="1.0" encoding="utf-8"?>
<comments xmlns="http://schemas.openxmlformats.org/spreadsheetml/2006/main">
  <authors>
    <author>akello</author>
  </authors>
  <commentList>
    <comment ref="N72" author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76" author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comments2.xml><?xml version="1.0" encoding="utf-8"?>
<comments xmlns="http://schemas.openxmlformats.org/spreadsheetml/2006/main">
  <authors>
    <author>akello</author>
  </authors>
  <commentList>
    <comment ref="F38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2010 calendar year not amortized.
And adjust Jan-11 thru Apr-12 amort to lower monthly amort amount from order.</t>
        </r>
      </text>
    </comment>
  </commentList>
</comments>
</file>

<file path=xl/comments3.xml><?xml version="1.0" encoding="utf-8"?>
<comments xmlns="http://schemas.openxmlformats.org/spreadsheetml/2006/main">
  <authors>
    <author>akello</author>
  </authors>
  <commentList>
    <comment ref="G44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reduced $34,210.74 per Oct 1, 2013 letter from BPA due to PSE over paid the advances. (also see SAP back up attach for more explanation on Acct #18232301 Oct 13 entry).
</t>
        </r>
      </text>
    </comment>
  </commentList>
</comments>
</file>

<file path=xl/comments4.xml><?xml version="1.0" encoding="utf-8"?>
<comments xmlns="http://schemas.openxmlformats.org/spreadsheetml/2006/main">
  <authors>
    <author>akello</author>
  </authors>
  <commentList>
    <comment ref="D24" authorId="0">
      <text>
        <r>
          <rPr>
            <sz val="9"/>
            <color indexed="81"/>
            <rFont val="Tahoma"/>
            <family val="2"/>
          </rPr>
          <t xml:space="preserve">trueup for Ferndale variable costs for Oct'13.
</t>
        </r>
      </text>
    </comment>
  </commentList>
</comments>
</file>

<file path=xl/comments5.xml><?xml version="1.0" encoding="utf-8"?>
<comments xmlns="http://schemas.openxmlformats.org/spreadsheetml/2006/main">
  <authors>
    <author>akello</author>
  </authors>
  <commentList>
    <comment ref="D30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MF Variable cost JE 48 (accrued Gas Cost for CT) per Annette Moore 8/9/10.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Susan Jan 28,2010 to hard code the column G effec. Sept 11 to $240,421 because the 2011 GRC RY will be May12-Apr13  .</t>
        </r>
      </text>
    </comment>
  </commentList>
</comments>
</file>

<file path=xl/comments6.xml><?xml version="1.0" encoding="utf-8"?>
<comments xmlns="http://schemas.openxmlformats.org/spreadsheetml/2006/main">
  <authors>
    <author>sfree</author>
  </authors>
  <commentList>
    <comment ref="R73" authorId="0">
      <text>
        <r>
          <rPr>
            <sz val="8"/>
            <color indexed="81"/>
            <rFont val="Tahoma"/>
            <family val="2"/>
          </rPr>
          <t xml:space="preserve">
6 month AMA = (June + Dec + sum(July - Nov)*2)/12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F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Did not actually record  amortization for Nov 09 - Mar 10 b/c not yet approved.  A true-up entry will be made in april 2010.</t>
        </r>
      </text>
    </comment>
  </commentList>
</comments>
</file>

<file path=xl/comments8.xml><?xml version="1.0" encoding="utf-8"?>
<comments xmlns="http://schemas.openxmlformats.org/spreadsheetml/2006/main">
  <authors>
    <author>akello</author>
  </authors>
  <commentList>
    <comment ref="G19" authorId="0">
      <text>
        <r>
          <rPr>
            <sz val="8"/>
            <color indexed="81"/>
            <rFont val="Tahoma"/>
            <family val="2"/>
          </rPr>
          <t>Reversal of LSR credits
for Dec 11-Jan 12 due to LSR was not in service until Feb'12.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Monthly amortization approved in 2013PCORC changed to $374,970.  Acttng booked $381.716 in Nov.  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True-up for Nov-Dec 13 ($13,492).
</t>
        </r>
      </text>
    </comment>
  </commentList>
</comments>
</file>

<file path=xl/comments9.xml><?xml version="1.0" encoding="utf-8"?>
<comments xmlns="http://schemas.openxmlformats.org/spreadsheetml/2006/main">
  <authors>
    <author>akello</author>
  </authors>
  <commentList>
    <comment ref="D9" authorId="0">
      <text>
        <r>
          <rPr>
            <sz val="8"/>
            <color indexed="81"/>
            <rFont val="Tahoma"/>
            <family val="2"/>
          </rPr>
          <t>2011GRC, the bal. is $1,325,775. Per Lisa Salton, she requested Acctng to transferred $119,434 to O&amp;M in Dec 11.  Therefore, the remaining bal of $1.2M to amortized beg. Jan 12.</t>
        </r>
      </text>
    </comment>
  </commentList>
</comments>
</file>

<file path=xl/sharedStrings.xml><?xml version="1.0" encoding="utf-8"?>
<sst xmlns="http://schemas.openxmlformats.org/spreadsheetml/2006/main" count="2954" uniqueCount="944">
  <si>
    <t>Interest</t>
  </si>
  <si>
    <t>Amort</t>
  </si>
  <si>
    <t>Balance</t>
  </si>
  <si>
    <t>Amortization</t>
  </si>
  <si>
    <t>Amount</t>
  </si>
  <si>
    <t>Beginning</t>
  </si>
  <si>
    <t>BEP</t>
  </si>
  <si>
    <t>Period</t>
  </si>
  <si>
    <t>Total</t>
  </si>
  <si>
    <t>Puget Sound Energy</t>
  </si>
  <si>
    <t>BEP amortization</t>
  </si>
  <si>
    <t>#18230071</t>
  </si>
  <si>
    <t>#18230081</t>
  </si>
  <si>
    <t>2 Accounts</t>
  </si>
  <si>
    <t>BPA Power Exch Invstmt - Reg Asset</t>
  </si>
  <si>
    <t>BPA Power Exch Inv Amort - Reg Asset</t>
  </si>
  <si>
    <t>Net</t>
  </si>
  <si>
    <t>Month/Period</t>
  </si>
  <si>
    <t>AMA</t>
  </si>
  <si>
    <t>Monthly</t>
  </si>
  <si>
    <t>Accumulated</t>
  </si>
  <si>
    <t>Net Book</t>
  </si>
  <si>
    <t>Month</t>
  </si>
  <si>
    <t>Value</t>
  </si>
  <si>
    <t>DFIT</t>
  </si>
  <si>
    <t>Description</t>
  </si>
  <si>
    <t xml:space="preserve">13 Mon AMA </t>
  </si>
  <si>
    <t>With DFIT</t>
  </si>
  <si>
    <t>Activity</t>
  </si>
  <si>
    <t>NBV net of</t>
  </si>
  <si>
    <t>(a)</t>
  </si>
  <si>
    <t>(b)</t>
  </si>
  <si>
    <t xml:space="preserve">(c) </t>
  </si>
  <si>
    <t>(f)</t>
  </si>
  <si>
    <t>Net Balance</t>
  </si>
  <si>
    <t>AA &amp; ADFIT</t>
  </si>
  <si>
    <t>(Note 1)</t>
  </si>
  <si>
    <t>net of</t>
  </si>
  <si>
    <t>(g)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</si>
  <si>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</si>
  <si>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</si>
  <si>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</si>
  <si>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</si>
  <si>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</si>
  <si>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</si>
  <si>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</si>
  <si>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</si>
  <si>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</si>
  <si>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</si>
  <si>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</si>
  <si>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</si>
  <si>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</si>
  <si>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</si>
  <si>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</si>
  <si>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</si>
  <si>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</si>
  <si>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</si>
  <si>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</si>
  <si>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</si>
  <si>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</si>
  <si>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</si>
  <si>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</si>
  <si>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</si>
  <si>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</si>
  <si>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</si>
  <si>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</si>
  <si>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</si>
  <si>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</si>
  <si>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</si>
  <si>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</si>
  <si>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</si>
  <si>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</si>
  <si>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</si>
  <si>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</si>
  <si>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</si>
  <si>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</si>
  <si>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</si>
  <si>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</si>
  <si>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</si>
  <si>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</si>
  <si>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</si>
  <si>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</si>
  <si>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</si>
  <si>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</si>
  <si>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 xml:space="preserve">                       DFIT</t>
  </si>
  <si>
    <t>AMA Bal + AMA DFIT</t>
  </si>
  <si>
    <t>AMA BAL (No DFIT)</t>
  </si>
  <si>
    <t>DFIT Bal</t>
  </si>
  <si>
    <t>DFIT Amort.</t>
  </si>
  <si>
    <t>Bal w/DFIT</t>
  </si>
  <si>
    <t>July 2012</t>
  </si>
  <si>
    <t>August 2012</t>
  </si>
  <si>
    <t>Deferral</t>
  </si>
  <si>
    <t xml:space="preserve">Monthly </t>
  </si>
  <si>
    <t>(j)</t>
  </si>
  <si>
    <t>(m)</t>
  </si>
  <si>
    <t>months</t>
  </si>
  <si>
    <t>Depreciation Method:</t>
  </si>
  <si>
    <t>Straight-line</t>
  </si>
  <si>
    <t>Date</t>
  </si>
  <si>
    <t>Accum Amort</t>
  </si>
  <si>
    <t>Net Credit Value</t>
  </si>
  <si>
    <t>NBV Diff</t>
  </si>
  <si>
    <t>ADFIT</t>
  </si>
  <si>
    <t>DFIT Expense</t>
  </si>
  <si>
    <t>Tax</t>
  </si>
  <si>
    <t>Book</t>
  </si>
  <si>
    <t>Book &gt; Tax</t>
  </si>
  <si>
    <t>(c)</t>
  </si>
  <si>
    <t>(g) = (a) + (e)</t>
  </si>
  <si>
    <t>(h) = (b) + (f)</t>
  </si>
  <si>
    <t>(i) = (h) - (g)</t>
  </si>
  <si>
    <t>(j) = - (i) * 35%</t>
  </si>
  <si>
    <t>Costs</t>
  </si>
  <si>
    <t xml:space="preserve">Mint Farm Deferral </t>
  </si>
  <si>
    <t>AMA Gross</t>
  </si>
  <si>
    <t>AMA Accum.</t>
  </si>
  <si>
    <t>Accum DFIT</t>
  </si>
  <si>
    <t>AMA net of</t>
  </si>
  <si>
    <t xml:space="preserve">(a) </t>
  </si>
  <si>
    <t xml:space="preserve">(d) = (b)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</si>
  <si>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(e)</t>
    </r>
  </si>
  <si>
    <t>(g) = (c) + (f)</t>
  </si>
  <si>
    <t>(h) = (-(a) *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</si>
  <si>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(h) = (i)</t>
    </r>
  </si>
  <si>
    <t>(l) = (g) + (j)</t>
  </si>
  <si>
    <t>180 months</t>
  </si>
  <si>
    <t>35%) + ((d) * 35%)</t>
  </si>
  <si>
    <t>prior mo - (d) = (e)</t>
  </si>
  <si>
    <t xml:space="preserve"> prior mo - (h) = (i)</t>
  </si>
  <si>
    <t>Payment Received:</t>
  </si>
  <si>
    <t>Accounts:</t>
  </si>
  <si>
    <t>Contract Start Date: November 1, 2009</t>
  </si>
  <si>
    <t>Amort Period</t>
  </si>
  <si>
    <t>Payment Recived</t>
  </si>
  <si>
    <t>(k) = - curr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</si>
  <si>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108</t>
    </r>
  </si>
  <si>
    <t>(e) = prior</t>
  </si>
  <si>
    <t>(f) = prior</t>
  </si>
  <si>
    <t>month (j) +</t>
  </si>
  <si>
    <t>(m) = AMA on</t>
  </si>
  <si>
    <t>month - (c)</t>
  </si>
  <si>
    <t>month - (d)</t>
  </si>
  <si>
    <t>prior month (j)</t>
  </si>
  <si>
    <t>(l) = (h) + (j)</t>
  </si>
  <si>
    <t>(l)</t>
  </si>
  <si>
    <t>FB Energy</t>
  </si>
  <si>
    <t>Payment Received from FB Energy - UE-100503</t>
  </si>
  <si>
    <t>Contract Start Date: April 1, 2010 - October 31, 2018</t>
  </si>
  <si>
    <t xml:space="preserve">AMA </t>
  </si>
  <si>
    <t xml:space="preserve">(c) = (b) / </t>
  </si>
  <si>
    <t>Balance Net</t>
  </si>
  <si>
    <t xml:space="preserve"> of Accum Amort</t>
  </si>
  <si>
    <t>(b) + (e) = (f)</t>
  </si>
  <si>
    <t>Amortization Schedule Adapted Accounting Procedures Docket NO. UE-090704</t>
  </si>
  <si>
    <t>(e)</t>
  </si>
  <si>
    <t xml:space="preserve">Chelan PUD Contract Initiation </t>
  </si>
  <si>
    <t>Amortization Schedule Adapted Accounting Procedures Docket NO. UE-060539</t>
  </si>
  <si>
    <t>240 months</t>
  </si>
  <si>
    <t># 28300561</t>
  </si>
  <si>
    <t>Carrying Costs</t>
  </si>
  <si>
    <t xml:space="preserve">Amortization starts Nov, 2011 and ends Oct, 2031 (240 months) </t>
  </si>
  <si>
    <t>GL.Bal.</t>
  </si>
  <si>
    <t xml:space="preserve">(d) </t>
  </si>
  <si>
    <t># 18230351</t>
  </si>
  <si>
    <t xml:space="preserve">(e) = (c)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</si>
  <si>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(f)</t>
    </r>
  </si>
  <si>
    <t>(h) = (c) + (g)</t>
  </si>
  <si>
    <t>(i) = (c) + (f)</t>
  </si>
  <si>
    <t>(j) = (-(a) *</t>
  </si>
  <si>
    <t>35%) + ((b) * 35%)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</si>
  <si>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(j) = (k)</t>
    </r>
  </si>
  <si>
    <t>(m) = (h) + (l)</t>
  </si>
  <si>
    <t>to the carrying charges.  The need for DFIT on this Reg Asset was not identified until Aug 2008.  Therefore, the Aug &amp; Sept 2008 DFIT entries represent true-ups for April 2006 - Aug 2008.</t>
  </si>
  <si>
    <t xml:space="preserve">(Note 1) Book and Tax treatment of original payment of $89M is the same.  Tax treats $89M carrying costs as income where book treats as a deferral.  Therefore a DFIT exists related </t>
  </si>
  <si>
    <t xml:space="preserve"> </t>
  </si>
  <si>
    <t>COLSTRIP 1 and 2 PREPAYMENT</t>
  </si>
  <si>
    <t># 16599011</t>
  </si>
  <si>
    <t>Beg Bal Mar '07</t>
  </si>
  <si>
    <t>Amort. Beg Jan 2011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</si>
  <si>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103</t>
    </r>
  </si>
  <si>
    <t>Beg Bal May '11</t>
  </si>
  <si>
    <t>Amortization starts April, 2010 and ends March, 2025 (180 months)</t>
  </si>
  <si>
    <t>Apr 1 - 7 /10</t>
  </si>
  <si>
    <t xml:space="preserve">Beg Balance:  </t>
  </si>
  <si>
    <t>&lt;=== 2010</t>
  </si>
  <si>
    <t>Jan-Aug 2011</t>
  </si>
  <si>
    <t>Sep-Dec 2011</t>
  </si>
  <si>
    <t>Payment Received</t>
  </si>
  <si>
    <t>25302121 &amp; 19000711 &amp; 25400191</t>
  </si>
  <si>
    <t>#25400191</t>
  </si>
  <si>
    <t>#18235521</t>
  </si>
  <si>
    <t>Bal + Accum. A</t>
  </si>
  <si>
    <t>#18600351</t>
  </si>
  <si>
    <t>#18600361</t>
  </si>
  <si>
    <t>#18600371</t>
  </si>
  <si>
    <t># 19000711</t>
  </si>
  <si>
    <t>Payment Received from FB Energy - UE-090704</t>
  </si>
  <si>
    <t>#19000151</t>
  </si>
  <si>
    <t>#12800001</t>
  </si>
  <si>
    <t>CHELAN SECURITY DEPOSIT ($18.5M will be returned a credit against PSE's final payment by Chelan after 20 yrs contract)</t>
  </si>
  <si>
    <t>PSE does not receive the benefit of any interest earned on these funds $18.5M.</t>
  </si>
  <si>
    <t>FERC PART 12 STUDY NON-CONSTRUCTION COSTS UE-070074 (Baker River FERC Acct)</t>
  </si>
  <si>
    <t>Amortization starts May 2012 and ends  April 2017 (60 months)</t>
  </si>
  <si>
    <t>60 mos.</t>
  </si>
  <si>
    <t>Ending Bal. Dec 2010</t>
  </si>
  <si>
    <t>#18220091</t>
  </si>
  <si>
    <t>Amort. Beg Jan 2012</t>
  </si>
  <si>
    <t xml:space="preserve"> May 12</t>
  </si>
  <si>
    <t>Lower Snake River Plant Deferral</t>
  </si>
  <si>
    <t>LOWER SNAKE RIVER PROJECT FIXED COST DEFERRAL</t>
  </si>
  <si>
    <t>Amortization starts May 2012 and ends April 2016 (48 months)</t>
  </si>
  <si>
    <t>48mos.(4yrs.)</t>
  </si>
  <si>
    <t xml:space="preserve">PREPAID TRANSMISSION LOWER SNAKE RIVER </t>
  </si>
  <si>
    <t xml:space="preserve">Amortization starts May, 2012 and ends April, 2037 (300 months) </t>
  </si>
  <si>
    <t>CALCULATION OF CARRYING CHARGES and RELATED RESERVE LSR BPA TRANSMISSION DEPOSITS UE-100882</t>
  </si>
  <si>
    <t xml:space="preserve">Principal </t>
  </si>
  <si>
    <t>Carrying</t>
  </si>
  <si>
    <t>Accum.</t>
  </si>
  <si>
    <t>AMA carrying</t>
  </si>
  <si>
    <t>charges Bal.</t>
  </si>
  <si>
    <t>Expense</t>
  </si>
  <si>
    <t>(c) + (e) = (g)</t>
  </si>
  <si>
    <t>(h) = current month (g)-</t>
  </si>
  <si>
    <t xml:space="preserve">prior mo(h)- </t>
  </si>
  <si>
    <t xml:space="preserve"> prior mo + (k) = (l)</t>
  </si>
  <si>
    <t>(n) = (i) + (m)</t>
  </si>
  <si>
    <t xml:space="preserve"> prior mo + (i) = (j)</t>
  </si>
  <si>
    <t># 18600581</t>
  </si>
  <si>
    <t># 18600591</t>
  </si>
  <si>
    <t>300 Mos (25yrs)</t>
  </si>
  <si>
    <t>prior month(j) * 35%)</t>
  </si>
  <si>
    <t>current mo(h) =(i)</t>
  </si>
  <si>
    <t>May 1 - 19, 2010</t>
  </si>
  <si>
    <t>May 20-31 / 2010</t>
  </si>
  <si>
    <t xml:space="preserve">March 2011 </t>
  </si>
  <si>
    <t xml:space="preserve">April 2011 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</si>
  <si>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</si>
  <si>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</si>
  <si>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</si>
  <si>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</si>
  <si>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</si>
  <si>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</si>
  <si>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</si>
  <si>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</si>
  <si>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</si>
  <si>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</si>
  <si>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</si>
  <si>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</si>
  <si>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</si>
  <si>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</si>
  <si>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</si>
  <si>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</si>
  <si>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</si>
  <si>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</si>
  <si>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</si>
  <si>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</si>
  <si>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</si>
  <si>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</si>
  <si>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</si>
  <si>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</si>
  <si>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</si>
  <si>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</si>
  <si>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</si>
  <si>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</si>
  <si>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</si>
  <si>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</si>
  <si>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</si>
  <si>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</si>
  <si>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</si>
  <si>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</si>
  <si>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</si>
  <si>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</si>
  <si>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</si>
  <si>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</si>
  <si>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</si>
  <si>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</si>
  <si>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</si>
  <si>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</si>
  <si>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</si>
  <si>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</si>
  <si>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</si>
  <si>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</si>
  <si>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</si>
  <si>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</si>
  <si>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</si>
  <si>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</si>
  <si>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</si>
  <si>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</si>
  <si>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</si>
  <si>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</si>
  <si>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</si>
  <si>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</si>
  <si>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</si>
  <si>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</si>
  <si>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</si>
  <si>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</si>
  <si>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</si>
  <si>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</si>
  <si>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</si>
  <si>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</si>
  <si>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</si>
  <si>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</si>
  <si>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</si>
  <si>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</si>
  <si>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</si>
  <si>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</si>
  <si>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</si>
  <si>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</si>
  <si>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</si>
  <si>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</si>
  <si>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</si>
  <si>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</si>
  <si>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</si>
  <si>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</si>
  <si>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</si>
  <si>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</si>
  <si>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</si>
  <si>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</si>
  <si>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</si>
  <si>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</si>
  <si>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</si>
  <si>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</si>
  <si>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</si>
  <si>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</si>
  <si>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</si>
  <si>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</si>
  <si>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</si>
  <si>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</si>
  <si>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</si>
  <si>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</si>
  <si>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</si>
  <si>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</si>
  <si>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</si>
  <si>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</si>
  <si>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</si>
  <si>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</si>
  <si>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</si>
  <si>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</si>
  <si>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</si>
  <si>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</si>
  <si>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</si>
  <si>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</si>
  <si>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</si>
  <si>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</si>
  <si>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</si>
  <si>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</si>
  <si>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</si>
  <si>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</si>
  <si>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</si>
  <si>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</si>
  <si>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</si>
  <si>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</si>
  <si>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</si>
  <si>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</si>
  <si>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</si>
  <si>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</si>
  <si>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</si>
  <si>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</si>
  <si>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</si>
  <si>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</si>
  <si>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</si>
  <si>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</si>
  <si>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</si>
  <si>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</si>
  <si>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</si>
  <si>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</si>
  <si>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</si>
  <si>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</si>
  <si>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</si>
  <si>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</si>
  <si>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</si>
  <si>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</si>
  <si>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</si>
  <si>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</si>
  <si>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</si>
  <si>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</si>
  <si>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</si>
  <si>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</si>
  <si>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</si>
  <si>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</si>
  <si>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</si>
  <si>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</si>
  <si>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</si>
  <si>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</si>
  <si>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</si>
  <si>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</si>
  <si>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</si>
  <si>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</si>
  <si>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</si>
  <si>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</si>
  <si>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</si>
  <si>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</si>
  <si>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</si>
  <si>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</si>
  <si>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</si>
  <si>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</si>
  <si>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</si>
  <si>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</si>
  <si>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</si>
  <si>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</si>
  <si>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</si>
  <si>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</si>
  <si>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</si>
  <si>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</si>
  <si>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</si>
  <si>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</si>
  <si>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</si>
  <si>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</si>
  <si>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</si>
  <si>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</si>
  <si>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</si>
  <si>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</si>
  <si>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</si>
  <si>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</si>
  <si>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</si>
  <si>
    <t>August 2027</t>
  </si>
  <si>
    <t>September 2027</t>
  </si>
  <si>
    <t>October 2027</t>
  </si>
  <si>
    <t>November 2027</t>
  </si>
  <si>
    <t>December 2027</t>
  </si>
  <si>
    <t>January 2028</t>
  </si>
  <si>
    <t>February 2028</t>
  </si>
  <si>
    <t>March 2028</t>
  </si>
  <si>
    <t>April 2028</t>
  </si>
  <si>
    <t>May 2028</t>
  </si>
  <si>
    <t>June 2028</t>
  </si>
  <si>
    <t>July 2028</t>
  </si>
  <si>
    <t>August 2028</t>
  </si>
  <si>
    <t>September 2028</t>
  </si>
  <si>
    <t>October 2028</t>
  </si>
  <si>
    <t>November 2028</t>
  </si>
  <si>
    <t>December 2028</t>
  </si>
  <si>
    <t>January 2029</t>
  </si>
  <si>
    <t>February 2029</t>
  </si>
  <si>
    <t>March 2029</t>
  </si>
  <si>
    <t>April 2029</t>
  </si>
  <si>
    <t>May 2029</t>
  </si>
  <si>
    <t>June 2029</t>
  </si>
  <si>
    <t>July 2029</t>
  </si>
  <si>
    <t>August 2029</t>
  </si>
  <si>
    <t>September 2029</t>
  </si>
  <si>
    <t>October 2029</t>
  </si>
  <si>
    <t>November 2029</t>
  </si>
  <si>
    <t>December 2029</t>
  </si>
  <si>
    <t>January 2030</t>
  </si>
  <si>
    <t>February 2030</t>
  </si>
  <si>
    <t>March 2030</t>
  </si>
  <si>
    <t>April 2030</t>
  </si>
  <si>
    <t>May 2030</t>
  </si>
  <si>
    <t>June 2030</t>
  </si>
  <si>
    <t>July 2030</t>
  </si>
  <si>
    <t>August 2030</t>
  </si>
  <si>
    <t>September 2030</t>
  </si>
  <si>
    <t>October 2030</t>
  </si>
  <si>
    <t>November 2030</t>
  </si>
  <si>
    <t>December 2030</t>
  </si>
  <si>
    <t>January 2031</t>
  </si>
  <si>
    <t>February 2031</t>
  </si>
  <si>
    <t>March 2031</t>
  </si>
  <si>
    <t>April 2031</t>
  </si>
  <si>
    <t>May 2031</t>
  </si>
  <si>
    <t>June 2031</t>
  </si>
  <si>
    <t>July 2031</t>
  </si>
  <si>
    <t>August 2031</t>
  </si>
  <si>
    <t>September 2031</t>
  </si>
  <si>
    <t>October 2031</t>
  </si>
  <si>
    <t>November 2031</t>
  </si>
  <si>
    <t>December 2031</t>
  </si>
  <si>
    <t>January 2032</t>
  </si>
  <si>
    <t>February 2032</t>
  </si>
  <si>
    <t>March 2032</t>
  </si>
  <si>
    <t>April 2032</t>
  </si>
  <si>
    <t>May 2032</t>
  </si>
  <si>
    <t>June 2032</t>
  </si>
  <si>
    <t>July 2032</t>
  </si>
  <si>
    <t>August 2032</t>
  </si>
  <si>
    <t>September 2032</t>
  </si>
  <si>
    <t>October 2032</t>
  </si>
  <si>
    <t>November 2032</t>
  </si>
  <si>
    <t>December 2032</t>
  </si>
  <si>
    <t>January 2033</t>
  </si>
  <si>
    <t>February 2033</t>
  </si>
  <si>
    <t>March 2033</t>
  </si>
  <si>
    <t>April 2033</t>
  </si>
  <si>
    <t>May 2033</t>
  </si>
  <si>
    <t>June 2033</t>
  </si>
  <si>
    <t>July 2033</t>
  </si>
  <si>
    <t>August 2033</t>
  </si>
  <si>
    <t>September 2033</t>
  </si>
  <si>
    <t>October 2033</t>
  </si>
  <si>
    <t>November 2033</t>
  </si>
  <si>
    <t>December 2033</t>
  </si>
  <si>
    <t>January 2034</t>
  </si>
  <si>
    <t>February 2034</t>
  </si>
  <si>
    <t>March 2034</t>
  </si>
  <si>
    <t>April 2034</t>
  </si>
  <si>
    <t>May 2034</t>
  </si>
  <si>
    <t>June 2034</t>
  </si>
  <si>
    <t>July 2034</t>
  </si>
  <si>
    <t>August 2034</t>
  </si>
  <si>
    <t>September 2034</t>
  </si>
  <si>
    <t>October 2034</t>
  </si>
  <si>
    <t>November 2034</t>
  </si>
  <si>
    <t>December 2034</t>
  </si>
  <si>
    <t>January 2035</t>
  </si>
  <si>
    <t>February 2035</t>
  </si>
  <si>
    <t>March 2035</t>
  </si>
  <si>
    <t>April 2035</t>
  </si>
  <si>
    <t>May 2035</t>
  </si>
  <si>
    <t>June 2035</t>
  </si>
  <si>
    <t>July 2035</t>
  </si>
  <si>
    <t>August 2035</t>
  </si>
  <si>
    <t>September 2035</t>
  </si>
  <si>
    <t>October 2035</t>
  </si>
  <si>
    <t>November 2035</t>
  </si>
  <si>
    <t>December 2035</t>
  </si>
  <si>
    <t>January 2036</t>
  </si>
  <si>
    <t>February 2036</t>
  </si>
  <si>
    <t>March 2036</t>
  </si>
  <si>
    <t>April 2036</t>
  </si>
  <si>
    <t>May 2036</t>
  </si>
  <si>
    <t>June 2036</t>
  </si>
  <si>
    <t>July 2036</t>
  </si>
  <si>
    <t>August 2036</t>
  </si>
  <si>
    <t>September 2036</t>
  </si>
  <si>
    <t>October 2036</t>
  </si>
  <si>
    <t>November 2036</t>
  </si>
  <si>
    <t>December 2036</t>
  </si>
  <si>
    <t>January 2037</t>
  </si>
  <si>
    <t>February 2037</t>
  </si>
  <si>
    <t>March 2037</t>
  </si>
  <si>
    <t>April 2037</t>
  </si>
  <si>
    <t>May 2037</t>
  </si>
  <si>
    <t>June 2037</t>
  </si>
  <si>
    <t>July 2037</t>
  </si>
  <si>
    <t>August 2037</t>
  </si>
  <si>
    <t>September 2037</t>
  </si>
  <si>
    <t>October 2037</t>
  </si>
  <si>
    <t>November 2037</t>
  </si>
  <si>
    <t>December 2037</t>
  </si>
  <si>
    <t>January 2038</t>
  </si>
  <si>
    <t>February 2038</t>
  </si>
  <si>
    <t>March 2038</t>
  </si>
  <si>
    <t>April 2038</t>
  </si>
  <si>
    <t>May 2038</t>
  </si>
  <si>
    <t xml:space="preserve">(Note 1) Initial rate per month is from the 2012 Transmission, Ancillary and Control Area Service Rate Summary </t>
  </si>
  <si>
    <t>(Note 2) Initial rate is per 2012 Transmission, Ancillary and Control Area Service Rate Summary #4. PTP-12</t>
  </si>
  <si>
    <t xml:space="preserve">Point-To-Point (Short Term) - Effective October 1, 2011. </t>
  </si>
  <si>
    <t>Formulaically = (5 days X $60 per Mw per Day) + (Remaining # of Days in Month X $46 per Mw per Day)</t>
  </si>
  <si>
    <t>#14300311</t>
  </si>
  <si>
    <t>contra</t>
  </si>
  <si>
    <t>#14300261</t>
  </si>
  <si>
    <t>For Current Accounting and GRC Amort Sched</t>
  </si>
  <si>
    <t>LTF PTP Rate</t>
  </si>
  <si>
    <t>LT Capacity in Mw's</t>
  </si>
  <si>
    <t>STF PTP Rate</t>
  </si>
  <si>
    <t>ST Capacity in Mw's</t>
  </si>
  <si>
    <t>Estimated</t>
  </si>
  <si>
    <t xml:space="preserve">BPA Amort </t>
  </si>
  <si>
    <t xml:space="preserve">Difft </t>
  </si>
  <si>
    <t>Escalation</t>
  </si>
  <si>
    <t>BPA Credit</t>
  </si>
  <si>
    <t>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</si>
  <si>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</si>
  <si>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</si>
  <si>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</si>
  <si>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</si>
  <si>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</si>
  <si>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</si>
  <si>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</si>
  <si>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</si>
  <si>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</si>
  <si>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</si>
  <si>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r>
      <t>c x b</t>
    </r>
    <r>
      <rPr>
        <vertAlign val="superscript"/>
        <sz val="11"/>
        <color indexed="8"/>
        <rFont val="Calibri"/>
        <family val="2"/>
      </rPr>
      <t>(Note 1)</t>
    </r>
  </si>
  <si>
    <t>e + d</t>
  </si>
  <si>
    <t>(Note 2)</t>
  </si>
  <si>
    <t>= ~343 - e (Ends 6/2012)</t>
  </si>
  <si>
    <t>(c x e) + (g x i)</t>
  </si>
  <si>
    <t>--</t>
  </si>
  <si>
    <t>`</t>
  </si>
  <si>
    <t>Estimated Amortization Schedule of LSR Prepaid Network Upgrade Deposits to BPA - 3/31/2011 BPA Statement with Corrections to BPA Calculations for 2/2009 and 3/2011.</t>
  </si>
  <si>
    <t>Month within the quarter</t>
  </si>
  <si>
    <t># of days in month based on month of Invoice</t>
  </si>
  <si>
    <t>Advance date</t>
  </si>
  <si>
    <t># of days in month advance is outstanding</t>
  </si>
  <si>
    <t>Annual interest rate</t>
  </si>
  <si>
    <t>Advances</t>
  </si>
  <si>
    <t xml:space="preserve">Credits Recognized in the Amort. Schedule from BPA (a month later than the bill credits) </t>
  </si>
  <si>
    <t>Monthly balance</t>
  </si>
  <si>
    <t>Monthly balance subject to interest</t>
  </si>
  <si>
    <t>e = b - d</t>
  </si>
  <si>
    <r>
      <t>i</t>
    </r>
    <r>
      <rPr>
        <vertAlign val="superscript"/>
        <sz val="9.6999999999999993"/>
        <color indexed="8"/>
        <rFont val="Calibri"/>
        <family val="2"/>
      </rPr>
      <t>(2)</t>
    </r>
  </si>
  <si>
    <t>j = prior mo j + g + h + i</t>
  </si>
  <si>
    <r>
      <t>k</t>
    </r>
    <r>
      <rPr>
        <vertAlign val="superscript"/>
        <sz val="9.6999999999999993"/>
        <color indexed="8"/>
        <rFont val="Calibri"/>
        <family val="2"/>
      </rPr>
      <t>(1)</t>
    </r>
  </si>
  <si>
    <r>
      <t>(1)</t>
    </r>
    <r>
      <rPr>
        <sz val="8"/>
        <rFont val="Helv"/>
      </rPr>
      <t xml:space="preserve"> Column k</t>
    </r>
  </si>
  <si>
    <t>if column a = 3, then k = j</t>
  </si>
  <si>
    <t>if column a = 1, then k = j minus interest from 1st month in quarter</t>
  </si>
  <si>
    <t>if column a = 2, then k = j minus interest from first 2 month's in quarter</t>
  </si>
  <si>
    <r>
      <t>(2)</t>
    </r>
    <r>
      <rPr>
        <sz val="8"/>
        <rFont val="Helv"/>
      </rPr>
      <t xml:space="preserve"> Column i</t>
    </r>
  </si>
  <si>
    <t>Balance subject to full month's interest (everything except current month's advances)</t>
  </si>
  <si>
    <t xml:space="preserve">prior mo. k + curr mo. g </t>
  </si>
  <si>
    <t>x # of days in month</t>
  </si>
  <si>
    <t>x c</t>
  </si>
  <si>
    <t>+ Balance subject to exact # of days interest (only the current month's advances)</t>
  </si>
  <si>
    <t>current mo. g</t>
  </si>
  <si>
    <t>x # of daysin month advance is outstanding</t>
  </si>
  <si>
    <t>x e</t>
  </si>
  <si>
    <t>x Daily interest rate</t>
  </si>
  <si>
    <r>
      <t xml:space="preserve">x (f </t>
    </r>
    <r>
      <rPr>
        <sz val="9.6999999999999993"/>
        <color indexed="12"/>
        <rFont val="Calibri"/>
        <family val="2"/>
      </rPr>
      <t>÷</t>
    </r>
    <r>
      <rPr>
        <sz val="11"/>
        <color indexed="12"/>
        <rFont val="Calibri"/>
        <family val="2"/>
      </rPr>
      <t xml:space="preserve"> 365)</t>
    </r>
  </si>
  <si>
    <t>= Monthly Interest</t>
  </si>
  <si>
    <t>= ( ( ( (prior mo k + curr mo c) x c) + (curr mo g x e) ) x (f / 365) )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</si>
  <si>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</si>
  <si>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</si>
  <si>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</si>
  <si>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</si>
  <si>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Credit</t>
  </si>
  <si>
    <t>Add Interest</t>
  </si>
  <si>
    <t>Deduct Credit</t>
  </si>
  <si>
    <t>Add Advances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</si>
  <si>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</si>
  <si>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</si>
  <si>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</si>
  <si>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</si>
  <si>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</si>
  <si>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</si>
  <si>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</si>
  <si>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</si>
  <si>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</si>
  <si>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</si>
  <si>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</si>
  <si>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Amortization starts Jan 2010 and ends Dec 2019 (120 months)</t>
  </si>
  <si>
    <t>120 mos.</t>
  </si>
  <si>
    <t>FERC PART 12 Non-Construction Study Costs $1.2M</t>
  </si>
  <si>
    <t xml:space="preserve">Amort. beg </t>
  </si>
  <si>
    <t>#18232301</t>
  </si>
  <si>
    <t>#18232311</t>
  </si>
  <si>
    <t>#40730101</t>
  </si>
  <si>
    <t>#18232321</t>
  </si>
  <si>
    <t>#18232331</t>
  </si>
  <si>
    <t># 28300081</t>
  </si>
  <si>
    <t>Redirect Capacity</t>
  </si>
  <si>
    <t xml:space="preserve"> #50106003</t>
  </si>
  <si>
    <t>Per 2011 GRC</t>
  </si>
  <si>
    <t>#25400201, #25300601 &amp; #19000151</t>
  </si>
  <si>
    <t xml:space="preserve">Month on Amotization Schedule </t>
  </si>
  <si>
    <t>240 mos (20yrs)</t>
  </si>
  <si>
    <t>Second 
Allocate to customer's current month's interest after PSE Interest paid back</t>
  </si>
  <si>
    <t>Third 
Allocate balance of credit based on ratio at time original customer interest was paid back</t>
  </si>
  <si>
    <t>g
= b from May 20, 2010 &amp; current mos Int.</t>
  </si>
  <si>
    <t>j
= b from 
Apr, 2012 until balance in i = 0</t>
  </si>
  <si>
    <t>August 15, 2008</t>
  </si>
  <si>
    <t>TRANSMISSION CREDIT STATEMENT</t>
  </si>
  <si>
    <t>Customer: PUGET SOUND ENERGY, INC.</t>
  </si>
  <si>
    <t>Customer ID: 10325</t>
  </si>
  <si>
    <t>Agreement No. 10TX-14570:  STANDARD LARGE GENERATOR INTERCONNECTION AGREEMENT</t>
  </si>
  <si>
    <t>BPA 223143</t>
  </si>
  <si>
    <t>Interest Rate, per contract</t>
  </si>
  <si>
    <t>as of 6/1/2010 (FERC rate prior to 6/1/2010)</t>
  </si>
  <si>
    <t>Interest Rate</t>
  </si>
  <si>
    <t>Interest Rate/365</t>
  </si>
  <si>
    <t>Days in a Year</t>
  </si>
  <si>
    <t xml:space="preserve">Month </t>
  </si>
  <si>
    <t>Days in Month</t>
  </si>
  <si>
    <t>date of Adv</t>
  </si>
  <si>
    <t>End of Month</t>
  </si>
  <si>
    <t>Days from Adv to End of Month</t>
  </si>
  <si>
    <t>Advances Rec'd</t>
  </si>
  <si>
    <t>Monthly Interest</t>
  </si>
  <si>
    <t>Annual Interest Rate</t>
  </si>
  <si>
    <t>Daily Interest Rate</t>
  </si>
  <si>
    <t>Credits</t>
  </si>
  <si>
    <t>Corrected Monthly Balance</t>
  </si>
  <si>
    <t>Advance-8/15/08</t>
  </si>
  <si>
    <t xml:space="preserve">Interest </t>
  </si>
  <si>
    <t>Advance-none</t>
  </si>
  <si>
    <t>3rd Quarter 2008</t>
  </si>
  <si>
    <t>4th Quarter 2008</t>
  </si>
  <si>
    <t>Advance-2/23/09</t>
  </si>
  <si>
    <t>Advance-2/24/09</t>
  </si>
  <si>
    <t>1st Quarter 2009</t>
  </si>
  <si>
    <t>Advance-6/2/09</t>
  </si>
  <si>
    <t>2nd Quarter 2009</t>
  </si>
  <si>
    <t>Advance-8/31/09</t>
  </si>
  <si>
    <t>Advance-9/30/09</t>
  </si>
  <si>
    <t>3rd Quarter 2009</t>
  </si>
  <si>
    <t>4th Quarter 2009</t>
  </si>
  <si>
    <t>1st Quarter 2010</t>
  </si>
  <si>
    <t>May 2010</t>
  </si>
  <si>
    <t>Advance-6/1/10</t>
  </si>
  <si>
    <t>2nd Quarter 2010</t>
  </si>
  <si>
    <t>Advance-7/29/10</t>
  </si>
  <si>
    <t>3rd Quarter 2010</t>
  </si>
  <si>
    <t>Advance-10/29/10</t>
  </si>
  <si>
    <t>4th Quarter 2010</t>
  </si>
  <si>
    <t>March 2011</t>
  </si>
  <si>
    <t>Advance-3/15/2011</t>
  </si>
  <si>
    <t>1st Quarter 2011</t>
  </si>
  <si>
    <t>April 2011</t>
  </si>
  <si>
    <t>2nd Quarter 2011</t>
  </si>
  <si>
    <t>Advance-8/01/2011</t>
  </si>
  <si>
    <t>3rd Quarter 2011</t>
  </si>
  <si>
    <t>4th Quarter 2011</t>
  </si>
  <si>
    <t>1st Quarter 2012</t>
  </si>
  <si>
    <t>2nd Quarter 2012</t>
  </si>
  <si>
    <t>3rd Quarter 2012</t>
  </si>
  <si>
    <t>4th Quarter 2012</t>
  </si>
  <si>
    <t>1st Quarter 2013</t>
  </si>
  <si>
    <t>2nd Quarter 2013</t>
  </si>
  <si>
    <t>3rd Quarter 2013</t>
  </si>
  <si>
    <t>Interest is fixed at Bloomberg rate (3.5665%) on 6/1/2010.</t>
  </si>
  <si>
    <t>Deposits prior to 6/1/2010 received under E&amp;P Agreement No. 08TX-13682:  Generator Interconnection Queue, Request No.'s G0284, G0285, G0286, G0294, and G0295</t>
  </si>
  <si>
    <t>Depreciation</t>
  </si>
  <si>
    <t>72mos.(6yrs.)</t>
  </si>
  <si>
    <t>Amortization starts November 1, 2013 and ends October 31, 2019 (72 months)</t>
  </si>
  <si>
    <t xml:space="preserve">Total - 12ME  </t>
  </si>
  <si>
    <t>Ferndale</t>
  </si>
  <si>
    <t>Snoqualmie</t>
  </si>
  <si>
    <t>Month/</t>
  </si>
  <si>
    <t>prior mo - (d)</t>
  </si>
  <si>
    <t>(h) = (-(a) * 35%)</t>
  </si>
  <si>
    <t xml:space="preserve"> prior mo - (h) </t>
  </si>
  <si>
    <t>= (e)</t>
  </si>
  <si>
    <t>+ ((d) * 35%)</t>
  </si>
  <si>
    <t>= (i)</t>
  </si>
  <si>
    <t>#18238321</t>
  </si>
  <si>
    <t>#40730131</t>
  </si>
  <si>
    <t>#18238331</t>
  </si>
  <si>
    <t>#40730141</t>
  </si>
  <si>
    <t>#18238311</t>
  </si>
  <si>
    <t>#40730121</t>
  </si>
  <si>
    <t>Actual Deferral</t>
  </si>
  <si>
    <t>DFIT - BPA Prepayment LT</t>
  </si>
  <si>
    <t>LSR Def Carrying Costs UE-100882</t>
  </si>
  <si>
    <t>LSR Deposit Def UE-100882</t>
  </si>
  <si>
    <t>DFIT - Lower Snake River Deferred Costs</t>
  </si>
  <si>
    <t>Chelan PUD Contract Prepmt Requirement</t>
  </si>
  <si>
    <t>DFIT - Interest Chelan PUD Reg Asset</t>
  </si>
  <si>
    <t>Chelan PUD Contract Initiation</t>
  </si>
  <si>
    <t>Prepaid Colstrip 1&amp;2 WECo Coal Resv Ded.</t>
  </si>
  <si>
    <t>Colstrip 1 and 2 (WECo) Reservation Paymt</t>
  </si>
  <si>
    <t>DFIT - FIT MF UE090704</t>
  </si>
  <si>
    <t>DFIT - Mint Farm Fixed Costs</t>
  </si>
  <si>
    <t>DFIT - Mint Farm Variable Costs</t>
  </si>
  <si>
    <t>Mint Farm Deferral - UE-090704</t>
  </si>
  <si>
    <t>MNT Return on RB &amp; CC on Fixed Deferral UE-082128</t>
  </si>
  <si>
    <t>Misc Deferred Debits - MNT Var Costs UE-082128</t>
  </si>
  <si>
    <t>Misc Deferred Debits - MNT Fixed Costs UE-082128</t>
  </si>
  <si>
    <t>Deferred Credits -BNP</t>
  </si>
  <si>
    <t xml:space="preserve">BNP </t>
  </si>
  <si>
    <t>BNP Westcoast Pipeline Capacity-Non Core Gas</t>
  </si>
  <si>
    <t>DFIT-BNP Electric</t>
  </si>
  <si>
    <t>DFIT - Westcoast Capacity Assignment - Electric</t>
  </si>
  <si>
    <t>FBE Westcoast Pipeline Capacity- Non Core Gas</t>
  </si>
  <si>
    <t>Oth Def Cr - Non -core Gas - Pipeline Cap</t>
  </si>
  <si>
    <t>DFIT - White River Reg Asset</t>
  </si>
  <si>
    <t>Deferred Taxes WNP#3</t>
  </si>
  <si>
    <t>Electric - BPA Power Exch Inv Amort - Reg Ass</t>
  </si>
  <si>
    <t>Electric - BPA Power Exch Invstmt - Reg Asset</t>
  </si>
  <si>
    <t>Account Description</t>
  </si>
  <si>
    <t>Account</t>
  </si>
  <si>
    <t>Rate Base Line No.</t>
  </si>
  <si>
    <t>W/C Line No.</t>
  </si>
  <si>
    <t>6m</t>
  </si>
  <si>
    <t>23</t>
  </si>
  <si>
    <t>6e</t>
  </si>
  <si>
    <t>Upper Baker - Unrecovered Plant &amp; Reg. Study Costs</t>
  </si>
  <si>
    <t>6n</t>
  </si>
  <si>
    <t>6a</t>
  </si>
  <si>
    <t>6b</t>
  </si>
  <si>
    <t>6f</t>
  </si>
  <si>
    <t>6o</t>
  </si>
  <si>
    <t>LSR Def Phase 1 UE-111048</t>
  </si>
  <si>
    <t>6i</t>
  </si>
  <si>
    <t>Ferndale Reg Asset UE-130617</t>
  </si>
  <si>
    <t>Baker Reg Asset UE-130617</t>
  </si>
  <si>
    <t>Snoqualmie Reg Asset UE-130617</t>
  </si>
  <si>
    <t>Misc Dfrd DRs - Snoq Fixed UE-130559</t>
  </si>
  <si>
    <t>Misc Dfrd Debits - LSR Ph.1 Fixed Costs UE-111048</t>
  </si>
  <si>
    <t>Misc. Dfrd Debits- LSR Phase 1 Var. Costs UE-111048</t>
  </si>
  <si>
    <t>LSR Ph. 1 RB Return on Fixed Def. UE-111048</t>
  </si>
  <si>
    <t>Snoqualmie RB Deferred Return UE-130559</t>
  </si>
  <si>
    <t>Snoqualmie Variable Deferral UE-130559</t>
  </si>
  <si>
    <t>Misc Def. Debits - Ferndale Fixed UE-121843</t>
  </si>
  <si>
    <t>BPA Trans. Dep. - LSR -100882</t>
  </si>
  <si>
    <t>Return on LSR BPA Transm. Deposit</t>
  </si>
  <si>
    <t>Ferndale RB Deferral Return UE-121843</t>
  </si>
  <si>
    <t>Ferndale Var Deferral UE-121843</t>
  </si>
  <si>
    <t>Ferndale Var Def Market Offset UE-121843</t>
  </si>
  <si>
    <t>Misc Dfrd DRs - Baker Fixed UE-131387</t>
  </si>
  <si>
    <t>Baker Rb Deferred Return UE-131387</t>
  </si>
  <si>
    <t>22</t>
  </si>
  <si>
    <t>26b</t>
  </si>
  <si>
    <t>37d</t>
  </si>
  <si>
    <t>26c</t>
  </si>
  <si>
    <t>29.1</t>
  </si>
  <si>
    <t>37m</t>
  </si>
  <si>
    <t>DFIT - Variable Deferred Cost Snoqualmie LT</t>
  </si>
  <si>
    <t>37a</t>
  </si>
  <si>
    <t>37e</t>
  </si>
  <si>
    <t>37b</t>
  </si>
  <si>
    <t>37i</t>
  </si>
  <si>
    <t>37l</t>
  </si>
  <si>
    <t>37j</t>
  </si>
  <si>
    <t>28300611</t>
  </si>
  <si>
    <t>28300661</t>
  </si>
  <si>
    <t>DFIT - Ferndale Purchase Deferrals - Long Term</t>
  </si>
  <si>
    <t>DFIT-Variable Deferred Cost Baker Upgrade_LT</t>
  </si>
  <si>
    <t>#28300091</t>
  </si>
  <si>
    <t>#28300741</t>
  </si>
  <si>
    <t>($105K) credits for the month of Feb 2014 from BPA for finally completed the work scope required for the Central Ferry substation.</t>
  </si>
  <si>
    <t>Acct #18232301</t>
  </si>
  <si>
    <t xml:space="preserve"> #56500085</t>
  </si>
  <si>
    <t xml:space="preserve"> #56500095</t>
  </si>
  <si>
    <t>1st Quarter 2014</t>
  </si>
  <si>
    <t>Amortization starts Dec 1, 2014 and ends October 31, 2018 (47 months)</t>
  </si>
  <si>
    <t>47 mos.</t>
  </si>
  <si>
    <t>Amortization starts Dec 1, 2014 and ends Oct 31, 2018 (47 months)</t>
  </si>
  <si>
    <t>#40740171</t>
  </si>
  <si>
    <t>#43100085</t>
  </si>
  <si>
    <t>#19003011</t>
  </si>
  <si>
    <t xml:space="preserve"> + ((d) * 35%)</t>
  </si>
  <si>
    <t>prior mo - (d) =</t>
  </si>
  <si>
    <t>prior mo - (h)</t>
  </si>
  <si>
    <t>prior mo - (h) =</t>
  </si>
  <si>
    <t>(i)</t>
  </si>
  <si>
    <t>Amortization starts Nov 1, 2013 and ends Oct 31, 2018 (60 months)</t>
  </si>
  <si>
    <t xml:space="preserve">(e) = (c) ÷ </t>
  </si>
  <si>
    <t xml:space="preserve"> + ((b) * 35%)</t>
  </si>
  <si>
    <t>(j) = (-(a) * 35%)</t>
  </si>
  <si>
    <t xml:space="preserve">(d) = (c) ÷ </t>
  </si>
  <si>
    <t xml:space="preserve">prior mo </t>
  </si>
  <si>
    <t>- (f) = (e)</t>
  </si>
  <si>
    <t>Jun 2039</t>
  </si>
  <si>
    <t>DFIT- Deferral Snoqualmie Treasury Grant-LT</t>
  </si>
  <si>
    <t>Deferral Snoqualmie Hydro Grant</t>
  </si>
  <si>
    <t>2nd Quarter 2014</t>
  </si>
  <si>
    <t>DFIT-Int Baker Treasury Grant-LT</t>
  </si>
  <si>
    <t>Deferral Baker US Treasury Grant</t>
  </si>
  <si>
    <t>Total To Date</t>
  </si>
  <si>
    <t xml:space="preserve">#18600801,#811 </t>
  </si>
  <si>
    <t>#4. PTP-12 Point-To-Point (Long Term) - Effective Oct 2015, the 6.10% increase for the PTP Transimission</t>
  </si>
  <si>
    <t xml:space="preserve">Total to date </t>
  </si>
  <si>
    <t>3nd Quarter 2014</t>
  </si>
  <si>
    <t>Electron Unrecovered Loss</t>
  </si>
  <si>
    <t>6p</t>
  </si>
  <si>
    <t>Amortization period</t>
  </si>
  <si>
    <t>Unrecovered</t>
  </si>
  <si>
    <t>net of Accum</t>
  </si>
  <si>
    <t>Plan</t>
  </si>
  <si>
    <t>DFIT - AMA</t>
  </si>
  <si>
    <t>#18220101</t>
  </si>
  <si>
    <t>#25400501</t>
  </si>
  <si>
    <t>#25400491</t>
  </si>
  <si>
    <t>FERNDALE PROJECT COST DEFERRAL  (UE-130617)</t>
  </si>
  <si>
    <t>#28302061</t>
  </si>
  <si>
    <t>AMORTIZATION OF UNRECOVERED PLANT COSTS ELECTRON (2014 PCORC UE-141141)</t>
  </si>
  <si>
    <t>SNOQUALMIE TREASURY GRANT DEFERRAL (2014 PCORC UE-141141)</t>
  </si>
  <si>
    <t>BAKER TREASURY GRANT DEFERRAL  (2014 PCORC UE-141141)</t>
  </si>
  <si>
    <t>Nov 14, 2014 sale date</t>
  </si>
  <si>
    <t>4th Quarter 2014</t>
  </si>
  <si>
    <t>DFIT - Electron Unrecovered Loss</t>
  </si>
  <si>
    <t>#19003021</t>
  </si>
  <si>
    <t>#40740181</t>
  </si>
  <si>
    <t>#40740161</t>
  </si>
  <si>
    <t>2nd Quarter 2015</t>
  </si>
  <si>
    <t>3nd Quarter 2015</t>
  </si>
  <si>
    <t>4th Quarter 2015</t>
  </si>
  <si>
    <t>1st Quarter 2016</t>
  </si>
  <si>
    <t>2nd Quarter 2016</t>
  </si>
  <si>
    <t>3nd Quarter 2016</t>
  </si>
  <si>
    <t>PUGET SOUND ENERGY-ELECTRIC</t>
  </si>
  <si>
    <t>REGULATORY ASSETS AND LIABILITIES</t>
  </si>
  <si>
    <t>LINE</t>
  </si>
  <si>
    <t>TEST</t>
  </si>
  <si>
    <t>12ME Dec 2018</t>
  </si>
  <si>
    <t>NO.</t>
  </si>
  <si>
    <t>DESCRIPTION</t>
  </si>
  <si>
    <t>YEAR</t>
  </si>
  <si>
    <t>RATE YEAR</t>
  </si>
  <si>
    <t>ADJUSTMENT</t>
  </si>
  <si>
    <t>AMA OF REGULATORY ASSET/LIABILITY NET OF ACCUM AMORT AND DFIT</t>
  </si>
  <si>
    <t>WESTCOAST PIPELINE CAPACITY - UE-082013 (FB ENERGY)</t>
  </si>
  <si>
    <t>WESTCOAST PIPELINE CAPACITY - UE-100503 (BNP PARIBUS)</t>
  </si>
  <si>
    <t>CHELAN PUD</t>
  </si>
  <si>
    <t xml:space="preserve">CHELAN - ROCK ISLAND SECURITY DEPOSIT </t>
  </si>
  <si>
    <t>COLSTRIP 1&amp;2 (WECo) PREPAYMENT</t>
  </si>
  <si>
    <t>LOWER SNAKE RIVER PP TRANSM PRINCIPAL $99.8M</t>
  </si>
  <si>
    <t>TOTAL REGULATORY ASSETS</t>
  </si>
  <si>
    <t>AMORTIZATION OF REGULATORY ASSET/LIABILITY</t>
  </si>
  <si>
    <t>|------------  (Note 1)  ------------|</t>
  </si>
  <si>
    <t>TOTAL AMORTIZATION OF REG ASSETS/LIABS</t>
  </si>
  <si>
    <t xml:space="preserve">TOTAL REGULATORY AMORT </t>
  </si>
  <si>
    <t xml:space="preserve">INCREASE (DECREASE) FIT </t>
  </si>
  <si>
    <t>INCREASE (DECREASE) NOI</t>
  </si>
  <si>
    <t>25300601</t>
  </si>
  <si>
    <t>25400201</t>
  </si>
  <si>
    <t>25400191</t>
  </si>
  <si>
    <t>Mint Farm Deferred</t>
  </si>
  <si>
    <t>28300601</t>
  </si>
  <si>
    <t xml:space="preserve">Chelan - Rock Island Security Deposit </t>
  </si>
  <si>
    <t>Lower Snake River Prepaid Transm Principal</t>
  </si>
  <si>
    <t>Carrying Charges on LSR Prepaid Transm</t>
  </si>
  <si>
    <t xml:space="preserve">Baker </t>
  </si>
  <si>
    <t>Baker Treasury Grant Deferral</t>
  </si>
  <si>
    <t>25400501</t>
  </si>
  <si>
    <t>19003021</t>
  </si>
  <si>
    <t>Snoqualmie Treasury Grant Deferral</t>
  </si>
  <si>
    <t>25400491</t>
  </si>
  <si>
    <t>19003011</t>
  </si>
  <si>
    <t>28302061</t>
  </si>
  <si>
    <t>(Note 1) The adjustments for amortization of power cost related regulatory assets and liabilities</t>
  </si>
  <si>
    <t>are performed in the Power Cost Adjustment (Adjustment No. 9.01) and therefore are not adjusted here.</t>
  </si>
  <si>
    <t>60mos.(5yrs.)</t>
  </si>
  <si>
    <t>Lower Baker Powerhouse Cost Deferral  (UE-130617) (UE-141141)</t>
  </si>
  <si>
    <t>SNOQUALMIE PROJECT COST DEFERRAL COMBINED (UE-130617) (UE-141141)</t>
  </si>
  <si>
    <t>MINT FARM DEFFRED - UE-090704 (FERC 407.3)</t>
  </si>
  <si>
    <t>FERC PART 12 STUDY NON-CONSTRUCTION COSTS UE-070074 (FERC 407)</t>
  </si>
  <si>
    <t>CARRYING CHARGES ON LSR PP TRANSM $99.8M (FERC 407.3)</t>
  </si>
  <si>
    <t>LOWER SNAKE RIVER PLANT DEFERRAL $18.3M 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</si>
  <si>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</si>
  <si>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</si>
  <si>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</si>
  <si>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</si>
  <si>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</si>
  <si>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</si>
  <si>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Test Year</t>
  </si>
  <si>
    <t>Rate Year</t>
  </si>
  <si>
    <t>Adjustment</t>
  </si>
  <si>
    <t>RA/L</t>
  </si>
  <si>
    <t>(Note 2) The Components of the Adjustment are as Follows:</t>
  </si>
  <si>
    <t>Balance of Regulatory Asset or Liability</t>
  </si>
  <si>
    <t>Accumulated Deferred Income Taxes</t>
  </si>
  <si>
    <t>Total Adjustment</t>
  </si>
  <si>
    <t>Amount of Adjustment</t>
  </si>
  <si>
    <t xml:space="preserve">A/C 28300651 </t>
  </si>
  <si>
    <t>White River is in separate Adjustment and not in Reg Assets Adjustment</t>
  </si>
  <si>
    <t>AMA (June 18)</t>
  </si>
  <si>
    <t>FOR THE TWELVE MONTHS ENDED JUNE 30, 2018</t>
  </si>
  <si>
    <t>Check with SAP account totals ==&gt;</t>
  </si>
  <si>
    <t>NBV</t>
  </si>
  <si>
    <t>TY</t>
  </si>
  <si>
    <t>RY</t>
  </si>
  <si>
    <t>#40700014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</si>
</sst>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_);_(* \(#,##0\);_(* &quot;-&quot;??_);_(@_)"/>
    <numFmt numFmtId="167" formatCode="_(&quot;$&quot;* #,##0_);_(&quot;$&quot;* \(#,##0\);_(&quot;$&quot;* &quot;-&quot;??_);_(@_)"/>
    <numFmt numFmtId="168" formatCode="_(* #,##0.0_);_(* \(#,##0.0\);_(* &quot;-&quot;_);_(@_)"/>
    <numFmt numFmtId="169" formatCode="_(&quot;$&quot;* #,##0.000000_);_(&quot;$&quot;* \(#,##0.000000\);_(&quot;$&quot;* &quot;-&quot;??????_);_(@_)"/>
    <numFmt numFmtId="170" formatCode="mmm\-yyyy"/>
    <numFmt numFmtId="171" formatCode="0.000%"/>
    <numFmt numFmtId="172" formatCode="_(* #,##0.00000_);_(* \(#,##0.00000\);_(* &quot;-&quot;??_);_(@_)"/>
    <numFmt numFmtId="173" formatCode="_(* ###0_);_(* \(###0\);_(* &quot;-&quot;_);_(@_)"/>
    <numFmt numFmtId="174" formatCode="0.0000%"/>
    <numFmt numFmtId="175" formatCode="mm/dd/yy;@"/>
    <numFmt numFmtId="176" formatCode="0.0000000"/>
    <numFmt numFmtId="177" formatCode="[$-409]mmmm\ d\,\ yyyy;@"/>
    <numFmt numFmtId="178" formatCode="[$-409]mmm\-yy;@"/>
    <numFmt numFmtId="179" formatCode="d\.mmm\.yy"/>
    <numFmt numFmtId="180" formatCode="#."/>
    <numFmt numFmtId="181" formatCode="_([$€-2]* #,##0.00_);_([$€-2]* \(#,##0.00\);_([$€-2]* &quot;-&quot;??_)"/>
    <numFmt numFmtId="182" formatCode="&quot;$&quot;#,##0;\-&quot;$&quot;#,##0"/>
    <numFmt numFmtId="183" formatCode="0000000"/>
    <numFmt numFmtId="184" formatCode="_(&quot;$&quot;* #,##0.0000_);_(&quot;$&quot;* \(#,##0.0000\);_(&quot;$&quot;* &quot;-&quot;????_);_(@_)"/>
    <numFmt numFmtId="185" formatCode="_(&quot;$&quot;* #,##0.000_);_(&quot;$&quot;* \(#,##0.000\);_(&quot;$&quot;* &quot;-&quot;??_);_(@_)"/>
    <numFmt numFmtId="186" formatCode="[$-409]d\-mmm\-yy;@"/>
    <numFmt numFmtId="187" formatCode="&quot;$&quot;#,##0.00"/>
    <numFmt numFmtId="188" formatCode="_(* #,##0.000_);_(* \(#,##0.000\);_(* &quot;-&quot;??_);_(@_)"/>
    <numFmt numFmtId="189" formatCode="0.00000%"/>
    <numFmt numFmtId="190" formatCode="_(&quot;$&quot;* #,##0.0_);_(&quot;$&quot;* \(#,##0.0\);_(&quot;$&quot;* &quot;-&quot;??_);_(@_)"/>
    <numFmt numFmtId="191" formatCode="0000"/>
    <numFmt numFmtId="192" formatCode="000000"/>
    <numFmt numFmtId="193" formatCode="_-* ###0_-;\(###0\);_-* &quot;–&quot;_-;_-@_-"/>
    <numFmt numFmtId="194" formatCode="_-* #,###_-;\(#,###\);_-* &quot;–&quot;_-;_-@_-"/>
    <numFmt numFmtId="195" formatCode="_-\ #,##0.0_-;\(#,##0.0\);_-* &quot;–&quot;_-;_-@_-"/>
    <numFmt numFmtId="196" formatCode="0.0"/>
    <numFmt numFmtId="197" formatCode="0.000_)"/>
    <numFmt numFmtId="198" formatCode="#,##0.0"/>
    <numFmt numFmtId="199" formatCode="_-* #,##0.00\ &quot;DM&quot;_-;\-* #,##0.00\ &quot;DM&quot;_-;_-* &quot;-&quot;??\ &quot;DM&quot;_-;_-@_-"/>
    <numFmt numFmtId="200" formatCode="#,##0.0_);[Red]\(#,##0.0\)"/>
    <numFmt numFmtId="201" formatCode="m/d/yy\ h:mm\ AM/PM"/>
    <numFmt numFmtId="202" formatCode="m/d/yy\ h:mm"/>
    <numFmt numFmtId="203" formatCode="&quot;$&quot;#,"/>
    <numFmt numFmtId="204" formatCode="0.00_);\(0.00\)"/>
    <numFmt numFmtId="205" formatCode="0.00_)"/>
    <numFmt numFmtId="206" formatCode="#,##0.00\ ;\(#,##0.00\)"/>
    <numFmt numFmtId="207" formatCode="0\ &quot; HR&quot;"/>
    <numFmt numFmtId="208" formatCode="#,##0_);\-#,##0_);\-_)"/>
    <numFmt numFmtId="209" formatCode="#,##0.00_);\-#,##0.00_);\-_)"/>
    <numFmt numFmtId="210" formatCode="#,##0.000_);[Red]\(#,##0.000\)"/>
    <numFmt numFmtId="211" formatCode="&quot;$&quot;#,##0.000_);[Red]\(&quot;$&quot;#,##0.000\)"/>
    <numFmt numFmtId="212" formatCode="_(* #,##0.0_);_(* \(#,##0.0\);_(* &quot;-&quot;??_);_(@_)"/>
    <numFmt numFmtId="213" formatCode="mmmm\ d\,\ yyyy"/>
    <numFmt numFmtId="214" formatCode="0.00\ ;\-0.00\ ;&quot;- &quot;"/>
    <numFmt numFmtId="215" formatCode="#,##0.0_);\-#,##0.0_);\-_)"/>
    <numFmt numFmtId="216" formatCode="mmm\ dd\,\ yyyy"/>
    <numFmt numFmtId="217" formatCode="yyyy"/>
    <numFmt numFmtId="218" formatCode="0.0000"/>
    <numFmt numFmtId="219" formatCode="0.00\ "/>
    <numFmt numFmtId="220" formatCode="_(* #,##0.0_);_(* \(#,##0.0\);_(* &quot;-&quot;?_);_(@_)"/>
  </numFmts>
  <fonts count="251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univers (E1)"/>
    </font>
    <font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sz val="12"/>
      <color indexed="24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8"/>
      <color indexed="10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0"/>
      <color indexed="8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0"/>
      <color indexed="1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11"/>
      <color indexed="23"/>
      <name val="Calibri"/>
      <family val="2"/>
    </font>
    <font>
      <vertAlign val="superscript"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1"/>
      <color indexed="12"/>
      <name val="Calibri"/>
      <family val="2"/>
    </font>
    <font>
      <b/>
      <sz val="11"/>
      <color indexed="12"/>
      <name val="Calibri"/>
      <family val="2"/>
    </font>
    <font>
      <vertAlign val="superscript"/>
      <sz val="9.6999999999999993"/>
      <color indexed="8"/>
      <name val="Calibri"/>
      <family val="2"/>
    </font>
    <font>
      <sz val="9.6999999999999993"/>
      <color indexed="12"/>
      <name val="Calibri"/>
      <family val="2"/>
    </font>
    <font>
      <b/>
      <sz val="11"/>
      <name val="Calibri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8"/>
      <name val="Times New Roman"/>
      <family val="1"/>
    </font>
    <font>
      <b/>
      <sz val="10"/>
      <name val="Arial Unicode MS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9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22"/>
      <color indexed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0"/>
      <color indexed="53"/>
      <name val="Arial"/>
      <family val="2"/>
    </font>
    <font>
      <sz val="10"/>
      <name val="Arial Unicode M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10"/>
      <color indexed="0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</font>
    <font>
      <sz val="11"/>
      <name val="Calibri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1"/>
      <color indexed="12"/>
      <name val="Calibri"/>
      <family val="2"/>
    </font>
    <font>
      <sz val="8"/>
      <color indexed="10"/>
      <name val="Calibri"/>
      <family val="2"/>
    </font>
    <font>
      <sz val="11"/>
      <color indexed="56"/>
      <name val="Calibri"/>
      <family val="2"/>
    </font>
    <font>
      <b/>
      <sz val="11"/>
      <color indexed="12"/>
      <name val="Calibri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0000FF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Times New Roman"/>
      <family val="1"/>
    </font>
    <font>
      <sz val="12"/>
      <color indexed="8"/>
      <name val="Arial"/>
      <family val="2"/>
    </font>
    <font>
      <sz val="10"/>
      <color theme="1"/>
      <name val="Calibri"/>
      <family val="2"/>
    </font>
    <font>
      <sz val="12"/>
      <name val="TIMES"/>
    </font>
    <font>
      <i/>
      <sz val="9"/>
      <name val="MS Sans Serif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b/>
      <sz val="16"/>
      <color indexed="23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b/>
      <sz val="14"/>
      <color rgb="FFFF0000"/>
      <name val="Arial"/>
      <family val="2"/>
    </font>
    <font>
      <b/>
      <sz val="14"/>
      <name val="Helv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u val="singleAccounting"/>
      <sz val="10"/>
      <name val="Arial"/>
      <family val="2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u/>
      <sz val="10"/>
      <name val="Times New Roman"/>
      <family val="1"/>
    </font>
    <font>
      <sz val="8"/>
      <color rgb="FF0000FF"/>
      <name val="Helv"/>
    </font>
    <font>
      <i/>
      <sz val="10"/>
      <color rgb="FF0000FF"/>
      <name val="Times New Roman"/>
      <family val="1"/>
    </font>
    <font>
      <i/>
      <sz val="8"/>
      <color rgb="FF0000FF"/>
      <name val="Times New Roman"/>
      <family val="1"/>
    </font>
    <font>
      <sz val="10"/>
      <color theme="0"/>
      <name val="Arial"/>
      <family val="2"/>
    </font>
    <font>
      <b/>
      <sz val="8"/>
      <name val="Helv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1"/>
      <color rgb="FF0000FF"/>
      <name val="Calibri"/>
      <family val="2"/>
    </font>
    <font>
      <i/>
      <sz val="8"/>
      <name val="Times New Roman"/>
      <family val="1"/>
    </font>
    <font>
      <sz val="1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FF"/>
      </top>
      <bottom style="double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400">
    <xf numFmtId="165" fontId="0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191" fontId="87" fillId="0" borderId="0">
      <alignment horizontal="left"/>
    </xf>
    <xf numFmtId="192" fontId="88" fillId="0" borderId="0">
      <alignment horizontal="left"/>
    </xf>
    <xf numFmtId="0" fontId="130" fillId="71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130" fillId="71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130" fillId="72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130" fillId="72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3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130" fillId="7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4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130" fillId="7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6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130" fillId="7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77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130" fillId="79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30" fillId="80" borderId="0" applyNumberFormat="0" applyBorder="0" applyAlignment="0" applyProtection="0"/>
    <xf numFmtId="0" fontId="31" fillId="8" borderId="0" applyNumberFormat="0" applyBorder="0" applyAlignment="0" applyProtection="0"/>
    <xf numFmtId="0" fontId="31" fillId="4" borderId="0" applyNumberFormat="0" applyBorder="0" applyAlignment="0" applyProtection="0"/>
    <xf numFmtId="0" fontId="130" fillId="8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30" fillId="81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81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82" borderId="0" applyNumberFormat="0" applyBorder="0" applyAlignment="0" applyProtection="0"/>
    <xf numFmtId="0" fontId="31" fillId="13" borderId="0" applyNumberFormat="0" applyBorder="0" applyAlignment="0" applyProtection="0"/>
    <xf numFmtId="0" fontId="31" fillId="7" borderId="0" applyNumberFormat="0" applyBorder="0" applyAlignment="0" applyProtection="0"/>
    <xf numFmtId="0" fontId="130" fillId="8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3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" borderId="0" applyNumberFormat="0" applyBorder="0" applyAlignment="0" applyProtection="0"/>
    <xf numFmtId="0" fontId="32" fillId="1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3" borderId="0" applyNumberFormat="0" applyBorder="0" applyAlignment="0" applyProtection="0"/>
    <xf numFmtId="0" fontId="32" fillId="2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16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33" borderId="0" applyNumberFormat="0" applyBorder="0" applyAlignment="0" applyProtection="0"/>
    <xf numFmtId="0" fontId="3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8" borderId="0" applyNumberFormat="0" applyBorder="0" applyAlignment="0" applyProtection="0"/>
    <xf numFmtId="0" fontId="33" fillId="4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88" fillId="0" borderId="0" applyFont="0" applyFill="0" applyBorder="0" applyAlignment="0" applyProtection="0">
      <alignment horizontal="right"/>
    </xf>
    <xf numFmtId="179" fontId="48" fillId="0" borderId="0" applyFill="0" applyBorder="0" applyAlignment="0"/>
    <xf numFmtId="0" fontId="132" fillId="84" borderId="73" applyNumberFormat="0" applyAlignment="0" applyProtection="0"/>
    <xf numFmtId="0" fontId="34" fillId="35" borderId="1" applyNumberFormat="0" applyAlignment="0" applyProtection="0"/>
    <xf numFmtId="0" fontId="74" fillId="36" borderId="1" applyNumberFormat="0" applyAlignment="0" applyProtection="0"/>
    <xf numFmtId="0" fontId="132" fillId="84" borderId="73" applyNumberFormat="0" applyAlignment="0" applyProtection="0"/>
    <xf numFmtId="0" fontId="74" fillId="36" borderId="1" applyNumberFormat="0" applyAlignment="0" applyProtection="0"/>
    <xf numFmtId="0" fontId="74" fillId="36" borderId="1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41" fontId="6" fillId="38" borderId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08" fillId="0" borderId="0" applyFont="0">
      <protection locked="0"/>
    </xf>
    <xf numFmtId="43" fontId="8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8" fillId="0" borderId="0"/>
    <xf numFmtId="0" fontId="8" fillId="0" borderId="0"/>
    <xf numFmtId="0" fontId="49" fillId="0" borderId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180" fontId="51" fillId="0" borderId="0">
      <protection locked="0"/>
    </xf>
    <xf numFmtId="0" fontId="49" fillId="0" borderId="0"/>
    <xf numFmtId="0" fontId="52" fillId="0" borderId="0" applyNumberFormat="0" applyAlignment="0">
      <alignment horizontal="left"/>
    </xf>
    <xf numFmtId="0" fontId="53" fillId="0" borderId="0" applyNumberFormat="0" applyAlignment="0"/>
    <xf numFmtId="0" fontId="8" fillId="0" borderId="0"/>
    <xf numFmtId="0" fontId="49" fillId="0" borderId="0"/>
    <xf numFmtId="0" fontId="8" fillId="0" borderId="0"/>
    <xf numFmtId="0" fontId="49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165" fontId="6" fillId="0" borderId="0"/>
    <xf numFmtId="165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8" fillId="0" borderId="0"/>
    <xf numFmtId="0" fontId="37" fillId="10" borderId="0" applyNumberFormat="0" applyBorder="0" applyAlignment="0" applyProtection="0"/>
    <xf numFmtId="0" fontId="3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190" fontId="89" fillId="0" borderId="0" applyNumberFormat="0" applyFill="0" applyBorder="0" applyProtection="0">
      <alignment horizontal="right"/>
    </xf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14" fontId="13" fillId="42" borderId="5">
      <alignment horizontal="center" vertical="center" wrapText="1"/>
    </xf>
    <xf numFmtId="0" fontId="24" fillId="0" borderId="0" applyNumberFormat="0" applyFill="0" applyBorder="0" applyAlignment="0" applyProtection="0"/>
    <xf numFmtId="0" fontId="134" fillId="0" borderId="74" applyNumberFormat="0" applyFill="0" applyAlignment="0" applyProtection="0"/>
    <xf numFmtId="0" fontId="54" fillId="0" borderId="6" applyNumberFormat="0" applyFill="0" applyAlignment="0" applyProtection="0"/>
    <xf numFmtId="0" fontId="104" fillId="0" borderId="7" applyNumberFormat="0" applyFill="0" applyAlignment="0" applyProtection="0"/>
    <xf numFmtId="0" fontId="134" fillId="0" borderId="74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135" fillId="0" borderId="75" applyNumberFormat="0" applyFill="0" applyAlignment="0" applyProtection="0"/>
    <xf numFmtId="0" fontId="55" fillId="0" borderId="8" applyNumberFormat="0" applyFill="0" applyAlignment="0" applyProtection="0"/>
    <xf numFmtId="0" fontId="105" fillId="0" borderId="9" applyNumberFormat="0" applyFill="0" applyAlignment="0" applyProtection="0"/>
    <xf numFmtId="0" fontId="135" fillId="0" borderId="75" applyNumberFormat="0" applyFill="0" applyAlignment="0" applyProtection="0"/>
    <xf numFmtId="0" fontId="105" fillId="0" borderId="9" applyNumberFormat="0" applyFill="0" applyAlignment="0" applyProtection="0"/>
    <xf numFmtId="0" fontId="105" fillId="0" borderId="9" applyNumberFormat="0" applyFill="0" applyAlignment="0" applyProtection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106" fillId="0" borderId="11" applyNumberFormat="0" applyFill="0" applyAlignment="0" applyProtection="0"/>
    <xf numFmtId="0" fontId="106" fillId="0" borderId="11" applyNumberFormat="0" applyFill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8" fontId="19" fillId="0" borderId="0"/>
    <xf numFmtId="40" fontId="19" fillId="0" borderId="0"/>
    <xf numFmtId="0" fontId="11" fillId="0" borderId="0" applyNumberFormat="0" applyFill="0" applyBorder="0" applyAlignment="0" applyProtection="0">
      <alignment vertical="top"/>
      <protection locked="0"/>
    </xf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9" fillId="12" borderId="1" applyNumberFormat="0" applyAlignment="0" applyProtection="0"/>
    <xf numFmtId="0" fontId="39" fillId="9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41" fontId="28" fillId="44" borderId="13">
      <alignment horizontal="left"/>
      <protection locked="0"/>
    </xf>
    <xf numFmtId="10" fontId="28" fillId="44" borderId="13">
      <alignment horizontal="right"/>
      <protection locked="0"/>
    </xf>
    <xf numFmtId="41" fontId="28" fillId="44" borderId="13">
      <alignment horizontal="left"/>
      <protection locked="0"/>
    </xf>
    <xf numFmtId="0" fontId="10" fillId="38" borderId="0"/>
    <xf numFmtId="0" fontId="9" fillId="38" borderId="0"/>
    <xf numFmtId="3" fontId="56" fillId="0" borderId="0" applyFill="0" applyBorder="0" applyAlignment="0" applyProtection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44" fontId="18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8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107" fillId="12" borderId="0" applyNumberFormat="0" applyBorder="0" applyAlignment="0" applyProtection="0"/>
    <xf numFmtId="0" fontId="41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37" fontId="57" fillId="0" borderId="0"/>
    <xf numFmtId="169" fontId="7" fillId="0" borderId="0"/>
    <xf numFmtId="182" fontId="6" fillId="0" borderId="0"/>
    <xf numFmtId="182" fontId="6" fillId="0" borderId="0"/>
    <xf numFmtId="182" fontId="6" fillId="0" borderId="0"/>
    <xf numFmtId="0" fontId="6" fillId="0" borderId="0"/>
    <xf numFmtId="0" fontId="6" fillId="0" borderId="0"/>
    <xf numFmtId="183" fontId="58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165" fontId="6" fillId="0" borderId="0">
      <alignment horizontal="left" wrapText="1"/>
    </xf>
    <xf numFmtId="167" fontId="6" fillId="0" borderId="0">
      <alignment horizontal="left" wrapText="1"/>
    </xf>
    <xf numFmtId="0" fontId="130" fillId="0" borderId="0"/>
    <xf numFmtId="0" fontId="130" fillId="0" borderId="0"/>
    <xf numFmtId="165" fontId="6" fillId="0" borderId="0">
      <alignment horizontal="left" wrapText="1"/>
    </xf>
    <xf numFmtId="0" fontId="6" fillId="0" borderId="0"/>
    <xf numFmtId="0" fontId="103" fillId="0" borderId="0"/>
    <xf numFmtId="0" fontId="72" fillId="0" borderId="0"/>
    <xf numFmtId="0" fontId="72" fillId="0" borderId="0"/>
    <xf numFmtId="165" fontId="7" fillId="0" borderId="0">
      <alignment horizontal="left" wrapText="1"/>
    </xf>
    <xf numFmtId="182" fontId="7" fillId="0" borderId="0">
      <alignment horizontal="left" wrapText="1"/>
    </xf>
    <xf numFmtId="0" fontId="130" fillId="0" borderId="0"/>
    <xf numFmtId="182" fontId="7" fillId="0" borderId="0">
      <alignment horizontal="left" wrapText="1"/>
    </xf>
    <xf numFmtId="0" fontId="6" fillId="0" borderId="0"/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72" fillId="0" borderId="0"/>
    <xf numFmtId="0" fontId="6" fillId="0" borderId="0"/>
    <xf numFmtId="0" fontId="6" fillId="0" borderId="0"/>
    <xf numFmtId="0" fontId="6" fillId="0" borderId="0"/>
    <xf numFmtId="0" fontId="108" fillId="0" borderId="0"/>
    <xf numFmtId="0" fontId="6" fillId="0" borderId="0"/>
    <xf numFmtId="0" fontId="130" fillId="0" borderId="0"/>
    <xf numFmtId="0" fontId="130" fillId="0" borderId="0"/>
    <xf numFmtId="0" fontId="108" fillId="0" borderId="0"/>
    <xf numFmtId="0" fontId="130" fillId="0" borderId="0"/>
    <xf numFmtId="0" fontId="31" fillId="0" borderId="0"/>
    <xf numFmtId="0" fontId="130" fillId="0" borderId="0"/>
    <xf numFmtId="0" fontId="108" fillId="0" borderId="0"/>
    <xf numFmtId="0" fontId="130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0" fontId="130" fillId="0" borderId="0"/>
    <xf numFmtId="189" fontId="7" fillId="0" borderId="0">
      <alignment horizontal="left" wrapText="1"/>
    </xf>
    <xf numFmtId="165" fontId="7" fillId="0" borderId="0">
      <alignment horizontal="left" wrapText="1"/>
    </xf>
    <xf numFmtId="0" fontId="130" fillId="0" borderId="0"/>
    <xf numFmtId="0" fontId="6" fillId="0" borderId="0"/>
    <xf numFmtId="0" fontId="72" fillId="0" borderId="0"/>
    <xf numFmtId="0" fontId="72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167" fontId="6" fillId="0" borderId="0">
      <alignment horizontal="left" wrapText="1"/>
    </xf>
    <xf numFmtId="0" fontId="6" fillId="0" borderId="0"/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03" fillId="0" borderId="0"/>
    <xf numFmtId="0" fontId="113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6" fillId="0" borderId="0"/>
    <xf numFmtId="0" fontId="72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165" fontId="7" fillId="0" borderId="0">
      <alignment horizontal="left" wrapText="1"/>
    </xf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8" fillId="0" borderId="0"/>
    <xf numFmtId="0" fontId="8" fillId="0" borderId="0"/>
    <xf numFmtId="0" fontId="49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45" borderId="13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5">
      <alignment horizontal="center"/>
    </xf>
    <xf numFmtId="3" fontId="25" fillId="0" borderId="0" applyFont="0" applyFill="0" applyBorder="0" applyAlignment="0" applyProtection="0"/>
    <xf numFmtId="0" fontId="25" fillId="46" borderId="0" applyNumberFormat="0" applyFont="0" applyBorder="0" applyAlignment="0" applyProtection="0"/>
    <xf numFmtId="0" fontId="49" fillId="0" borderId="0"/>
    <xf numFmtId="3" fontId="59" fillId="0" borderId="0" applyFill="0" applyBorder="0" applyAlignment="0" applyProtection="0"/>
    <xf numFmtId="0" fontId="60" fillId="0" borderId="0"/>
    <xf numFmtId="3" fontId="59" fillId="0" borderId="0" applyFill="0" applyBorder="0" applyAlignment="0" applyProtection="0"/>
    <xf numFmtId="42" fontId="6" fillId="43" borderId="0"/>
    <xf numFmtId="42" fontId="6" fillId="43" borderId="20">
      <alignment vertical="center"/>
    </xf>
    <xf numFmtId="0" fontId="13" fillId="43" borderId="21" applyNumberFormat="0">
      <alignment horizontal="center" vertical="center" wrapText="1"/>
    </xf>
    <xf numFmtId="0" fontId="13" fillId="43" borderId="21" applyNumberFormat="0">
      <alignment horizontal="center" vertical="center" wrapText="1"/>
    </xf>
    <xf numFmtId="10" fontId="6" fillId="43" borderId="0"/>
    <xf numFmtId="10" fontId="6" fillId="43" borderId="0"/>
    <xf numFmtId="184" fontId="6" fillId="43" borderId="0"/>
    <xf numFmtId="184" fontId="6" fillId="43" borderId="0"/>
    <xf numFmtId="42" fontId="6" fillId="43" borderId="0"/>
    <xf numFmtId="166" fontId="14" fillId="0" borderId="0" applyBorder="0" applyAlignment="0"/>
    <xf numFmtId="42" fontId="6" fillId="43" borderId="22">
      <alignment horizontal="left"/>
    </xf>
    <xf numFmtId="184" fontId="16" fillId="43" borderId="22">
      <alignment horizontal="left"/>
    </xf>
    <xf numFmtId="14" fontId="7" fillId="0" borderId="0" applyNumberFormat="0" applyFill="0" applyBorder="0" applyAlignment="0" applyProtection="0">
      <alignment horizontal="lef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4" fontId="61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4" fontId="61" fillId="48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6" fillId="57" borderId="0" applyNumberFormat="0" applyProtection="0">
      <alignment horizontal="left" vertical="center" indent="1"/>
    </xf>
    <xf numFmtId="4" fontId="61" fillId="58" borderId="0" applyNumberFormat="0" applyProtection="0">
      <alignment horizontal="left" vertical="center" indent="1"/>
    </xf>
    <xf numFmtId="4" fontId="67" fillId="59" borderId="0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14" fillId="32" borderId="23" applyBorder="0"/>
    <xf numFmtId="4" fontId="61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9" fillId="0" borderId="0" applyNumberFormat="0" applyProtection="0">
      <alignment horizontal="left" indent="5"/>
    </xf>
    <xf numFmtId="0" fontId="9" fillId="64" borderId="12"/>
    <xf numFmtId="4" fontId="20" fillId="58" borderId="19" applyNumberFormat="0" applyProtection="0">
      <alignment horizontal="right" vertical="center"/>
    </xf>
    <xf numFmtId="39" fontId="6" fillId="65" borderId="0"/>
    <xf numFmtId="39" fontId="6" fillId="65" borderId="0"/>
    <xf numFmtId="0" fontId="73" fillId="0" borderId="0" applyNumberFormat="0" applyFill="0" applyBorder="0" applyAlignment="0" applyProtection="0"/>
    <xf numFmtId="38" fontId="9" fillId="0" borderId="24"/>
    <xf numFmtId="38" fontId="9" fillId="0" borderId="24"/>
    <xf numFmtId="38" fontId="9" fillId="0" borderId="24"/>
    <xf numFmtId="38" fontId="9" fillId="0" borderId="24"/>
    <xf numFmtId="38" fontId="9" fillId="0" borderId="24"/>
    <xf numFmtId="38" fontId="19" fillId="0" borderId="22"/>
    <xf numFmtId="39" fontId="7" fillId="66" borderId="0"/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89" fontId="6" fillId="0" borderId="0">
      <alignment horizontal="left" wrapText="1"/>
    </xf>
    <xf numFmtId="184" fontId="6" fillId="0" borderId="0">
      <alignment horizontal="left" wrapText="1"/>
    </xf>
    <xf numFmtId="164" fontId="6" fillId="0" borderId="0">
      <alignment horizontal="left" wrapText="1"/>
    </xf>
    <xf numFmtId="184" fontId="6" fillId="0" borderId="0">
      <alignment horizontal="left" wrapText="1"/>
    </xf>
    <xf numFmtId="165" fontId="6" fillId="0" borderId="0">
      <alignment horizontal="left" wrapText="1"/>
    </xf>
    <xf numFmtId="185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64" fontId="6" fillId="0" borderId="0">
      <alignment horizontal="left" wrapText="1"/>
    </xf>
    <xf numFmtId="40" fontId="62" fillId="0" borderId="0" applyBorder="0">
      <alignment horizontal="right"/>
    </xf>
    <xf numFmtId="41" fontId="15" fillId="43" borderId="0">
      <alignment horizontal="left"/>
    </xf>
    <xf numFmtId="0" fontId="90" fillId="0" borderId="0"/>
    <xf numFmtId="0" fontId="70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7" fontId="63" fillId="43" borderId="0">
      <alignment horizontal="left" vertical="center"/>
    </xf>
    <xf numFmtId="0" fontId="13" fillId="43" borderId="0">
      <alignment horizontal="left" wrapText="1"/>
    </xf>
    <xf numFmtId="0" fontId="13" fillId="43" borderId="0">
      <alignment horizontal="left" wrapText="1"/>
    </xf>
    <xf numFmtId="0" fontId="64" fillId="0" borderId="0">
      <alignment horizontal="left" vertical="center"/>
    </xf>
    <xf numFmtId="0" fontId="24" fillId="0" borderId="25" applyNumberFormat="0" applyFont="0" applyFill="0" applyAlignment="0" applyProtection="0"/>
    <xf numFmtId="0" fontId="136" fillId="0" borderId="77" applyNumberFormat="0" applyFill="0" applyAlignment="0" applyProtection="0"/>
    <xf numFmtId="0" fontId="45" fillId="0" borderId="26" applyNumberFormat="0" applyFill="0" applyAlignment="0" applyProtection="0"/>
    <xf numFmtId="0" fontId="45" fillId="0" borderId="27" applyNumberFormat="0" applyFill="0" applyAlignment="0" applyProtection="0"/>
    <xf numFmtId="0" fontId="136" fillId="0" borderId="7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9" fillId="0" borderId="28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" fillId="0" borderId="0"/>
    <xf numFmtId="4" fontId="5" fillId="0" borderId="0" applyFont="0" applyFill="0" applyBorder="0" applyAlignment="0" applyProtection="0"/>
    <xf numFmtId="0" fontId="149" fillId="0" borderId="0"/>
    <xf numFmtId="165" fontId="7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51" fillId="0" borderId="82"/>
    <xf numFmtId="0" fontId="152" fillId="0" borderId="0"/>
    <xf numFmtId="0" fontId="31" fillId="2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1" fillId="0" borderId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31" fillId="0" borderId="0"/>
    <xf numFmtId="0" fontId="6" fillId="0" borderId="0"/>
    <xf numFmtId="0" fontId="153" fillId="71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1" fillId="0" borderId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5" borderId="0" applyNumberFormat="0" applyBorder="0" applyAlignment="0" applyProtection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31" fillId="0" borderId="0"/>
    <xf numFmtId="0" fontId="6" fillId="0" borderId="0"/>
    <xf numFmtId="0" fontId="153" fillId="72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154" fillId="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31" fillId="0" borderId="0"/>
    <xf numFmtId="0" fontId="6" fillId="0" borderId="0"/>
    <xf numFmtId="0" fontId="153" fillId="73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1" fillId="0" borderId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31" fillId="0" borderId="0"/>
    <xf numFmtId="0" fontId="6" fillId="0" borderId="0"/>
    <xf numFmtId="0" fontId="153" fillId="74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31" fillId="0" borderId="0"/>
    <xf numFmtId="0" fontId="6" fillId="0" borderId="0"/>
    <xf numFmtId="0" fontId="153" fillId="75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9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31" fillId="0" borderId="0"/>
    <xf numFmtId="0" fontId="6" fillId="0" borderId="0"/>
    <xf numFmtId="0" fontId="153" fillId="76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31" fillId="0" borderId="0"/>
    <xf numFmtId="0" fontId="6" fillId="0" borderId="0"/>
    <xf numFmtId="0" fontId="153" fillId="77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31" fillId="0" borderId="0"/>
    <xf numFmtId="0" fontId="6" fillId="0" borderId="0"/>
    <xf numFmtId="0" fontId="153" fillId="78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154" fillId="1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1" fillId="0" borderId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2" borderId="0" applyNumberFormat="0" applyBorder="0" applyAlignment="0" applyProtection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31" fillId="0" borderId="0"/>
    <xf numFmtId="0" fontId="6" fillId="0" borderId="0"/>
    <xf numFmtId="0" fontId="153" fillId="79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1" fillId="0" borderId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4" borderId="0" applyNumberFormat="0" applyBorder="0" applyAlignment="0" applyProtection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31" fillId="0" borderId="0"/>
    <xf numFmtId="0" fontId="6" fillId="0" borderId="0"/>
    <xf numFmtId="0" fontId="153" fillId="80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31" fillId="0" borderId="0"/>
    <xf numFmtId="0" fontId="6" fillId="0" borderId="0"/>
    <xf numFmtId="0" fontId="153" fillId="81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31" fillId="0" borderId="0"/>
    <xf numFmtId="0" fontId="6" fillId="0" borderId="0"/>
    <xf numFmtId="0" fontId="153" fillId="82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4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2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6" fillId="0" borderId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10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5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4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6" fillId="0" borderId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10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1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6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6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8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7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0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6" fillId="0" borderId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8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2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2" borderId="0" applyNumberFormat="0" applyBorder="0" applyAlignment="0" applyProtection="0"/>
    <xf numFmtId="0" fontId="6" fillId="0" borderId="0"/>
    <xf numFmtId="0" fontId="148" fillId="91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148" fillId="91" borderId="0" applyNumberFormat="0" applyBorder="0" applyAlignment="0" applyProtection="0"/>
    <xf numFmtId="0" fontId="148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27" borderId="0" applyNumberFormat="0" applyBorder="0" applyAlignment="0" applyProtection="0"/>
    <xf numFmtId="0" fontId="6" fillId="0" borderId="0"/>
    <xf numFmtId="0" fontId="148" fillId="93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148" fillId="93" borderId="0" applyNumberFormat="0" applyBorder="0" applyAlignment="0" applyProtection="0"/>
    <xf numFmtId="0" fontId="148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148" fillId="15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5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148" fillId="95" borderId="0" applyNumberFormat="0" applyBorder="0" applyAlignment="0" applyProtection="0"/>
    <xf numFmtId="0" fontId="148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7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148" fillId="97" borderId="0" applyNumberFormat="0" applyBorder="0" applyAlignment="0" applyProtection="0"/>
    <xf numFmtId="0" fontId="148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1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2" fillId="17" borderId="0" applyNumberFormat="0" applyBorder="0" applyAlignment="0" applyProtection="0"/>
    <xf numFmtId="0" fontId="148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34" borderId="0" applyNumberFormat="0" applyBorder="0" applyAlignment="0" applyProtection="0"/>
    <xf numFmtId="0" fontId="6" fillId="0" borderId="0"/>
    <xf numFmtId="0" fontId="148" fillId="101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148" fillId="101" borderId="0" applyNumberFormat="0" applyBorder="0" applyAlignment="0" applyProtection="0"/>
    <xf numFmtId="0" fontId="148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148" fillId="24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1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158" fillId="3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1" fillId="8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55" fillId="0" borderId="0"/>
    <xf numFmtId="0" fontId="131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6" fillId="0" borderId="0"/>
    <xf numFmtId="1" fontId="160" fillId="107" borderId="35" applyNumberFormat="0" applyBorder="0" applyAlignment="0">
      <alignment horizontal="center" vertical="top" wrapText="1"/>
      <protection hidden="1"/>
    </xf>
    <xf numFmtId="0" fontId="88" fillId="0" borderId="0" applyFont="0" applyFill="0" applyBorder="0" applyAlignment="0" applyProtection="0">
      <alignment horizontal="right"/>
    </xf>
    <xf numFmtId="0" fontId="31" fillId="0" borderId="0"/>
    <xf numFmtId="0" fontId="9" fillId="0" borderId="0">
      <alignment vertical="center"/>
    </xf>
    <xf numFmtId="0" fontId="161" fillId="0" borderId="57">
      <alignment horizontal="left" vertical="center"/>
    </xf>
    <xf numFmtId="193" fontId="162" fillId="0" borderId="0">
      <alignment horizontal="right" vertical="center"/>
    </xf>
    <xf numFmtId="194" fontId="9" fillId="0" borderId="0">
      <alignment horizontal="right" vertical="center"/>
    </xf>
    <xf numFmtId="194" fontId="161" fillId="0" borderId="0">
      <alignment horizontal="right" vertical="center"/>
    </xf>
    <xf numFmtId="195" fontId="9" fillId="0" borderId="0" applyFont="0" applyFill="0" applyBorder="0" applyAlignment="0" applyProtection="0">
      <alignment horizontal="right"/>
    </xf>
    <xf numFmtId="0" fontId="14" fillId="0" borderId="0">
      <alignment vertical="center"/>
    </xf>
    <xf numFmtId="179" fontId="48" fillId="0" borderId="0" applyFill="0" applyBorder="0" applyAlignment="0"/>
    <xf numFmtId="179" fontId="48" fillId="0" borderId="0" applyFill="0" applyBorder="0" applyAlignment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6" fillId="0" borderId="0"/>
    <xf numFmtId="0" fontId="48" fillId="0" borderId="0" applyFill="0" applyBorder="0" applyAlignment="0"/>
    <xf numFmtId="0" fontId="31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31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31" fillId="0" borderId="0"/>
    <xf numFmtId="41" fontId="6" fillId="43" borderId="0"/>
    <xf numFmtId="0" fontId="163" fillId="84" borderId="73" applyNumberFormat="0" applyAlignment="0" applyProtection="0"/>
    <xf numFmtId="0" fontId="6" fillId="0" borderId="0"/>
    <xf numFmtId="0" fontId="34" fillId="35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4" fillId="35" borderId="1" applyNumberFormat="0" applyAlignment="0" applyProtection="0"/>
    <xf numFmtId="0" fontId="34" fillId="35" borderId="1" applyNumberFormat="0" applyAlignment="0" applyProtection="0"/>
    <xf numFmtId="0" fontId="6" fillId="0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6" fillId="0" borderId="0"/>
    <xf numFmtId="0" fontId="164" fillId="36" borderId="73" applyNumberFormat="0" applyAlignment="0" applyProtection="0"/>
    <xf numFmtId="0" fontId="6" fillId="0" borderId="0"/>
    <xf numFmtId="0" fontId="164" fillId="36" borderId="73" applyNumberFormat="0" applyAlignment="0" applyProtection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41" fontId="6" fillId="43" borderId="0"/>
    <xf numFmtId="0" fontId="31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31" fillId="0" borderId="0"/>
    <xf numFmtId="0" fontId="164" fillId="36" borderId="73" applyNumberFormat="0" applyAlignment="0" applyProtection="0"/>
    <xf numFmtId="0" fontId="34" fillId="35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6" fillId="0" borderId="0"/>
    <xf numFmtId="0" fontId="6" fillId="0" borderId="0"/>
    <xf numFmtId="0" fontId="164" fillId="36" borderId="73" applyNumberFormat="0" applyAlignment="0" applyProtection="0"/>
    <xf numFmtId="0" fontId="31" fillId="0" borderId="0"/>
    <xf numFmtId="0" fontId="31" fillId="0" borderId="0"/>
    <xf numFmtId="0" fontId="74" fillId="36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132" fillId="84" borderId="73" applyNumberFormat="0" applyAlignment="0" applyProtection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31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1" fontId="6" fillId="43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5" fillId="0" borderId="0"/>
    <xf numFmtId="0" fontId="34" fillId="35" borderId="1" applyNumberFormat="0" applyAlignment="0" applyProtection="0"/>
    <xf numFmtId="0" fontId="31" fillId="0" borderId="0"/>
    <xf numFmtId="0" fontId="6" fillId="0" borderId="0"/>
    <xf numFmtId="0" fontId="35" fillId="37" borderId="2" applyNumberFormat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145" fillId="90" borderId="81" applyNumberFormat="0" applyAlignment="0" applyProtection="0"/>
    <xf numFmtId="0" fontId="35" fillId="37" borderId="2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5" fillId="37" borderId="2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6" fillId="0" borderId="0"/>
    <xf numFmtId="0" fontId="45" fillId="19" borderId="8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65" fillId="90" borderId="81" applyNumberFormat="0" applyAlignment="0" applyProtection="0"/>
    <xf numFmtId="0" fontId="145" fillId="90" borderId="81" applyNumberFormat="0" applyAlignment="0" applyProtection="0"/>
    <xf numFmtId="0" fontId="31" fillId="0" borderId="0"/>
    <xf numFmtId="0" fontId="165" fillId="90" borderId="81" applyNumberFormat="0" applyAlignment="0" applyProtection="0"/>
    <xf numFmtId="0" fontId="6" fillId="0" borderId="0"/>
    <xf numFmtId="41" fontId="6" fillId="38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" fontId="166" fillId="0" borderId="72">
      <alignment vertical="top"/>
    </xf>
    <xf numFmtId="196" fontId="14" fillId="0" borderId="0" applyBorder="0">
      <alignment horizontal="right"/>
    </xf>
    <xf numFmtId="196" fontId="14" fillId="0" borderId="84" applyAlignment="0">
      <alignment horizontal="right"/>
    </xf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11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7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8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8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4" fontId="5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172" fillId="0" borderId="0"/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31" fillId="0" borderId="0"/>
    <xf numFmtId="0" fontId="52" fillId="0" borderId="0" applyNumberFormat="0" applyAlignment="0">
      <alignment horizontal="left"/>
    </xf>
    <xf numFmtId="0" fontId="6" fillId="0" borderId="0"/>
    <xf numFmtId="0" fontId="53" fillId="0" borderId="0" applyNumberFormat="0" applyAlignment="0"/>
    <xf numFmtId="0" fontId="53" fillId="0" borderId="0" applyNumberFormat="0" applyAlignment="0"/>
    <xf numFmtId="0" fontId="53" fillId="0" borderId="0" applyNumberFormat="0" applyAlignment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31" fillId="0" borderId="0"/>
    <xf numFmtId="0" fontId="53" fillId="0" borderId="0" applyNumberFormat="0" applyAlignment="0"/>
    <xf numFmtId="0" fontId="6" fillId="0" borderId="0"/>
    <xf numFmtId="198" fontId="101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8" fontId="8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6" fillId="0" borderId="0"/>
    <xf numFmtId="44" fontId="25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169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6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8" fontId="5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1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202" fontId="6" fillId="0" borderId="0" applyFont="0" applyFill="0" applyBorder="0" applyAlignment="0" applyProtection="0">
      <alignment wrapText="1"/>
    </xf>
    <xf numFmtId="202" fontId="6" fillId="0" borderId="0" applyFont="0" applyFill="0" applyBorder="0" applyAlignment="0" applyProtection="0">
      <alignment wrapText="1"/>
    </xf>
    <xf numFmtId="0" fontId="31" fillId="0" borderId="0"/>
    <xf numFmtId="0" fontId="45" fillId="39" borderId="0" applyNumberFormat="0" applyBorder="0" applyAlignment="0" applyProtection="0"/>
    <xf numFmtId="0" fontId="6" fillId="0" borderId="0"/>
    <xf numFmtId="0" fontId="45" fillId="40" borderId="0" applyNumberFormat="0" applyBorder="0" applyAlignment="0" applyProtection="0"/>
    <xf numFmtId="0" fontId="6" fillId="0" borderId="0"/>
    <xf numFmtId="0" fontId="45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73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1" fillId="0" borderId="0"/>
    <xf numFmtId="0" fontId="31" fillId="0" borderId="0"/>
    <xf numFmtId="0" fontId="174" fillId="0" borderId="0" applyNumberFormat="0" applyFill="0" applyBorder="0" applyAlignment="0" applyProtection="0"/>
    <xf numFmtId="1" fontId="175" fillId="58" borderId="33" applyNumberFormat="0" applyBorder="0" applyAlignment="0">
      <alignment horizontal="centerContinuous" vertical="center"/>
      <protection locked="0"/>
    </xf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2" fontId="100" fillId="0" borderId="0" applyFill="0" applyBorder="0" applyAlignment="0" applyProtection="0"/>
    <xf numFmtId="0" fontId="6" fillId="0" borderId="0"/>
    <xf numFmtId="0" fontId="31" fillId="0" borderId="0"/>
    <xf numFmtId="2" fontId="24" fillId="0" borderId="0" applyFont="0" applyFill="0" applyBorder="0" applyAlignment="0" applyProtection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6" fillId="0" borderId="0" applyNumberFormat="0" applyFill="0" applyBorder="0" applyAlignment="0" applyProtection="0">
      <alignment vertical="top"/>
      <protection locked="0"/>
    </xf>
    <xf numFmtId="198" fontId="9" fillId="0" borderId="0"/>
    <xf numFmtId="195" fontId="177" fillId="0" borderId="0">
      <alignment horizontal="right"/>
    </xf>
    <xf numFmtId="0" fontId="178" fillId="0" borderId="0">
      <alignment vertical="center"/>
    </xf>
    <xf numFmtId="0" fontId="179" fillId="0" borderId="0">
      <alignment horizontal="right"/>
    </xf>
    <xf numFmtId="194" fontId="180" fillId="0" borderId="0">
      <alignment horizontal="right" vertical="center"/>
    </xf>
    <xf numFmtId="194" fontId="177" fillId="0" borderId="0" applyFill="0" applyBorder="0">
      <alignment horizontal="right" vertical="center"/>
    </xf>
    <xf numFmtId="0" fontId="6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1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181" fillId="6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155" fillId="0" borderId="0"/>
    <xf numFmtId="0" fontId="133" fillId="8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82" fillId="85" borderId="0" applyNumberFormat="0" applyBorder="0" applyAlignment="0" applyProtection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182" fillId="85" borderId="0" applyNumberFormat="0" applyBorder="0" applyAlignment="0" applyProtection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0" fontId="31" fillId="0" borderId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31" fillId="0" borderId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31" fillId="0" borderId="0"/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183" fillId="0" borderId="7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4" fillId="0" borderId="7" applyNumberFormat="0" applyFill="0" applyAlignment="0" applyProtection="0"/>
    <xf numFmtId="0" fontId="183" fillId="0" borderId="7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134" fillId="0" borderId="74" applyNumberFormat="0" applyFill="0" applyAlignment="0" applyProtection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3" fillId="0" borderId="7" applyNumberFormat="0" applyFill="0" applyAlignment="0" applyProtection="0"/>
    <xf numFmtId="0" fontId="134" fillId="0" borderId="74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4" fillId="0" borderId="74" applyNumberFormat="0" applyFill="0" applyAlignment="0" applyProtection="0"/>
    <xf numFmtId="0" fontId="24" fillId="0" borderId="0" applyNumberFormat="0" applyFill="0" applyBorder="0" applyAlignment="0" applyProtection="0"/>
    <xf numFmtId="0" fontId="184" fillId="0" borderId="74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185" fillId="0" borderId="9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5" fillId="0" borderId="9" applyNumberFormat="0" applyFill="0" applyAlignment="0" applyProtection="0"/>
    <xf numFmtId="0" fontId="185" fillId="0" borderId="9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135" fillId="0" borderId="75" applyNumberFormat="0" applyFill="0" applyAlignment="0" applyProtection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5" fillId="0" borderId="9" applyNumberFormat="0" applyFill="0" applyAlignment="0" applyProtection="0"/>
    <xf numFmtId="0" fontId="135" fillId="0" borderId="75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5" fillId="0" borderId="75" applyNumberFormat="0" applyFill="0" applyAlignment="0" applyProtection="0"/>
    <xf numFmtId="0" fontId="24" fillId="0" borderId="0" applyNumberFormat="0" applyFill="0" applyBorder="0" applyAlignment="0" applyProtection="0"/>
    <xf numFmtId="0" fontId="186" fillId="0" borderId="75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6" fillId="0" borderId="0"/>
    <xf numFmtId="0" fontId="106" fillId="0" borderId="8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6" fillId="0" borderId="0"/>
    <xf numFmtId="0" fontId="187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188" fillId="0" borderId="86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155" fillId="0" borderId="0"/>
    <xf numFmtId="0" fontId="140" fillId="0" borderId="78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89" fillId="0" borderId="78" applyNumberFormat="0" applyFill="0" applyAlignment="0" applyProtection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189" fillId="0" borderId="78" applyNumberFormat="0" applyFill="0" applyAlignment="0" applyProtection="0"/>
    <xf numFmtId="0" fontId="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6" fillId="0" borderId="0"/>
    <xf numFmtId="0" fontId="18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18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155" fillId="0" borderId="0"/>
    <xf numFmtId="0" fontId="140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89" fillId="0" borderId="0" applyNumberFormat="0" applyFill="0" applyBorder="0" applyAlignment="0" applyProtection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189" fillId="0" borderId="0" applyNumberFormat="0" applyFill="0" applyBorder="0" applyAlignment="0" applyProtection="0"/>
    <xf numFmtId="0" fontId="190" fillId="107" borderId="0" applyNumberFormat="0" applyBorder="0" applyAlignment="0">
      <protection hidden="1"/>
    </xf>
    <xf numFmtId="38" fontId="14" fillId="0" borderId="0"/>
    <xf numFmtId="38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38" fontId="14" fillId="0" borderId="0"/>
    <xf numFmtId="38" fontId="14" fillId="0" borderId="0"/>
    <xf numFmtId="38" fontId="14" fillId="0" borderId="0"/>
    <xf numFmtId="0" fontId="6" fillId="0" borderId="0"/>
    <xf numFmtId="0" fontId="6" fillId="0" borderId="0"/>
    <xf numFmtId="38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38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40" fontId="14" fillId="0" borderId="0"/>
    <xf numFmtId="0" fontId="6" fillId="0" borderId="0"/>
    <xf numFmtId="0" fontId="6" fillId="0" borderId="0"/>
    <xf numFmtId="40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0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39" fillId="12" borderId="1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42" fillId="89" borderId="73" applyNumberFormat="0" applyAlignment="0" applyProtection="0"/>
    <xf numFmtId="0" fontId="155" fillId="0" borderId="0"/>
    <xf numFmtId="0" fontId="39" fillId="9" borderId="1" applyNumberFormat="0" applyAlignment="0" applyProtection="0"/>
    <xf numFmtId="0" fontId="31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12" borderId="1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142" fillId="12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192" fillId="89" borderId="73" applyNumberFormat="0" applyAlignment="0" applyProtection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9" fillId="9" borderId="1" applyNumberFormat="0" applyAlignment="0" applyProtection="0"/>
    <xf numFmtId="0" fontId="6" fillId="0" borderId="0"/>
    <xf numFmtId="41" fontId="28" fillId="44" borderId="13">
      <alignment horizontal="left"/>
      <protection locked="0"/>
    </xf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31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9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6" fillId="0" borderId="0"/>
    <xf numFmtId="0" fontId="144" fillId="0" borderId="80" applyNumberFormat="0" applyFill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6" fillId="0" borderId="0"/>
    <xf numFmtId="0" fontId="193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194" fillId="0" borderId="87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155" fillId="0" borderId="0"/>
    <xf numFmtId="0" fontId="144" fillId="0" borderId="8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0" fontId="9" fillId="63" borderId="0">
      <alignment horizontal="center"/>
    </xf>
    <xf numFmtId="0" fontId="6" fillId="0" borderId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31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44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155" fillId="0" borderId="0"/>
    <xf numFmtId="0" fontId="141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7" fillId="88" borderId="0" applyNumberFormat="0" applyBorder="0" applyAlignment="0" applyProtection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197" fillId="88" borderId="0" applyNumberFormat="0" applyBorder="0" applyAlignment="0" applyProtection="0"/>
    <xf numFmtId="37" fontId="57" fillId="0" borderId="0"/>
    <xf numFmtId="37" fontId="57" fillId="0" borderId="0"/>
    <xf numFmtId="37" fontId="57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31" fillId="0" borderId="0"/>
    <xf numFmtId="37" fontId="57" fillId="0" borderId="0"/>
    <xf numFmtId="0" fontId="6" fillId="0" borderId="0"/>
    <xf numFmtId="169" fontId="7" fillId="0" borderId="0"/>
    <xf numFmtId="0" fontId="4" fillId="0" borderId="0"/>
    <xf numFmtId="203" fontId="6" fillId="0" borderId="0"/>
    <xf numFmtId="169" fontId="7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205" fontId="19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204" fontId="6" fillId="0" borderId="0"/>
    <xf numFmtId="205" fontId="6" fillId="0" borderId="0"/>
    <xf numFmtId="205" fontId="6" fillId="0" borderId="0"/>
    <xf numFmtId="0" fontId="6" fillId="0" borderId="0"/>
    <xf numFmtId="206" fontId="6" fillId="0" borderId="0"/>
    <xf numFmtId="0" fontId="4" fillId="0" borderId="0"/>
    <xf numFmtId="206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205" fontId="198" fillId="0" borderId="0"/>
    <xf numFmtId="0" fontId="4" fillId="0" borderId="0"/>
    <xf numFmtId="0" fontId="6" fillId="0" borderId="0"/>
    <xf numFmtId="206" fontId="6" fillId="0" borderId="0"/>
    <xf numFmtId="0" fontId="4" fillId="0" borderId="0"/>
    <xf numFmtId="0" fontId="4" fillId="0" borderId="0"/>
    <xf numFmtId="0" fontId="6" fillId="0" borderId="0"/>
    <xf numFmtId="207" fontId="6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205" fontId="198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83" fontId="58" fillId="0" borderId="0"/>
    <xf numFmtId="208" fontId="9" fillId="0" borderId="0"/>
    <xf numFmtId="209" fontId="9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167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0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153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6" fillId="0" borderId="0"/>
    <xf numFmtId="21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53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211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170" fontId="7" fillId="0" borderId="0">
      <alignment horizontal="left" wrapText="1"/>
    </xf>
    <xf numFmtId="0" fontId="4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7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>
      <alignment wrapText="1"/>
    </xf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99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3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213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0" fontId="153" fillId="0" borderId="0"/>
    <xf numFmtId="0" fontId="4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7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6" fillId="64" borderId="88" applyNumberFormat="0" applyFont="0" applyAlignment="0" applyProtection="0"/>
    <xf numFmtId="0" fontId="4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153" fillId="0" borderId="0"/>
    <xf numFmtId="0" fontId="4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4" fillId="0" borderId="0"/>
    <xf numFmtId="0" fontId="4" fillId="86" borderId="76" applyNumberFormat="0" applyFont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7" borderId="18" applyNumberFormat="0" applyFont="0" applyAlignment="0" applyProtection="0"/>
    <xf numFmtId="0" fontId="4" fillId="0" borderId="0"/>
    <xf numFmtId="0" fontId="6" fillId="0" borderId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86" borderId="76" applyNumberFormat="0" applyFont="0" applyAlignment="0" applyProtection="0"/>
    <xf numFmtId="0" fontId="153" fillId="86" borderId="76" applyNumberFormat="0" applyFont="0" applyAlignment="0" applyProtection="0"/>
    <xf numFmtId="0" fontId="6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42" fillId="36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53" fillId="0" borderId="0"/>
    <xf numFmtId="0" fontId="42" fillId="35" borderId="19" applyNumberFormat="0" applyAlignment="0" applyProtection="0"/>
    <xf numFmtId="0" fontId="143" fillId="36" borderId="79" applyNumberFormat="0" applyAlignment="0" applyProtection="0"/>
    <xf numFmtId="0" fontId="6" fillId="0" borderId="0"/>
    <xf numFmtId="0" fontId="143" fillId="36" borderId="7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02" fillId="108" borderId="89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43" fillId="84" borderId="79" applyNumberFormat="0" applyAlignment="0" applyProtection="0"/>
    <xf numFmtId="0" fontId="4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203" fillId="84" borderId="79" applyNumberFormat="0" applyAlignment="0" applyProtection="0"/>
    <xf numFmtId="0" fontId="4" fillId="0" borderId="0"/>
    <xf numFmtId="0" fontId="4" fillId="0" borderId="0"/>
    <xf numFmtId="0" fontId="153" fillId="0" borderId="0"/>
    <xf numFmtId="0" fontId="143" fillId="84" borderId="79" applyNumberFormat="0" applyAlignment="0" applyProtection="0"/>
    <xf numFmtId="0" fontId="203" fillId="84" borderId="79" applyNumberFormat="0" applyAlignment="0" applyProtection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1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10" fontId="6" fillId="0" borderId="13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9" fontId="1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153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41" fontId="6" fillId="45" borderId="13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153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214" fontId="204" fillId="38" borderId="0" applyBorder="0" applyAlignment="0">
      <protection hidden="1"/>
    </xf>
    <xf numFmtId="1" fontId="204" fillId="38" borderId="0">
      <alignment horizontal="center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0" fontId="6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0" fontId="6" fillId="0" borderId="0"/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4" fillId="0" borderId="0"/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6" fillId="0" borderId="0"/>
    <xf numFmtId="0" fontId="26" fillId="0" borderId="84">
      <alignment horizontal="center"/>
    </xf>
    <xf numFmtId="0" fontId="6" fillId="0" borderId="0"/>
    <xf numFmtId="0" fontId="6" fillId="0" borderId="0"/>
    <xf numFmtId="0" fontId="4" fillId="0" borderId="0"/>
    <xf numFmtId="0" fontId="26" fillId="0" borderId="84">
      <alignment horizontal="center"/>
    </xf>
    <xf numFmtId="0" fontId="6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0" fontId="6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0" fontId="205" fillId="0" borderId="0"/>
    <xf numFmtId="0" fontId="153" fillId="0" borderId="0"/>
    <xf numFmtId="0" fontId="205" fillId="0" borderId="0"/>
    <xf numFmtId="0" fontId="6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0" fillId="0" borderId="0"/>
    <xf numFmtId="0" fontId="4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06" fillId="108" borderId="0"/>
    <xf numFmtId="0" fontId="6" fillId="0" borderId="0"/>
    <xf numFmtId="0" fontId="207" fillId="108" borderId="9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109" borderId="91"/>
    <xf numFmtId="0" fontId="208" fillId="109" borderId="91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9" fillId="108" borderId="92"/>
    <xf numFmtId="0" fontId="209" fillId="108" borderId="92"/>
    <xf numFmtId="42" fontId="6" fillId="43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153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0" fontId="4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0" fontId="6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153" fillId="0" borderId="0"/>
    <xf numFmtId="0" fontId="13" fillId="43" borderId="21" applyNumberFormat="0">
      <alignment horizontal="center" vertical="center" wrapText="1"/>
    </xf>
    <xf numFmtId="0" fontId="4" fillId="0" borderId="0"/>
    <xf numFmtId="0" fontId="4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43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6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153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4" fontId="6" fillId="43" borderId="0"/>
    <xf numFmtId="166" fontId="14" fillId="0" borderId="0" applyBorder="0" applyAlignment="0"/>
    <xf numFmtId="0" fontId="153" fillId="0" borderId="0"/>
    <xf numFmtId="166" fontId="14" fillId="0" borderId="0" applyBorder="0" applyAlignment="0"/>
    <xf numFmtId="166" fontId="14" fillId="0" borderId="0" applyBorder="0" applyAlignment="0"/>
    <xf numFmtId="0" fontId="6" fillId="0" borderId="0"/>
    <xf numFmtId="0" fontId="4" fillId="0" borderId="0"/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16" fillId="43" borderId="22">
      <alignment horizontal="left"/>
    </xf>
    <xf numFmtId="184" fontId="16" fillId="43" borderId="22">
      <alignment horizontal="left"/>
    </xf>
    <xf numFmtId="0" fontId="4" fillId="0" borderId="0"/>
    <xf numFmtId="0" fontId="153" fillId="0" borderId="0"/>
    <xf numFmtId="184" fontId="16" fillId="43" borderId="22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84" fontId="16" fillId="43" borderId="22">
      <alignment horizontal="left"/>
    </xf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153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5" fontId="210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6" fillId="57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8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3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32" borderId="94" applyNumberFormat="0" applyProtection="0">
      <alignment horizontal="left" vertical="top" indent="1"/>
    </xf>
    <xf numFmtId="0" fontId="6" fillId="111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center" indent="1"/>
    </xf>
    <xf numFmtId="0" fontId="6" fillId="111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top" indent="1"/>
    </xf>
    <xf numFmtId="0" fontId="6" fillId="3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center" indent="1"/>
    </xf>
    <xf numFmtId="0" fontId="6" fillId="3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top" indent="1"/>
    </xf>
    <xf numFmtId="0" fontId="6" fillId="11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center" indent="1"/>
    </xf>
    <xf numFmtId="0" fontId="6" fillId="11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top" indent="1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4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4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153" fillId="0" borderId="0"/>
    <xf numFmtId="0" fontId="69" fillId="0" borderId="0" applyNumberFormat="0" applyProtection="0">
      <alignment horizontal="left" indent="5"/>
    </xf>
    <xf numFmtId="0" fontId="4" fillId="0" borderId="0"/>
    <xf numFmtId="0" fontId="21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6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39" fontId="6" fillId="65" borderId="0"/>
    <xf numFmtId="0" fontId="73" fillId="0" borderId="0" applyNumberFormat="0" applyFill="0" applyBorder="0" applyAlignment="0" applyProtection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38" fontId="9" fillId="0" borderId="24"/>
    <xf numFmtId="38" fontId="9" fillId="0" borderId="24"/>
    <xf numFmtId="38" fontId="9" fillId="0" borderId="24"/>
    <xf numFmtId="0" fontId="6" fillId="0" borderId="0"/>
    <xf numFmtId="0" fontId="4" fillId="0" borderId="0"/>
    <xf numFmtId="0" fontId="6" fillId="0" borderId="0"/>
    <xf numFmtId="38" fontId="9" fillId="0" borderId="24"/>
    <xf numFmtId="0" fontId="6" fillId="0" borderId="0"/>
    <xf numFmtId="0" fontId="6" fillId="0" borderId="0"/>
    <xf numFmtId="0" fontId="4" fillId="0" borderId="0"/>
    <xf numFmtId="0" fontId="6" fillId="0" borderId="0"/>
    <xf numFmtId="38" fontId="9" fillId="0" borderId="24"/>
    <xf numFmtId="0" fontId="4" fillId="0" borderId="0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38" fontId="14" fillId="0" borderId="22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38" fontId="14" fillId="0" borderId="22"/>
    <xf numFmtId="0" fontId="4" fillId="0" borderId="0"/>
    <xf numFmtId="0" fontId="6" fillId="0" borderId="0"/>
    <xf numFmtId="0" fontId="4" fillId="0" borderId="0"/>
    <xf numFmtId="0" fontId="153" fillId="0" borderId="0"/>
    <xf numFmtId="39" fontId="7" fillId="66" borderId="0"/>
    <xf numFmtId="0" fontId="4" fillId="0" borderId="0"/>
    <xf numFmtId="39" fontId="6" fillId="66" borderId="0"/>
    <xf numFmtId="0" fontId="4" fillId="0" borderId="0"/>
    <xf numFmtId="0" fontId="4" fillId="0" borderId="0"/>
    <xf numFmtId="0" fontId="6" fillId="0" borderId="0"/>
    <xf numFmtId="39" fontId="7" fillId="66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171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153" fillId="0" borderId="0"/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0" fontId="153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153" fillId="0" borderId="0"/>
    <xf numFmtId="0" fontId="4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189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165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185" fontId="6" fillId="0" borderId="0">
      <alignment horizontal="left" wrapText="1"/>
    </xf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8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171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171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153" fillId="0" borderId="0"/>
    <xf numFmtId="0" fontId="4" fillId="0" borderId="0"/>
    <xf numFmtId="0" fontId="212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5" applyNumberFormat="0" applyProtection="0">
      <alignment horizontal="center" wrapText="1"/>
    </xf>
    <xf numFmtId="0" fontId="4" fillId="0" borderId="0"/>
    <xf numFmtId="0" fontId="2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6" applyNumberFormat="0" applyAlignment="0" applyProtection="0">
      <alignment wrapText="1"/>
    </xf>
    <xf numFmtId="0" fontId="4" fillId="0" borderId="0"/>
    <xf numFmtId="0" fontId="214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4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4" borderId="0" applyNumberFormat="0" applyBorder="0">
      <alignment horizontal="center" wrapText="1"/>
    </xf>
    <xf numFmtId="0" fontId="4" fillId="0" borderId="0"/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97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97" applyNumberFormat="0">
      <alignment wrapText="1"/>
    </xf>
    <xf numFmtId="0" fontId="4" fillId="0" borderId="0"/>
    <xf numFmtId="0" fontId="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0" applyNumberFormat="0" applyBorder="0">
      <alignment wrapText="1"/>
    </xf>
    <xf numFmtId="0" fontId="4" fillId="0" borderId="0"/>
    <xf numFmtId="0" fontId="124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124" fillId="67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6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6" fontId="6" fillId="0" borderId="0" applyFill="0" applyBorder="0" applyAlignment="0" applyProtection="0">
      <alignment wrapText="1"/>
    </xf>
    <xf numFmtId="0" fontId="4" fillId="0" borderId="0"/>
    <xf numFmtId="0" fontId="215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17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9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4" fillId="0" borderId="0"/>
    <xf numFmtId="0" fontId="1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6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8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6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1" fillId="0" borderId="0" applyNumberFormat="0" applyBorder="0" applyAlignment="0"/>
    <xf numFmtId="0" fontId="153" fillId="0" borderId="0"/>
    <xf numFmtId="0" fontId="216" fillId="0" borderId="0" applyNumberFormat="0" applyBorder="0" applyAlignment="0"/>
    <xf numFmtId="0" fontId="153" fillId="0" borderId="0"/>
    <xf numFmtId="0" fontId="66" fillId="0" borderId="0" applyNumberFormat="0" applyBorder="0" applyAlignment="0"/>
    <xf numFmtId="215" fontId="217" fillId="0" borderId="0"/>
    <xf numFmtId="198" fontId="27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5" fontId="218" fillId="117" borderId="0" applyFont="0" applyBorder="0" applyAlignment="0">
      <alignment vertical="top" wrapText="1"/>
    </xf>
    <xf numFmtId="215" fontId="219" fillId="117" borderId="98" applyBorder="0">
      <alignment horizontal="right" vertical="top" wrapText="1"/>
    </xf>
    <xf numFmtId="0" fontId="90" fillId="0" borderId="0"/>
    <xf numFmtId="0" fontId="90" fillId="0" borderId="0"/>
    <xf numFmtId="0" fontId="6" fillId="0" borderId="0"/>
    <xf numFmtId="0" fontId="6" fillId="0" borderId="0" applyNumberFormat="0" applyBorder="0" applyAlignment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22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" fillId="0" borderId="0"/>
    <xf numFmtId="0" fontId="2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39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153" fillId="0" borderId="0"/>
    <xf numFmtId="0" fontId="4" fillId="0" borderId="0"/>
    <xf numFmtId="0" fontId="153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206" fillId="0" borderId="0"/>
    <xf numFmtId="0" fontId="6" fillId="0" borderId="0"/>
    <xf numFmtId="0" fontId="207" fillId="108" borderId="0"/>
    <xf numFmtId="0" fontId="4" fillId="0" borderId="0"/>
    <xf numFmtId="0" fontId="63" fillId="4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7" fontId="63" fillId="43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187" fontId="63" fillId="43" borderId="0">
      <alignment horizontal="left" vertical="center"/>
    </xf>
    <xf numFmtId="0" fontId="4" fillId="0" borderId="0"/>
    <xf numFmtId="0" fontId="6" fillId="0" borderId="0"/>
    <xf numFmtId="0" fontId="153" fillId="0" borderId="0"/>
    <xf numFmtId="0" fontId="13" fillId="4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196" fontId="23" fillId="0" borderId="0"/>
    <xf numFmtId="0" fontId="6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153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5" fillId="0" borderId="26" applyNumberFormat="0" applyFill="0" applyAlignment="0" applyProtection="0"/>
    <xf numFmtId="0" fontId="6" fillId="0" borderId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4" fillId="0" borderId="0"/>
    <xf numFmtId="0" fontId="153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45" fillId="0" borderId="2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6" fillId="0" borderId="77" applyNumberFormat="0" applyFill="0" applyAlignment="0" applyProtection="0"/>
    <xf numFmtId="0" fontId="4" fillId="0" borderId="0"/>
    <xf numFmtId="0" fontId="136" fillId="0" borderId="77" applyNumberFormat="0" applyFill="0" applyAlignment="0" applyProtection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136" fillId="0" borderId="77" applyNumberFormat="0" applyFill="0" applyAlignment="0" applyProtection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4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153" fillId="0" borderId="0"/>
    <xf numFmtId="0" fontId="136" fillId="0" borderId="77" applyNumberFormat="0" applyFill="0" applyAlignment="0" applyProtection="0"/>
    <xf numFmtId="0" fontId="24" fillId="0" borderId="25" applyNumberFormat="0" applyFon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171" fillId="0" borderId="28"/>
    <xf numFmtId="0" fontId="6" fillId="0" borderId="0"/>
    <xf numFmtId="0" fontId="6" fillId="0" borderId="0"/>
    <xf numFmtId="0" fontId="171" fillId="0" borderId="28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8"/>
    <xf numFmtId="0" fontId="49" fillId="0" borderId="28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28"/>
    <xf numFmtId="0" fontId="4" fillId="0" borderId="0"/>
    <xf numFmtId="0" fontId="49" fillId="0" borderId="28"/>
    <xf numFmtId="0" fontId="6" fillId="0" borderId="0"/>
    <xf numFmtId="0" fontId="6" fillId="0" borderId="0"/>
    <xf numFmtId="196" fontId="14" fillId="0" borderId="70"/>
    <xf numFmtId="208" fontId="166" fillId="0" borderId="70" applyAlignment="0"/>
    <xf numFmtId="209" fontId="166" fillId="0" borderId="70" applyAlignment="0"/>
    <xf numFmtId="215" fontId="166" fillId="0" borderId="70" applyAlignment="0">
      <alignment horizontal="right"/>
    </xf>
    <xf numFmtId="219" fontId="204" fillId="38" borderId="35" applyBorder="0">
      <alignment horizontal="right" vertical="center"/>
      <protection locked="0"/>
    </xf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223" fillId="0" borderId="0" applyNumberFormat="0" applyFill="0" applyBorder="0" applyAlignment="0" applyProtection="0"/>
    <xf numFmtId="0" fontId="153" fillId="0" borderId="0"/>
    <xf numFmtId="0" fontId="4" fillId="0" borderId="0"/>
    <xf numFmtId="0" fontId="146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" fontId="6" fillId="0" borderId="0">
      <alignment horizontal="center"/>
    </xf>
    <xf numFmtId="1" fontId="6" fillId="0" borderId="0">
      <alignment horizontal="center"/>
    </xf>
    <xf numFmtId="43" fontId="6" fillId="0" borderId="0" applyFont="0" applyFill="0" applyBorder="0" applyAlignment="0" applyProtection="0"/>
    <xf numFmtId="0" fontId="3" fillId="0" borderId="0"/>
    <xf numFmtId="41" fontId="170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  <xf numFmtId="165" fontId="7" fillId="0" borderId="0">
      <alignment horizontal="left" wrapText="1"/>
    </xf>
    <xf numFmtId="0" fontId="72" fillId="0" borderId="0"/>
  </cellStyleXfs>
  <cellXfs count="1413">
    <xf numFmtId="0" fontId="0" fillId="0" borderId="0" xfId="0" applyNumberFormat="1" applyAlignment="1"/>
    <xf numFmtId="0" fontId="13" fillId="0" borderId="0" xfId="1572" applyFont="1" applyFill="1"/>
    <xf numFmtId="0" fontId="13" fillId="0" borderId="0" xfId="1572" applyFont="1" applyFill="1" applyBorder="1"/>
    <xf numFmtId="0" fontId="6" fillId="0" borderId="0" xfId="1572" applyFill="1"/>
    <xf numFmtId="0" fontId="17" fillId="0" borderId="0" xfId="1572" applyFont="1" applyFill="1" applyAlignment="1">
      <alignment horizontal="right"/>
    </xf>
    <xf numFmtId="0" fontId="6" fillId="0" borderId="0" xfId="1572" applyFill="1" applyBorder="1"/>
    <xf numFmtId="0" fontId="6" fillId="0" borderId="0" xfId="1572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6" fillId="0" borderId="21" xfId="1572" applyFill="1" applyBorder="1" applyAlignment="1">
      <alignment horizontal="center"/>
    </xf>
    <xf numFmtId="0" fontId="6" fillId="0" borderId="21" xfId="1572" applyFill="1" applyBorder="1" applyAlignment="1">
      <alignment horizontal="centerContinuous"/>
    </xf>
    <xf numFmtId="0" fontId="6" fillId="0" borderId="21" xfId="1572" applyFill="1" applyBorder="1"/>
    <xf numFmtId="17" fontId="6" fillId="0" borderId="0" xfId="1572" applyNumberFormat="1" applyFill="1"/>
    <xf numFmtId="17" fontId="6" fillId="0" borderId="0" xfId="1572" applyNumberFormat="1" applyFill="1" applyBorder="1"/>
    <xf numFmtId="6" fontId="6" fillId="0" borderId="0" xfId="1572" applyNumberFormat="1" applyFill="1"/>
    <xf numFmtId="14" fontId="6" fillId="0" borderId="0" xfId="1572" applyNumberFormat="1" applyFill="1"/>
    <xf numFmtId="0" fontId="0" fillId="0" borderId="0" xfId="0" applyNumberFormat="1" applyFill="1" applyBorder="1" applyAlignment="1"/>
    <xf numFmtId="6" fontId="6" fillId="0" borderId="0" xfId="1572" applyNumberFormat="1" applyFill="1" applyBorder="1"/>
    <xf numFmtId="0" fontId="12" fillId="0" borderId="0" xfId="1572" applyFont="1" applyFill="1"/>
    <xf numFmtId="0" fontId="6" fillId="0" borderId="0" xfId="1572" applyFill="1" applyBorder="1" applyAlignment="1">
      <alignment horizontal="center"/>
    </xf>
    <xf numFmtId="0" fontId="12" fillId="0" borderId="21" xfId="1572" applyFont="1" applyFill="1" applyBorder="1"/>
    <xf numFmtId="0" fontId="12" fillId="0" borderId="0" xfId="1572" applyFont="1" applyFill="1" applyBorder="1"/>
    <xf numFmtId="0" fontId="9" fillId="0" borderId="21" xfId="1572" applyFont="1" applyFill="1" applyBorder="1" applyAlignment="1">
      <alignment horizontal="center"/>
    </xf>
    <xf numFmtId="0" fontId="9" fillId="0" borderId="21" xfId="1572" applyFont="1" applyFill="1" applyBorder="1"/>
    <xf numFmtId="0" fontId="12" fillId="0" borderId="21" xfId="1572" applyFont="1" applyFill="1" applyBorder="1" applyAlignment="1">
      <alignment horizontal="center"/>
    </xf>
    <xf numFmtId="0" fontId="6" fillId="0" borderId="21" xfId="1572" applyFont="1" applyFill="1" applyBorder="1" applyAlignment="1">
      <alignment horizontal="center"/>
    </xf>
    <xf numFmtId="0" fontId="9" fillId="0" borderId="0" xfId="1572" applyFont="1" applyFill="1"/>
    <xf numFmtId="6" fontId="12" fillId="0" borderId="0" xfId="1572" applyNumberFormat="1" applyFont="1" applyFill="1"/>
    <xf numFmtId="6" fontId="12" fillId="0" borderId="0" xfId="1572" applyNumberFormat="1" applyFont="1" applyFill="1" applyBorder="1"/>
    <xf numFmtId="6" fontId="6" fillId="56" borderId="0" xfId="1572" applyNumberFormat="1" applyFill="1" applyBorder="1"/>
    <xf numFmtId="17" fontId="6" fillId="0" borderId="40" xfId="1571" quotePrefix="1" applyNumberFormat="1" applyFill="1" applyBorder="1" applyAlignment="1">
      <alignment horizontal="left"/>
    </xf>
    <xf numFmtId="170" fontId="6" fillId="0" borderId="40" xfId="1571" quotePrefix="1" applyNumberFormat="1" applyFill="1" applyBorder="1" applyAlignment="1">
      <alignment horizontal="left"/>
    </xf>
    <xf numFmtId="3" fontId="6" fillId="0" borderId="0" xfId="1202" applyNumberFormat="1" applyFont="1" applyFill="1"/>
    <xf numFmtId="165" fontId="13" fillId="0" borderId="0" xfId="0" applyFont="1" applyFill="1" applyAlignment="1">
      <alignment horizontal="left"/>
    </xf>
    <xf numFmtId="165" fontId="6" fillId="0" borderId="0" xfId="0" applyFont="1">
      <alignment horizontal="left" wrapText="1"/>
    </xf>
    <xf numFmtId="0" fontId="13" fillId="0" borderId="0" xfId="1568" applyFont="1" applyAlignment="1"/>
    <xf numFmtId="42" fontId="13" fillId="0" borderId="0" xfId="0" applyNumberFormat="1" applyFont="1">
      <alignment horizontal="left" wrapText="1"/>
    </xf>
    <xf numFmtId="165" fontId="13" fillId="0" borderId="0" xfId="0" applyFont="1">
      <alignment horizontal="left" wrapText="1"/>
    </xf>
    <xf numFmtId="165" fontId="13" fillId="0" borderId="0" xfId="0" applyFont="1" applyFill="1" applyAlignment="1">
      <alignment horizontal="center"/>
    </xf>
    <xf numFmtId="165" fontId="13" fillId="0" borderId="46" xfId="0" applyFont="1" applyBorder="1" applyAlignment="1">
      <alignment horizontal="center"/>
    </xf>
    <xf numFmtId="165" fontId="13" fillId="0" borderId="47" xfId="0" applyFont="1" applyBorder="1" applyAlignment="1">
      <alignment horizontal="centerContinuous" vertical="center"/>
    </xf>
    <xf numFmtId="165" fontId="13" fillId="0" borderId="48" xfId="0" applyFont="1" applyBorder="1" applyAlignment="1">
      <alignment horizontal="centerContinuous" vertical="center"/>
    </xf>
    <xf numFmtId="165" fontId="13" fillId="0" borderId="46" xfId="0" applyFont="1" applyBorder="1" applyAlignment="1">
      <alignment vertical="center"/>
    </xf>
    <xf numFmtId="165" fontId="13" fillId="0" borderId="49" xfId="0" applyFont="1" applyBorder="1" applyAlignment="1">
      <alignment horizontal="centerContinuous" vertical="center"/>
    </xf>
    <xf numFmtId="165" fontId="13" fillId="0" borderId="46" xfId="0" applyFont="1" applyBorder="1" applyAlignment="1">
      <alignment horizontal="centerContinuous"/>
    </xf>
    <xf numFmtId="165" fontId="6" fillId="0" borderId="50" xfId="0" applyFont="1" applyBorder="1">
      <alignment horizontal="left" wrapText="1"/>
    </xf>
    <xf numFmtId="165" fontId="13" fillId="0" borderId="40" xfId="0" applyFont="1" applyBorder="1" applyAlignment="1">
      <alignment horizontal="center"/>
    </xf>
    <xf numFmtId="165" fontId="13" fillId="0" borderId="45" xfId="0" applyFont="1" applyBorder="1" applyAlignment="1">
      <alignment horizontal="center"/>
    </xf>
    <xf numFmtId="165" fontId="13" fillId="0" borderId="50" xfId="0" applyFont="1" applyBorder="1" applyAlignment="1">
      <alignment horizontal="center"/>
    </xf>
    <xf numFmtId="9" fontId="13" fillId="0" borderId="50" xfId="0" applyNumberFormat="1" applyFont="1" applyBorder="1" applyAlignment="1">
      <alignment horizontal="center"/>
    </xf>
    <xf numFmtId="165" fontId="13" fillId="0" borderId="50" xfId="0" applyFont="1" applyFill="1" applyBorder="1" applyAlignment="1">
      <alignment horizontal="center"/>
    </xf>
    <xf numFmtId="165" fontId="13" fillId="0" borderId="51" xfId="0" applyFont="1" applyBorder="1" applyAlignment="1">
      <alignment horizontal="center"/>
    </xf>
    <xf numFmtId="165" fontId="13" fillId="0" borderId="52" xfId="0" applyFont="1" applyBorder="1" applyAlignment="1">
      <alignment horizontal="center"/>
    </xf>
    <xf numFmtId="165" fontId="13" fillId="0" borderId="53" xfId="0" applyFont="1" applyBorder="1" applyAlignment="1">
      <alignment horizontal="center"/>
    </xf>
    <xf numFmtId="9" fontId="13" fillId="0" borderId="51" xfId="0" applyNumberFormat="1" applyFont="1" applyBorder="1" applyAlignment="1">
      <alignment horizontal="center"/>
    </xf>
    <xf numFmtId="165" fontId="13" fillId="0" borderId="51" xfId="0" quotePrefix="1" applyFont="1" applyFill="1" applyBorder="1" applyAlignment="1">
      <alignment horizontal="center"/>
    </xf>
    <xf numFmtId="42" fontId="6" fillId="0" borderId="54" xfId="0" applyNumberFormat="1" applyFont="1" applyBorder="1">
      <alignment horizontal="left" wrapText="1"/>
    </xf>
    <xf numFmtId="165" fontId="6" fillId="0" borderId="54" xfId="0" applyFont="1" applyBorder="1">
      <alignment horizontal="left" wrapText="1"/>
    </xf>
    <xf numFmtId="41" fontId="6" fillId="0" borderId="54" xfId="0" applyNumberFormat="1" applyFont="1" applyBorder="1">
      <alignment horizontal="left" wrapText="1"/>
    </xf>
    <xf numFmtId="165" fontId="6" fillId="0" borderId="55" xfId="0" applyFont="1" applyBorder="1">
      <alignment horizontal="left" wrapText="1"/>
    </xf>
    <xf numFmtId="41" fontId="6" fillId="0" borderId="55" xfId="0" applyNumberFormat="1" applyFont="1" applyBorder="1">
      <alignment horizontal="left" wrapText="1"/>
    </xf>
    <xf numFmtId="41" fontId="6" fillId="0" borderId="56" xfId="0" applyNumberFormat="1" applyFont="1" applyBorder="1">
      <alignment horizontal="left" wrapText="1"/>
    </xf>
    <xf numFmtId="165" fontId="6" fillId="0" borderId="51" xfId="0" applyFont="1" applyBorder="1">
      <alignment horizontal="left" wrapText="1"/>
    </xf>
    <xf numFmtId="0" fontId="6" fillId="0" borderId="0" xfId="1573" applyFill="1"/>
    <xf numFmtId="0" fontId="13" fillId="0" borderId="0" xfId="1573" applyFont="1" applyFill="1"/>
    <xf numFmtId="0" fontId="6" fillId="0" borderId="0" xfId="1573" applyFont="1" applyFill="1"/>
    <xf numFmtId="0" fontId="6" fillId="0" borderId="0" xfId="1573" applyFill="1" applyBorder="1"/>
    <xf numFmtId="0" fontId="6" fillId="0" borderId="0" xfId="1573" applyFont="1" applyFill="1" applyBorder="1"/>
    <xf numFmtId="0" fontId="17" fillId="0" borderId="0" xfId="1573" applyFont="1" applyFill="1" applyBorder="1" applyAlignment="1">
      <alignment horizontal="right"/>
    </xf>
    <xf numFmtId="0" fontId="13" fillId="0" borderId="0" xfId="1562" applyFont="1" applyFill="1" applyAlignment="1">
      <alignment horizontal="left"/>
    </xf>
    <xf numFmtId="0" fontId="13" fillId="0" borderId="0" xfId="1573" applyFont="1" applyFill="1" applyAlignment="1">
      <alignment horizontal="centerContinuous"/>
    </xf>
    <xf numFmtId="0" fontId="13" fillId="0" borderId="0" xfId="1573" applyFont="1" applyFill="1" applyAlignment="1">
      <alignment horizontal="center"/>
    </xf>
    <xf numFmtId="0" fontId="6" fillId="0" borderId="0" xfId="1573" applyFill="1" applyAlignment="1">
      <alignment horizontal="center"/>
    </xf>
    <xf numFmtId="0" fontId="6" fillId="0" borderId="0" xfId="1573" applyFont="1" applyFill="1" applyAlignment="1">
      <alignment horizontal="center"/>
    </xf>
    <xf numFmtId="0" fontId="13" fillId="0" borderId="0" xfId="1573" applyFont="1" applyFill="1" applyBorder="1" applyAlignment="1">
      <alignment horizontal="center"/>
    </xf>
    <xf numFmtId="0" fontId="6" fillId="0" borderId="0" xfId="1573" applyFill="1" applyBorder="1" applyAlignment="1"/>
    <xf numFmtId="0" fontId="6" fillId="0" borderId="21" xfId="1573" applyFill="1" applyBorder="1"/>
    <xf numFmtId="0" fontId="13" fillId="0" borderId="21" xfId="1573" applyFont="1" applyFill="1" applyBorder="1" applyAlignment="1">
      <alignment horizontal="center" wrapText="1"/>
    </xf>
    <xf numFmtId="0" fontId="13" fillId="0" borderId="21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"/>
    </xf>
    <xf numFmtId="0" fontId="6" fillId="0" borderId="21" xfId="1573" applyFont="1" applyFill="1" applyBorder="1" applyAlignment="1">
      <alignment horizontal="center"/>
    </xf>
    <xf numFmtId="0" fontId="13" fillId="0" borderId="0" xfId="1573" applyFont="1" applyFill="1" applyBorder="1" applyAlignment="1">
      <alignment horizontal="center" wrapText="1"/>
    </xf>
    <xf numFmtId="0" fontId="6" fillId="0" borderId="0" xfId="1573" applyFont="1" applyFill="1" applyBorder="1" applyAlignment="1"/>
    <xf numFmtId="0" fontId="9" fillId="0" borderId="0" xfId="1573" applyFont="1" applyFill="1" applyBorder="1" applyAlignment="1">
      <alignment horizontal="center"/>
    </xf>
    <xf numFmtId="0" fontId="6" fillId="0" borderId="0" xfId="1573" applyFill="1" applyBorder="1" applyAlignment="1">
      <alignment horizontal="center"/>
    </xf>
    <xf numFmtId="0" fontId="6" fillId="0" borderId="0" xfId="1563" applyFont="1" applyFill="1" applyAlignment="1">
      <alignment horizontal="center"/>
    </xf>
    <xf numFmtId="0" fontId="6" fillId="0" borderId="0" xfId="1563" applyFont="1" applyFill="1" applyBorder="1" applyAlignment="1">
      <alignment horizontal="center"/>
    </xf>
    <xf numFmtId="0" fontId="6" fillId="0" borderId="0" xfId="1573" applyFill="1" applyBorder="1" applyAlignment="1">
      <alignment horizontal="centerContinuous"/>
    </xf>
    <xf numFmtId="0" fontId="6" fillId="0" borderId="0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Continuous"/>
    </xf>
    <xf numFmtId="0" fontId="6" fillId="0" borderId="21" xfId="1563" applyFont="1" applyFill="1" applyBorder="1" applyAlignment="1">
      <alignment horizontal="center"/>
    </xf>
    <xf numFmtId="0" fontId="6" fillId="0" borderId="0" xfId="1573" applyFill="1" applyAlignment="1">
      <alignment horizontal="right"/>
    </xf>
    <xf numFmtId="6" fontId="6" fillId="0" borderId="0" xfId="1573" applyNumberFormat="1" applyFill="1"/>
    <xf numFmtId="6" fontId="6" fillId="0" borderId="0" xfId="1573" applyNumberFormat="1" applyFill="1" applyBorder="1" applyAlignment="1">
      <alignment horizontal="center"/>
    </xf>
    <xf numFmtId="6" fontId="6" fillId="0" borderId="0" xfId="1573" applyNumberFormat="1" applyFont="1" applyFill="1" applyBorder="1"/>
    <xf numFmtId="5" fontId="6" fillId="0" borderId="0" xfId="1573" applyNumberFormat="1" applyFont="1" applyFill="1" applyBorder="1"/>
    <xf numFmtId="166" fontId="6" fillId="0" borderId="0" xfId="1573" applyNumberFormat="1" applyFont="1" applyFill="1" applyBorder="1"/>
    <xf numFmtId="0" fontId="9" fillId="0" borderId="0" xfId="1573" applyFont="1" applyFill="1" applyBorder="1"/>
    <xf numFmtId="17" fontId="6" fillId="0" borderId="0" xfId="1573" applyNumberFormat="1" applyFill="1"/>
    <xf numFmtId="166" fontId="6" fillId="0" borderId="0" xfId="1255" applyNumberFormat="1" applyFont="1" applyFill="1" applyBorder="1"/>
    <xf numFmtId="6" fontId="6" fillId="0" borderId="0" xfId="1573" applyNumberFormat="1" applyFont="1" applyFill="1"/>
    <xf numFmtId="166" fontId="6" fillId="0" borderId="0" xfId="1255" applyNumberFormat="1" applyFont="1" applyFill="1"/>
    <xf numFmtId="166" fontId="6" fillId="0" borderId="0" xfId="1573" applyNumberFormat="1" applyFill="1" applyBorder="1"/>
    <xf numFmtId="166" fontId="6" fillId="0" borderId="0" xfId="1255" applyNumberFormat="1" applyFill="1"/>
    <xf numFmtId="14" fontId="6" fillId="0" borderId="0" xfId="1573" applyNumberFormat="1" applyFill="1"/>
    <xf numFmtId="6" fontId="6" fillId="0" borderId="0" xfId="1573" applyNumberFormat="1" applyFill="1" applyBorder="1"/>
    <xf numFmtId="17" fontId="6" fillId="0" borderId="0" xfId="1573" applyNumberFormat="1" applyFont="1" applyFill="1"/>
    <xf numFmtId="17" fontId="13" fillId="0" borderId="0" xfId="1573" applyNumberFormat="1" applyFont="1" applyFill="1"/>
    <xf numFmtId="6" fontId="13" fillId="0" borderId="0" xfId="1573" applyNumberFormat="1" applyFont="1" applyFill="1" applyBorder="1"/>
    <xf numFmtId="17" fontId="6" fillId="0" borderId="0" xfId="1573" applyNumberFormat="1" applyFill="1" applyBorder="1"/>
    <xf numFmtId="0" fontId="0" fillId="0" borderId="0" xfId="0" applyNumberFormat="1" applyFill="1" applyAlignment="1"/>
    <xf numFmtId="165" fontId="6" fillId="0" borderId="46" xfId="0" applyFont="1" applyBorder="1">
      <alignment horizontal="left" wrapText="1"/>
    </xf>
    <xf numFmtId="9" fontId="13" fillId="0" borderId="51" xfId="0" quotePrefix="1" applyNumberFormat="1" applyFont="1" applyBorder="1" applyAlignment="1">
      <alignment horizontal="center"/>
    </xf>
    <xf numFmtId="177" fontId="6" fillId="0" borderId="54" xfId="0" applyNumberFormat="1" applyFont="1" applyBorder="1" applyAlignment="1">
      <alignment horizontal="right"/>
    </xf>
    <xf numFmtId="177" fontId="6" fillId="0" borderId="55" xfId="0" applyNumberFormat="1" applyFont="1" applyBorder="1" applyAlignment="1">
      <alignment horizontal="right"/>
    </xf>
    <xf numFmtId="177" fontId="6" fillId="0" borderId="55" xfId="0" applyNumberFormat="1" applyFont="1" applyFill="1" applyBorder="1" applyAlignment="1">
      <alignment horizontal="right"/>
    </xf>
    <xf numFmtId="41" fontId="6" fillId="0" borderId="55" xfId="0" applyNumberFormat="1" applyFont="1" applyFill="1" applyBorder="1">
      <alignment horizontal="left" wrapText="1"/>
    </xf>
    <xf numFmtId="165" fontId="6" fillId="0" borderId="55" xfId="0" applyFont="1" applyFill="1" applyBorder="1">
      <alignment horizontal="left" wrapText="1"/>
    </xf>
    <xf numFmtId="165" fontId="6" fillId="0" borderId="0" xfId="0" applyFont="1" applyBorder="1">
      <alignment horizontal="left" wrapText="1"/>
    </xf>
    <xf numFmtId="177" fontId="6" fillId="0" borderId="56" xfId="0" applyNumberFormat="1" applyFont="1" applyBorder="1" applyAlignment="1">
      <alignment horizontal="right"/>
    </xf>
    <xf numFmtId="165" fontId="6" fillId="0" borderId="57" xfId="0" applyFont="1" applyBorder="1">
      <alignment horizontal="left" wrapText="1"/>
    </xf>
    <xf numFmtId="0" fontId="70" fillId="0" borderId="21" xfId="1573" applyFont="1" applyFill="1" applyBorder="1" applyAlignment="1">
      <alignment horizontal="center"/>
    </xf>
    <xf numFmtId="8" fontId="6" fillId="0" borderId="0" xfId="1573" applyNumberFormat="1" applyFill="1" applyBorder="1"/>
    <xf numFmtId="4" fontId="6" fillId="0" borderId="0" xfId="1202" applyFont="1" applyFill="1" applyAlignment="1">
      <alignment horizontal="center"/>
    </xf>
    <xf numFmtId="0" fontId="70" fillId="0" borderId="0" xfId="1573" applyFont="1" applyFill="1"/>
    <xf numFmtId="6" fontId="13" fillId="0" borderId="0" xfId="1573" applyNumberFormat="1" applyFont="1" applyFill="1"/>
    <xf numFmtId="3" fontId="6" fillId="0" borderId="0" xfId="1202" applyNumberFormat="1" applyFont="1" applyFill="1" applyAlignment="1">
      <alignment horizontal="center"/>
    </xf>
    <xf numFmtId="38" fontId="6" fillId="0" borderId="0" xfId="1290" applyNumberFormat="1" applyFont="1" applyFill="1"/>
    <xf numFmtId="0" fontId="6" fillId="0" borderId="22" xfId="1573" applyFill="1" applyBorder="1" applyAlignment="1">
      <alignment horizontal="center"/>
    </xf>
    <xf numFmtId="41" fontId="6" fillId="0" borderId="56" xfId="0" applyNumberFormat="1" applyFont="1" applyFill="1" applyBorder="1">
      <alignment horizontal="left" wrapText="1"/>
    </xf>
    <xf numFmtId="6" fontId="6" fillId="0" borderId="0" xfId="1290" applyNumberFormat="1" applyFont="1" applyFill="1"/>
    <xf numFmtId="42" fontId="6" fillId="0" borderId="0" xfId="1255" applyNumberFormat="1" applyFont="1" applyFill="1"/>
    <xf numFmtId="0" fontId="0" fillId="0" borderId="0" xfId="0" applyNumberFormat="1" applyFont="1" applyAlignment="1"/>
    <xf numFmtId="165" fontId="6" fillId="0" borderId="0" xfId="0" applyFont="1" applyFill="1">
      <alignment horizontal="left" wrapText="1"/>
    </xf>
    <xf numFmtId="0" fontId="0" fillId="0" borderId="0" xfId="0" applyNumberFormat="1" applyBorder="1" applyAlignment="1"/>
    <xf numFmtId="3" fontId="6" fillId="0" borderId="0" xfId="1202" applyNumberFormat="1" applyFont="1" applyFill="1" applyBorder="1" applyAlignment="1">
      <alignment horizontal="center"/>
    </xf>
    <xf numFmtId="3" fontId="6" fillId="0" borderId="0" xfId="1573" applyNumberFormat="1" applyFont="1" applyFill="1" applyBorder="1" applyAlignment="1">
      <alignment horizontal="center"/>
    </xf>
    <xf numFmtId="3" fontId="6" fillId="0" borderId="0" xfId="1573" applyNumberFormat="1" applyFill="1"/>
    <xf numFmtId="3" fontId="6" fillId="0" borderId="0" xfId="1573" applyNumberFormat="1" applyFont="1" applyFill="1"/>
    <xf numFmtId="3" fontId="6" fillId="0" borderId="0" xfId="1255" applyNumberFormat="1" applyFill="1"/>
    <xf numFmtId="37" fontId="6" fillId="0" borderId="0" xfId="1202" applyNumberFormat="1" applyFont="1" applyFill="1" applyBorder="1" applyAlignment="1">
      <alignment horizontal="center"/>
    </xf>
    <xf numFmtId="0" fontId="13" fillId="0" borderId="0" xfId="1568" applyFont="1" applyFill="1" applyAlignment="1"/>
    <xf numFmtId="42" fontId="13" fillId="0" borderId="0" xfId="0" applyNumberFormat="1" applyFont="1" applyFill="1">
      <alignment horizontal="left" wrapText="1"/>
    </xf>
    <xf numFmtId="42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center" wrapText="1"/>
    </xf>
    <xf numFmtId="165" fontId="13" fillId="0" borderId="0" xfId="0" applyFont="1" applyFill="1">
      <alignment horizontal="left" wrapText="1"/>
    </xf>
    <xf numFmtId="41" fontId="6" fillId="0" borderId="0" xfId="1573" applyNumberFormat="1" applyFont="1" applyFill="1" applyBorder="1" applyAlignment="1"/>
    <xf numFmtId="41" fontId="13" fillId="0" borderId="0" xfId="1202" applyNumberFormat="1" applyFont="1" applyFill="1" applyAlignment="1">
      <alignment horizontal="center"/>
    </xf>
    <xf numFmtId="41" fontId="6" fillId="0" borderId="0" xfId="1573" applyNumberFormat="1" applyFont="1" applyFill="1" applyBorder="1" applyAlignment="1">
      <alignment horizontal="center"/>
    </xf>
    <xf numFmtId="42" fontId="6" fillId="0" borderId="55" xfId="0" applyNumberFormat="1" applyFont="1" applyFill="1" applyBorder="1">
      <alignment horizontal="left" wrapText="1"/>
    </xf>
    <xf numFmtId="3" fontId="6" fillId="0" borderId="0" xfId="1202" applyNumberFormat="1" applyFont="1" applyFill="1" applyBorder="1"/>
    <xf numFmtId="8" fontId="6" fillId="0" borderId="0" xfId="1573" applyNumberFormat="1" applyFont="1" applyFill="1"/>
    <xf numFmtId="43" fontId="6" fillId="0" borderId="0" xfId="1573" applyNumberFormat="1" applyFont="1" applyFill="1"/>
    <xf numFmtId="43" fontId="6" fillId="0" borderId="0" xfId="1573" applyNumberFormat="1" applyFill="1" applyBorder="1"/>
    <xf numFmtId="0" fontId="118" fillId="0" borderId="0" xfId="1573" applyFont="1" applyFill="1" applyBorder="1" applyAlignment="1">
      <alignment horizontal="center"/>
    </xf>
    <xf numFmtId="0" fontId="118" fillId="0" borderId="0" xfId="1573" applyFont="1" applyFill="1"/>
    <xf numFmtId="17" fontId="117" fillId="0" borderId="0" xfId="1573" applyNumberFormat="1" applyFont="1" applyFill="1"/>
    <xf numFmtId="0" fontId="6" fillId="0" borderId="0" xfId="1573" applyFill="1" applyBorder="1" applyAlignment="1">
      <alignment horizontal="left"/>
    </xf>
    <xf numFmtId="165" fontId="6" fillId="0" borderId="56" xfId="0" applyFont="1" applyFill="1" applyBorder="1">
      <alignment horizontal="left" wrapText="1"/>
    </xf>
    <xf numFmtId="166" fontId="6" fillId="0" borderId="31" xfId="1255" applyNumberFormat="1" applyFill="1" applyBorder="1"/>
    <xf numFmtId="166" fontId="6" fillId="0" borderId="37" xfId="1255" applyNumberFormat="1" applyFill="1" applyBorder="1"/>
    <xf numFmtId="166" fontId="6" fillId="0" borderId="32" xfId="1255" applyNumberFormat="1" applyFill="1" applyBorder="1"/>
    <xf numFmtId="3" fontId="0" fillId="0" borderId="0" xfId="0" applyNumberFormat="1" applyAlignment="1"/>
    <xf numFmtId="3" fontId="0" fillId="0" borderId="0" xfId="1202" applyNumberFormat="1" applyFont="1" applyFill="1" applyAlignment="1"/>
    <xf numFmtId="41" fontId="0" fillId="0" borderId="0" xfId="0" applyNumberFormat="1" applyAlignment="1"/>
    <xf numFmtId="165" fontId="6" fillId="0" borderId="0" xfId="0" applyFont="1" applyFill="1" applyBorder="1">
      <alignment horizontal="left" wrapText="1"/>
    </xf>
    <xf numFmtId="6" fontId="6" fillId="0" borderId="0" xfId="0" applyNumberFormat="1" applyFont="1" applyAlignment="1"/>
    <xf numFmtId="0" fontId="7" fillId="0" borderId="0" xfId="1558" applyNumberFormat="1" applyFill="1" applyAlignment="1"/>
    <xf numFmtId="0" fontId="7" fillId="0" borderId="21" xfId="1558" applyNumberFormat="1" applyFill="1" applyBorder="1" applyAlignment="1"/>
    <xf numFmtId="0" fontId="7" fillId="0" borderId="0" xfId="1558" applyNumberFormat="1" applyFill="1" applyBorder="1" applyAlignment="1"/>
    <xf numFmtId="17" fontId="13" fillId="0" borderId="40" xfId="1571" quotePrefix="1" applyNumberFormat="1" applyFont="1" applyFill="1" applyBorder="1" applyAlignment="1">
      <alignment horizontal="left"/>
    </xf>
    <xf numFmtId="37" fontId="6" fillId="0" borderId="0" xfId="1207" applyNumberFormat="1" applyFont="1" applyFill="1" applyBorder="1" applyAlignment="1">
      <alignment horizontal="center"/>
    </xf>
    <xf numFmtId="17" fontId="6" fillId="0" borderId="40" xfId="1571" quotePrefix="1" applyNumberFormat="1" applyFont="1" applyFill="1" applyBorder="1" applyAlignment="1">
      <alignment horizontal="left"/>
    </xf>
    <xf numFmtId="3" fontId="7" fillId="0" borderId="0" xfId="1202" applyNumberFormat="1" applyFont="1" applyFill="1" applyAlignment="1"/>
    <xf numFmtId="166" fontId="6" fillId="0" borderId="0" xfId="1558" applyNumberFormat="1" applyFont="1" applyFill="1" applyAlignment="1"/>
    <xf numFmtId="0" fontId="130" fillId="0" borderId="0" xfId="1475"/>
    <xf numFmtId="0" fontId="74" fillId="0" borderId="0" xfId="1475" applyFont="1"/>
    <xf numFmtId="166" fontId="31" fillId="0" borderId="0" xfId="1253" applyNumberFormat="1" applyFont="1"/>
    <xf numFmtId="0" fontId="130" fillId="0" borderId="0" xfId="1475" applyAlignment="1">
      <alignment horizontal="left" indent="4"/>
    </xf>
    <xf numFmtId="0" fontId="75" fillId="0" borderId="0" xfId="1475" applyFont="1" applyAlignment="1">
      <alignment horizontal="right"/>
    </xf>
    <xf numFmtId="0" fontId="75" fillId="0" borderId="0" xfId="1475" applyFont="1"/>
    <xf numFmtId="0" fontId="44" fillId="0" borderId="0" xfId="1475" applyFont="1"/>
    <xf numFmtId="0" fontId="130" fillId="0" borderId="0" xfId="1475" applyAlignment="1">
      <alignment horizontal="centerContinuous"/>
    </xf>
    <xf numFmtId="0" fontId="130" fillId="0" borderId="31" xfId="1475" applyBorder="1"/>
    <xf numFmtId="0" fontId="130" fillId="0" borderId="30" xfId="1475" applyFill="1" applyBorder="1" applyAlignment="1">
      <alignment horizontal="centerContinuous"/>
    </xf>
    <xf numFmtId="0" fontId="130" fillId="0" borderId="31" xfId="1475" applyBorder="1" applyAlignment="1">
      <alignment horizontal="center"/>
    </xf>
    <xf numFmtId="0" fontId="130" fillId="0" borderId="32" xfId="1475" applyBorder="1" applyAlignment="1">
      <alignment horizontal="center"/>
    </xf>
    <xf numFmtId="0" fontId="130" fillId="0" borderId="12" xfId="1475" applyFill="1" applyBorder="1" applyAlignment="1">
      <alignment horizontal="center"/>
    </xf>
    <xf numFmtId="0" fontId="130" fillId="0" borderId="32" xfId="1475" applyFill="1" applyBorder="1" applyAlignment="1">
      <alignment horizontal="center"/>
    </xf>
    <xf numFmtId="0" fontId="130" fillId="0" borderId="32" xfId="1475" applyBorder="1"/>
    <xf numFmtId="0" fontId="130" fillId="0" borderId="31" xfId="1475" applyFill="1" applyBorder="1" applyAlignment="1">
      <alignment horizontal="center"/>
    </xf>
    <xf numFmtId="0" fontId="130" fillId="0" borderId="37" xfId="1475" applyFill="1" applyBorder="1" applyAlignment="1">
      <alignment horizontal="center"/>
    </xf>
    <xf numFmtId="0" fontId="130" fillId="0" borderId="37" xfId="1475" applyBorder="1"/>
    <xf numFmtId="0" fontId="130" fillId="0" borderId="32" xfId="1475" quotePrefix="1" applyFill="1" applyBorder="1" applyAlignment="1">
      <alignment horizontal="center"/>
    </xf>
    <xf numFmtId="0" fontId="78" fillId="0" borderId="32" xfId="1475" quotePrefix="1" applyFont="1" applyFill="1" applyBorder="1" applyAlignment="1">
      <alignment horizontal="centerContinuous"/>
    </xf>
    <xf numFmtId="0" fontId="130" fillId="0" borderId="32" xfId="1475" applyFill="1" applyBorder="1" applyAlignment="1">
      <alignment horizontal="centerContinuous"/>
    </xf>
    <xf numFmtId="0" fontId="130" fillId="0" borderId="37" xfId="1475" applyBorder="1" applyAlignment="1">
      <alignment horizontal="right"/>
    </xf>
    <xf numFmtId="0" fontId="130" fillId="0" borderId="33" xfId="1475" applyBorder="1" applyAlignment="1">
      <alignment horizontal="center"/>
    </xf>
    <xf numFmtId="0" fontId="130" fillId="0" borderId="34" xfId="1475" applyBorder="1" applyAlignment="1">
      <alignment horizontal="center"/>
    </xf>
    <xf numFmtId="0" fontId="130" fillId="0" borderId="36" xfId="1475" applyFill="1" applyBorder="1" applyAlignment="1">
      <alignment horizontal="center"/>
    </xf>
    <xf numFmtId="0" fontId="130" fillId="0" borderId="0" xfId="1475" applyFill="1" applyBorder="1" applyAlignment="1">
      <alignment horizontal="center"/>
    </xf>
    <xf numFmtId="0" fontId="130" fillId="0" borderId="34" xfId="1475" applyFill="1" applyBorder="1" applyAlignment="1">
      <alignment horizontal="center"/>
    </xf>
    <xf numFmtId="167" fontId="130" fillId="0" borderId="0" xfId="1475" applyNumberFormat="1"/>
    <xf numFmtId="0" fontId="79" fillId="0" borderId="0" xfId="1475" applyFont="1" applyFill="1"/>
    <xf numFmtId="0" fontId="130" fillId="0" borderId="0" xfId="1475" applyFill="1"/>
    <xf numFmtId="166" fontId="31" fillId="0" borderId="0" xfId="1253" applyNumberFormat="1" applyFont="1" applyFill="1"/>
    <xf numFmtId="167" fontId="76" fillId="69" borderId="0" xfId="1475" applyNumberFormat="1" applyFont="1" applyFill="1" applyBorder="1"/>
    <xf numFmtId="167" fontId="130" fillId="0" borderId="0" xfId="1475" applyNumberFormat="1" applyFill="1"/>
    <xf numFmtId="43" fontId="31" fillId="0" borderId="35" xfId="1253" quotePrefix="1" applyFont="1" applyFill="1" applyBorder="1" applyAlignment="1">
      <alignment horizontal="right"/>
    </xf>
    <xf numFmtId="167" fontId="31" fillId="0" borderId="36" xfId="1302" applyNumberFormat="1" applyFont="1" applyFill="1" applyBorder="1"/>
    <xf numFmtId="166" fontId="31" fillId="0" borderId="36" xfId="1253" applyNumberFormat="1" applyFont="1" applyFill="1" applyBorder="1"/>
    <xf numFmtId="167" fontId="31" fillId="0" borderId="36" xfId="1302" applyNumberFormat="1" applyFont="1" applyFill="1" applyBorder="1" applyAlignment="1">
      <alignment horizontal="center"/>
    </xf>
    <xf numFmtId="43" fontId="31" fillId="0" borderId="0" xfId="1253" quotePrefix="1" applyFont="1" applyFill="1" applyBorder="1" applyAlignment="1">
      <alignment horizontal="right"/>
    </xf>
    <xf numFmtId="167" fontId="130" fillId="0" borderId="37" xfId="1475" applyNumberFormat="1" applyFill="1" applyBorder="1"/>
    <xf numFmtId="167" fontId="130" fillId="0" borderId="37" xfId="1475" applyNumberFormat="1" applyBorder="1"/>
    <xf numFmtId="43" fontId="130" fillId="0" borderId="0" xfId="1475" applyNumberFormat="1"/>
    <xf numFmtId="166" fontId="31" fillId="0" borderId="35" xfId="1253" applyNumberFormat="1" applyFont="1" applyFill="1" applyBorder="1"/>
    <xf numFmtId="175" fontId="130" fillId="0" borderId="37" xfId="1475" applyNumberFormat="1" applyBorder="1" applyAlignment="1">
      <alignment horizontal="center"/>
    </xf>
    <xf numFmtId="43" fontId="31" fillId="0" borderId="35" xfId="1253" quotePrefix="1" applyFont="1" applyBorder="1" applyAlignment="1">
      <alignment horizontal="right"/>
    </xf>
    <xf numFmtId="167" fontId="31" fillId="0" borderId="36" xfId="1302" applyNumberFormat="1" applyFont="1" applyBorder="1"/>
    <xf numFmtId="166" fontId="31" fillId="0" borderId="36" xfId="1253" applyNumberFormat="1" applyFont="1" applyBorder="1"/>
    <xf numFmtId="43" fontId="31" fillId="0" borderId="37" xfId="1253" applyFont="1" applyBorder="1"/>
    <xf numFmtId="9" fontId="31" fillId="0" borderId="35" xfId="1633" applyFont="1" applyBorder="1"/>
    <xf numFmtId="167" fontId="130" fillId="69" borderId="0" xfId="1475" applyNumberFormat="1" applyFill="1" applyBorder="1"/>
    <xf numFmtId="175" fontId="130" fillId="0" borderId="32" xfId="1475" applyNumberFormat="1" applyBorder="1" applyAlignment="1">
      <alignment horizontal="center"/>
    </xf>
    <xf numFmtId="43" fontId="31" fillId="0" borderId="21" xfId="1253" quotePrefix="1" applyFont="1" applyFill="1" applyBorder="1" applyAlignment="1">
      <alignment horizontal="right"/>
    </xf>
    <xf numFmtId="166" fontId="31" fillId="0" borderId="39" xfId="1253" applyNumberFormat="1" applyFont="1" applyFill="1" applyBorder="1"/>
    <xf numFmtId="14" fontId="130" fillId="0" borderId="0" xfId="1475" applyNumberFormat="1"/>
    <xf numFmtId="43" fontId="31" fillId="0" borderId="0" xfId="1253" quotePrefix="1" applyFont="1" applyAlignment="1">
      <alignment horizontal="right"/>
    </xf>
    <xf numFmtId="0" fontId="130" fillId="0" borderId="0" xfId="1475" applyBorder="1"/>
    <xf numFmtId="0" fontId="130" fillId="0" borderId="0" xfId="1475" applyFill="1" applyBorder="1"/>
    <xf numFmtId="0" fontId="45" fillId="0" borderId="0" xfId="1475" applyFont="1"/>
    <xf numFmtId="0" fontId="80" fillId="0" borderId="0" xfId="1475" applyFont="1" applyFill="1"/>
    <xf numFmtId="166" fontId="31" fillId="0" borderId="12" xfId="1253" applyNumberFormat="1" applyFont="1" applyBorder="1" applyAlignment="1">
      <alignment horizontal="center" wrapText="1"/>
    </xf>
    <xf numFmtId="0" fontId="130" fillId="0" borderId="12" xfId="1475" applyNumberFormat="1" applyBorder="1" applyAlignment="1">
      <alignment horizontal="center" wrapText="1"/>
    </xf>
    <xf numFmtId="0" fontId="80" fillId="0" borderId="12" xfId="1475" applyNumberFormat="1" applyFont="1" applyFill="1" applyBorder="1" applyAlignment="1">
      <alignment horizontal="center" wrapText="1"/>
    </xf>
    <xf numFmtId="166" fontId="75" fillId="0" borderId="12" xfId="1253" applyNumberFormat="1" applyFont="1" applyBorder="1" applyAlignment="1">
      <alignment horizontal="center" wrapText="1"/>
    </xf>
    <xf numFmtId="14" fontId="75" fillId="0" borderId="12" xfId="1475" applyNumberFormat="1" applyFont="1" applyBorder="1" applyAlignment="1">
      <alignment horizontal="center" wrapText="1"/>
    </xf>
    <xf numFmtId="166" fontId="75" fillId="0" borderId="12" xfId="1253" applyNumberFormat="1" applyFont="1" applyFill="1" applyBorder="1" applyAlignment="1">
      <alignment horizontal="center" wrapText="1"/>
    </xf>
    <xf numFmtId="0" fontId="75" fillId="0" borderId="12" xfId="1475" applyFont="1" applyFill="1" applyBorder="1" applyAlignment="1">
      <alignment horizontal="center"/>
    </xf>
    <xf numFmtId="166" fontId="31" fillId="0" borderId="12" xfId="1253" applyNumberFormat="1" applyFont="1" applyFill="1" applyBorder="1" applyAlignment="1">
      <alignment horizontal="center" wrapText="1"/>
    </xf>
    <xf numFmtId="166" fontId="31" fillId="0" borderId="0" xfId="1253" applyNumberFormat="1" applyFont="1" applyBorder="1" applyAlignment="1">
      <alignment horizontal="center" wrapText="1"/>
    </xf>
    <xf numFmtId="0" fontId="130" fillId="0" borderId="12" xfId="1475" applyBorder="1" applyAlignment="1">
      <alignment horizontal="center" wrapText="1"/>
    </xf>
    <xf numFmtId="14" fontId="130" fillId="0" borderId="12" xfId="1475" applyNumberFormat="1" applyBorder="1" applyAlignment="1">
      <alignment horizontal="center" wrapText="1"/>
    </xf>
    <xf numFmtId="0" fontId="130" fillId="0" borderId="12" xfId="1475" applyFill="1" applyBorder="1" applyAlignment="1">
      <alignment horizontal="center" wrapText="1"/>
    </xf>
    <xf numFmtId="0" fontId="80" fillId="0" borderId="12" xfId="1475" applyFont="1" applyFill="1" applyBorder="1" applyAlignment="1">
      <alignment horizontal="center" wrapText="1"/>
    </xf>
    <xf numFmtId="0" fontId="130" fillId="0" borderId="0" xfId="1475" applyBorder="1" applyAlignment="1">
      <alignment horizontal="center" wrapText="1"/>
    </xf>
    <xf numFmtId="0" fontId="130" fillId="0" borderId="0" xfId="1475" applyAlignment="1">
      <alignment horizontal="center"/>
    </xf>
    <xf numFmtId="43" fontId="31" fillId="0" borderId="0" xfId="1253" applyFont="1" applyFill="1"/>
    <xf numFmtId="43" fontId="80" fillId="0" borderId="0" xfId="1253" applyFont="1" applyFill="1"/>
    <xf numFmtId="43" fontId="31" fillId="0" borderId="0" xfId="1253" applyFont="1"/>
    <xf numFmtId="174" fontId="31" fillId="0" borderId="0" xfId="1633" applyNumberFormat="1" applyFont="1" applyFill="1"/>
    <xf numFmtId="166" fontId="80" fillId="0" borderId="0" xfId="1253" applyNumberFormat="1" applyFont="1" applyFill="1"/>
    <xf numFmtId="166" fontId="75" fillId="0" borderId="0" xfId="1565" applyNumberFormat="1" applyFont="1" applyFill="1" applyBorder="1"/>
    <xf numFmtId="0" fontId="130" fillId="0" borderId="0" xfId="1475" applyFill="1" applyAlignment="1">
      <alignment horizontal="center"/>
    </xf>
    <xf numFmtId="14" fontId="130" fillId="0" borderId="0" xfId="1475" applyNumberFormat="1" applyFill="1"/>
    <xf numFmtId="174" fontId="75" fillId="0" borderId="0" xfId="1633" applyNumberFormat="1" applyFont="1" applyFill="1" applyBorder="1"/>
    <xf numFmtId="43" fontId="75" fillId="0" borderId="0" xfId="1565" applyNumberFormat="1" applyFont="1" applyFill="1"/>
    <xf numFmtId="174" fontId="75" fillId="0" borderId="62" xfId="1633" applyNumberFormat="1" applyFont="1" applyFill="1" applyBorder="1"/>
    <xf numFmtId="0" fontId="130" fillId="0" borderId="63" xfId="1475" applyBorder="1" applyAlignment="1">
      <alignment horizontal="center"/>
    </xf>
    <xf numFmtId="14" fontId="130" fillId="0" borderId="63" xfId="1475" applyNumberFormat="1" applyBorder="1"/>
    <xf numFmtId="166" fontId="31" fillId="0" borderId="63" xfId="1253" applyNumberFormat="1" applyFont="1" applyBorder="1"/>
    <xf numFmtId="43" fontId="31" fillId="0" borderId="63" xfId="1253" applyFont="1" applyFill="1" applyBorder="1"/>
    <xf numFmtId="166" fontId="80" fillId="0" borderId="63" xfId="1253" applyNumberFormat="1" applyFont="1" applyFill="1" applyBorder="1"/>
    <xf numFmtId="166" fontId="31" fillId="0" borderId="63" xfId="1253" applyNumberFormat="1" applyFont="1" applyFill="1" applyBorder="1"/>
    <xf numFmtId="166" fontId="75" fillId="0" borderId="0" xfId="1253" applyNumberFormat="1" applyFont="1" applyFill="1"/>
    <xf numFmtId="0" fontId="75" fillId="0" borderId="0" xfId="1475" applyFont="1" applyFill="1"/>
    <xf numFmtId="166" fontId="31" fillId="50" borderId="0" xfId="1253" applyNumberFormat="1" applyFont="1" applyFill="1"/>
    <xf numFmtId="174" fontId="31" fillId="0" borderId="0" xfId="1475" applyNumberFormat="1" applyFont="1" applyFill="1"/>
    <xf numFmtId="0" fontId="82" fillId="0" borderId="0" xfId="1475" quotePrefix="1" applyFont="1"/>
    <xf numFmtId="0" fontId="130" fillId="0" borderId="0" xfId="1475" applyAlignment="1">
      <alignment horizontal="left" indent="2"/>
    </xf>
    <xf numFmtId="0" fontId="82" fillId="0" borderId="0" xfId="1475" quotePrefix="1" applyFont="1" applyAlignment="1">
      <alignment horizontal="left"/>
    </xf>
    <xf numFmtId="0" fontId="130" fillId="0" borderId="0" xfId="1475" quotePrefix="1" applyAlignment="1">
      <alignment horizontal="left" indent="2"/>
    </xf>
    <xf numFmtId="0" fontId="130" fillId="0" borderId="0" xfId="1475" quotePrefix="1" applyAlignment="1">
      <alignment horizontal="left" indent="1"/>
    </xf>
    <xf numFmtId="43" fontId="80" fillId="0" borderId="0" xfId="1253" quotePrefix="1" applyFont="1" applyFill="1"/>
    <xf numFmtId="0" fontId="31" fillId="0" borderId="0" xfId="1475" applyFont="1" applyFill="1"/>
    <xf numFmtId="43" fontId="130" fillId="0" borderId="0" xfId="1475" applyNumberFormat="1" applyFill="1" applyBorder="1" applyAlignment="1">
      <alignment horizontal="left"/>
    </xf>
    <xf numFmtId="0" fontId="130" fillId="0" borderId="0" xfId="1475" applyFill="1" applyBorder="1" applyAlignment="1">
      <alignment horizontal="right"/>
    </xf>
    <xf numFmtId="10" fontId="31" fillId="0" borderId="0" xfId="1633" applyNumberFormat="1" applyFont="1" applyFill="1" applyBorder="1"/>
    <xf numFmtId="10" fontId="81" fillId="0" borderId="0" xfId="1633" applyNumberFormat="1" applyFont="1" applyFill="1" applyBorder="1"/>
    <xf numFmtId="10" fontId="45" fillId="0" borderId="21" xfId="1633" applyNumberFormat="1" applyFont="1" applyFill="1" applyBorder="1"/>
    <xf numFmtId="0" fontId="45" fillId="0" borderId="21" xfId="1475" applyFont="1" applyFill="1" applyBorder="1" applyAlignment="1">
      <alignment horizontal="right"/>
    </xf>
    <xf numFmtId="10" fontId="31" fillId="0" borderId="0" xfId="1633" applyNumberFormat="1" applyFont="1" applyFill="1" applyBorder="1" applyAlignment="1">
      <alignment horizontal="center"/>
    </xf>
    <xf numFmtId="43" fontId="31" fillId="0" borderId="0" xfId="1253" applyFont="1" applyFill="1" applyBorder="1"/>
    <xf numFmtId="0" fontId="45" fillId="0" borderId="0" xfId="1475" applyFont="1" applyFill="1"/>
    <xf numFmtId="0" fontId="130" fillId="0" borderId="29" xfId="1475" applyFill="1" applyBorder="1" applyAlignment="1">
      <alignment horizontal="centerContinuous"/>
    </xf>
    <xf numFmtId="0" fontId="130" fillId="0" borderId="4" xfId="1475" applyFill="1" applyBorder="1" applyAlignment="1">
      <alignment horizontal="centerContinuous"/>
    </xf>
    <xf numFmtId="0" fontId="130" fillId="0" borderId="12" xfId="1475" applyFill="1" applyBorder="1" applyAlignment="1">
      <alignment horizontal="centerContinuous"/>
    </xf>
    <xf numFmtId="14" fontId="130" fillId="0" borderId="37" xfId="1475" applyNumberFormat="1" applyFill="1" applyBorder="1"/>
    <xf numFmtId="14" fontId="130" fillId="0" borderId="31" xfId="1475" applyNumberFormat="1" applyFill="1" applyBorder="1"/>
    <xf numFmtId="14" fontId="130" fillId="0" borderId="35" xfId="1475" applyNumberFormat="1" applyFill="1" applyBorder="1"/>
    <xf numFmtId="14" fontId="130" fillId="0" borderId="36" xfId="1475" applyNumberFormat="1" applyFill="1" applyBorder="1"/>
    <xf numFmtId="0" fontId="130" fillId="0" borderId="33" xfId="1475" applyFill="1" applyBorder="1"/>
    <xf numFmtId="0" fontId="130" fillId="0" borderId="22" xfId="1475" applyFill="1" applyBorder="1"/>
    <xf numFmtId="0" fontId="130" fillId="0" borderId="34" xfId="1475" applyFill="1" applyBorder="1"/>
    <xf numFmtId="0" fontId="130" fillId="0" borderId="31" xfId="1475" applyFill="1" applyBorder="1"/>
    <xf numFmtId="43" fontId="130" fillId="0" borderId="0" xfId="1475" applyNumberFormat="1" applyFill="1"/>
    <xf numFmtId="166" fontId="130" fillId="0" borderId="35" xfId="1475" applyNumberFormat="1" applyFill="1" applyBorder="1"/>
    <xf numFmtId="166" fontId="130" fillId="0" borderId="0" xfId="1475" applyNumberFormat="1" applyFill="1" applyBorder="1"/>
    <xf numFmtId="166" fontId="130" fillId="0" borderId="36" xfId="1475" applyNumberFormat="1" applyFill="1" applyBorder="1"/>
    <xf numFmtId="166" fontId="130" fillId="0" borderId="37" xfId="1475" applyNumberFormat="1" applyFill="1" applyBorder="1"/>
    <xf numFmtId="166" fontId="75" fillId="0" borderId="37" xfId="1475" applyNumberFormat="1" applyFont="1" applyFill="1" applyBorder="1" applyAlignment="1"/>
    <xf numFmtId="43" fontId="130" fillId="0" borderId="0" xfId="1475" applyNumberFormat="1" applyFill="1" applyBorder="1"/>
    <xf numFmtId="43" fontId="130" fillId="0" borderId="37" xfId="1475" applyNumberFormat="1" applyFill="1" applyBorder="1"/>
    <xf numFmtId="166" fontId="130" fillId="0" borderId="0" xfId="1475" applyNumberFormat="1" applyFill="1"/>
    <xf numFmtId="43" fontId="130" fillId="0" borderId="32" xfId="1475" applyNumberFormat="1" applyFill="1" applyBorder="1"/>
    <xf numFmtId="166" fontId="130" fillId="0" borderId="21" xfId="1475" applyNumberFormat="1" applyFill="1" applyBorder="1"/>
    <xf numFmtId="166" fontId="130" fillId="0" borderId="39" xfId="1475" applyNumberFormat="1" applyFill="1" applyBorder="1"/>
    <xf numFmtId="166" fontId="130" fillId="0" borderId="38" xfId="1475" applyNumberFormat="1" applyFill="1" applyBorder="1"/>
    <xf numFmtId="166" fontId="75" fillId="0" borderId="32" xfId="1475" applyNumberFormat="1" applyFont="1" applyFill="1" applyBorder="1" applyAlignment="1"/>
    <xf numFmtId="166" fontId="84" fillId="0" borderId="0" xfId="1475" applyNumberFormat="1" applyFont="1" applyFill="1"/>
    <xf numFmtId="10" fontId="6" fillId="0" borderId="0" xfId="1573" applyNumberFormat="1" applyFill="1"/>
    <xf numFmtId="0" fontId="130" fillId="38" borderId="0" xfId="1475" applyFill="1" applyAlignment="1">
      <alignment horizontal="center"/>
    </xf>
    <xf numFmtId="14" fontId="130" fillId="38" borderId="0" xfId="1475" applyNumberFormat="1" applyFill="1"/>
    <xf numFmtId="166" fontId="31" fillId="38" borderId="0" xfId="1253" applyNumberFormat="1" applyFont="1" applyFill="1"/>
    <xf numFmtId="174" fontId="75" fillId="38" borderId="0" xfId="1633" applyNumberFormat="1" applyFont="1" applyFill="1" applyBorder="1"/>
    <xf numFmtId="43" fontId="31" fillId="38" borderId="0" xfId="1253" applyFont="1" applyFill="1"/>
    <xf numFmtId="166" fontId="80" fillId="38" borderId="0" xfId="1253" applyNumberFormat="1" applyFont="1" applyFill="1"/>
    <xf numFmtId="0" fontId="75" fillId="38" borderId="0" xfId="1475" applyFont="1" applyFill="1" applyAlignment="1">
      <alignment horizontal="center"/>
    </xf>
    <xf numFmtId="14" fontId="75" fillId="38" borderId="0" xfId="1475" applyNumberFormat="1" applyFont="1" applyFill="1"/>
    <xf numFmtId="166" fontId="75" fillId="38" borderId="0" xfId="1253" applyNumberFormat="1" applyFont="1" applyFill="1"/>
    <xf numFmtId="43" fontId="75" fillId="38" borderId="0" xfId="1253" applyFont="1" applyFill="1"/>
    <xf numFmtId="166" fontId="31" fillId="38" borderId="36" xfId="1253" applyNumberFormat="1" applyFont="1" applyFill="1" applyBorder="1"/>
    <xf numFmtId="175" fontId="130" fillId="38" borderId="37" xfId="1475" applyNumberFormat="1" applyFill="1" applyBorder="1" applyAlignment="1">
      <alignment horizontal="center"/>
    </xf>
    <xf numFmtId="43" fontId="31" fillId="38" borderId="35" xfId="1253" quotePrefix="1" applyFont="1" applyFill="1" applyBorder="1" applyAlignment="1">
      <alignment horizontal="right"/>
    </xf>
    <xf numFmtId="167" fontId="31" fillId="38" borderId="36" xfId="1302" applyNumberFormat="1" applyFont="1" applyFill="1" applyBorder="1" applyAlignment="1">
      <alignment horizontal="center"/>
    </xf>
    <xf numFmtId="43" fontId="31" fillId="38" borderId="0" xfId="1253" quotePrefix="1" applyFont="1" applyFill="1" applyBorder="1" applyAlignment="1">
      <alignment horizontal="right"/>
    </xf>
    <xf numFmtId="41" fontId="31" fillId="38" borderId="36" xfId="1302" applyNumberFormat="1" applyFont="1" applyFill="1" applyBorder="1" applyAlignment="1">
      <alignment horizontal="center"/>
    </xf>
    <xf numFmtId="167" fontId="130" fillId="38" borderId="37" xfId="1475" applyNumberFormat="1" applyFill="1" applyBorder="1"/>
    <xf numFmtId="167" fontId="31" fillId="38" borderId="36" xfId="1302" applyNumberFormat="1" applyFont="1" applyFill="1" applyBorder="1"/>
    <xf numFmtId="6" fontId="115" fillId="38" borderId="37" xfId="1290" applyNumberFormat="1" applyFont="1" applyFill="1" applyBorder="1"/>
    <xf numFmtId="3" fontId="115" fillId="38" borderId="37" xfId="1202" applyNumberFormat="1" applyFont="1" applyFill="1" applyBorder="1"/>
    <xf numFmtId="0" fontId="0" fillId="0" borderId="0" xfId="0" applyNumberFormat="1" applyFont="1" applyFill="1" applyAlignment="1"/>
    <xf numFmtId="6" fontId="6" fillId="0" borderId="0" xfId="0" applyNumberFormat="1" applyFont="1" applyFill="1" applyAlignment="1"/>
    <xf numFmtId="43" fontId="31" fillId="0" borderId="0" xfId="1253" quotePrefix="1" applyFont="1" applyFill="1" applyAlignment="1">
      <alignment horizontal="right"/>
    </xf>
    <xf numFmtId="167" fontId="31" fillId="0" borderId="0" xfId="1302" applyNumberFormat="1" applyFont="1" applyFill="1"/>
    <xf numFmtId="166" fontId="6" fillId="0" borderId="0" xfId="0" applyNumberFormat="1" applyFont="1" applyFill="1" applyAlignment="1"/>
    <xf numFmtId="43" fontId="6" fillId="0" borderId="0" xfId="1558" applyNumberFormat="1" applyFont="1" applyFill="1" applyAlignment="1"/>
    <xf numFmtId="166" fontId="6" fillId="0" borderId="0" xfId="0" applyNumberFormat="1" applyFont="1" applyAlignment="1"/>
    <xf numFmtId="43" fontId="121" fillId="0" borderId="0" xfId="1475" applyNumberFormat="1" applyFont="1"/>
    <xf numFmtId="41" fontId="75" fillId="38" borderId="35" xfId="1253" quotePrefix="1" applyNumberFormat="1" applyFont="1" applyFill="1" applyBorder="1" applyAlignment="1">
      <alignment horizontal="right"/>
    </xf>
    <xf numFmtId="175" fontId="130" fillId="0" borderId="0" xfId="1475" applyNumberFormat="1" applyBorder="1" applyAlignment="1">
      <alignment horizontal="center"/>
    </xf>
    <xf numFmtId="167" fontId="130" fillId="0" borderId="0" xfId="1475" applyNumberFormat="1" applyFill="1" applyBorder="1"/>
    <xf numFmtId="167" fontId="130" fillId="0" borderId="36" xfId="1475" applyNumberFormat="1" applyFill="1" applyBorder="1"/>
    <xf numFmtId="14" fontId="75" fillId="0" borderId="0" xfId="1475" applyNumberFormat="1" applyFont="1" applyFill="1"/>
    <xf numFmtId="0" fontId="130" fillId="0" borderId="36" xfId="1475" applyBorder="1"/>
    <xf numFmtId="43" fontId="31" fillId="0" borderId="21" xfId="1253" applyFont="1" applyFill="1" applyBorder="1" applyAlignment="1">
      <alignment horizontal="left"/>
    </xf>
    <xf numFmtId="167" fontId="31" fillId="0" borderId="21" xfId="1302" applyNumberFormat="1" applyFont="1" applyFill="1" applyBorder="1"/>
    <xf numFmtId="167" fontId="130" fillId="69" borderId="21" xfId="1475" applyNumberFormat="1" applyFill="1" applyBorder="1"/>
    <xf numFmtId="0" fontId="130" fillId="0" borderId="39" xfId="1475" applyFill="1" applyBorder="1"/>
    <xf numFmtId="167" fontId="116" fillId="0" borderId="64" xfId="1475" applyNumberFormat="1" applyFont="1" applyFill="1" applyBorder="1"/>
    <xf numFmtId="0" fontId="130" fillId="0" borderId="22" xfId="1475" applyBorder="1" applyAlignment="1">
      <alignment horizontal="center"/>
    </xf>
    <xf numFmtId="166" fontId="31" fillId="38" borderId="0" xfId="1253" applyNumberFormat="1" applyFont="1" applyFill="1" applyBorder="1"/>
    <xf numFmtId="166" fontId="31" fillId="0" borderId="0" xfId="1253" applyNumberFormat="1" applyFont="1" applyBorder="1"/>
    <xf numFmtId="166" fontId="31" fillId="0" borderId="0" xfId="1253" applyNumberFormat="1" applyFont="1" applyFill="1" applyBorder="1"/>
    <xf numFmtId="166" fontId="31" fillId="0" borderId="21" xfId="1253" applyNumberFormat="1" applyFont="1" applyFill="1" applyBorder="1"/>
    <xf numFmtId="0" fontId="0" fillId="38" borderId="32" xfId="0" applyNumberFormat="1" applyFill="1" applyBorder="1" applyAlignment="1">
      <alignment horizontal="center"/>
    </xf>
    <xf numFmtId="0" fontId="122" fillId="38" borderId="12" xfId="0" applyNumberFormat="1" applyFont="1" applyFill="1" applyBorder="1" applyAlignment="1">
      <alignment horizontal="center"/>
    </xf>
    <xf numFmtId="0" fontId="122" fillId="38" borderId="31" xfId="0" applyNumberFormat="1" applyFont="1" applyFill="1" applyBorder="1" applyAlignment="1">
      <alignment horizontal="center"/>
    </xf>
    <xf numFmtId="167" fontId="122" fillId="38" borderId="37" xfId="0" applyNumberFormat="1" applyFont="1" applyFill="1" applyBorder="1" applyAlignment="1"/>
    <xf numFmtId="166" fontId="45" fillId="0" borderId="0" xfId="1475" applyNumberFormat="1" applyFont="1" applyFill="1" applyAlignment="1">
      <alignment horizontal="left"/>
    </xf>
    <xf numFmtId="17" fontId="14" fillId="0" borderId="21" xfId="1573" applyNumberFormat="1" applyFont="1" applyFill="1" applyBorder="1" applyAlignment="1">
      <alignment horizontal="center"/>
    </xf>
    <xf numFmtId="165" fontId="119" fillId="0" borderId="0" xfId="0" applyFont="1" applyAlignment="1">
      <alignment horizontal="center" wrapText="1"/>
    </xf>
    <xf numFmtId="167" fontId="75" fillId="38" borderId="36" xfId="1302" applyNumberFormat="1" applyFont="1" applyFill="1" applyBorder="1" applyAlignment="1">
      <alignment horizontal="center"/>
    </xf>
    <xf numFmtId="166" fontId="75" fillId="38" borderId="36" xfId="1253" applyNumberFormat="1" applyFont="1" applyFill="1" applyBorder="1"/>
    <xf numFmtId="166" fontId="6" fillId="0" borderId="0" xfId="1255" applyNumberFormat="1" applyFill="1" applyBorder="1"/>
    <xf numFmtId="0" fontId="6" fillId="0" borderId="0" xfId="1558" applyNumberFormat="1" applyFont="1" applyFill="1" applyAlignment="1"/>
    <xf numFmtId="37" fontId="130" fillId="38" borderId="37" xfId="1475" applyNumberFormat="1" applyFill="1" applyBorder="1"/>
    <xf numFmtId="166" fontId="31" fillId="38" borderId="35" xfId="1253" quotePrefix="1" applyNumberFormat="1" applyFont="1" applyFill="1" applyBorder="1" applyAlignment="1">
      <alignment horizontal="right"/>
    </xf>
    <xf numFmtId="0" fontId="130" fillId="0" borderId="33" xfId="1475" applyFill="1" applyBorder="1" applyAlignment="1">
      <alignment horizontal="center"/>
    </xf>
    <xf numFmtId="164" fontId="6" fillId="0" borderId="0" xfId="1608" applyNumberFormat="1" applyFont="1" applyFill="1" applyBorder="1"/>
    <xf numFmtId="0" fontId="115" fillId="0" borderId="12" xfId="1475" applyFont="1" applyFill="1" applyBorder="1" applyAlignment="1">
      <alignment horizontal="center" vertical="top" wrapText="1"/>
    </xf>
    <xf numFmtId="0" fontId="115" fillId="0" borderId="4" xfId="1475" applyFont="1" applyFill="1" applyBorder="1" applyAlignment="1">
      <alignment horizontal="center" vertical="top" wrapText="1"/>
    </xf>
    <xf numFmtId="0" fontId="115" fillId="0" borderId="29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Continuous" vertical="top"/>
    </xf>
    <xf numFmtId="0" fontId="115" fillId="0" borderId="4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" vertical="top"/>
    </xf>
    <xf numFmtId="0" fontId="115" fillId="0" borderId="12" xfId="1475" applyFont="1" applyFill="1" applyBorder="1" applyAlignment="1">
      <alignment horizontal="centerContinuous" vertical="top"/>
    </xf>
    <xf numFmtId="0" fontId="115" fillId="0" borderId="0" xfId="1475" applyFont="1" applyFill="1"/>
    <xf numFmtId="0" fontId="115" fillId="0" borderId="29" xfId="1475" applyFont="1" applyFill="1" applyBorder="1" applyAlignment="1">
      <alignment horizontal="centerContinuous" vertical="top" wrapText="1"/>
    </xf>
    <xf numFmtId="0" fontId="115" fillId="0" borderId="30" xfId="1475" applyFont="1" applyFill="1" applyBorder="1" applyAlignment="1">
      <alignment horizontal="center" vertical="top" wrapText="1"/>
    </xf>
    <xf numFmtId="0" fontId="115" fillId="0" borderId="33" xfId="1475" applyFont="1" applyFill="1" applyBorder="1" applyAlignment="1">
      <alignment horizontal="center" vertical="top" wrapText="1"/>
    </xf>
    <xf numFmtId="0" fontId="115" fillId="0" borderId="22" xfId="1475" applyFont="1" applyFill="1" applyBorder="1" applyAlignment="1">
      <alignment horizontal="center" vertical="top" wrapText="1"/>
    </xf>
    <xf numFmtId="0" fontId="115" fillId="0" borderId="34" xfId="1475" applyFont="1" applyFill="1" applyBorder="1" applyAlignment="1">
      <alignment horizontal="center" vertical="top" wrapText="1"/>
    </xf>
    <xf numFmtId="0" fontId="115" fillId="0" borderId="32" xfId="1475" applyFont="1" applyFill="1" applyBorder="1" applyAlignment="1">
      <alignment horizontal="center" vertical="top" wrapText="1"/>
    </xf>
    <xf numFmtId="14" fontId="130" fillId="68" borderId="0" xfId="1475" applyNumberFormat="1" applyFill="1"/>
    <xf numFmtId="166" fontId="31" fillId="68" borderId="0" xfId="1253" applyNumberFormat="1" applyFont="1" applyFill="1"/>
    <xf numFmtId="174" fontId="75" fillId="68" borderId="0" xfId="1633" applyNumberFormat="1" applyFont="1" applyFill="1" applyBorder="1"/>
    <xf numFmtId="43" fontId="31" fillId="68" borderId="0" xfId="1253" applyFont="1" applyFill="1"/>
    <xf numFmtId="166" fontId="80" fillId="68" borderId="0" xfId="1253" applyNumberFormat="1" applyFont="1" applyFill="1"/>
    <xf numFmtId="166" fontId="31" fillId="0" borderId="20" xfId="1253" applyNumberFormat="1" applyFont="1" applyFill="1" applyBorder="1"/>
    <xf numFmtId="166" fontId="125" fillId="0" borderId="20" xfId="1253" applyNumberFormat="1" applyFont="1" applyFill="1" applyBorder="1"/>
    <xf numFmtId="14" fontId="130" fillId="0" borderId="0" xfId="1475" applyNumberFormat="1" applyBorder="1"/>
    <xf numFmtId="14" fontId="130" fillId="0" borderId="21" xfId="1475" applyNumberFormat="1" applyBorder="1"/>
    <xf numFmtId="166" fontId="31" fillId="0" borderId="38" xfId="1253" applyNumberFormat="1" applyFont="1" applyFill="1" applyBorder="1"/>
    <xf numFmtId="167" fontId="76" fillId="67" borderId="0" xfId="1475" applyNumberFormat="1" applyFont="1" applyFill="1" applyBorder="1"/>
    <xf numFmtId="0" fontId="76" fillId="67" borderId="35" xfId="1475" applyFont="1" applyFill="1" applyBorder="1" applyAlignment="1">
      <alignment horizontal="center"/>
    </xf>
    <xf numFmtId="0" fontId="76" fillId="67" borderId="0" xfId="1475" applyFont="1" applyFill="1" applyBorder="1" applyAlignment="1">
      <alignment horizontal="center"/>
    </xf>
    <xf numFmtId="167" fontId="76" fillId="67" borderId="35" xfId="1475" applyNumberFormat="1" applyFont="1" applyFill="1" applyBorder="1"/>
    <xf numFmtId="41" fontId="130" fillId="38" borderId="37" xfId="1475" applyNumberFormat="1" applyFill="1" applyBorder="1"/>
    <xf numFmtId="43" fontId="126" fillId="0" borderId="0" xfId="1475" applyNumberFormat="1" applyFont="1"/>
    <xf numFmtId="41" fontId="6" fillId="0" borderId="0" xfId="1573" applyNumberFormat="1" applyFont="1" applyFill="1" applyBorder="1"/>
    <xf numFmtId="38" fontId="6" fillId="0" borderId="0" xfId="1573" applyNumberFormat="1" applyFill="1"/>
    <xf numFmtId="38" fontId="6" fillId="0" borderId="0" xfId="1573" applyNumberFormat="1" applyFont="1" applyFill="1" applyBorder="1"/>
    <xf numFmtId="0" fontId="94" fillId="0" borderId="44" xfId="1565" applyFont="1" applyBorder="1" applyAlignment="1">
      <alignment horizontal="justify"/>
    </xf>
    <xf numFmtId="0" fontId="94" fillId="0" borderId="41" xfId="1565" applyFont="1" applyBorder="1" applyAlignment="1">
      <alignment horizontal="justify"/>
    </xf>
    <xf numFmtId="0" fontId="94" fillId="45" borderId="41" xfId="1565" applyFont="1" applyFill="1" applyBorder="1" applyAlignment="1">
      <alignment horizontal="justify"/>
    </xf>
    <xf numFmtId="0" fontId="6" fillId="0" borderId="41" xfId="1565" applyBorder="1"/>
    <xf numFmtId="0" fontId="6" fillId="44" borderId="41" xfId="1565" applyFill="1" applyBorder="1"/>
    <xf numFmtId="174" fontId="6" fillId="44" borderId="41" xfId="1565" applyNumberFormat="1" applyFill="1" applyBorder="1"/>
    <xf numFmtId="39" fontId="6" fillId="44" borderId="41" xfId="1565" applyNumberFormat="1" applyFill="1" applyBorder="1"/>
    <xf numFmtId="0" fontId="6" fillId="44" borderId="42" xfId="1565" applyFill="1" applyBorder="1"/>
    <xf numFmtId="0" fontId="6" fillId="0" borderId="40" xfId="1565" applyBorder="1"/>
    <xf numFmtId="0" fontId="6" fillId="0" borderId="0" xfId="1565" applyBorder="1"/>
    <xf numFmtId="0" fontId="6" fillId="45" borderId="0" xfId="1565" applyFill="1" applyBorder="1"/>
    <xf numFmtId="39" fontId="6" fillId="44" borderId="0" xfId="1565" applyNumberFormat="1" applyFill="1" applyBorder="1"/>
    <xf numFmtId="174" fontId="6" fillId="44" borderId="0" xfId="1565" applyNumberFormat="1" applyFill="1" applyBorder="1"/>
    <xf numFmtId="0" fontId="6" fillId="44" borderId="45" xfId="1565" applyFill="1" applyBorder="1"/>
    <xf numFmtId="0" fontId="96" fillId="0" borderId="44" xfId="1565" applyFont="1" applyBorder="1" applyAlignment="1">
      <alignment horizontal="left"/>
    </xf>
    <xf numFmtId="0" fontId="96" fillId="0" borderId="41" xfId="1565" applyFont="1" applyBorder="1" applyAlignment="1">
      <alignment horizontal="left"/>
    </xf>
    <xf numFmtId="0" fontId="96" fillId="45" borderId="41" xfId="1565" applyFont="1" applyFill="1" applyBorder="1" applyAlignment="1">
      <alignment horizontal="left"/>
    </xf>
    <xf numFmtId="0" fontId="97" fillId="44" borderId="0" xfId="1565" applyFont="1" applyFill="1" applyBorder="1" applyAlignment="1">
      <alignment horizontal="center"/>
    </xf>
    <xf numFmtId="0" fontId="98" fillId="0" borderId="40" xfId="1565" applyFont="1" applyBorder="1" applyAlignment="1">
      <alignment horizontal="left"/>
    </xf>
    <xf numFmtId="0" fontId="27" fillId="0" borderId="0" xfId="1565" applyFont="1" applyBorder="1" applyAlignment="1">
      <alignment horizontal="left"/>
    </xf>
    <xf numFmtId="0" fontId="27" fillId="45" borderId="0" xfId="1565" applyFont="1" applyFill="1" applyBorder="1" applyAlignment="1">
      <alignment horizontal="left"/>
    </xf>
    <xf numFmtId="0" fontId="99" fillId="0" borderId="40" xfId="1565" applyFont="1" applyBorder="1" applyAlignment="1">
      <alignment horizontal="left"/>
    </xf>
    <xf numFmtId="0" fontId="99" fillId="0" borderId="0" xfId="1565" applyFont="1" applyBorder="1" applyAlignment="1">
      <alignment horizontal="left"/>
    </xf>
    <xf numFmtId="0" fontId="99" fillId="45" borderId="0" xfId="1565" applyFont="1" applyFill="1" applyBorder="1" applyAlignment="1">
      <alignment horizontal="left"/>
    </xf>
    <xf numFmtId="0" fontId="6" fillId="44" borderId="0" xfId="1565" applyFill="1" applyBorder="1"/>
    <xf numFmtId="0" fontId="101" fillId="44" borderId="45" xfId="1565" applyFont="1" applyFill="1" applyBorder="1" applyAlignment="1">
      <alignment horizontal="center"/>
    </xf>
    <xf numFmtId="0" fontId="13" fillId="0" borderId="40" xfId="1565" applyFont="1" applyBorder="1"/>
    <xf numFmtId="44" fontId="13" fillId="0" borderId="40" xfId="1569" applyNumberFormat="1" applyFont="1" applyBorder="1" applyAlignment="1">
      <alignment wrapText="1"/>
    </xf>
    <xf numFmtId="44" fontId="13" fillId="0" borderId="0" xfId="1569" applyNumberFormat="1" applyFont="1" applyBorder="1" applyAlignment="1">
      <alignment wrapText="1"/>
    </xf>
    <xf numFmtId="44" fontId="13" fillId="45" borderId="0" xfId="1569" applyNumberFormat="1" applyFont="1" applyFill="1" applyBorder="1" applyAlignment="1">
      <alignment wrapText="1"/>
    </xf>
    <xf numFmtId="44" fontId="13" fillId="0" borderId="40" xfId="1569" applyNumberFormat="1" applyFont="1" applyBorder="1" applyAlignment="1"/>
    <xf numFmtId="39" fontId="13" fillId="44" borderId="0" xfId="1569" applyNumberFormat="1" applyFont="1" applyFill="1" applyBorder="1"/>
    <xf numFmtId="39" fontId="13" fillId="44" borderId="0" xfId="1569" applyNumberFormat="1" applyFont="1" applyFill="1" applyBorder="1" applyAlignment="1">
      <alignment horizontal="center"/>
    </xf>
    <xf numFmtId="174" fontId="13" fillId="44" borderId="0" xfId="1569" applyNumberFormat="1" applyFont="1" applyFill="1" applyBorder="1" applyAlignment="1">
      <alignment horizontal="center"/>
    </xf>
    <xf numFmtId="43" fontId="13" fillId="44" borderId="45" xfId="1569" applyNumberFormat="1" applyFont="1" applyFill="1" applyBorder="1"/>
    <xf numFmtId="0" fontId="6" fillId="0" borderId="0" xfId="1569"/>
    <xf numFmtId="166" fontId="13" fillId="0" borderId="0" xfId="1223" applyNumberFormat="1" applyFont="1" applyBorder="1" applyAlignment="1">
      <alignment wrapText="1"/>
    </xf>
    <xf numFmtId="43" fontId="13" fillId="0" borderId="0" xfId="1569" applyNumberFormat="1" applyFont="1" applyBorder="1"/>
    <xf numFmtId="39" fontId="6" fillId="44" borderId="0" xfId="1569" applyNumberFormat="1" applyFont="1" applyFill="1" applyBorder="1" applyAlignment="1">
      <alignment horizontal="center"/>
    </xf>
    <xf numFmtId="174" fontId="6" fillId="44" borderId="0" xfId="1569" applyNumberFormat="1" applyFont="1" applyFill="1" applyBorder="1" applyAlignment="1">
      <alignment horizontal="center"/>
    </xf>
    <xf numFmtId="44" fontId="6" fillId="0" borderId="65" xfId="1569" applyNumberFormat="1" applyFont="1" applyBorder="1" applyAlignment="1">
      <alignment horizontal="center"/>
    </xf>
    <xf numFmtId="44" fontId="6" fillId="0" borderId="21" xfId="1569" applyNumberFormat="1" applyFont="1" applyBorder="1" applyAlignment="1">
      <alignment horizontal="center" wrapText="1"/>
    </xf>
    <xf numFmtId="44" fontId="6" fillId="45" borderId="21" xfId="1569" applyNumberFormat="1" applyFont="1" applyFill="1" applyBorder="1" applyAlignment="1">
      <alignment horizontal="center"/>
    </xf>
    <xf numFmtId="44" fontId="6" fillId="45" borderId="21" xfId="1569" applyNumberFormat="1" applyFont="1" applyFill="1" applyBorder="1" applyAlignment="1">
      <alignment horizontal="center" wrapText="1"/>
    </xf>
    <xf numFmtId="43" fontId="6" fillId="0" borderId="21" xfId="1569" applyNumberFormat="1" applyBorder="1" applyAlignment="1">
      <alignment horizontal="center"/>
    </xf>
    <xf numFmtId="39" fontId="6" fillId="44" borderId="21" xfId="1569" applyNumberFormat="1" applyFont="1" applyFill="1" applyBorder="1" applyAlignment="1">
      <alignment horizontal="center" wrapText="1"/>
    </xf>
    <xf numFmtId="174" fontId="6" fillId="44" borderId="21" xfId="1569" applyNumberFormat="1" applyFont="1" applyFill="1" applyBorder="1" applyAlignment="1">
      <alignment horizontal="center" wrapText="1"/>
    </xf>
    <xf numFmtId="39" fontId="6" fillId="44" borderId="66" xfId="1569" applyNumberFormat="1" applyFont="1" applyFill="1" applyBorder="1" applyAlignment="1">
      <alignment horizontal="center" wrapText="1"/>
    </xf>
    <xf numFmtId="17" fontId="6" fillId="0" borderId="40" xfId="1565" quotePrefix="1" applyNumberFormat="1" applyFont="1" applyBorder="1" applyAlignment="1">
      <alignment horizontal="left"/>
    </xf>
    <xf numFmtId="1" fontId="6" fillId="0" borderId="0" xfId="1565" quotePrefix="1" applyNumberFormat="1" applyBorder="1" applyAlignment="1">
      <alignment horizontal="center"/>
    </xf>
    <xf numFmtId="17" fontId="6" fillId="45" borderId="0" xfId="1565" applyNumberFormat="1" applyFont="1" applyFill="1" applyBorder="1" applyAlignment="1">
      <alignment horizontal="left"/>
    </xf>
    <xf numFmtId="175" fontId="6" fillId="45" borderId="0" xfId="1565" applyNumberFormat="1" applyFill="1" applyBorder="1" applyAlignment="1">
      <alignment horizontal="center"/>
    </xf>
    <xf numFmtId="43" fontId="6" fillId="0" borderId="0" xfId="1223" applyFont="1" applyFill="1" applyBorder="1"/>
    <xf numFmtId="10" fontId="6" fillId="44" borderId="0" xfId="1627" applyNumberFormat="1" applyFont="1" applyFill="1" applyBorder="1"/>
    <xf numFmtId="39" fontId="6" fillId="44" borderId="0" xfId="1569" applyNumberFormat="1" applyFill="1" applyBorder="1"/>
    <xf numFmtId="43" fontId="6" fillId="44" borderId="45" xfId="1569" applyNumberFormat="1" applyFill="1" applyBorder="1" applyAlignment="1">
      <alignment horizontal="center"/>
    </xf>
    <xf numFmtId="17" fontId="6" fillId="45" borderId="0" xfId="1565" applyNumberFormat="1" applyFill="1" applyBorder="1" applyAlignment="1">
      <alignment horizontal="left"/>
    </xf>
    <xf numFmtId="1" fontId="6" fillId="45" borderId="0" xfId="1565" applyNumberFormat="1" applyFill="1" applyBorder="1" applyAlignment="1">
      <alignment horizontal="center"/>
    </xf>
    <xf numFmtId="43" fontId="28" fillId="0" borderId="0" xfId="1565" applyNumberFormat="1" applyFont="1" applyBorder="1"/>
    <xf numFmtId="39" fontId="6" fillId="44" borderId="0" xfId="1569" applyNumberFormat="1" applyFont="1" applyFill="1" applyBorder="1" applyAlignment="1">
      <alignment horizontal="center" wrapText="1"/>
    </xf>
    <xf numFmtId="39" fontId="6" fillId="44" borderId="45" xfId="1569" applyNumberFormat="1" applyFont="1" applyFill="1" applyBorder="1" applyAlignment="1">
      <alignment horizontal="center" wrapText="1"/>
    </xf>
    <xf numFmtId="43" fontId="6" fillId="0" borderId="0" xfId="1565" applyNumberFormat="1" applyBorder="1"/>
    <xf numFmtId="39" fontId="28" fillId="44" borderId="0" xfId="1565" applyNumberFormat="1" applyFont="1" applyFill="1" applyBorder="1"/>
    <xf numFmtId="43" fontId="6" fillId="0" borderId="21" xfId="1565" applyNumberFormat="1" applyBorder="1"/>
    <xf numFmtId="39" fontId="6" fillId="44" borderId="21" xfId="1565" applyNumberFormat="1" applyFill="1" applyBorder="1"/>
    <xf numFmtId="174" fontId="6" fillId="44" borderId="21" xfId="1565" applyNumberFormat="1" applyFill="1" applyBorder="1"/>
    <xf numFmtId="39" fontId="28" fillId="44" borderId="21" xfId="1565" applyNumberFormat="1" applyFont="1" applyFill="1" applyBorder="1"/>
    <xf numFmtId="43" fontId="6" fillId="44" borderId="66" xfId="1569" applyNumberFormat="1" applyFill="1" applyBorder="1" applyAlignment="1">
      <alignment horizontal="center"/>
    </xf>
    <xf numFmtId="17" fontId="13" fillId="0" borderId="20" xfId="1565" applyNumberFormat="1" applyFont="1" applyFill="1" applyBorder="1" applyAlignment="1">
      <alignment horizontal="left"/>
    </xf>
    <xf numFmtId="43" fontId="102" fillId="0" borderId="0" xfId="1565" applyNumberFormat="1" applyFont="1" applyBorder="1"/>
    <xf numFmtId="43" fontId="13" fillId="44" borderId="67" xfId="1569" applyNumberFormat="1" applyFont="1" applyFill="1" applyBorder="1" applyAlignment="1">
      <alignment horizontal="center"/>
    </xf>
    <xf numFmtId="17" fontId="13" fillId="0" borderId="0" xfId="1565" applyNumberFormat="1" applyFont="1" applyFill="1" applyBorder="1" applyAlignment="1">
      <alignment horizontal="left"/>
    </xf>
    <xf numFmtId="43" fontId="13" fillId="44" borderId="45" xfId="1569" applyNumberFormat="1" applyFont="1" applyFill="1" applyBorder="1" applyAlignment="1">
      <alignment horizontal="center"/>
    </xf>
    <xf numFmtId="43" fontId="6" fillId="0" borderId="0" xfId="1569" applyNumberFormat="1"/>
    <xf numFmtId="43" fontId="13" fillId="44" borderId="53" xfId="1569" applyNumberFormat="1" applyFont="1" applyFill="1" applyBorder="1" applyAlignment="1">
      <alignment horizontal="center"/>
    </xf>
    <xf numFmtId="43" fontId="6" fillId="0" borderId="4" xfId="1565" applyNumberFormat="1" applyBorder="1"/>
    <xf numFmtId="43" fontId="6" fillId="0" borderId="0" xfId="1569" applyNumberFormat="1" applyBorder="1"/>
    <xf numFmtId="39" fontId="28" fillId="44" borderId="0" xfId="1569" applyNumberFormat="1" applyFont="1" applyFill="1" applyBorder="1"/>
    <xf numFmtId="43" fontId="28" fillId="0" borderId="0" xfId="1569" applyNumberFormat="1" applyFont="1" applyBorder="1"/>
    <xf numFmtId="43" fontId="6" fillId="0" borderId="21" xfId="1569" applyNumberFormat="1" applyBorder="1"/>
    <xf numFmtId="39" fontId="28" fillId="44" borderId="21" xfId="1569" applyNumberFormat="1" applyFont="1" applyFill="1" applyBorder="1"/>
    <xf numFmtId="43" fontId="102" fillId="0" borderId="0" xfId="1569" applyNumberFormat="1" applyFont="1" applyBorder="1"/>
    <xf numFmtId="43" fontId="28" fillId="0" borderId="0" xfId="1569" applyNumberFormat="1" applyFont="1" applyFill="1" applyBorder="1"/>
    <xf numFmtId="44" fontId="6" fillId="0" borderId="0" xfId="1569" applyNumberFormat="1" applyBorder="1"/>
    <xf numFmtId="44" fontId="6" fillId="45" borderId="0" xfId="1569" applyNumberFormat="1" applyFont="1" applyFill="1" applyBorder="1"/>
    <xf numFmtId="44" fontId="6" fillId="45" borderId="0" xfId="1569" applyNumberFormat="1" applyFill="1" applyBorder="1"/>
    <xf numFmtId="43" fontId="6" fillId="0" borderId="4" xfId="1569" applyNumberFormat="1" applyFont="1" applyBorder="1"/>
    <xf numFmtId="174" fontId="6" fillId="44" borderId="0" xfId="1569" applyNumberFormat="1" applyFill="1" applyBorder="1"/>
    <xf numFmtId="43" fontId="6" fillId="44" borderId="45" xfId="1569" applyNumberFormat="1" applyFill="1" applyBorder="1"/>
    <xf numFmtId="17" fontId="6" fillId="0" borderId="0" xfId="1565" quotePrefix="1" applyNumberFormat="1" applyFont="1" applyBorder="1" applyAlignment="1">
      <alignment horizontal="left"/>
    </xf>
    <xf numFmtId="171" fontId="6" fillId="44" borderId="0" xfId="1627" applyNumberFormat="1" applyFont="1" applyFill="1" applyBorder="1"/>
    <xf numFmtId="171" fontId="6" fillId="44" borderId="21" xfId="1627" applyNumberFormat="1" applyFont="1" applyFill="1" applyBorder="1"/>
    <xf numFmtId="0" fontId="6" fillId="0" borderId="0" xfId="1565" applyFill="1"/>
    <xf numFmtId="39" fontId="6" fillId="0" borderId="0" xfId="1565" applyNumberFormat="1" applyFill="1"/>
    <xf numFmtId="174" fontId="6" fillId="0" borderId="0" xfId="1565" applyNumberFormat="1" applyFill="1"/>
    <xf numFmtId="174" fontId="6" fillId="44" borderId="0" xfId="1569" applyNumberFormat="1" applyFont="1" applyFill="1" applyBorder="1" applyAlignment="1">
      <alignment horizontal="center" wrapText="1"/>
    </xf>
    <xf numFmtId="43" fontId="70" fillId="0" borderId="0" xfId="1569" applyNumberFormat="1" applyFont="1" applyBorder="1" applyAlignment="1">
      <alignment shrinkToFit="1"/>
    </xf>
    <xf numFmtId="0" fontId="100" fillId="0" borderId="0" xfId="1565" applyFont="1" applyBorder="1"/>
    <xf numFmtId="174" fontId="13" fillId="0" borderId="0" xfId="1569" applyNumberFormat="1" applyFont="1" applyFill="1" applyBorder="1" applyAlignment="1"/>
    <xf numFmtId="17" fontId="13" fillId="0" borderId="20" xfId="1565" quotePrefix="1" applyNumberFormat="1" applyFont="1" applyFill="1" applyBorder="1" applyAlignment="1">
      <alignment horizontal="left"/>
    </xf>
    <xf numFmtId="0" fontId="95" fillId="0" borderId="40" xfId="1565" quotePrefix="1" applyFont="1" applyBorder="1"/>
    <xf numFmtId="0" fontId="95" fillId="0" borderId="0" xfId="1565" applyFont="1" applyBorder="1"/>
    <xf numFmtId="166" fontId="28" fillId="0" borderId="0" xfId="1569" applyNumberFormat="1" applyFont="1" applyBorder="1"/>
    <xf numFmtId="0" fontId="6" fillId="0" borderId="0" xfId="1574" applyFill="1"/>
    <xf numFmtId="0" fontId="13" fillId="0" borderId="0" xfId="1574" applyFont="1" applyFill="1"/>
    <xf numFmtId="0" fontId="6" fillId="0" borderId="0" xfId="1574" applyFont="1" applyFill="1"/>
    <xf numFmtId="0" fontId="6" fillId="0" borderId="0" xfId="1574" applyFill="1" applyBorder="1"/>
    <xf numFmtId="0" fontId="13" fillId="0" borderId="0" xfId="1574" applyFont="1" applyFill="1" applyAlignment="1">
      <alignment horizontal="center"/>
    </xf>
    <xf numFmtId="0" fontId="6" fillId="0" borderId="0" xfId="1574" applyFont="1" applyFill="1" applyAlignment="1">
      <alignment horizontal="center"/>
    </xf>
    <xf numFmtId="0" fontId="13" fillId="0" borderId="0" xfId="1574" applyFont="1" applyFill="1" applyBorder="1" applyAlignment="1">
      <alignment horizontal="center"/>
    </xf>
    <xf numFmtId="0" fontId="6" fillId="0" borderId="21" xfId="1574" applyFont="1" applyFill="1" applyBorder="1" applyAlignment="1">
      <alignment horizontal="center"/>
    </xf>
    <xf numFmtId="0" fontId="6" fillId="0" borderId="0" xfId="1564" applyFont="1" applyFill="1" applyBorder="1" applyAlignment="1">
      <alignment horizontal="center"/>
    </xf>
    <xf numFmtId="0" fontId="6" fillId="0" borderId="0" xfId="1574" applyFont="1" applyFill="1" applyBorder="1" applyAlignment="1">
      <alignment horizontal="center"/>
    </xf>
    <xf numFmtId="17" fontId="6" fillId="0" borderId="0" xfId="1574" applyNumberFormat="1" applyFill="1" applyBorder="1"/>
    <xf numFmtId="166" fontId="6" fillId="0" borderId="0" xfId="1257" applyNumberFormat="1" applyFont="1" applyFill="1" applyBorder="1"/>
    <xf numFmtId="166" fontId="71" fillId="0" borderId="0" xfId="1257" applyNumberFormat="1" applyFill="1" applyBorder="1"/>
    <xf numFmtId="17" fontId="6" fillId="0" borderId="0" xfId="1574" applyNumberFormat="1" applyFont="1" applyFill="1" applyBorder="1"/>
    <xf numFmtId="41" fontId="6" fillId="0" borderId="0" xfId="1257" applyNumberFormat="1" applyFont="1" applyFill="1" applyBorder="1"/>
    <xf numFmtId="166" fontId="31" fillId="0" borderId="0" xfId="1256" applyNumberFormat="1" applyFill="1"/>
    <xf numFmtId="17" fontId="6" fillId="0" borderId="0" xfId="1574" applyNumberFormat="1" applyFont="1" applyFill="1"/>
    <xf numFmtId="0" fontId="6" fillId="0" borderId="0" xfId="1574" applyFont="1" applyFill="1" applyBorder="1"/>
    <xf numFmtId="0" fontId="8" fillId="0" borderId="0" xfId="1497" applyNumberFormat="1" applyFont="1" applyFill="1" applyAlignment="1"/>
    <xf numFmtId="0" fontId="8" fillId="0" borderId="0" xfId="1497" applyNumberFormat="1" applyFont="1" applyAlignment="1"/>
    <xf numFmtId="166" fontId="109" fillId="0" borderId="0" xfId="1256" applyNumberFormat="1" applyFont="1" applyFill="1" applyBorder="1"/>
    <xf numFmtId="166" fontId="109" fillId="0" borderId="3" xfId="1256" applyNumberFormat="1" applyFont="1" applyFill="1" applyBorder="1"/>
    <xf numFmtId="0" fontId="110" fillId="0" borderId="0" xfId="1574" applyFont="1" applyFill="1"/>
    <xf numFmtId="0" fontId="111" fillId="0" borderId="0" xfId="1574" applyFont="1" applyFill="1"/>
    <xf numFmtId="0" fontId="111" fillId="0" borderId="0" xfId="1574" applyFont="1" applyFill="1" applyBorder="1"/>
    <xf numFmtId="0" fontId="111" fillId="0" borderId="0" xfId="1497" applyNumberFormat="1" applyFont="1" applyFill="1" applyAlignment="1"/>
    <xf numFmtId="0" fontId="110" fillId="0" borderId="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"/>
    </xf>
    <xf numFmtId="0" fontId="111" fillId="0" borderId="0" xfId="1564" applyFont="1" applyFill="1" applyBorder="1" applyAlignment="1">
      <alignment horizontal="center"/>
    </xf>
    <xf numFmtId="0" fontId="111" fillId="0" borderId="46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Continuous"/>
    </xf>
    <xf numFmtId="0" fontId="111" fillId="0" borderId="5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Continuous"/>
    </xf>
    <xf numFmtId="0" fontId="111" fillId="0" borderId="21" xfId="1564" applyFont="1" applyFill="1" applyBorder="1" applyAlignment="1">
      <alignment horizontal="center"/>
    </xf>
    <xf numFmtId="0" fontId="111" fillId="0" borderId="61" xfId="1497" applyNumberFormat="1" applyFont="1" applyFill="1" applyBorder="1" applyAlignment="1"/>
    <xf numFmtId="6" fontId="111" fillId="0" borderId="0" xfId="1574" applyNumberFormat="1" applyFont="1" applyFill="1" applyBorder="1" applyAlignment="1">
      <alignment horizontal="center"/>
    </xf>
    <xf numFmtId="6" fontId="111" fillId="0" borderId="0" xfId="1574" applyNumberFormat="1" applyFont="1" applyFill="1" applyBorder="1"/>
    <xf numFmtId="5" fontId="111" fillId="0" borderId="0" xfId="1574" applyNumberFormat="1" applyFont="1" applyFill="1" applyBorder="1"/>
    <xf numFmtId="166" fontId="111" fillId="0" borderId="50" xfId="1498" applyNumberFormat="1" applyFont="1" applyFill="1" applyBorder="1" applyAlignment="1"/>
    <xf numFmtId="166" fontId="111" fillId="0" borderId="0" xfId="1256" applyNumberFormat="1" applyFont="1" applyFill="1" applyBorder="1"/>
    <xf numFmtId="17" fontId="111" fillId="0" borderId="0" xfId="1574" applyNumberFormat="1" applyFont="1" applyFill="1" applyBorder="1"/>
    <xf numFmtId="166" fontId="111" fillId="0" borderId="0" xfId="1574" applyNumberFormat="1" applyFont="1" applyFill="1" applyBorder="1"/>
    <xf numFmtId="0" fontId="111" fillId="0" borderId="50" xfId="1497" applyNumberFormat="1" applyFont="1" applyFill="1" applyBorder="1" applyAlignment="1"/>
    <xf numFmtId="178" fontId="110" fillId="0" borderId="64" xfId="1567" applyNumberFormat="1" applyFont="1" applyFill="1" applyBorder="1" applyAlignment="1">
      <alignment horizontal="center"/>
    </xf>
    <xf numFmtId="17" fontId="111" fillId="0" borderId="3" xfId="1574" applyNumberFormat="1" applyFont="1" applyFill="1" applyBorder="1"/>
    <xf numFmtId="166" fontId="111" fillId="0" borderId="3" xfId="1256" applyNumberFormat="1" applyFont="1" applyFill="1" applyBorder="1"/>
    <xf numFmtId="166" fontId="111" fillId="0" borderId="3" xfId="1574" applyNumberFormat="1" applyFont="1" applyFill="1" applyBorder="1"/>
    <xf numFmtId="0" fontId="7" fillId="0" borderId="0" xfId="1498" applyNumberFormat="1" applyAlignment="1"/>
    <xf numFmtId="0" fontId="7" fillId="0" borderId="0" xfId="1498" applyNumberFormat="1" applyBorder="1" applyAlignment="1"/>
    <xf numFmtId="41" fontId="6" fillId="0" borderId="0" xfId="1255" applyNumberFormat="1" applyFont="1" applyFill="1" applyBorder="1"/>
    <xf numFmtId="41" fontId="111" fillId="0" borderId="0" xfId="1574" applyNumberFormat="1" applyFont="1" applyFill="1" applyBorder="1"/>
    <xf numFmtId="167" fontId="125" fillId="38" borderId="36" xfId="1302" applyNumberFormat="1" applyFont="1" applyFill="1" applyBorder="1"/>
    <xf numFmtId="43" fontId="6" fillId="0" borderId="0" xfId="1573" applyNumberFormat="1" applyFont="1" applyFill="1" applyBorder="1"/>
    <xf numFmtId="43" fontId="111" fillId="0" borderId="0" xfId="1497" applyNumberFormat="1" applyFont="1" applyFill="1" applyAlignment="1"/>
    <xf numFmtId="166" fontId="6" fillId="0" borderId="0" xfId="1569" applyNumberFormat="1" applyBorder="1"/>
    <xf numFmtId="0" fontId="127" fillId="0" borderId="0" xfId="0" applyNumberFormat="1" applyFont="1" applyAlignment="1"/>
    <xf numFmtId="0" fontId="128" fillId="0" borderId="12" xfId="1475" applyFont="1" applyFill="1" applyBorder="1" applyAlignment="1">
      <alignment horizontal="center" vertical="top"/>
    </xf>
    <xf numFmtId="0" fontId="128" fillId="0" borderId="30" xfId="1475" applyFont="1" applyFill="1" applyBorder="1" applyAlignment="1">
      <alignment horizontal="centerContinuous" vertical="top"/>
    </xf>
    <xf numFmtId="0" fontId="128" fillId="0" borderId="29" xfId="1475" applyFont="1" applyFill="1" applyBorder="1" applyAlignment="1">
      <alignment horizontal="centerContinuous" vertical="top" wrapText="1"/>
    </xf>
    <xf numFmtId="0" fontId="128" fillId="0" borderId="4" xfId="1475" applyFont="1" applyFill="1" applyBorder="1" applyAlignment="1">
      <alignment horizontal="centerContinuous" vertical="top" wrapText="1"/>
    </xf>
    <xf numFmtId="0" fontId="128" fillId="0" borderId="30" xfId="1475" applyFont="1" applyFill="1" applyBorder="1" applyAlignment="1">
      <alignment horizontal="centerContinuous" vertical="top" wrapText="1"/>
    </xf>
    <xf numFmtId="0" fontId="123" fillId="0" borderId="12" xfId="0" applyNumberFormat="1" applyFont="1" applyFill="1" applyBorder="1" applyAlignment="1">
      <alignment horizontal="center" wrapText="1"/>
    </xf>
    <xf numFmtId="0" fontId="128" fillId="0" borderId="0" xfId="1475" applyFont="1" applyFill="1"/>
    <xf numFmtId="43" fontId="128" fillId="0" borderId="0" xfId="1253" applyFont="1" applyFill="1"/>
    <xf numFmtId="0" fontId="115" fillId="0" borderId="39" xfId="1475" applyFont="1" applyFill="1" applyBorder="1" applyAlignment="1">
      <alignment horizontal="centerContinuous" vertical="top"/>
    </xf>
    <xf numFmtId="0" fontId="6" fillId="0" borderId="0" xfId="1565" applyFill="1" applyBorder="1"/>
    <xf numFmtId="43" fontId="6" fillId="0" borderId="0" xfId="1565" applyNumberFormat="1" applyFill="1" applyBorder="1" applyAlignment="1">
      <alignment horizontal="left" wrapText="1"/>
    </xf>
    <xf numFmtId="43" fontId="6" fillId="0" borderId="0" xfId="1565" applyNumberFormat="1" applyFill="1" applyBorder="1"/>
    <xf numFmtId="0" fontId="6" fillId="0" borderId="0" xfId="1565" applyFont="1" applyFill="1" applyBorder="1"/>
    <xf numFmtId="43" fontId="6" fillId="0" borderId="0" xfId="1565" applyNumberFormat="1" applyFill="1"/>
    <xf numFmtId="0" fontId="6" fillId="0" borderId="40" xfId="1565" applyFont="1" applyBorder="1"/>
    <xf numFmtId="0" fontId="13" fillId="0" borderId="0" xfId="35248" applyFont="1" applyFill="1"/>
    <xf numFmtId="0" fontId="6" fillId="0" borderId="0" xfId="35248" applyFill="1"/>
    <xf numFmtId="0" fontId="6" fillId="0" borderId="0" xfId="35248" applyFont="1" applyFill="1"/>
    <xf numFmtId="0" fontId="6" fillId="0" borderId="0" xfId="35248" applyFill="1" applyBorder="1"/>
    <xf numFmtId="0" fontId="13" fillId="0" borderId="0" xfId="35248" applyFont="1" applyFill="1" applyAlignment="1">
      <alignment horizontal="centerContinuous"/>
    </xf>
    <xf numFmtId="0" fontId="13" fillId="0" borderId="0" xfId="35248" applyFont="1" applyFill="1" applyAlignment="1">
      <alignment horizontal="center"/>
    </xf>
    <xf numFmtId="0" fontId="6" fillId="0" borderId="0" xfId="35248" applyFill="1" applyAlignment="1">
      <alignment horizontal="center"/>
    </xf>
    <xf numFmtId="0" fontId="6" fillId="0" borderId="0" xfId="35248" applyFont="1" applyFill="1" applyAlignment="1">
      <alignment horizontal="center"/>
    </xf>
    <xf numFmtId="0" fontId="13" fillId="0" borderId="0" xfId="35248" applyFont="1" applyFill="1" applyBorder="1" applyAlignment="1">
      <alignment horizontal="center"/>
    </xf>
    <xf numFmtId="0" fontId="6" fillId="0" borderId="21" xfId="35248" applyFill="1" applyBorder="1"/>
    <xf numFmtId="0" fontId="13" fillId="0" borderId="21" xfId="35248" applyFont="1" applyFill="1" applyBorder="1" applyAlignment="1">
      <alignment horizontal="center" wrapText="1"/>
    </xf>
    <xf numFmtId="0" fontId="13" fillId="0" borderId="21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"/>
    </xf>
    <xf numFmtId="0" fontId="6" fillId="0" borderId="21" xfId="35248" applyFont="1" applyFill="1" applyBorder="1" applyAlignment="1">
      <alignment horizontal="center"/>
    </xf>
    <xf numFmtId="0" fontId="6" fillId="0" borderId="0" xfId="35248" applyFill="1" applyBorder="1" applyAlignment="1">
      <alignment horizontal="center"/>
    </xf>
    <xf numFmtId="0" fontId="6" fillId="0" borderId="0" xfId="35247" applyFont="1" applyFill="1" applyAlignment="1">
      <alignment horizontal="center"/>
    </xf>
    <xf numFmtId="0" fontId="6" fillId="0" borderId="0" xfId="35247" applyFont="1" applyFill="1" applyBorder="1" applyAlignment="1">
      <alignment horizontal="center"/>
    </xf>
    <xf numFmtId="0" fontId="6" fillId="0" borderId="0" xfId="35248" applyFill="1" applyBorder="1" applyAlignment="1">
      <alignment horizontal="centerContinuous"/>
    </xf>
    <xf numFmtId="0" fontId="6" fillId="0" borderId="0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Continuous"/>
    </xf>
    <xf numFmtId="0" fontId="6" fillId="0" borderId="21" xfId="35247" applyFont="1" applyFill="1" applyBorder="1" applyAlignment="1">
      <alignment horizontal="center"/>
    </xf>
    <xf numFmtId="0" fontId="6" fillId="0" borderId="21" xfId="35247" quotePrefix="1" applyFont="1" applyFill="1" applyBorder="1" applyAlignment="1">
      <alignment horizontal="center"/>
    </xf>
    <xf numFmtId="6" fontId="6" fillId="0" borderId="0" xfId="35248" applyNumberFormat="1" applyFill="1"/>
    <xf numFmtId="6" fontId="6" fillId="0" borderId="0" xfId="35248" applyNumberFormat="1" applyFill="1" applyBorder="1" applyAlignment="1">
      <alignment horizontal="center"/>
    </xf>
    <xf numFmtId="6" fontId="6" fillId="0" borderId="0" xfId="35248" applyNumberFormat="1" applyFont="1" applyFill="1" applyBorder="1"/>
    <xf numFmtId="5" fontId="6" fillId="0" borderId="0" xfId="35248" applyNumberFormat="1" applyFont="1" applyFill="1" applyBorder="1"/>
    <xf numFmtId="17" fontId="6" fillId="0" borderId="0" xfId="35248" applyNumberFormat="1" applyFill="1" applyBorder="1"/>
    <xf numFmtId="17" fontId="6" fillId="0" borderId="0" xfId="35248" applyNumberFormat="1" applyFill="1"/>
    <xf numFmtId="38" fontId="6" fillId="0" borderId="0" xfId="35248" applyNumberFormat="1" applyFill="1"/>
    <xf numFmtId="41" fontId="6" fillId="0" borderId="0" xfId="35248" applyNumberFormat="1" applyFont="1" applyFill="1" applyBorder="1"/>
    <xf numFmtId="166" fontId="6" fillId="0" borderId="0" xfId="29902" applyNumberFormat="1" applyFont="1" applyFill="1" applyBorder="1"/>
    <xf numFmtId="6" fontId="6" fillId="0" borderId="0" xfId="35248" applyNumberFormat="1" applyFont="1" applyFill="1"/>
    <xf numFmtId="166" fontId="6" fillId="0" borderId="0" xfId="29902" applyNumberFormat="1" applyFont="1" applyFill="1"/>
    <xf numFmtId="166" fontId="6" fillId="0" borderId="0" xfId="29902" applyNumberFormat="1" applyFill="1"/>
    <xf numFmtId="166" fontId="6" fillId="0" borderId="0" xfId="29902" applyNumberFormat="1" applyFill="1" applyBorder="1"/>
    <xf numFmtId="6" fontId="6" fillId="0" borderId="0" xfId="35248" applyNumberFormat="1" applyFill="1" applyBorder="1"/>
    <xf numFmtId="17" fontId="6" fillId="0" borderId="0" xfId="35248" applyNumberFormat="1" applyFont="1" applyFill="1" applyBorder="1"/>
    <xf numFmtId="14" fontId="6" fillId="0" borderId="0" xfId="35248" applyNumberFormat="1" applyFill="1" applyBorder="1"/>
    <xf numFmtId="166" fontId="6" fillId="0" borderId="0" xfId="35248" applyNumberFormat="1" applyFont="1" applyFill="1" applyBorder="1"/>
    <xf numFmtId="17" fontId="6" fillId="0" borderId="0" xfId="35248" applyNumberFormat="1" applyFont="1" applyFill="1"/>
    <xf numFmtId="10" fontId="7" fillId="0" borderId="0" xfId="1498" applyNumberFormat="1" applyAlignment="1"/>
    <xf numFmtId="166" fontId="6" fillId="0" borderId="0" xfId="1498" applyNumberFormat="1" applyFont="1" applyFill="1" applyAlignment="1"/>
    <xf numFmtId="0" fontId="6" fillId="0" borderId="44" xfId="1574" applyFont="1" applyFill="1" applyBorder="1"/>
    <xf numFmtId="0" fontId="111" fillId="0" borderId="41" xfId="1574" applyFont="1" applyFill="1" applyBorder="1"/>
    <xf numFmtId="0" fontId="111" fillId="0" borderId="41" xfId="1574" applyFont="1" applyFill="1" applyBorder="1" applyAlignment="1">
      <alignment horizontal="center"/>
    </xf>
    <xf numFmtId="0" fontId="111" fillId="0" borderId="41" xfId="1564" applyFont="1" applyFill="1" applyBorder="1" applyAlignment="1">
      <alignment horizontal="center"/>
    </xf>
    <xf numFmtId="0" fontId="6" fillId="0" borderId="40" xfId="1574" applyFont="1" applyFill="1" applyBorder="1"/>
    <xf numFmtId="0" fontId="6" fillId="0" borderId="65" xfId="1574" applyFont="1" applyFill="1" applyBorder="1"/>
    <xf numFmtId="0" fontId="111" fillId="0" borderId="0" xfId="1574" applyFont="1" applyFill="1" applyBorder="1" applyAlignment="1">
      <alignment horizontal="right"/>
    </xf>
    <xf numFmtId="14" fontId="111" fillId="0" borderId="0" xfId="1574" applyNumberFormat="1" applyFont="1" applyFill="1" applyBorder="1"/>
    <xf numFmtId="0" fontId="8" fillId="0" borderId="40" xfId="1497" applyNumberFormat="1" applyFont="1" applyBorder="1" applyAlignment="1"/>
    <xf numFmtId="0" fontId="111" fillId="0" borderId="0" xfId="1497" applyNumberFormat="1" applyFont="1" applyFill="1" applyBorder="1" applyAlignment="1"/>
    <xf numFmtId="0" fontId="6" fillId="0" borderId="71" xfId="1574" applyFont="1" applyFill="1" applyBorder="1"/>
    <xf numFmtId="0" fontId="111" fillId="0" borderId="64" xfId="1497" applyNumberFormat="1" applyFont="1" applyFill="1" applyBorder="1" applyAlignment="1"/>
    <xf numFmtId="0" fontId="111" fillId="0" borderId="68" xfId="1497" applyNumberFormat="1" applyFont="1" applyFill="1" applyBorder="1" applyAlignment="1"/>
    <xf numFmtId="0" fontId="6" fillId="0" borderId="35" xfId="1574" applyFill="1" applyBorder="1"/>
    <xf numFmtId="0" fontId="6" fillId="0" borderId="35" xfId="1574" applyFont="1" applyFill="1" applyBorder="1"/>
    <xf numFmtId="166" fontId="6" fillId="0" borderId="37" xfId="1542" applyNumberFormat="1" applyBorder="1" applyAlignment="1"/>
    <xf numFmtId="166" fontId="6" fillId="0" borderId="36" xfId="1574" applyNumberFormat="1" applyFont="1" applyFill="1" applyBorder="1"/>
    <xf numFmtId="166" fontId="155" fillId="0" borderId="0" xfId="1256" applyNumberFormat="1" applyFont="1" applyFill="1" applyBorder="1"/>
    <xf numFmtId="166" fontId="155" fillId="0" borderId="21" xfId="1256" applyNumberFormat="1" applyFont="1" applyFill="1" applyBorder="1"/>
    <xf numFmtId="0" fontId="227" fillId="0" borderId="0" xfId="1498" applyNumberFormat="1" applyFont="1" applyAlignment="1"/>
    <xf numFmtId="166" fontId="155" fillId="0" borderId="0" xfId="1256" applyNumberFormat="1" applyFont="1" applyFill="1"/>
    <xf numFmtId="0" fontId="228" fillId="0" borderId="33" xfId="1574" applyFont="1" applyFill="1" applyBorder="1"/>
    <xf numFmtId="0" fontId="228" fillId="0" borderId="22" xfId="1574" applyFont="1" applyFill="1" applyBorder="1"/>
    <xf numFmtId="0" fontId="228" fillId="0" borderId="22" xfId="1574" applyFont="1" applyFill="1" applyBorder="1" applyAlignment="1">
      <alignment horizontal="center"/>
    </xf>
    <xf numFmtId="0" fontId="228" fillId="0" borderId="22" xfId="1564" applyFont="1" applyFill="1" applyBorder="1" applyAlignment="1">
      <alignment horizontal="center"/>
    </xf>
    <xf numFmtId="0" fontId="228" fillId="0" borderId="34" xfId="1574" applyFont="1" applyFill="1" applyBorder="1" applyAlignment="1">
      <alignment horizontal="center"/>
    </xf>
    <xf numFmtId="0" fontId="228" fillId="0" borderId="31" xfId="1574" applyFont="1" applyFill="1" applyBorder="1" applyAlignment="1">
      <alignment horizontal="center"/>
    </xf>
    <xf numFmtId="0" fontId="228" fillId="0" borderId="35" xfId="1574" applyFont="1" applyFill="1" applyBorder="1"/>
    <xf numFmtId="0" fontId="228" fillId="0" borderId="0" xfId="1574" applyFont="1" applyFill="1" applyBorder="1" applyAlignment="1">
      <alignment horizontal="center"/>
    </xf>
    <xf numFmtId="0" fontId="228" fillId="0" borderId="0" xfId="1574" applyFont="1" applyFill="1" applyBorder="1" applyAlignment="1">
      <alignment horizontal="centerContinuous"/>
    </xf>
    <xf numFmtId="0" fontId="228" fillId="0" borderId="0" xfId="1564" applyFont="1" applyFill="1" applyBorder="1" applyAlignment="1">
      <alignment horizontal="center"/>
    </xf>
    <xf numFmtId="0" fontId="228" fillId="0" borderId="36" xfId="1574" applyFont="1" applyFill="1" applyBorder="1" applyAlignment="1">
      <alignment horizontal="center"/>
    </xf>
    <xf numFmtId="0" fontId="228" fillId="0" borderId="37" xfId="1574" applyFont="1" applyFill="1" applyBorder="1" applyAlignment="1">
      <alignment horizontal="center"/>
    </xf>
    <xf numFmtId="0" fontId="228" fillId="0" borderId="38" xfId="1574" applyFont="1" applyFill="1" applyBorder="1"/>
    <xf numFmtId="0" fontId="228" fillId="0" borderId="21" xfId="1574" applyFont="1" applyFill="1" applyBorder="1" applyAlignment="1">
      <alignment horizontal="centerContinuous"/>
    </xf>
    <xf numFmtId="0" fontId="228" fillId="0" borderId="21" xfId="1574" applyFont="1" applyFill="1" applyBorder="1" applyAlignment="1">
      <alignment horizontal="center"/>
    </xf>
    <xf numFmtId="0" fontId="228" fillId="0" borderId="21" xfId="1564" applyFont="1" applyFill="1" applyBorder="1" applyAlignment="1">
      <alignment horizontal="center"/>
    </xf>
    <xf numFmtId="0" fontId="228" fillId="0" borderId="21" xfId="1564" quotePrefix="1" applyFont="1" applyFill="1" applyBorder="1" applyAlignment="1">
      <alignment horizontal="center"/>
    </xf>
    <xf numFmtId="0" fontId="228" fillId="0" borderId="39" xfId="1574" applyFont="1" applyFill="1" applyBorder="1" applyAlignment="1">
      <alignment horizontal="center"/>
    </xf>
    <xf numFmtId="0" fontId="228" fillId="0" borderId="32" xfId="1497" applyNumberFormat="1" applyFont="1" applyFill="1" applyBorder="1" applyAlignment="1"/>
    <xf numFmtId="0" fontId="228" fillId="0" borderId="0" xfId="1574" applyFont="1" applyFill="1" applyBorder="1" applyAlignment="1">
      <alignment horizontal="right"/>
    </xf>
    <xf numFmtId="0" fontId="228" fillId="0" borderId="0" xfId="1574" applyFont="1" applyFill="1" applyBorder="1"/>
    <xf numFmtId="6" fontId="228" fillId="0" borderId="0" xfId="1574" applyNumberFormat="1" applyFont="1" applyFill="1" applyBorder="1"/>
    <xf numFmtId="6" fontId="228" fillId="0" borderId="0" xfId="1574" applyNumberFormat="1" applyFont="1" applyFill="1" applyBorder="1" applyAlignment="1">
      <alignment horizontal="center"/>
    </xf>
    <xf numFmtId="5" fontId="228" fillId="0" borderId="0" xfId="1574" applyNumberFormat="1" applyFont="1" applyFill="1" applyBorder="1"/>
    <xf numFmtId="5" fontId="228" fillId="0" borderId="36" xfId="1574" applyNumberFormat="1" applyFont="1" applyFill="1" applyBorder="1"/>
    <xf numFmtId="0" fontId="228" fillId="0" borderId="37" xfId="1498" applyNumberFormat="1" applyFont="1" applyBorder="1" applyAlignment="1"/>
    <xf numFmtId="17" fontId="228" fillId="0" borderId="0" xfId="1574" applyNumberFormat="1" applyFont="1" applyFill="1" applyBorder="1"/>
    <xf numFmtId="38" fontId="228" fillId="0" borderId="0" xfId="1574" applyNumberFormat="1" applyFont="1" applyFill="1" applyBorder="1"/>
    <xf numFmtId="41" fontId="228" fillId="0" borderId="0" xfId="1574" applyNumberFormat="1" applyFont="1" applyFill="1" applyBorder="1"/>
    <xf numFmtId="166" fontId="228" fillId="0" borderId="0" xfId="1256" applyNumberFormat="1" applyFont="1" applyFill="1" applyBorder="1"/>
    <xf numFmtId="166" fontId="228" fillId="0" borderId="37" xfId="1542" applyNumberFormat="1" applyFont="1" applyBorder="1" applyAlignment="1"/>
    <xf numFmtId="166" fontId="228" fillId="0" borderId="36" xfId="1574" applyNumberFormat="1" applyFont="1" applyFill="1" applyBorder="1"/>
    <xf numFmtId="14" fontId="228" fillId="0" borderId="0" xfId="1574" applyNumberFormat="1" applyFont="1" applyFill="1" applyBorder="1"/>
    <xf numFmtId="41" fontId="228" fillId="0" borderId="0" xfId="1256" applyNumberFormat="1" applyFont="1" applyFill="1" applyBorder="1"/>
    <xf numFmtId="0" fontId="228" fillId="0" borderId="35" xfId="1498" applyNumberFormat="1" applyFont="1" applyBorder="1" applyAlignment="1"/>
    <xf numFmtId="0" fontId="228" fillId="0" borderId="0" xfId="1498" applyNumberFormat="1" applyFont="1" applyBorder="1" applyAlignment="1"/>
    <xf numFmtId="0" fontId="228" fillId="0" borderId="38" xfId="1498" applyNumberFormat="1" applyFont="1" applyBorder="1" applyAlignment="1"/>
    <xf numFmtId="0" fontId="228" fillId="0" borderId="21" xfId="1498" applyNumberFormat="1" applyFont="1" applyBorder="1" applyAlignment="1"/>
    <xf numFmtId="0" fontId="228" fillId="0" borderId="39" xfId="1498" applyNumberFormat="1" applyFont="1" applyBorder="1" applyAlignment="1"/>
    <xf numFmtId="0" fontId="228" fillId="0" borderId="32" xfId="1498" applyNumberFormat="1" applyFont="1" applyBorder="1" applyAlignment="1"/>
    <xf numFmtId="0" fontId="228" fillId="0" borderId="0" xfId="1498" applyNumberFormat="1" applyFont="1" applyAlignment="1"/>
    <xf numFmtId="9" fontId="111" fillId="0" borderId="0" xfId="1608" applyFont="1" applyFill="1" applyAlignment="1"/>
    <xf numFmtId="0" fontId="0" fillId="0" borderId="35" xfId="0" applyNumberFormat="1" applyBorder="1" applyAlignment="1"/>
    <xf numFmtId="0" fontId="0" fillId="0" borderId="38" xfId="0" applyNumberFormat="1" applyBorder="1" applyAlignment="1"/>
    <xf numFmtId="0" fontId="0" fillId="0" borderId="21" xfId="0" applyNumberFormat="1" applyBorder="1" applyAlignment="1"/>
    <xf numFmtId="0" fontId="0" fillId="0" borderId="39" xfId="0" applyNumberFormat="1" applyBorder="1" applyAlignment="1"/>
    <xf numFmtId="166" fontId="6" fillId="0" borderId="32" xfId="1542" applyNumberFormat="1" applyBorder="1" applyAlignment="1"/>
    <xf numFmtId="0" fontId="193" fillId="0" borderId="21" xfId="1564" applyFont="1" applyFill="1" applyBorder="1" applyAlignment="1">
      <alignment horizontal="center"/>
    </xf>
    <xf numFmtId="0" fontId="228" fillId="0" borderId="32" xfId="1574" applyFont="1" applyFill="1" applyBorder="1" applyAlignment="1">
      <alignment horizontal="center"/>
    </xf>
    <xf numFmtId="0" fontId="228" fillId="0" borderId="31" xfId="0" applyNumberFormat="1" applyFont="1" applyBorder="1" applyAlignment="1"/>
    <xf numFmtId="166" fontId="228" fillId="0" borderId="0" xfId="1257" applyNumberFormat="1" applyFont="1" applyFill="1" applyBorder="1"/>
    <xf numFmtId="0" fontId="228" fillId="0" borderId="37" xfId="0" applyNumberFormat="1" applyFont="1" applyBorder="1" applyAlignment="1"/>
    <xf numFmtId="166" fontId="225" fillId="0" borderId="0" xfId="1257" applyNumberFormat="1" applyFont="1" applyFill="1" applyBorder="1"/>
    <xf numFmtId="166" fontId="228" fillId="0" borderId="37" xfId="1542" applyNumberFormat="1" applyFont="1" applyFill="1" applyBorder="1" applyAlignment="1"/>
    <xf numFmtId="41" fontId="228" fillId="0" borderId="0" xfId="1257" applyNumberFormat="1" applyFont="1" applyFill="1" applyBorder="1"/>
    <xf numFmtId="1" fontId="13" fillId="0" borderId="0" xfId="0" applyNumberFormat="1" applyFont="1" applyAlignment="1">
      <alignment horizontal="right" wrapText="1" indent="1"/>
    </xf>
    <xf numFmtId="9" fontId="0" fillId="0" borderId="0" xfId="1608" applyFont="1" applyAlignment="1"/>
    <xf numFmtId="0" fontId="0" fillId="0" borderId="57" xfId="0" applyNumberFormat="1" applyBorder="1" applyAlignment="1"/>
    <xf numFmtId="165" fontId="6" fillId="0" borderId="103" xfId="0" applyFont="1" applyBorder="1">
      <alignment horizontal="left" wrapText="1"/>
    </xf>
    <xf numFmtId="9" fontId="0" fillId="0" borderId="0" xfId="1608" applyFont="1" applyFill="1" applyAlignment="1"/>
    <xf numFmtId="0" fontId="6" fillId="0" borderId="33" xfId="1573" applyFill="1" applyBorder="1"/>
    <xf numFmtId="0" fontId="6" fillId="0" borderId="22" xfId="1573" applyFill="1" applyBorder="1"/>
    <xf numFmtId="0" fontId="6" fillId="0" borderId="22" xfId="1563" applyFont="1" applyFill="1" applyBorder="1" applyAlignment="1">
      <alignment horizontal="center"/>
    </xf>
    <xf numFmtId="0" fontId="6" fillId="0" borderId="22" xfId="1573" applyFont="1" applyFill="1" applyBorder="1" applyAlignment="1">
      <alignment horizontal="center"/>
    </xf>
    <xf numFmtId="0" fontId="6" fillId="0" borderId="34" xfId="1573" applyFill="1" applyBorder="1" applyAlignment="1">
      <alignment horizontal="center"/>
    </xf>
    <xf numFmtId="0" fontId="6" fillId="0" borderId="35" xfId="1573" applyFill="1" applyBorder="1"/>
    <xf numFmtId="0" fontId="6" fillId="0" borderId="36" xfId="1573" applyFill="1" applyBorder="1" applyAlignment="1">
      <alignment horizontal="center"/>
    </xf>
    <xf numFmtId="0" fontId="6" fillId="0" borderId="36" xfId="1573" applyFont="1" applyFill="1" applyBorder="1" applyAlignment="1">
      <alignment horizontal="center"/>
    </xf>
    <xf numFmtId="0" fontId="6" fillId="0" borderId="38" xfId="1573" applyFill="1" applyBorder="1"/>
    <xf numFmtId="0" fontId="6" fillId="0" borderId="39" xfId="1573" applyFont="1" applyFill="1" applyBorder="1" applyAlignment="1">
      <alignment horizontal="center"/>
    </xf>
    <xf numFmtId="0" fontId="13" fillId="0" borderId="0" xfId="1573" applyFont="1" applyFill="1" applyBorder="1"/>
    <xf numFmtId="38" fontId="6" fillId="0" borderId="0" xfId="1573" applyNumberFormat="1" applyFill="1" applyBorder="1"/>
    <xf numFmtId="38" fontId="6" fillId="0" borderId="0" xfId="1290" applyNumberFormat="1" applyFont="1" applyFill="1" applyBorder="1"/>
    <xf numFmtId="166" fontId="6" fillId="0" borderId="36" xfId="1573" applyNumberFormat="1" applyFont="1" applyFill="1" applyBorder="1"/>
    <xf numFmtId="14" fontId="6" fillId="0" borderId="0" xfId="1573" applyNumberFormat="1" applyFill="1" applyBorder="1"/>
    <xf numFmtId="0" fontId="6" fillId="0" borderId="35" xfId="1573" applyFont="1" applyFill="1" applyBorder="1"/>
    <xf numFmtId="17" fontId="6" fillId="0" borderId="0" xfId="1573" applyNumberFormat="1" applyFont="1" applyFill="1" applyBorder="1"/>
    <xf numFmtId="4" fontId="6" fillId="0" borderId="0" xfId="1202" applyFont="1" applyFill="1" applyBorder="1" applyAlignment="1">
      <alignment horizontal="center"/>
    </xf>
    <xf numFmtId="17" fontId="6" fillId="68" borderId="0" xfId="1573" applyNumberFormat="1" applyFill="1" applyBorder="1"/>
    <xf numFmtId="4" fontId="6" fillId="0" borderId="21" xfId="1202" applyFont="1" applyFill="1" applyBorder="1" applyAlignment="1">
      <alignment horizontal="center"/>
    </xf>
    <xf numFmtId="6" fontId="6" fillId="0" borderId="21" xfId="1573" applyNumberFormat="1" applyFill="1" applyBorder="1"/>
    <xf numFmtId="166" fontId="6" fillId="0" borderId="21" xfId="1255" applyNumberFormat="1" applyFont="1" applyFill="1" applyBorder="1"/>
    <xf numFmtId="166" fontId="6" fillId="0" borderId="21" xfId="1255" applyNumberFormat="1" applyFill="1" applyBorder="1"/>
    <xf numFmtId="5" fontId="6" fillId="0" borderId="21" xfId="1573" applyNumberFormat="1" applyFont="1" applyFill="1" applyBorder="1"/>
    <xf numFmtId="0" fontId="6" fillId="0" borderId="39" xfId="1573" applyFill="1" applyBorder="1"/>
    <xf numFmtId="9" fontId="6" fillId="0" borderId="0" xfId="1608" applyFont="1" applyFill="1" applyBorder="1"/>
    <xf numFmtId="0" fontId="6" fillId="0" borderId="34" xfId="1573" applyFont="1" applyFill="1" applyBorder="1" applyAlignment="1">
      <alignment horizontal="center"/>
    </xf>
    <xf numFmtId="166" fontId="6" fillId="0" borderId="36" xfId="1255" applyNumberFormat="1" applyFont="1" applyFill="1" applyBorder="1"/>
    <xf numFmtId="17" fontId="6" fillId="0" borderId="0" xfId="1573" applyNumberFormat="1" applyFont="1" applyFill="1" applyBorder="1" applyAlignment="1">
      <alignment horizontal="right"/>
    </xf>
    <xf numFmtId="17" fontId="6" fillId="0" borderId="0" xfId="1573" applyNumberFormat="1" applyFill="1" applyBorder="1" applyAlignment="1">
      <alignment horizontal="right"/>
    </xf>
    <xf numFmtId="3" fontId="6" fillId="0" borderId="0" xfId="1573" applyNumberFormat="1" applyFill="1" applyBorder="1"/>
    <xf numFmtId="3" fontId="6" fillId="0" borderId="0" xfId="1573" applyNumberFormat="1" applyFont="1" applyFill="1" applyBorder="1"/>
    <xf numFmtId="3" fontId="6" fillId="0" borderId="0" xfId="1255" applyNumberFormat="1" applyFill="1" applyBorder="1"/>
    <xf numFmtId="17" fontId="13" fillId="0" borderId="0" xfId="1573" applyNumberFormat="1" applyFont="1" applyFill="1" applyBorder="1"/>
    <xf numFmtId="17" fontId="6" fillId="0" borderId="21" xfId="1573" applyNumberFormat="1" applyFill="1" applyBorder="1"/>
    <xf numFmtId="3" fontId="6" fillId="0" borderId="21" xfId="1573" applyNumberFormat="1" applyFont="1" applyFill="1" applyBorder="1" applyAlignment="1">
      <alignment horizontal="center"/>
    </xf>
    <xf numFmtId="37" fontId="6" fillId="0" borderId="21" xfId="1202" applyNumberFormat="1" applyFont="1" applyFill="1" applyBorder="1" applyAlignment="1">
      <alignment horizontal="center"/>
    </xf>
    <xf numFmtId="166" fontId="6" fillId="0" borderId="39" xfId="1255" applyNumberFormat="1" applyFont="1" applyFill="1" applyBorder="1"/>
    <xf numFmtId="166" fontId="75" fillId="0" borderId="104" xfId="1475" applyNumberFormat="1" applyFont="1" applyFill="1" applyBorder="1" applyAlignment="1"/>
    <xf numFmtId="166" fontId="75" fillId="0" borderId="107" xfId="1475" applyNumberFormat="1" applyFont="1" applyFill="1" applyBorder="1" applyAlignment="1"/>
    <xf numFmtId="43" fontId="130" fillId="0" borderId="21" xfId="1475" applyNumberFormat="1" applyFill="1" applyBorder="1"/>
    <xf numFmtId="0" fontId="123" fillId="0" borderId="29" xfId="0" applyNumberFormat="1" applyFont="1" applyFill="1" applyBorder="1" applyAlignment="1">
      <alignment horizontal="left"/>
    </xf>
    <xf numFmtId="14" fontId="228" fillId="0" borderId="37" xfId="1475" applyNumberFormat="1" applyFont="1" applyFill="1" applyBorder="1"/>
    <xf numFmtId="43" fontId="228" fillId="0" borderId="0" xfId="1475" applyNumberFormat="1" applyFont="1" applyFill="1" applyBorder="1"/>
    <xf numFmtId="166" fontId="75" fillId="0" borderId="35" xfId="1253" applyNumberFormat="1" applyFont="1" applyFill="1" applyBorder="1"/>
    <xf numFmtId="166" fontId="75" fillId="0" borderId="36" xfId="1253" applyNumberFormat="1" applyFont="1" applyFill="1" applyBorder="1"/>
    <xf numFmtId="166" fontId="228" fillId="0" borderId="35" xfId="1475" applyNumberFormat="1" applyFont="1" applyFill="1" applyBorder="1"/>
    <xf numFmtId="166" fontId="228" fillId="0" borderId="0" xfId="1475" applyNumberFormat="1" applyFont="1" applyFill="1" applyBorder="1"/>
    <xf numFmtId="166" fontId="228" fillId="0" borderId="36" xfId="1475" applyNumberFormat="1" applyFont="1" applyFill="1" applyBorder="1"/>
    <xf numFmtId="166" fontId="225" fillId="0" borderId="36" xfId="1475" applyNumberFormat="1" applyFont="1" applyFill="1" applyBorder="1"/>
    <xf numFmtId="166" fontId="84" fillId="0" borderId="37" xfId="1475" applyNumberFormat="1" applyFont="1" applyFill="1" applyBorder="1" applyAlignment="1"/>
    <xf numFmtId="14" fontId="228" fillId="0" borderId="104" xfId="1475" applyNumberFormat="1" applyFont="1" applyFill="1" applyBorder="1"/>
    <xf numFmtId="43" fontId="228" fillId="0" borderId="57" xfId="1475" applyNumberFormat="1" applyFont="1" applyFill="1" applyBorder="1"/>
    <xf numFmtId="166" fontId="75" fillId="0" borderId="105" xfId="1253" applyNumberFormat="1" applyFont="1" applyFill="1" applyBorder="1"/>
    <xf numFmtId="166" fontId="75" fillId="0" borderId="106" xfId="1253" applyNumberFormat="1" applyFont="1" applyFill="1" applyBorder="1"/>
    <xf numFmtId="166" fontId="228" fillId="0" borderId="105" xfId="1475" applyNumberFormat="1" applyFont="1" applyFill="1" applyBorder="1"/>
    <xf numFmtId="166" fontId="228" fillId="0" borderId="57" xfId="1475" applyNumberFormat="1" applyFont="1" applyFill="1" applyBorder="1"/>
    <xf numFmtId="166" fontId="228" fillId="0" borderId="106" xfId="1475" applyNumberFormat="1" applyFont="1" applyFill="1" applyBorder="1"/>
    <xf numFmtId="43" fontId="228" fillId="0" borderId="41" xfId="1475" applyNumberFormat="1" applyFont="1" applyFill="1" applyBorder="1"/>
    <xf numFmtId="166" fontId="75" fillId="0" borderId="99" xfId="1253" applyNumberFormat="1" applyFont="1" applyFill="1" applyBorder="1"/>
    <xf numFmtId="166" fontId="75" fillId="0" borderId="100" xfId="1253" applyNumberFormat="1" applyFont="1" applyFill="1" applyBorder="1"/>
    <xf numFmtId="166" fontId="228" fillId="0" borderId="99" xfId="1475" applyNumberFormat="1" applyFont="1" applyFill="1" applyBorder="1"/>
    <xf numFmtId="166" fontId="228" fillId="0" borderId="41" xfId="1475" applyNumberFormat="1" applyFont="1" applyFill="1" applyBorder="1"/>
    <xf numFmtId="166" fontId="228" fillId="0" borderId="100" xfId="1475" applyNumberFormat="1" applyFont="1" applyFill="1" applyBorder="1"/>
    <xf numFmtId="43" fontId="228" fillId="0" borderId="5" xfId="1475" applyNumberFormat="1" applyFont="1" applyFill="1" applyBorder="1"/>
    <xf numFmtId="166" fontId="75" fillId="0" borderId="101" xfId="1253" applyNumberFormat="1" applyFont="1" applyFill="1" applyBorder="1"/>
    <xf numFmtId="166" fontId="75" fillId="0" borderId="102" xfId="1253" applyNumberFormat="1" applyFont="1" applyFill="1" applyBorder="1"/>
    <xf numFmtId="166" fontId="228" fillId="0" borderId="101" xfId="1475" applyNumberFormat="1" applyFont="1" applyFill="1" applyBorder="1"/>
    <xf numFmtId="166" fontId="228" fillId="0" borderId="5" xfId="1475" applyNumberFormat="1" applyFont="1" applyFill="1" applyBorder="1"/>
    <xf numFmtId="166" fontId="228" fillId="0" borderId="102" xfId="1475" applyNumberFormat="1" applyFont="1" applyFill="1" applyBorder="1"/>
    <xf numFmtId="41" fontId="6" fillId="0" borderId="0" xfId="1207" applyNumberFormat="1" applyFont="1" applyFill="1" applyBorder="1" applyAlignment="1">
      <alignment horizontal="center"/>
    </xf>
    <xf numFmtId="41" fontId="6" fillId="0" borderId="0" xfId="1207" applyNumberFormat="1" applyFont="1" applyFill="1" applyBorder="1" applyAlignment="1"/>
    <xf numFmtId="41" fontId="6" fillId="0" borderId="0" xfId="1255" applyNumberFormat="1" applyFont="1" applyFill="1" applyBorder="1" applyAlignment="1"/>
    <xf numFmtId="41" fontId="6" fillId="0" borderId="0" xfId="1225" applyNumberFormat="1" applyFont="1" applyFill="1" applyBorder="1" applyAlignment="1"/>
    <xf numFmtId="0" fontId="6" fillId="0" borderId="21" xfId="1563" quotePrefix="1" applyFont="1" applyFill="1" applyBorder="1" applyAlignment="1">
      <alignment horizontal="center"/>
    </xf>
    <xf numFmtId="41" fontId="7" fillId="0" borderId="0" xfId="1558" applyNumberFormat="1" applyFill="1" applyBorder="1" applyAlignment="1"/>
    <xf numFmtId="41" fontId="6" fillId="0" borderId="0" xfId="1558" applyNumberFormat="1" applyFont="1" applyFill="1" applyBorder="1" applyAlignment="1"/>
    <xf numFmtId="41" fontId="6" fillId="0" borderId="36" xfId="1558" applyNumberFormat="1" applyFont="1" applyFill="1" applyBorder="1" applyAlignment="1"/>
    <xf numFmtId="41" fontId="6" fillId="0" borderId="0" xfId="1255" applyNumberFormat="1" applyFill="1" applyBorder="1"/>
    <xf numFmtId="41" fontId="6" fillId="0" borderId="0" xfId="1255" applyNumberFormat="1" applyFill="1" applyBorder="1" applyAlignment="1"/>
    <xf numFmtId="17" fontId="6" fillId="0" borderId="65" xfId="1571" quotePrefix="1" applyNumberFormat="1" applyFill="1" applyBorder="1" applyAlignment="1">
      <alignment horizontal="left"/>
    </xf>
    <xf numFmtId="41" fontId="7" fillId="0" borderId="21" xfId="1558" applyNumberFormat="1" applyFill="1" applyBorder="1" applyAlignment="1"/>
    <xf numFmtId="41" fontId="6" fillId="0" borderId="21" xfId="1573" applyNumberFormat="1" applyFont="1" applyFill="1" applyBorder="1" applyAlignment="1"/>
    <xf numFmtId="41" fontId="6" fillId="0" borderId="21" xfId="1255" applyNumberFormat="1" applyFont="1" applyFill="1" applyBorder="1" applyAlignment="1"/>
    <xf numFmtId="41" fontId="6" fillId="0" borderId="21" xfId="1207" applyNumberFormat="1" applyFont="1" applyFill="1" applyBorder="1" applyAlignment="1"/>
    <xf numFmtId="41" fontId="6" fillId="0" borderId="21" xfId="1225" applyNumberFormat="1" applyFont="1" applyFill="1" applyBorder="1" applyAlignment="1"/>
    <xf numFmtId="0" fontId="7" fillId="0" borderId="22" xfId="1558" applyNumberFormat="1" applyFill="1" applyBorder="1" applyAlignment="1"/>
    <xf numFmtId="0" fontId="7" fillId="0" borderId="39" xfId="1558" applyNumberFormat="1" applyFill="1" applyBorder="1" applyAlignment="1"/>
    <xf numFmtId="0" fontId="7" fillId="0" borderId="36" xfId="1558" applyNumberFormat="1" applyFill="1" applyBorder="1" applyAlignment="1"/>
    <xf numFmtId="41" fontId="7" fillId="0" borderId="36" xfId="1558" applyNumberFormat="1" applyFill="1" applyBorder="1" applyAlignment="1"/>
    <xf numFmtId="41" fontId="7" fillId="0" borderId="0" xfId="1558" applyNumberFormat="1" applyFont="1" applyFill="1" applyBorder="1" applyAlignment="1"/>
    <xf numFmtId="41" fontId="7" fillId="0" borderId="36" xfId="1558" applyNumberFormat="1" applyFont="1" applyFill="1" applyBorder="1" applyAlignment="1"/>
    <xf numFmtId="0" fontId="7" fillId="0" borderId="0" xfId="1558" applyNumberFormat="1" applyFont="1" applyFill="1" applyAlignment="1"/>
    <xf numFmtId="41" fontId="7" fillId="0" borderId="0" xfId="1202" applyNumberFormat="1" applyFont="1" applyFill="1" applyAlignment="1"/>
    <xf numFmtId="41" fontId="6" fillId="0" borderId="21" xfId="1558" applyNumberFormat="1" applyFont="1" applyFill="1" applyBorder="1" applyAlignment="1"/>
    <xf numFmtId="41" fontId="6" fillId="0" borderId="39" xfId="1558" applyNumberFormat="1" applyFont="1" applyFill="1" applyBorder="1" applyAlignment="1"/>
    <xf numFmtId="9" fontId="7" fillId="0" borderId="0" xfId="1608" applyFont="1" applyFill="1" applyAlignment="1"/>
    <xf numFmtId="17" fontId="6" fillId="0" borderId="0" xfId="1571" quotePrefix="1" applyNumberFormat="1" applyFill="1" applyBorder="1" applyAlignment="1">
      <alignment horizontal="left"/>
    </xf>
    <xf numFmtId="1" fontId="6" fillId="0" borderId="0" xfId="1565" quotePrefix="1" applyNumberFormat="1" applyFill="1" applyBorder="1" applyAlignment="1">
      <alignment horizontal="center"/>
    </xf>
    <xf numFmtId="39" fontId="6" fillId="119" borderId="0" xfId="1569" applyNumberFormat="1" applyFill="1" applyBorder="1"/>
    <xf numFmtId="171" fontId="6" fillId="119" borderId="0" xfId="1627" applyNumberFormat="1" applyFont="1" applyFill="1" applyBorder="1"/>
    <xf numFmtId="174" fontId="6" fillId="119" borderId="0" xfId="1565" applyNumberFormat="1" applyFill="1" applyBorder="1"/>
    <xf numFmtId="39" fontId="28" fillId="119" borderId="0" xfId="1569" applyNumberFormat="1" applyFont="1" applyFill="1" applyBorder="1"/>
    <xf numFmtId="175" fontId="130" fillId="87" borderId="37" xfId="1475" applyNumberFormat="1" applyFill="1" applyBorder="1" applyAlignment="1">
      <alignment horizontal="center"/>
    </xf>
    <xf numFmtId="43" fontId="31" fillId="87" borderId="35" xfId="1253" quotePrefix="1" applyFont="1" applyFill="1" applyBorder="1" applyAlignment="1">
      <alignment horizontal="right"/>
    </xf>
    <xf numFmtId="167" fontId="31" fillId="87" borderId="36" xfId="1302" applyNumberFormat="1" applyFont="1" applyFill="1" applyBorder="1"/>
    <xf numFmtId="166" fontId="31" fillId="87" borderId="36" xfId="1253" applyNumberFormat="1" applyFont="1" applyFill="1" applyBorder="1"/>
    <xf numFmtId="166" fontId="31" fillId="87" borderId="0" xfId="1253" applyNumberFormat="1" applyFont="1" applyFill="1" applyBorder="1"/>
    <xf numFmtId="167" fontId="31" fillId="87" borderId="36" xfId="1302" applyNumberFormat="1" applyFont="1" applyFill="1" applyBorder="1" applyAlignment="1">
      <alignment horizontal="center"/>
    </xf>
    <xf numFmtId="43" fontId="31" fillId="87" borderId="0" xfId="1253" quotePrefix="1" applyFont="1" applyFill="1" applyBorder="1" applyAlignment="1">
      <alignment horizontal="right"/>
    </xf>
    <xf numFmtId="167" fontId="130" fillId="87" borderId="37" xfId="1475" applyNumberFormat="1" applyFill="1" applyBorder="1"/>
    <xf numFmtId="0" fontId="130" fillId="87" borderId="0" xfId="1475" applyFill="1" applyAlignment="1">
      <alignment horizontal="center"/>
    </xf>
    <xf numFmtId="14" fontId="130" fillId="87" borderId="0" xfId="1475" applyNumberFormat="1" applyFill="1"/>
    <xf numFmtId="166" fontId="31" fillId="87" borderId="0" xfId="1253" applyNumberFormat="1" applyFont="1" applyFill="1"/>
    <xf numFmtId="174" fontId="75" fillId="87" borderId="0" xfId="1633" applyNumberFormat="1" applyFont="1" applyFill="1" applyBorder="1"/>
    <xf numFmtId="43" fontId="31" fillId="87" borderId="0" xfId="1253" applyFont="1" applyFill="1"/>
    <xf numFmtId="166" fontId="80" fillId="87" borderId="0" xfId="1253" applyNumberFormat="1" applyFont="1" applyFill="1"/>
    <xf numFmtId="41" fontId="6" fillId="0" borderId="0" xfId="1290" applyNumberFormat="1" applyFont="1" applyFill="1" applyBorder="1"/>
    <xf numFmtId="43" fontId="6" fillId="0" borderId="20" xfId="1569" applyNumberFormat="1" applyBorder="1"/>
    <xf numFmtId="39" fontId="6" fillId="44" borderId="20" xfId="1569" applyNumberFormat="1" applyFill="1" applyBorder="1"/>
    <xf numFmtId="171" fontId="6" fillId="44" borderId="20" xfId="1627" applyNumberFormat="1" applyFont="1" applyFill="1" applyBorder="1"/>
    <xf numFmtId="174" fontId="6" fillId="44" borderId="20" xfId="1565" applyNumberFormat="1" applyFill="1" applyBorder="1"/>
    <xf numFmtId="39" fontId="28" fillId="44" borderId="20" xfId="1569" applyNumberFormat="1" applyFont="1" applyFill="1" applyBorder="1"/>
    <xf numFmtId="43" fontId="6" fillId="0" borderId="22" xfId="1569" applyNumberFormat="1" applyBorder="1"/>
    <xf numFmtId="39" fontId="6" fillId="44" borderId="22" xfId="1569" applyNumberFormat="1" applyFill="1" applyBorder="1"/>
    <xf numFmtId="171" fontId="6" fillId="44" borderId="22" xfId="1627" applyNumberFormat="1" applyFont="1" applyFill="1" applyBorder="1"/>
    <xf numFmtId="174" fontId="6" fillId="44" borderId="22" xfId="1565" applyNumberFormat="1" applyFill="1" applyBorder="1"/>
    <xf numFmtId="39" fontId="28" fillId="44" borderId="22" xfId="1569" applyNumberFormat="1" applyFont="1" applyFill="1" applyBorder="1"/>
    <xf numFmtId="43" fontId="6" fillId="44" borderId="109" xfId="1569" applyNumberFormat="1" applyFill="1" applyBorder="1" applyAlignment="1">
      <alignment horizontal="center"/>
    </xf>
    <xf numFmtId="43" fontId="6" fillId="44" borderId="36" xfId="1569" applyNumberFormat="1" applyFill="1" applyBorder="1" applyAlignment="1">
      <alignment horizontal="center"/>
    </xf>
    <xf numFmtId="43" fontId="6" fillId="119" borderId="36" xfId="1569" applyNumberFormat="1" applyFill="1" applyBorder="1" applyAlignment="1">
      <alignment horizontal="center"/>
    </xf>
    <xf numFmtId="43" fontId="6" fillId="44" borderId="110" xfId="1569" applyNumberFormat="1" applyFill="1" applyBorder="1" applyAlignment="1">
      <alignment horizontal="center"/>
    </xf>
    <xf numFmtId="0" fontId="7" fillId="0" borderId="0" xfId="1498" applyNumberFormat="1" applyFill="1" applyAlignment="1"/>
    <xf numFmtId="1" fontId="6" fillId="0" borderId="20" xfId="1565" quotePrefix="1" applyNumberFormat="1" applyBorder="1" applyAlignment="1">
      <alignment horizontal="center"/>
    </xf>
    <xf numFmtId="17" fontId="6" fillId="45" borderId="20" xfId="1565" applyNumberFormat="1" applyFill="1" applyBorder="1" applyAlignment="1">
      <alignment horizontal="left"/>
    </xf>
    <xf numFmtId="17" fontId="6" fillId="0" borderId="0" xfId="1565" applyNumberFormat="1" applyFill="1" applyBorder="1" applyAlignment="1">
      <alignment horizontal="left"/>
    </xf>
    <xf numFmtId="43" fontId="6" fillId="0" borderId="0" xfId="1569" applyNumberFormat="1" applyFill="1" applyBorder="1"/>
    <xf numFmtId="39" fontId="6" fillId="0" borderId="0" xfId="1569" applyNumberFormat="1" applyFill="1" applyBorder="1"/>
    <xf numFmtId="171" fontId="6" fillId="0" borderId="0" xfId="1627" applyNumberFormat="1" applyFont="1" applyFill="1" applyBorder="1"/>
    <xf numFmtId="174" fontId="6" fillId="0" borderId="0" xfId="1565" applyNumberFormat="1" applyFill="1" applyBorder="1"/>
    <xf numFmtId="39" fontId="28" fillId="0" borderId="0" xfId="1569" applyNumberFormat="1" applyFont="1" applyFill="1" applyBorder="1"/>
    <xf numFmtId="43" fontId="6" fillId="0" borderId="0" xfId="1569" applyNumberFormat="1" applyFill="1" applyBorder="1" applyAlignment="1">
      <alignment horizontal="center"/>
    </xf>
    <xf numFmtId="171" fontId="6" fillId="119" borderId="20" xfId="1627" applyNumberFormat="1" applyFont="1" applyFill="1" applyBorder="1"/>
    <xf numFmtId="174" fontId="6" fillId="119" borderId="20" xfId="1565" applyNumberFormat="1" applyFill="1" applyBorder="1"/>
    <xf numFmtId="0" fontId="7" fillId="0" borderId="0" xfId="1498" applyNumberFormat="1" applyFont="1" applyAlignment="1"/>
    <xf numFmtId="0" fontId="230" fillId="0" borderId="0" xfId="1574" applyFont="1" applyFill="1" applyAlignment="1">
      <alignment horizontal="centerContinuous"/>
    </xf>
    <xf numFmtId="0" fontId="138" fillId="0" borderId="0" xfId="1574" applyFont="1" applyFill="1" applyAlignment="1">
      <alignment horizontal="center"/>
    </xf>
    <xf numFmtId="0" fontId="6" fillId="0" borderId="21" xfId="1574" applyFont="1" applyFill="1" applyBorder="1"/>
    <xf numFmtId="0" fontId="13" fillId="0" borderId="21" xfId="1574" applyFont="1" applyFill="1" applyBorder="1" applyAlignment="1">
      <alignment horizontal="center"/>
    </xf>
    <xf numFmtId="0" fontId="6" fillId="0" borderId="0" xfId="1564" applyFont="1" applyFill="1" applyAlignment="1">
      <alignment horizontal="center"/>
    </xf>
    <xf numFmtId="0" fontId="6" fillId="0" borderId="0" xfId="1574" applyFont="1" applyFill="1" applyBorder="1" applyAlignment="1">
      <alignment horizontal="centerContinuous"/>
    </xf>
    <xf numFmtId="164" fontId="7" fillId="0" borderId="0" xfId="35860" applyNumberFormat="1" applyFont="1" applyAlignment="1"/>
    <xf numFmtId="0" fontId="6" fillId="0" borderId="21" xfId="1564" applyFont="1" applyFill="1" applyBorder="1" applyAlignment="1">
      <alignment horizontal="center"/>
    </xf>
    <xf numFmtId="0" fontId="14" fillId="0" borderId="21" xfId="1574" applyFont="1" applyFill="1" applyBorder="1" applyAlignment="1">
      <alignment horizontal="center"/>
    </xf>
    <xf numFmtId="6" fontId="6" fillId="0" borderId="0" xfId="1574" applyNumberFormat="1" applyFont="1" applyFill="1"/>
    <xf numFmtId="166" fontId="6" fillId="0" borderId="0" xfId="29890" applyNumberFormat="1" applyFont="1" applyFill="1" applyBorder="1"/>
    <xf numFmtId="166" fontId="6" fillId="0" borderId="0" xfId="29890" applyNumberFormat="1" applyFont="1" applyFill="1"/>
    <xf numFmtId="166" fontId="6" fillId="0" borderId="0" xfId="1574" applyNumberFormat="1" applyFont="1" applyFill="1" applyBorder="1"/>
    <xf numFmtId="0" fontId="231" fillId="0" borderId="0" xfId="1498" applyNumberFormat="1" applyFont="1" applyAlignment="1"/>
    <xf numFmtId="9" fontId="7" fillId="0" borderId="0" xfId="35860" applyFont="1" applyAlignment="1"/>
    <xf numFmtId="166" fontId="7" fillId="0" borderId="0" xfId="1498" applyNumberFormat="1" applyFont="1" applyAlignment="1"/>
    <xf numFmtId="43" fontId="7" fillId="0" borderId="0" xfId="1498" applyNumberFormat="1" applyFont="1" applyAlignment="1"/>
    <xf numFmtId="9" fontId="7" fillId="0" borderId="0" xfId="35860" applyFont="1" applyFill="1" applyAlignment="1"/>
    <xf numFmtId="0" fontId="7" fillId="0" borderId="0" xfId="1498" applyNumberFormat="1" applyFont="1" applyFill="1" applyAlignment="1"/>
    <xf numFmtId="0" fontId="150" fillId="0" borderId="21" xfId="1574" applyFont="1" applyFill="1" applyBorder="1" applyAlignment="1">
      <alignment horizontal="center" wrapText="1"/>
    </xf>
    <xf numFmtId="6" fontId="7" fillId="0" borderId="0" xfId="1498" applyNumberFormat="1" applyFont="1" applyAlignment="1"/>
    <xf numFmtId="0" fontId="226" fillId="0" borderId="0" xfId="35248" applyFont="1" applyFill="1" applyAlignment="1">
      <alignment horizontal="left"/>
    </xf>
    <xf numFmtId="41" fontId="6" fillId="0" borderId="0" xfId="1574" applyNumberFormat="1" applyFont="1" applyFill="1" applyBorder="1" applyAlignment="1">
      <alignment horizontal="right"/>
    </xf>
    <xf numFmtId="41" fontId="6" fillId="0" borderId="0" xfId="1574" applyNumberFormat="1" applyFont="1" applyFill="1" applyAlignment="1">
      <alignment horizontal="center"/>
    </xf>
    <xf numFmtId="41" fontId="6" fillId="0" borderId="0" xfId="29890" applyNumberFormat="1" applyFont="1" applyFill="1" applyBorder="1"/>
    <xf numFmtId="41" fontId="6" fillId="0" borderId="0" xfId="29890" applyNumberFormat="1" applyFont="1" applyFill="1"/>
    <xf numFmtId="41" fontId="6" fillId="0" borderId="0" xfId="1574" applyNumberFormat="1" applyFont="1" applyFill="1" applyBorder="1"/>
    <xf numFmtId="167" fontId="76" fillId="118" borderId="0" xfId="1475" applyNumberFormat="1" applyFont="1" applyFill="1" applyBorder="1"/>
    <xf numFmtId="39" fontId="6" fillId="44" borderId="21" xfId="1569" applyNumberFormat="1" applyFill="1" applyBorder="1"/>
    <xf numFmtId="43" fontId="6" fillId="44" borderId="39" xfId="1569" applyNumberFormat="1" applyFill="1" applyBorder="1" applyAlignment="1">
      <alignment horizontal="center"/>
    </xf>
    <xf numFmtId="0" fontId="226" fillId="0" borderId="0" xfId="35248" applyFont="1" applyFill="1" applyAlignment="1">
      <alignment horizontal="center"/>
    </xf>
    <xf numFmtId="0" fontId="46" fillId="0" borderId="0" xfId="35248" applyFont="1" applyFill="1" applyBorder="1" applyAlignment="1">
      <alignment horizontal="center"/>
    </xf>
    <xf numFmtId="0" fontId="6" fillId="0" borderId="0" xfId="35247" quotePrefix="1" applyFont="1" applyFill="1" applyBorder="1" applyAlignment="1">
      <alignment horizontal="center"/>
    </xf>
    <xf numFmtId="0" fontId="228" fillId="0" borderId="0" xfId="1498" applyNumberFormat="1" applyFont="1" applyFill="1" applyAlignment="1"/>
    <xf numFmtId="17" fontId="13" fillId="0" borderId="22" xfId="1565" applyNumberFormat="1" applyFont="1" applyFill="1" applyBorder="1" applyAlignment="1">
      <alignment horizontal="left"/>
    </xf>
    <xf numFmtId="17" fontId="13" fillId="0" borderId="43" xfId="1565" applyNumberFormat="1" applyFont="1" applyFill="1" applyBorder="1" applyAlignment="1">
      <alignment horizontal="left"/>
    </xf>
    <xf numFmtId="175" fontId="130" fillId="87" borderId="0" xfId="1475" applyNumberFormat="1" applyFill="1" applyBorder="1" applyAlignment="1">
      <alignment horizontal="center"/>
    </xf>
    <xf numFmtId="167" fontId="31" fillId="87" borderId="0" xfId="1302" applyNumberFormat="1" applyFont="1" applyFill="1" applyBorder="1" applyAlignment="1">
      <alignment horizontal="center"/>
    </xf>
    <xf numFmtId="167" fontId="130" fillId="87" borderId="0" xfId="1475" applyNumberFormat="1" applyFill="1" applyBorder="1"/>
    <xf numFmtId="166" fontId="31" fillId="87" borderId="35" xfId="1253" applyNumberFormat="1" applyFont="1" applyFill="1" applyBorder="1"/>
    <xf numFmtId="14" fontId="228" fillId="0" borderId="107" xfId="1475" applyNumberFormat="1" applyFont="1" applyFill="1" applyBorder="1"/>
    <xf numFmtId="43" fontId="6" fillId="0" borderId="0" xfId="1574" applyNumberFormat="1" applyFont="1" applyFill="1" applyBorder="1"/>
    <xf numFmtId="166" fontId="6" fillId="0" borderId="0" xfId="1574" applyNumberFormat="1" applyFont="1" applyFill="1" applyAlignment="1">
      <alignment horizontal="center"/>
    </xf>
    <xf numFmtId="166" fontId="6" fillId="0" borderId="20" xfId="1569" applyNumberFormat="1" applyBorder="1"/>
    <xf numFmtId="37" fontId="6" fillId="44" borderId="20" xfId="1569" applyNumberFormat="1" applyFill="1" applyBorder="1"/>
    <xf numFmtId="3" fontId="7" fillId="0" borderId="0" xfId="1202" applyNumberFormat="1" applyFont="1" applyAlignment="1"/>
    <xf numFmtId="3" fontId="7" fillId="0" borderId="0" xfId="1498" applyNumberFormat="1" applyFont="1" applyAlignment="1"/>
    <xf numFmtId="41" fontId="6" fillId="0" borderId="0" xfId="29902" applyNumberFormat="1" applyFont="1" applyFill="1" applyBorder="1"/>
    <xf numFmtId="166" fontId="6" fillId="0" borderId="0" xfId="1498" applyNumberFormat="1" applyFont="1" applyFill="1" applyBorder="1" applyAlignment="1"/>
    <xf numFmtId="166" fontId="228" fillId="0" borderId="0" xfId="0" applyNumberFormat="1" applyFont="1" applyAlignment="1"/>
    <xf numFmtId="9" fontId="224" fillId="0" borderId="0" xfId="1608" applyFont="1" applyFill="1" applyAlignment="1"/>
    <xf numFmtId="37" fontId="130" fillId="87" borderId="37" xfId="1475" applyNumberFormat="1" applyFill="1" applyBorder="1"/>
    <xf numFmtId="167" fontId="130" fillId="118" borderId="0" xfId="1475" applyNumberFormat="1" applyFill="1" applyBorder="1"/>
    <xf numFmtId="39" fontId="6" fillId="44" borderId="0" xfId="1569" applyNumberFormat="1" applyFont="1" applyFill="1" applyBorder="1"/>
    <xf numFmtId="43" fontId="6" fillId="44" borderId="34" xfId="1569" applyNumberFormat="1" applyFill="1" applyBorder="1" applyAlignment="1">
      <alignment horizontal="center"/>
    </xf>
    <xf numFmtId="9" fontId="176" fillId="87" borderId="35" xfId="1633" applyFont="1" applyFill="1" applyBorder="1"/>
    <xf numFmtId="43" fontId="75" fillId="87" borderId="35" xfId="1253" quotePrefix="1" applyFont="1" applyFill="1" applyBorder="1" applyAlignment="1">
      <alignment horizontal="right"/>
    </xf>
    <xf numFmtId="166" fontId="75" fillId="87" borderId="36" xfId="1253" applyNumberFormat="1" applyFont="1" applyFill="1" applyBorder="1"/>
    <xf numFmtId="166" fontId="75" fillId="87" borderId="0" xfId="1253" applyNumberFormat="1" applyFont="1" applyFill="1" applyBorder="1"/>
    <xf numFmtId="43" fontId="75" fillId="87" borderId="0" xfId="1253" quotePrefix="1" applyFont="1" applyFill="1" applyBorder="1" applyAlignment="1">
      <alignment horizontal="right"/>
    </xf>
    <xf numFmtId="175" fontId="228" fillId="87" borderId="0" xfId="1475" applyNumberFormat="1" applyFont="1" applyFill="1" applyBorder="1" applyAlignment="1">
      <alignment horizontal="center"/>
    </xf>
    <xf numFmtId="167" fontId="75" fillId="87" borderId="0" xfId="1302" applyNumberFormat="1" applyFont="1" applyFill="1" applyBorder="1" applyAlignment="1">
      <alignment horizontal="center"/>
    </xf>
    <xf numFmtId="167" fontId="228" fillId="87" borderId="0" xfId="1475" applyNumberFormat="1" applyFont="1" applyFill="1" applyBorder="1"/>
    <xf numFmtId="37" fontId="130" fillId="87" borderId="0" xfId="1475" applyNumberFormat="1" applyFill="1" applyBorder="1"/>
    <xf numFmtId="175" fontId="130" fillId="87" borderId="35" xfId="1475" applyNumberFormat="1" applyFill="1" applyBorder="1" applyAlignment="1">
      <alignment horizontal="center"/>
    </xf>
    <xf numFmtId="166" fontId="75" fillId="87" borderId="35" xfId="1253" applyNumberFormat="1" applyFont="1" applyFill="1" applyBorder="1"/>
    <xf numFmtId="167" fontId="84" fillId="0" borderId="0" xfId="1302" applyNumberFormat="1" applyFont="1" applyFill="1" applyBorder="1"/>
    <xf numFmtId="43" fontId="31" fillId="0" borderId="0" xfId="1253" quotePrefix="1" applyFont="1" applyBorder="1" applyAlignment="1">
      <alignment horizontal="right"/>
    </xf>
    <xf numFmtId="167" fontId="31" fillId="0" borderId="0" xfId="1302" applyNumberFormat="1" applyFont="1" applyFill="1" applyBorder="1" applyAlignment="1">
      <alignment horizontal="center"/>
    </xf>
    <xf numFmtId="167" fontId="130" fillId="0" borderId="0" xfId="1475" applyNumberFormat="1" applyBorder="1"/>
    <xf numFmtId="14" fontId="228" fillId="0" borderId="108" xfId="1475" applyNumberFormat="1" applyFont="1" applyFill="1" applyBorder="1"/>
    <xf numFmtId="166" fontId="75" fillId="0" borderId="108" xfId="1475" applyNumberFormat="1" applyFont="1" applyFill="1" applyBorder="1" applyAlignment="1"/>
    <xf numFmtId="14" fontId="130" fillId="0" borderId="32" xfId="1475" applyNumberFormat="1" applyFill="1" applyBorder="1"/>
    <xf numFmtId="166" fontId="233" fillId="0" borderId="0" xfId="1257" applyNumberFormat="1" applyFont="1" applyFill="1" applyBorder="1"/>
    <xf numFmtId="166" fontId="233" fillId="0" borderId="36" xfId="1574" applyNumberFormat="1" applyFont="1" applyFill="1" applyBorder="1"/>
    <xf numFmtId="166" fontId="233" fillId="0" borderId="37" xfId="1542" applyNumberFormat="1" applyFont="1" applyBorder="1" applyAlignment="1"/>
    <xf numFmtId="41" fontId="233" fillId="0" borderId="0" xfId="1257" applyNumberFormat="1" applyFont="1" applyFill="1" applyBorder="1"/>
    <xf numFmtId="0" fontId="227" fillId="0" borderId="0" xfId="0" applyNumberFormat="1" applyFont="1" applyBorder="1" applyAlignment="1"/>
    <xf numFmtId="0" fontId="227" fillId="0" borderId="21" xfId="0" applyNumberFormat="1" applyFont="1" applyBorder="1" applyAlignment="1"/>
    <xf numFmtId="0" fontId="227" fillId="0" borderId="0" xfId="0" applyNumberFormat="1" applyFont="1" applyAlignment="1"/>
    <xf numFmtId="166" fontId="233" fillId="0" borderId="37" xfId="1542" applyNumberFormat="1" applyFont="1" applyFill="1" applyBorder="1" applyAlignment="1"/>
    <xf numFmtId="0" fontId="0" fillId="0" borderId="35" xfId="0" applyNumberFormat="1" applyFill="1" applyBorder="1" applyAlignment="1"/>
    <xf numFmtId="41" fontId="6" fillId="0" borderId="0" xfId="1572" applyNumberFormat="1" applyFill="1"/>
    <xf numFmtId="41" fontId="12" fillId="0" borderId="0" xfId="1572" applyNumberFormat="1" applyFont="1" applyFill="1"/>
    <xf numFmtId="41" fontId="6" fillId="0" borderId="0" xfId="1572" applyNumberFormat="1" applyFill="1" applyBorder="1"/>
    <xf numFmtId="41" fontId="12" fillId="0" borderId="0" xfId="1572" applyNumberFormat="1" applyFont="1" applyFill="1" applyBorder="1"/>
    <xf numFmtId="37" fontId="12" fillId="0" borderId="0" xfId="1572" applyNumberFormat="1" applyFont="1" applyFill="1"/>
    <xf numFmtId="41" fontId="6" fillId="0" borderId="0" xfId="0" applyNumberFormat="1" applyFont="1" applyAlignment="1"/>
    <xf numFmtId="41" fontId="6" fillId="0" borderId="0" xfId="0" applyNumberFormat="1" applyFont="1" applyFill="1" applyAlignment="1"/>
    <xf numFmtId="166" fontId="7" fillId="0" borderId="0" xfId="1498" applyNumberFormat="1" applyFont="1" applyFill="1" applyAlignment="1"/>
    <xf numFmtId="43" fontId="234" fillId="44" borderId="36" xfId="1569" applyNumberFormat="1" applyFont="1" applyFill="1" applyBorder="1" applyAlignment="1">
      <alignment horizontal="center"/>
    </xf>
    <xf numFmtId="165" fontId="235" fillId="0" borderId="0" xfId="0" applyFont="1" applyFill="1">
      <alignment horizontal="left" wrapText="1"/>
    </xf>
    <xf numFmtId="165" fontId="168" fillId="0" borderId="0" xfId="0" applyFont="1" applyFill="1">
      <alignment horizontal="left" wrapText="1"/>
    </xf>
    <xf numFmtId="165" fontId="235" fillId="0" borderId="0" xfId="0" applyFont="1" applyFill="1" applyAlignment="1">
      <alignment horizontal="right"/>
    </xf>
    <xf numFmtId="165" fontId="235" fillId="0" borderId="111" xfId="0" quotePrefix="1" applyFont="1" applyFill="1" applyBorder="1" applyAlignment="1">
      <alignment horizontal="right"/>
    </xf>
    <xf numFmtId="165" fontId="235" fillId="0" borderId="0" xfId="0" applyFont="1" applyFill="1" applyAlignment="1" applyProtection="1">
      <alignment horizontal="centerContinuous"/>
      <protection locked="0"/>
    </xf>
    <xf numFmtId="165" fontId="235" fillId="0" borderId="0" xfId="0" applyFont="1" applyFill="1" applyAlignment="1">
      <alignment horizontal="centerContinuous"/>
    </xf>
    <xf numFmtId="15" fontId="235" fillId="0" borderId="0" xfId="0" applyNumberFormat="1" applyFont="1" applyFill="1" applyAlignment="1">
      <alignment horizontal="centerContinuous"/>
    </xf>
    <xf numFmtId="165" fontId="235" fillId="0" borderId="0" xfId="0" applyFont="1" applyFill="1" applyAlignment="1" applyProtection="1">
      <alignment horizontal="centerContinuous" vertical="center"/>
      <protection locked="0"/>
    </xf>
    <xf numFmtId="18" fontId="235" fillId="0" borderId="0" xfId="0" applyNumberFormat="1" applyFont="1" applyFill="1" applyAlignment="1">
      <alignment horizontal="centerContinuous"/>
    </xf>
    <xf numFmtId="165" fontId="168" fillId="0" borderId="0" xfId="0" applyFont="1" applyFill="1" applyAlignment="1">
      <alignment horizontal="center"/>
    </xf>
    <xf numFmtId="165" fontId="235" fillId="0" borderId="0" xfId="0" applyFont="1" applyFill="1" applyAlignment="1" applyProtection="1">
      <alignment horizontal="center"/>
      <protection locked="0"/>
    </xf>
    <xf numFmtId="165" fontId="235" fillId="0" borderId="0" xfId="0" applyFont="1" applyFill="1" applyAlignment="1">
      <alignment horizontal="center"/>
    </xf>
    <xf numFmtId="165" fontId="235" fillId="0" borderId="21" xfId="0" applyFont="1" applyFill="1" applyBorder="1" applyAlignment="1">
      <alignment horizontal="center"/>
    </xf>
    <xf numFmtId="165" fontId="235" fillId="0" borderId="21" xfId="0" applyFont="1" applyFill="1" applyBorder="1">
      <alignment horizontal="left" wrapText="1"/>
    </xf>
    <xf numFmtId="0" fontId="168" fillId="0" borderId="0" xfId="0" applyNumberFormat="1" applyFont="1" applyFill="1" applyAlignment="1">
      <alignment horizontal="center"/>
    </xf>
    <xf numFmtId="165" fontId="237" fillId="0" borderId="0" xfId="0" applyFont="1" applyFill="1" applyAlignment="1">
      <alignment horizontal="left"/>
    </xf>
    <xf numFmtId="167" fontId="168" fillId="0" borderId="0" xfId="1290" applyNumberFormat="1" applyFont="1" applyFill="1" applyBorder="1"/>
    <xf numFmtId="165" fontId="168" fillId="0" borderId="0" xfId="0" applyFont="1" applyFill="1" applyAlignment="1">
      <alignment horizontal="left"/>
    </xf>
    <xf numFmtId="166" fontId="168" fillId="0" borderId="0" xfId="1202" applyNumberFormat="1" applyFont="1" applyFill="1" applyBorder="1"/>
    <xf numFmtId="0" fontId="168" fillId="0" borderId="0" xfId="0" applyNumberFormat="1" applyFont="1" applyFill="1" applyAlignment="1"/>
    <xf numFmtId="166" fontId="168" fillId="0" borderId="21" xfId="1202" applyNumberFormat="1" applyFont="1" applyFill="1" applyBorder="1"/>
    <xf numFmtId="166" fontId="168" fillId="0" borderId="0" xfId="0" applyNumberFormat="1" applyFont="1" applyFill="1" applyBorder="1">
      <alignment horizontal="left" wrapText="1"/>
    </xf>
    <xf numFmtId="165" fontId="237" fillId="0" borderId="0" xfId="0" applyFont="1" applyFill="1" applyBorder="1" applyAlignment="1">
      <alignment horizontal="left"/>
    </xf>
    <xf numFmtId="165" fontId="168" fillId="0" borderId="0" xfId="0" applyFont="1" applyFill="1" applyBorder="1">
      <alignment horizontal="left" wrapText="1"/>
    </xf>
    <xf numFmtId="166" fontId="168" fillId="0" borderId="0" xfId="0" applyNumberFormat="1" applyFont="1" applyFill="1" applyBorder="1" applyAlignment="1">
      <alignment horizontal="centerContinuous"/>
    </xf>
    <xf numFmtId="41" fontId="168" fillId="0" borderId="0" xfId="1202" applyNumberFormat="1" applyFont="1" applyFill="1" applyBorder="1"/>
    <xf numFmtId="166" fontId="168" fillId="0" borderId="22" xfId="0" applyNumberFormat="1" applyFont="1" applyFill="1" applyBorder="1">
      <alignment horizontal="left" wrapText="1"/>
    </xf>
    <xf numFmtId="9" fontId="168" fillId="0" borderId="0" xfId="1608" applyFont="1" applyFill="1"/>
    <xf numFmtId="3" fontId="168" fillId="0" borderId="0" xfId="1202" applyNumberFormat="1" applyFont="1" applyFill="1" applyBorder="1"/>
    <xf numFmtId="9" fontId="168" fillId="0" borderId="0" xfId="1608" applyFont="1" applyFill="1" applyAlignment="1">
      <alignment horizontal="center"/>
    </xf>
    <xf numFmtId="37" fontId="168" fillId="0" borderId="21" xfId="1202" applyNumberFormat="1" applyFont="1" applyFill="1" applyBorder="1"/>
    <xf numFmtId="167" fontId="168" fillId="0" borderId="43" xfId="1290" applyNumberFormat="1" applyFont="1" applyFill="1" applyBorder="1"/>
    <xf numFmtId="37" fontId="168" fillId="0" borderId="0" xfId="0" applyNumberFormat="1" applyFont="1" applyFill="1" applyAlignment="1"/>
    <xf numFmtId="3" fontId="0" fillId="0" borderId="0" xfId="1202" applyNumberFormat="1" applyFont="1" applyFill="1" applyBorder="1" applyAlignment="1"/>
    <xf numFmtId="0" fontId="6" fillId="0" borderId="33" xfId="0" applyNumberFormat="1" applyFont="1" applyFill="1" applyBorder="1" applyAlignment="1"/>
    <xf numFmtId="0" fontId="6" fillId="0" borderId="22" xfId="0" applyNumberFormat="1" applyFont="1" applyFill="1" applyBorder="1" applyAlignment="1"/>
    <xf numFmtId="0" fontId="6" fillId="0" borderId="34" xfId="0" applyNumberFormat="1" applyFont="1" applyFill="1" applyBorder="1" applyAlignment="1"/>
    <xf numFmtId="0" fontId="6" fillId="0" borderId="0" xfId="0" applyNumberFormat="1" applyFont="1" applyFill="1" applyAlignment="1"/>
    <xf numFmtId="49" fontId="13" fillId="0" borderId="112" xfId="0" applyNumberFormat="1" applyFont="1" applyFill="1" applyBorder="1" applyAlignment="1">
      <alignment horizontal="centerContinuous" vertical="center"/>
    </xf>
    <xf numFmtId="17" fontId="13" fillId="0" borderId="112" xfId="0" applyNumberFormat="1" applyFont="1" applyFill="1" applyBorder="1" applyAlignment="1">
      <alignment horizontal="centerContinuous" vertical="center"/>
    </xf>
    <xf numFmtId="49" fontId="13" fillId="0" borderId="112" xfId="0" applyNumberFormat="1" applyFont="1" applyFill="1" applyBorder="1" applyAlignment="1">
      <alignment horizontal="center" wrapText="1"/>
    </xf>
    <xf numFmtId="49" fontId="13" fillId="0" borderId="40" xfId="0" applyNumberFormat="1" applyFont="1" applyFill="1" applyBorder="1" applyAlignment="1"/>
    <xf numFmtId="0" fontId="13" fillId="0" borderId="60" xfId="0" applyNumberFormat="1" applyFont="1" applyFill="1" applyBorder="1" applyAlignment="1">
      <alignment horizontal="center"/>
    </xf>
    <xf numFmtId="166" fontId="13" fillId="0" borderId="55" xfId="0" applyNumberFormat="1" applyFont="1" applyFill="1" applyBorder="1" applyAlignment="1">
      <alignment horizontal="center"/>
    </xf>
    <xf numFmtId="166" fontId="13" fillId="0" borderId="55" xfId="0" quotePrefix="1" applyNumberFormat="1" applyFont="1" applyFill="1" applyBorder="1" applyAlignment="1">
      <alignment horizontal="center"/>
    </xf>
    <xf numFmtId="49" fontId="13" fillId="0" borderId="55" xfId="0" applyNumberFormat="1" applyFont="1" applyFill="1" applyBorder="1" applyAlignment="1">
      <alignment horizontal="center" wrapText="1"/>
    </xf>
    <xf numFmtId="49" fontId="13" fillId="0" borderId="45" xfId="0" applyNumberFormat="1" applyFont="1" applyFill="1" applyBorder="1" applyAlignment="1">
      <alignment horizontal="center" wrapText="1"/>
    </xf>
    <xf numFmtId="49" fontId="6" fillId="0" borderId="40" xfId="0" applyNumberFormat="1" applyFont="1" applyFill="1" applyBorder="1" applyAlignment="1">
      <alignment horizontal="left"/>
    </xf>
    <xf numFmtId="0" fontId="6" fillId="0" borderId="60" xfId="0" applyNumberFormat="1" applyFont="1" applyFill="1" applyBorder="1" applyAlignment="1"/>
    <xf numFmtId="49" fontId="6" fillId="0" borderId="55" xfId="0" applyNumberFormat="1" applyFont="1" applyFill="1" applyBorder="1" applyAlignment="1">
      <alignment horizontal="center"/>
    </xf>
    <xf numFmtId="49" fontId="6" fillId="0" borderId="45" xfId="0" applyNumberFormat="1" applyFont="1" applyFill="1" applyBorder="1" applyAlignment="1">
      <alignment horizontal="center"/>
    </xf>
    <xf numFmtId="166" fontId="13" fillId="0" borderId="113" xfId="1226" applyNumberFormat="1" applyFont="1" applyFill="1" applyBorder="1"/>
    <xf numFmtId="165" fontId="6" fillId="0" borderId="0" xfId="0" applyFont="1" applyFill="1" applyAlignment="1"/>
    <xf numFmtId="166" fontId="13" fillId="0" borderId="55" xfId="1226" applyNumberFormat="1" applyFont="1" applyFill="1" applyBorder="1"/>
    <xf numFmtId="0" fontId="6" fillId="0" borderId="40" xfId="0" applyNumberFormat="1" applyFont="1" applyFill="1" applyBorder="1" applyAlignment="1"/>
    <xf numFmtId="0" fontId="6" fillId="0" borderId="55" xfId="0" applyNumberFormat="1" applyFont="1" applyFill="1" applyBorder="1" applyAlignment="1">
      <alignment horizontal="center"/>
    </xf>
    <xf numFmtId="0" fontId="6" fillId="0" borderId="45" xfId="0" applyNumberFormat="1" applyFont="1" applyFill="1" applyBorder="1" applyAlignment="1">
      <alignment horizontal="center"/>
    </xf>
    <xf numFmtId="166" fontId="6" fillId="0" borderId="55" xfId="0" applyNumberFormat="1" applyFont="1" applyFill="1" applyBorder="1" applyAlignment="1"/>
    <xf numFmtId="166" fontId="13" fillId="0" borderId="55" xfId="0" applyNumberFormat="1" applyFont="1" applyFill="1" applyBorder="1" applyAlignment="1"/>
    <xf numFmtId="0" fontId="6" fillId="0" borderId="4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6" fontId="6" fillId="0" borderId="0" xfId="0" applyNumberFormat="1" applyFont="1" applyFill="1" applyBorder="1" applyAlignment="1"/>
    <xf numFmtId="0" fontId="13" fillId="0" borderId="0" xfId="1570" applyFont="1" applyFill="1" applyBorder="1" applyAlignment="1" applyProtection="1">
      <alignment horizontal="center"/>
      <protection locked="0"/>
    </xf>
    <xf numFmtId="0" fontId="13" fillId="0" borderId="60" xfId="1570" applyFont="1" applyFill="1" applyBorder="1" applyAlignment="1" applyProtection="1">
      <alignment horizontal="left"/>
      <protection locked="0"/>
    </xf>
    <xf numFmtId="0" fontId="13" fillId="0" borderId="60" xfId="0" applyNumberFormat="1" applyFont="1" applyFill="1" applyBorder="1" applyAlignment="1">
      <alignment horizontal="left"/>
    </xf>
    <xf numFmtId="0" fontId="137" fillId="0" borderId="0" xfId="0" applyNumberFormat="1" applyFont="1" applyFill="1" applyAlignment="1"/>
    <xf numFmtId="0" fontId="13" fillId="0" borderId="60" xfId="0" applyNumberFormat="1" applyFont="1" applyFill="1" applyBorder="1" applyAlignment="1"/>
    <xf numFmtId="0" fontId="6" fillId="0" borderId="55" xfId="0" applyNumberFormat="1" applyFont="1" applyFill="1" applyBorder="1" applyAlignment="1"/>
    <xf numFmtId="0" fontId="6" fillId="0" borderId="45" xfId="0" applyNumberFormat="1" applyFont="1" applyFill="1" applyBorder="1" applyAlignment="1"/>
    <xf numFmtId="49" fontId="6" fillId="0" borderId="0" xfId="0" applyNumberFormat="1" applyFont="1" applyFill="1" applyAlignment="1">
      <alignment horizontal="left"/>
    </xf>
    <xf numFmtId="0" fontId="6" fillId="0" borderId="58" xfId="0" applyNumberFormat="1" applyFont="1" applyFill="1" applyBorder="1" applyAlignment="1"/>
    <xf numFmtId="0" fontId="13" fillId="0" borderId="114" xfId="0" applyNumberFormat="1" applyFont="1" applyFill="1" applyBorder="1" applyAlignment="1">
      <alignment horizontal="center"/>
    </xf>
    <xf numFmtId="166" fontId="6" fillId="0" borderId="115" xfId="0" applyNumberFormat="1" applyFont="1" applyFill="1" applyBorder="1" applyAlignment="1"/>
    <xf numFmtId="0" fontId="6" fillId="0" borderId="115" xfId="0" applyNumberFormat="1" applyFont="1" applyFill="1" applyBorder="1" applyAlignment="1"/>
    <xf numFmtId="0" fontId="6" fillId="0" borderId="59" xfId="0" applyNumberFormat="1" applyFont="1" applyFill="1" applyBorder="1" applyAlignment="1"/>
    <xf numFmtId="0" fontId="6" fillId="0" borderId="0" xfId="0" applyNumberFormat="1" applyFont="1" applyFill="1" applyAlignment="1">
      <alignment horizontal="left"/>
    </xf>
    <xf numFmtId="4" fontId="13" fillId="0" borderId="71" xfId="1202" applyFont="1" applyFill="1" applyBorder="1" applyAlignment="1"/>
    <xf numFmtId="166" fontId="13" fillId="0" borderId="69" xfId="0" applyNumberFormat="1" applyFont="1" applyFill="1" applyBorder="1" applyAlignment="1"/>
    <xf numFmtId="0" fontId="232" fillId="0" borderId="0" xfId="0" applyNumberFormat="1" applyFont="1" applyFill="1" applyAlignment="1"/>
    <xf numFmtId="166" fontId="232" fillId="0" borderId="0" xfId="0" applyNumberFormat="1" applyFont="1" applyFill="1" applyAlignment="1"/>
    <xf numFmtId="41" fontId="13" fillId="0" borderId="0" xfId="1572" applyNumberFormat="1" applyFont="1" applyFill="1"/>
    <xf numFmtId="166" fontId="239" fillId="0" borderId="0" xfId="0" applyNumberFormat="1" applyFont="1" applyFill="1" applyBorder="1" applyAlignment="1">
      <alignment horizontal="centerContinuous"/>
    </xf>
    <xf numFmtId="166" fontId="236" fillId="0" borderId="0" xfId="0" applyNumberFormat="1" applyFont="1" applyFill="1" applyBorder="1" applyAlignment="1">
      <alignment horizontal="centerContinuous"/>
    </xf>
    <xf numFmtId="37" fontId="240" fillId="0" borderId="0" xfId="0" applyNumberFormat="1" applyFont="1" applyFill="1" applyAlignment="1"/>
    <xf numFmtId="166" fontId="229" fillId="0" borderId="0" xfId="0" applyNumberFormat="1" applyFont="1" applyFill="1" applyAlignment="1"/>
    <xf numFmtId="166" fontId="229" fillId="0" borderId="41" xfId="0" applyNumberFormat="1" applyFont="1" applyFill="1" applyBorder="1" applyAlignment="1"/>
    <xf numFmtId="166" fontId="238" fillId="0" borderId="0" xfId="0" applyNumberFormat="1" applyFont="1" applyFill="1" applyBorder="1" applyAlignment="1"/>
    <xf numFmtId="41" fontId="7" fillId="0" borderId="0" xfId="1558" applyNumberFormat="1" applyFill="1" applyAlignment="1"/>
    <xf numFmtId="178" fontId="13" fillId="0" borderId="0" xfId="1567" applyNumberFormat="1" applyFont="1" applyFill="1" applyBorder="1" applyAlignment="1">
      <alignment horizontal="center"/>
    </xf>
    <xf numFmtId="0" fontId="7" fillId="0" borderId="0" xfId="1498" applyNumberFormat="1" applyFont="1" applyFill="1" applyBorder="1" applyAlignment="1"/>
    <xf numFmtId="0" fontId="238" fillId="0" borderId="0" xfId="0" applyNumberFormat="1" applyFont="1" applyFill="1" applyAlignment="1">
      <alignment horizontal="center"/>
    </xf>
    <xf numFmtId="0" fontId="238" fillId="0" borderId="0" xfId="0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right"/>
    </xf>
    <xf numFmtId="0" fontId="238" fillId="0" borderId="0" xfId="0" applyNumberFormat="1" applyFont="1" applyFill="1" applyAlignment="1"/>
    <xf numFmtId="0" fontId="238" fillId="0" borderId="0" xfId="0" quotePrefix="1" applyNumberFormat="1" applyFont="1" applyFill="1" applyAlignment="1"/>
    <xf numFmtId="0" fontId="238" fillId="0" borderId="0" xfId="0" quotePrefix="1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centerContinuous"/>
    </xf>
    <xf numFmtId="166" fontId="13" fillId="0" borderId="116" xfId="0" quotePrefix="1" applyNumberFormat="1" applyFont="1" applyFill="1" applyBorder="1" applyAlignment="1">
      <alignment horizontal="center"/>
    </xf>
    <xf numFmtId="166" fontId="13" fillId="0" borderId="117" xfId="0" quotePrefix="1" applyNumberFormat="1" applyFont="1" applyFill="1" applyBorder="1" applyAlignment="1">
      <alignment horizontal="center"/>
    </xf>
    <xf numFmtId="166" fontId="6" fillId="0" borderId="118" xfId="0" applyNumberFormat="1" applyFont="1" applyFill="1" applyBorder="1" applyAlignment="1"/>
    <xf numFmtId="166" fontId="13" fillId="0" borderId="119" xfId="1226" applyNumberFormat="1" applyFont="1" applyFill="1" applyBorder="1"/>
    <xf numFmtId="166" fontId="13" fillId="0" borderId="118" xfId="0" quotePrefix="1" applyNumberFormat="1" applyFont="1" applyFill="1" applyBorder="1" applyAlignment="1">
      <alignment horizontal="center"/>
    </xf>
    <xf numFmtId="166" fontId="13" fillId="0" borderId="118" xfId="0" applyNumberFormat="1" applyFont="1" applyFill="1" applyBorder="1" applyAlignment="1"/>
    <xf numFmtId="166" fontId="13" fillId="0" borderId="118" xfId="1226" applyNumberFormat="1" applyFont="1" applyFill="1" applyBorder="1"/>
    <xf numFmtId="166" fontId="6" fillId="0" borderId="120" xfId="0" applyNumberFormat="1" applyFont="1" applyFill="1" applyBorder="1" applyAlignment="1"/>
    <xf numFmtId="37" fontId="240" fillId="0" borderId="0" xfId="0" applyNumberFormat="1" applyFont="1" applyFill="1" applyAlignment="1">
      <alignment horizontal="center"/>
    </xf>
    <xf numFmtId="37" fontId="240" fillId="0" borderId="0" xfId="0" applyNumberFormat="1" applyFont="1" applyFill="1" applyAlignment="1">
      <alignment horizontal="left" indent="2"/>
    </xf>
    <xf numFmtId="42" fontId="240" fillId="0" borderId="0" xfId="0" applyNumberFormat="1" applyFont="1" applyFill="1" applyAlignment="1"/>
    <xf numFmtId="41" fontId="240" fillId="0" borderId="0" xfId="0" applyNumberFormat="1" applyFont="1" applyFill="1" applyAlignment="1"/>
    <xf numFmtId="41" fontId="240" fillId="0" borderId="121" xfId="0" applyNumberFormat="1" applyFont="1" applyFill="1" applyBorder="1" applyAlignment="1"/>
    <xf numFmtId="166" fontId="0" fillId="0" borderId="0" xfId="0" applyNumberFormat="1" applyAlignment="1"/>
    <xf numFmtId="166" fontId="6" fillId="0" borderId="60" xfId="0" applyNumberFormat="1" applyFont="1" applyFill="1" applyBorder="1" applyAlignment="1"/>
    <xf numFmtId="0" fontId="150" fillId="0" borderId="0" xfId="1572" applyFont="1" applyFill="1" applyAlignment="1">
      <alignment horizontal="center"/>
    </xf>
    <xf numFmtId="0" fontId="150" fillId="0" borderId="0" xfId="1572" applyFont="1" applyFill="1"/>
    <xf numFmtId="6" fontId="6" fillId="0" borderId="46" xfId="1572" applyNumberFormat="1" applyFill="1" applyBorder="1"/>
    <xf numFmtId="6" fontId="6" fillId="0" borderId="50" xfId="1572" applyNumberFormat="1" applyFill="1" applyBorder="1"/>
    <xf numFmtId="165" fontId="243" fillId="0" borderId="0" xfId="0" applyFont="1" applyFill="1" applyAlignment="1">
      <alignment horizontal="left"/>
    </xf>
    <xf numFmtId="0" fontId="226" fillId="0" borderId="21" xfId="1573" applyFont="1" applyFill="1" applyBorder="1" applyAlignment="1">
      <alignment horizontal="center"/>
    </xf>
    <xf numFmtId="0" fontId="232" fillId="0" borderId="21" xfId="1563" applyFont="1" applyFill="1" applyBorder="1" applyAlignment="1">
      <alignment horizontal="center"/>
    </xf>
    <xf numFmtId="0" fontId="226" fillId="0" borderId="0" xfId="1573" applyFont="1" applyFill="1" applyBorder="1" applyAlignment="1">
      <alignment horizontal="center" wrapText="1"/>
    </xf>
    <xf numFmtId="0" fontId="150" fillId="0" borderId="0" xfId="1573" applyFont="1" applyFill="1" applyBorder="1" applyAlignment="1">
      <alignment horizontal="center" wrapText="1"/>
    </xf>
    <xf numFmtId="0" fontId="232" fillId="0" borderId="0" xfId="1573" applyFont="1" applyFill="1" applyBorder="1" applyAlignment="1">
      <alignment horizontal="center"/>
    </xf>
    <xf numFmtId="0" fontId="150" fillId="0" borderId="21" xfId="1573" applyFont="1" applyFill="1" applyBorder="1" applyAlignment="1">
      <alignment horizontal="center"/>
    </xf>
    <xf numFmtId="166" fontId="130" fillId="0" borderId="50" xfId="1475" applyNumberFormat="1" applyFill="1" applyBorder="1"/>
    <xf numFmtId="0" fontId="176" fillId="0" borderId="0" xfId="1475" applyFont="1" applyAlignment="1">
      <alignment horizontal="right"/>
    </xf>
    <xf numFmtId="0" fontId="176" fillId="0" borderId="31" xfId="1475" applyFont="1" applyFill="1" applyBorder="1" applyAlignment="1">
      <alignment horizontal="center"/>
    </xf>
    <xf numFmtId="0" fontId="176" fillId="0" borderId="32" xfId="1475" applyFont="1" applyFill="1" applyBorder="1" applyAlignment="1">
      <alignment horizontal="center"/>
    </xf>
    <xf numFmtId="0" fontId="176" fillId="0" borderId="0" xfId="1475" applyFont="1"/>
    <xf numFmtId="0" fontId="176" fillId="0" borderId="29" xfId="1475" applyFont="1" applyFill="1" applyBorder="1" applyAlignment="1">
      <alignment horizontal="centerContinuous"/>
    </xf>
    <xf numFmtId="0" fontId="244" fillId="0" borderId="30" xfId="1475" applyFont="1" applyFill="1" applyBorder="1" applyAlignment="1">
      <alignment horizontal="centerContinuous"/>
    </xf>
    <xf numFmtId="0" fontId="150" fillId="0" borderId="0" xfId="1574" applyFont="1" applyFill="1"/>
    <xf numFmtId="0" fontId="150" fillId="0" borderId="0" xfId="1574" applyFont="1" applyFill="1" applyAlignment="1">
      <alignment horizontal="centerContinuous"/>
    </xf>
    <xf numFmtId="14" fontId="150" fillId="0" borderId="0" xfId="1574" applyNumberFormat="1" applyFont="1" applyFill="1" applyAlignment="1">
      <alignment horizontal="centerContinuous"/>
    </xf>
    <xf numFmtId="0" fontId="150" fillId="0" borderId="0" xfId="1574" applyFont="1" applyFill="1" applyAlignment="1">
      <alignment horizontal="center"/>
    </xf>
    <xf numFmtId="0" fontId="229" fillId="0" borderId="0" xfId="1574" applyFont="1" applyFill="1" applyAlignment="1">
      <alignment horizontal="center"/>
    </xf>
    <xf numFmtId="0" fontId="226" fillId="0" borderId="0" xfId="1574" applyFont="1" applyFill="1" applyBorder="1" applyAlignment="1"/>
    <xf numFmtId="0" fontId="150" fillId="0" borderId="0" xfId="1574" applyFont="1" applyFill="1" applyBorder="1" applyAlignment="1">
      <alignment wrapText="1"/>
    </xf>
    <xf numFmtId="0" fontId="150" fillId="0" borderId="0" xfId="1574" applyFont="1" applyFill="1" applyBorder="1" applyAlignment="1">
      <alignment horizontal="center"/>
    </xf>
    <xf numFmtId="0" fontId="229" fillId="0" borderId="0" xfId="1574" applyFont="1" applyFill="1" applyBorder="1" applyAlignment="1">
      <alignment horizontal="center"/>
    </xf>
    <xf numFmtId="0" fontId="245" fillId="0" borderId="21" xfId="1574" applyFont="1" applyFill="1" applyBorder="1" applyAlignment="1">
      <alignment horizontal="center"/>
    </xf>
    <xf numFmtId="0" fontId="229" fillId="0" borderId="0" xfId="1535" applyNumberFormat="1" applyFont="1" applyFill="1" applyBorder="1" applyAlignment="1">
      <alignment horizontal="center"/>
    </xf>
    <xf numFmtId="0" fontId="228" fillId="0" borderId="0" xfId="1498" applyNumberFormat="1" applyFont="1" applyFill="1" applyBorder="1" applyAlignment="1"/>
    <xf numFmtId="0" fontId="246" fillId="0" borderId="0" xfId="1574" applyFont="1" applyFill="1"/>
    <xf numFmtId="0" fontId="246" fillId="0" borderId="0" xfId="1574" applyFont="1" applyFill="1" applyAlignment="1">
      <alignment horizontal="center"/>
    </xf>
    <xf numFmtId="0" fontId="247" fillId="0" borderId="0" xfId="1574" applyFont="1" applyFill="1" applyAlignment="1">
      <alignment horizontal="center"/>
    </xf>
    <xf numFmtId="0" fontId="246" fillId="0" borderId="0" xfId="1574" applyFont="1" applyFill="1" applyBorder="1" applyAlignment="1">
      <alignment horizontal="center"/>
    </xf>
    <xf numFmtId="0" fontId="226" fillId="0" borderId="0" xfId="1574" applyFont="1" applyFill="1" applyBorder="1" applyAlignment="1">
      <alignment wrapText="1"/>
    </xf>
    <xf numFmtId="0" fontId="247" fillId="0" borderId="0" xfId="1574" applyFont="1" applyFill="1" applyBorder="1" applyAlignment="1">
      <alignment horizontal="center"/>
    </xf>
    <xf numFmtId="0" fontId="246" fillId="0" borderId="21" xfId="1574" applyFont="1" applyFill="1" applyBorder="1" applyAlignment="1">
      <alignment horizontal="center"/>
    </xf>
    <xf numFmtId="0" fontId="150" fillId="0" borderId="0" xfId="35248" applyFont="1" applyFill="1"/>
    <xf numFmtId="0" fontId="226" fillId="0" borderId="21" xfId="35248" applyFont="1" applyFill="1" applyBorder="1" applyAlignment="1">
      <alignment horizontal="center"/>
    </xf>
    <xf numFmtId="0" fontId="150" fillId="0" borderId="0" xfId="35248" applyFont="1" applyFill="1" applyAlignment="1">
      <alignment horizontal="center"/>
    </xf>
    <xf numFmtId="0" fontId="226" fillId="0" borderId="0" xfId="35248" applyFont="1" applyFill="1" applyBorder="1" applyAlignment="1">
      <alignment horizontal="center"/>
    </xf>
    <xf numFmtId="0" fontId="232" fillId="0" borderId="0" xfId="1574" applyFont="1" applyFill="1" applyAlignment="1"/>
    <xf numFmtId="165" fontId="226" fillId="0" borderId="0" xfId="0" applyFont="1" applyAlignment="1">
      <alignment horizontal="center" wrapText="1"/>
    </xf>
    <xf numFmtId="165" fontId="229" fillId="0" borderId="0" xfId="0" applyFont="1">
      <alignment horizontal="left" wrapText="1"/>
    </xf>
    <xf numFmtId="0" fontId="226" fillId="0" borderId="0" xfId="0" applyNumberFormat="1" applyFont="1" applyFill="1" applyBorder="1" applyAlignment="1">
      <alignment horizontal="center"/>
    </xf>
    <xf numFmtId="165" fontId="232" fillId="0" borderId="0" xfId="0" applyFont="1">
      <alignment horizontal="left" wrapText="1"/>
    </xf>
    <xf numFmtId="0" fontId="226" fillId="0" borderId="0" xfId="1573" applyFont="1" applyFill="1" applyAlignment="1">
      <alignment horizontal="center"/>
    </xf>
    <xf numFmtId="0" fontId="229" fillId="0" borderId="0" xfId="1573" applyFont="1" applyFill="1" applyAlignment="1">
      <alignment horizontal="center"/>
    </xf>
    <xf numFmtId="0" fontId="226" fillId="0" borderId="0" xfId="1573" applyFont="1" applyFill="1"/>
    <xf numFmtId="0" fontId="150" fillId="0" borderId="0" xfId="1573" applyFont="1" applyFill="1"/>
    <xf numFmtId="0" fontId="232" fillId="0" borderId="0" xfId="1573" applyFont="1" applyFill="1" applyBorder="1"/>
    <xf numFmtId="10" fontId="232" fillId="0" borderId="0" xfId="1573" applyNumberFormat="1" applyFont="1" applyFill="1" applyBorder="1"/>
    <xf numFmtId="0" fontId="226" fillId="0" borderId="0" xfId="1573" applyFont="1" applyFill="1" applyAlignment="1">
      <alignment horizontal="left"/>
    </xf>
    <xf numFmtId="0" fontId="226" fillId="0" borderId="0" xfId="1573" applyFont="1" applyFill="1" applyBorder="1" applyAlignment="1">
      <alignment horizontal="center"/>
    </xf>
    <xf numFmtId="0" fontId="226" fillId="0" borderId="21" xfId="1573" applyFont="1" applyFill="1" applyBorder="1" applyAlignment="1">
      <alignment horizontal="center" wrapText="1"/>
    </xf>
    <xf numFmtId="0" fontId="232" fillId="0" borderId="0" xfId="1563" applyFont="1" applyFill="1" applyBorder="1" applyAlignment="1">
      <alignment horizontal="center"/>
    </xf>
    <xf numFmtId="42" fontId="226" fillId="0" borderId="0" xfId="0" applyNumberFormat="1" applyFont="1" applyAlignment="1"/>
    <xf numFmtId="0" fontId="248" fillId="0" borderId="29" xfId="1475" applyFont="1" applyFill="1" applyBorder="1" applyAlignment="1">
      <alignment horizontal="center" vertical="top"/>
    </xf>
    <xf numFmtId="0" fontId="248" fillId="0" borderId="30" xfId="1475" applyFont="1" applyFill="1" applyBorder="1" applyAlignment="1">
      <alignment horizontal="center" vertical="top"/>
    </xf>
    <xf numFmtId="0" fontId="248" fillId="0" borderId="29" xfId="1475" applyFont="1" applyFill="1" applyBorder="1" applyAlignment="1">
      <alignment horizontal="center" vertical="top" wrapText="1"/>
    </xf>
    <xf numFmtId="0" fontId="248" fillId="0" borderId="4" xfId="1475" applyFont="1" applyFill="1" applyBorder="1" applyAlignment="1">
      <alignment horizontal="center" vertical="top" wrapText="1"/>
    </xf>
    <xf numFmtId="0" fontId="248" fillId="0" borderId="30" xfId="1475" applyFont="1" applyFill="1" applyBorder="1" applyAlignment="1">
      <alignment horizontal="center" vertical="top" wrapText="1"/>
    </xf>
    <xf numFmtId="0" fontId="248" fillId="0" borderId="29" xfId="1475" applyFont="1" applyFill="1" applyBorder="1" applyAlignment="1">
      <alignment horizontal="centerContinuous" vertical="top" wrapText="1"/>
    </xf>
    <xf numFmtId="0" fontId="248" fillId="0" borderId="4" xfId="1475" applyFont="1" applyFill="1" applyBorder="1" applyAlignment="1">
      <alignment horizontal="centerContinuous" vertical="top" wrapText="1"/>
    </xf>
    <xf numFmtId="0" fontId="248" fillId="0" borderId="30" xfId="1475" applyFont="1" applyFill="1" applyBorder="1" applyAlignment="1">
      <alignment horizontal="centerContinuous" vertical="top" wrapText="1"/>
    </xf>
    <xf numFmtId="0" fontId="232" fillId="0" borderId="0" xfId="1574" applyFont="1" applyFill="1"/>
    <xf numFmtId="0" fontId="229" fillId="0" borderId="0" xfId="1574" applyFont="1" applyFill="1" applyAlignment="1">
      <alignment horizontal="left"/>
    </xf>
    <xf numFmtId="0" fontId="242" fillId="0" borderId="0" xfId="0" applyNumberFormat="1" applyFont="1" applyFill="1" applyAlignment="1"/>
    <xf numFmtId="171" fontId="207" fillId="0" borderId="0" xfId="1608" applyNumberFormat="1" applyFont="1" applyFill="1" applyAlignment="1"/>
    <xf numFmtId="166" fontId="0" fillId="0" borderId="0" xfId="0" applyNumberFormat="1" applyFont="1" applyFill="1" applyAlignment="1"/>
    <xf numFmtId="42" fontId="249" fillId="0" borderId="0" xfId="0" applyNumberFormat="1" applyFont="1" applyFill="1" applyAlignment="1"/>
    <xf numFmtId="165" fontId="243" fillId="0" borderId="0" xfId="0" applyFont="1" applyFill="1" applyAlignment="1">
      <alignment horizontal="center"/>
    </xf>
    <xf numFmtId="4" fontId="229" fillId="0" borderId="0" xfId="0" applyNumberFormat="1" applyFont="1" applyFill="1" applyAlignment="1"/>
    <xf numFmtId="43" fontId="229" fillId="0" borderId="0" xfId="0" applyNumberFormat="1" applyFont="1" applyFill="1" applyAlignment="1"/>
    <xf numFmtId="17" fontId="6" fillId="121" borderId="0" xfId="1572" applyNumberFormat="1" applyFill="1"/>
    <xf numFmtId="6" fontId="6" fillId="121" borderId="0" xfId="1572" applyNumberFormat="1" applyFill="1"/>
    <xf numFmtId="0" fontId="6" fillId="121" borderId="0" xfId="1572" applyFill="1"/>
    <xf numFmtId="41" fontId="6" fillId="121" borderId="50" xfId="1572" applyNumberFormat="1" applyFill="1" applyBorder="1"/>
    <xf numFmtId="41" fontId="6" fillId="121" borderId="0" xfId="1572" applyNumberFormat="1" applyFill="1"/>
    <xf numFmtId="41" fontId="12" fillId="121" borderId="0" xfId="1572" applyNumberFormat="1" applyFont="1" applyFill="1"/>
    <xf numFmtId="6" fontId="12" fillId="121" borderId="0" xfId="1572" applyNumberFormat="1" applyFont="1" applyFill="1"/>
    <xf numFmtId="37" fontId="6" fillId="121" borderId="0" xfId="1572" applyNumberFormat="1" applyFill="1"/>
    <xf numFmtId="41" fontId="6" fillId="121" borderId="61" xfId="1572" applyNumberFormat="1" applyFill="1" applyBorder="1"/>
    <xf numFmtId="6" fontId="12" fillId="122" borderId="0" xfId="1572" applyNumberFormat="1" applyFont="1" applyFill="1"/>
    <xf numFmtId="41" fontId="12" fillId="122" borderId="0" xfId="1572" applyNumberFormat="1" applyFont="1" applyFill="1"/>
    <xf numFmtId="177" fontId="6" fillId="121" borderId="55" xfId="0" applyNumberFormat="1" applyFont="1" applyFill="1" applyBorder="1" applyAlignment="1">
      <alignment horizontal="right"/>
    </xf>
    <xf numFmtId="41" fontId="6" fillId="121" borderId="55" xfId="0" applyNumberFormat="1" applyFont="1" applyFill="1" applyBorder="1">
      <alignment horizontal="left" wrapText="1"/>
    </xf>
    <xf numFmtId="165" fontId="6" fillId="121" borderId="0" xfId="0" applyFont="1" applyFill="1" applyBorder="1">
      <alignment horizontal="left" wrapText="1"/>
    </xf>
    <xf numFmtId="0" fontId="0" fillId="121" borderId="0" xfId="0" applyNumberFormat="1" applyFill="1" applyAlignment="1"/>
    <xf numFmtId="177" fontId="6" fillId="123" borderId="55" xfId="0" applyNumberFormat="1" applyFont="1" applyFill="1" applyBorder="1" applyAlignment="1">
      <alignment horizontal="right"/>
    </xf>
    <xf numFmtId="41" fontId="6" fillId="123" borderId="55" xfId="0" applyNumberFormat="1" applyFont="1" applyFill="1" applyBorder="1">
      <alignment horizontal="left" wrapText="1"/>
    </xf>
    <xf numFmtId="165" fontId="6" fillId="123" borderId="0" xfId="0" applyFont="1" applyFill="1" applyBorder="1">
      <alignment horizontal="left" wrapText="1"/>
    </xf>
    <xf numFmtId="0" fontId="0" fillId="123" borderId="0" xfId="0" applyNumberFormat="1" applyFill="1" applyAlignment="1"/>
    <xf numFmtId="43" fontId="0" fillId="0" borderId="0" xfId="0" applyNumberFormat="1" applyAlignment="1"/>
    <xf numFmtId="177" fontId="6" fillId="124" borderId="55" xfId="0" applyNumberFormat="1" applyFont="1" applyFill="1" applyBorder="1" applyAlignment="1">
      <alignment horizontal="right"/>
    </xf>
    <xf numFmtId="41" fontId="6" fillId="124" borderId="55" xfId="0" applyNumberFormat="1" applyFont="1" applyFill="1" applyBorder="1">
      <alignment horizontal="left" wrapText="1"/>
    </xf>
    <xf numFmtId="165" fontId="6" fillId="124" borderId="0" xfId="0" applyFont="1" applyFill="1" applyBorder="1">
      <alignment horizontal="left" wrapText="1"/>
    </xf>
    <xf numFmtId="9" fontId="0" fillId="124" borderId="0" xfId="1608" applyFont="1" applyFill="1" applyAlignment="1"/>
    <xf numFmtId="0" fontId="0" fillId="124" borderId="0" xfId="0" applyNumberFormat="1" applyFill="1" applyAlignment="1"/>
    <xf numFmtId="43" fontId="6" fillId="0" borderId="55" xfId="0" applyNumberFormat="1" applyFont="1" applyBorder="1">
      <alignment horizontal="left" wrapText="1"/>
    </xf>
    <xf numFmtId="41" fontId="13" fillId="124" borderId="55" xfId="0" applyNumberFormat="1" applyFont="1" applyFill="1" applyBorder="1">
      <alignment horizontal="left" wrapText="1"/>
    </xf>
    <xf numFmtId="41" fontId="6" fillId="122" borderId="55" xfId="0" applyNumberFormat="1" applyFont="1" applyFill="1" applyBorder="1">
      <alignment horizontal="left" wrapText="1"/>
    </xf>
    <xf numFmtId="0" fontId="6" fillId="125" borderId="35" xfId="1573" applyFill="1" applyBorder="1"/>
    <xf numFmtId="17" fontId="6" fillId="125" borderId="0" xfId="1573" applyNumberFormat="1" applyFill="1" applyBorder="1"/>
    <xf numFmtId="3" fontId="6" fillId="125" borderId="0" xfId="1202" applyNumberFormat="1" applyFont="1" applyFill="1" applyBorder="1" applyAlignment="1">
      <alignment horizontal="center"/>
    </xf>
    <xf numFmtId="38" fontId="6" fillId="125" borderId="0" xfId="1573" applyNumberFormat="1" applyFill="1" applyBorder="1"/>
    <xf numFmtId="38" fontId="6" fillId="125" borderId="0" xfId="1290" applyNumberFormat="1" applyFont="1" applyFill="1" applyBorder="1"/>
    <xf numFmtId="166" fontId="6" fillId="125" borderId="0" xfId="1255" applyNumberFormat="1" applyFont="1" applyFill="1" applyBorder="1"/>
    <xf numFmtId="166" fontId="6" fillId="125" borderId="0" xfId="1255" applyNumberFormat="1" applyFill="1" applyBorder="1"/>
    <xf numFmtId="41" fontId="6" fillId="125" borderId="0" xfId="1573" applyNumberFormat="1" applyFont="1" applyFill="1" applyBorder="1"/>
    <xf numFmtId="166" fontId="6" fillId="125" borderId="36" xfId="1573" applyNumberFormat="1" applyFont="1" applyFill="1" applyBorder="1"/>
    <xf numFmtId="6" fontId="6" fillId="125" borderId="0" xfId="1573" applyNumberFormat="1" applyFill="1" applyBorder="1"/>
    <xf numFmtId="166" fontId="6" fillId="125" borderId="0" xfId="1573" applyNumberFormat="1" applyFont="1" applyFill="1" applyBorder="1"/>
    <xf numFmtId="43" fontId="6" fillId="125" borderId="0" xfId="1573" applyNumberFormat="1" applyFont="1" applyFill="1" applyBorder="1"/>
    <xf numFmtId="0" fontId="6" fillId="125" borderId="0" xfId="1573" applyFont="1" applyFill="1" applyBorder="1"/>
    <xf numFmtId="9" fontId="6" fillId="125" borderId="0" xfId="1608" applyFont="1" applyFill="1" applyBorder="1"/>
    <xf numFmtId="0" fontId="6" fillId="125" borderId="0" xfId="1573" applyFill="1" applyBorder="1"/>
    <xf numFmtId="166" fontId="13" fillId="125" borderId="36" xfId="1573" applyNumberFormat="1" applyFont="1" applyFill="1" applyBorder="1"/>
    <xf numFmtId="6" fontId="6" fillId="125" borderId="0" xfId="1573" applyNumberFormat="1" applyFont="1" applyFill="1" applyBorder="1"/>
    <xf numFmtId="0" fontId="6" fillId="125" borderId="0" xfId="1573" applyFill="1" applyBorder="1" applyAlignment="1">
      <alignment horizontal="center"/>
    </xf>
    <xf numFmtId="0" fontId="6" fillId="125" borderId="0" xfId="1573" applyFont="1" applyFill="1" applyBorder="1" applyAlignment="1">
      <alignment horizontal="center"/>
    </xf>
    <xf numFmtId="5" fontId="6" fillId="125" borderId="0" xfId="1573" applyNumberFormat="1" applyFont="1" applyFill="1" applyBorder="1"/>
    <xf numFmtId="0" fontId="9" fillId="125" borderId="0" xfId="1573" applyFont="1" applyFill="1" applyBorder="1"/>
    <xf numFmtId="0" fontId="6" fillId="125" borderId="0" xfId="1573" applyFill="1"/>
    <xf numFmtId="17" fontId="6" fillId="126" borderId="0" xfId="1573" applyNumberFormat="1" applyFill="1" applyBorder="1"/>
    <xf numFmtId="0" fontId="6" fillId="126" borderId="0" xfId="1573" applyFill="1" applyBorder="1"/>
    <xf numFmtId="166" fontId="6" fillId="126" borderId="0" xfId="1255" applyNumberFormat="1" applyFont="1" applyFill="1" applyBorder="1"/>
    <xf numFmtId="6" fontId="6" fillId="126" borderId="0" xfId="1573" applyNumberFormat="1" applyFont="1" applyFill="1" applyBorder="1"/>
    <xf numFmtId="166" fontId="6" fillId="126" borderId="0" xfId="1573" applyNumberFormat="1" applyFont="1" applyFill="1" applyBorder="1"/>
    <xf numFmtId="0" fontId="6" fillId="126" borderId="0" xfId="1573" applyFill="1"/>
    <xf numFmtId="0" fontId="6" fillId="128" borderId="35" xfId="1573" applyFill="1" applyBorder="1"/>
    <xf numFmtId="17" fontId="6" fillId="128" borderId="0" xfId="1573" applyNumberFormat="1" applyFill="1" applyBorder="1"/>
    <xf numFmtId="0" fontId="6" fillId="128" borderId="0" xfId="1573" applyFill="1" applyBorder="1"/>
    <xf numFmtId="3" fontId="6" fillId="128" borderId="0" xfId="1202" applyNumberFormat="1" applyFont="1" applyFill="1" applyBorder="1" applyAlignment="1">
      <alignment horizontal="center"/>
    </xf>
    <xf numFmtId="38" fontId="6" fillId="128" borderId="0" xfId="1573" applyNumberFormat="1" applyFill="1" applyBorder="1"/>
    <xf numFmtId="38" fontId="6" fillId="128" borderId="0" xfId="1290" applyNumberFormat="1" applyFont="1" applyFill="1" applyBorder="1"/>
    <xf numFmtId="166" fontId="6" fillId="128" borderId="0" xfId="1255" applyNumberFormat="1" applyFont="1" applyFill="1" applyBorder="1"/>
    <xf numFmtId="0" fontId="6" fillId="128" borderId="0" xfId="1573" applyFill="1" applyBorder="1" applyAlignment="1">
      <alignment horizontal="center"/>
    </xf>
    <xf numFmtId="0" fontId="6" fillId="128" borderId="0" xfId="1573" applyFont="1" applyFill="1" applyBorder="1" applyAlignment="1">
      <alignment horizontal="center"/>
    </xf>
    <xf numFmtId="6" fontId="6" fillId="128" borderId="0" xfId="1573" applyNumberFormat="1" applyFont="1" applyFill="1" applyBorder="1"/>
    <xf numFmtId="41" fontId="6" fillId="128" borderId="0" xfId="1573" applyNumberFormat="1" applyFont="1" applyFill="1" applyBorder="1"/>
    <xf numFmtId="5" fontId="6" fillId="128" borderId="0" xfId="1573" applyNumberFormat="1" applyFont="1" applyFill="1" applyBorder="1"/>
    <xf numFmtId="166" fontId="6" fillId="128" borderId="36" xfId="1573" applyNumberFormat="1" applyFont="1" applyFill="1" applyBorder="1"/>
    <xf numFmtId="166" fontId="6" fillId="128" borderId="0" xfId="1573" applyNumberFormat="1" applyFont="1" applyFill="1" applyBorder="1"/>
    <xf numFmtId="0" fontId="9" fillId="128" borderId="0" xfId="1573" applyFont="1" applyFill="1" applyBorder="1"/>
    <xf numFmtId="0" fontId="6" fillId="128" borderId="0" xfId="1573" applyFill="1"/>
    <xf numFmtId="0" fontId="6" fillId="128" borderId="0" xfId="1573" applyFont="1" applyFill="1"/>
    <xf numFmtId="0" fontId="6" fillId="128" borderId="0" xfId="1573" applyFont="1" applyFill="1" applyAlignment="1">
      <alignment horizontal="center"/>
    </xf>
    <xf numFmtId="0" fontId="6" fillId="128" borderId="21" xfId="1573" applyFont="1" applyFill="1" applyBorder="1" applyAlignment="1">
      <alignment horizontal="center"/>
    </xf>
    <xf numFmtId="0" fontId="6" fillId="128" borderId="22" xfId="1573" applyFont="1" applyFill="1" applyBorder="1" applyAlignment="1">
      <alignment horizontal="center"/>
    </xf>
    <xf numFmtId="41" fontId="6" fillId="128" borderId="21" xfId="1573" applyNumberFormat="1" applyFont="1" applyFill="1" applyBorder="1"/>
    <xf numFmtId="3" fontId="6" fillId="0" borderId="0" xfId="1202" applyNumberFormat="1" applyFont="1" applyFill="1" applyAlignment="1"/>
    <xf numFmtId="3" fontId="6" fillId="0" borderId="0" xfId="1202" applyNumberFormat="1" applyFont="1" applyFill="1" applyBorder="1" applyAlignment="1"/>
    <xf numFmtId="3" fontId="232" fillId="0" borderId="0" xfId="1202" applyNumberFormat="1" applyFont="1" applyFill="1" applyAlignment="1"/>
    <xf numFmtId="17" fontId="6" fillId="128" borderId="0" xfId="1573" applyNumberFormat="1" applyFill="1"/>
    <xf numFmtId="6" fontId="6" fillId="128" borderId="0" xfId="1573" applyNumberFormat="1" applyFill="1" applyBorder="1"/>
    <xf numFmtId="166" fontId="6" fillId="128" borderId="0" xfId="1255" applyNumberFormat="1" applyFill="1"/>
    <xf numFmtId="166" fontId="6" fillId="128" borderId="0" xfId="1255" applyNumberFormat="1" applyFont="1" applyFill="1"/>
    <xf numFmtId="17" fontId="6" fillId="126" borderId="0" xfId="1573" applyNumberFormat="1" applyFill="1"/>
    <xf numFmtId="6" fontId="6" fillId="126" borderId="0" xfId="1573" applyNumberFormat="1" applyFill="1" applyBorder="1"/>
    <xf numFmtId="166" fontId="6" fillId="126" borderId="0" xfId="1255" applyNumberFormat="1" applyFill="1"/>
    <xf numFmtId="166" fontId="6" fillId="126" borderId="0" xfId="1255" applyNumberFormat="1" applyFont="1" applyFill="1"/>
    <xf numFmtId="3" fontId="6" fillId="128" borderId="0" xfId="1573" applyNumberFormat="1" applyFont="1" applyFill="1" applyBorder="1" applyAlignment="1">
      <alignment horizontal="center"/>
    </xf>
    <xf numFmtId="0" fontId="0" fillId="128" borderId="0" xfId="0" applyNumberFormat="1" applyFill="1" applyAlignment="1"/>
    <xf numFmtId="41" fontId="6" fillId="128" borderId="0" xfId="1573" applyNumberFormat="1" applyFont="1" applyFill="1" applyBorder="1" applyAlignment="1"/>
    <xf numFmtId="17" fontId="13" fillId="128" borderId="0" xfId="1573" applyNumberFormat="1" applyFont="1" applyFill="1"/>
    <xf numFmtId="14" fontId="130" fillId="125" borderId="37" xfId="1475" applyNumberFormat="1" applyFill="1" applyBorder="1"/>
    <xf numFmtId="43" fontId="130" fillId="125" borderId="0" xfId="1475" applyNumberFormat="1" applyFill="1"/>
    <xf numFmtId="166" fontId="31" fillId="125" borderId="35" xfId="1253" applyNumberFormat="1" applyFont="1" applyFill="1" applyBorder="1"/>
    <xf numFmtId="166" fontId="31" fillId="125" borderId="36" xfId="1253" applyNumberFormat="1" applyFont="1" applyFill="1" applyBorder="1"/>
    <xf numFmtId="166" fontId="130" fillId="125" borderId="35" xfId="1475" applyNumberFormat="1" applyFill="1" applyBorder="1"/>
    <xf numFmtId="166" fontId="130" fillId="125" borderId="0" xfId="1475" applyNumberFormat="1" applyFill="1" applyBorder="1"/>
    <xf numFmtId="166" fontId="130" fillId="125" borderId="36" xfId="1475" applyNumberFormat="1" applyFill="1" applyBorder="1"/>
    <xf numFmtId="166" fontId="130" fillId="125" borderId="46" xfId="1475" applyNumberFormat="1" applyFill="1" applyBorder="1"/>
    <xf numFmtId="166" fontId="75" fillId="125" borderId="37" xfId="1475" applyNumberFormat="1" applyFont="1" applyFill="1" applyBorder="1" applyAlignment="1"/>
    <xf numFmtId="166" fontId="31" fillId="125" borderId="0" xfId="1253" applyNumberFormat="1" applyFont="1" applyFill="1"/>
    <xf numFmtId="43" fontId="31" fillId="125" borderId="0" xfId="1253" applyFont="1" applyFill="1"/>
    <xf numFmtId="0" fontId="130" fillId="125" borderId="0" xfId="1475" applyFill="1"/>
    <xf numFmtId="166" fontId="31" fillId="127" borderId="0" xfId="1253" applyNumberFormat="1" applyFont="1" applyFill="1"/>
    <xf numFmtId="166" fontId="31" fillId="127" borderId="35" xfId="1253" applyNumberFormat="1" applyFont="1" applyFill="1" applyBorder="1"/>
    <xf numFmtId="175" fontId="130" fillId="120" borderId="37" xfId="1475" applyNumberFormat="1" applyFill="1" applyBorder="1" applyAlignment="1">
      <alignment horizontal="center"/>
    </xf>
    <xf numFmtId="43" fontId="31" fillId="120" borderId="35" xfId="1253" quotePrefix="1" applyFont="1" applyFill="1" applyBorder="1" applyAlignment="1">
      <alignment horizontal="right"/>
    </xf>
    <xf numFmtId="167" fontId="84" fillId="120" borderId="36" xfId="1302" applyNumberFormat="1" applyFont="1" applyFill="1" applyBorder="1"/>
    <xf numFmtId="166" fontId="31" fillId="120" borderId="36" xfId="1253" applyNumberFormat="1" applyFont="1" applyFill="1" applyBorder="1"/>
    <xf numFmtId="166" fontId="31" fillId="120" borderId="0" xfId="1253" applyNumberFormat="1" applyFont="1" applyFill="1" applyBorder="1"/>
    <xf numFmtId="167" fontId="31" fillId="120" borderId="36" xfId="1302" applyNumberFormat="1" applyFont="1" applyFill="1" applyBorder="1" applyAlignment="1">
      <alignment horizontal="center"/>
    </xf>
    <xf numFmtId="43" fontId="31" fillId="120" borderId="0" xfId="1253" quotePrefix="1" applyFont="1" applyFill="1" applyBorder="1" applyAlignment="1">
      <alignment horizontal="right"/>
    </xf>
    <xf numFmtId="167" fontId="130" fillId="120" borderId="37" xfId="1475" applyNumberFormat="1" applyFill="1" applyBorder="1"/>
    <xf numFmtId="167" fontId="130" fillId="120" borderId="0" xfId="1475" applyNumberFormat="1" applyFill="1" applyBorder="1"/>
    <xf numFmtId="0" fontId="130" fillId="120" borderId="37" xfId="1475" applyFill="1" applyBorder="1"/>
    <xf numFmtId="43" fontId="31" fillId="120" borderId="37" xfId="1253" applyFont="1" applyFill="1" applyBorder="1"/>
    <xf numFmtId="43" fontId="130" fillId="120" borderId="0" xfId="1475" applyNumberFormat="1" applyFill="1"/>
    <xf numFmtId="167" fontId="130" fillId="120" borderId="0" xfId="1475" applyNumberFormat="1" applyFill="1"/>
    <xf numFmtId="0" fontId="130" fillId="120" borderId="0" xfId="1475" applyFill="1"/>
    <xf numFmtId="166" fontId="31" fillId="120" borderId="0" xfId="1253" applyNumberFormat="1" applyFont="1" applyFill="1"/>
    <xf numFmtId="175" fontId="130" fillId="128" borderId="37" xfId="1475" applyNumberFormat="1" applyFill="1" applyBorder="1" applyAlignment="1">
      <alignment horizontal="center"/>
    </xf>
    <xf numFmtId="43" fontId="31" fillId="128" borderId="35" xfId="1253" quotePrefix="1" applyFont="1" applyFill="1" applyBorder="1" applyAlignment="1">
      <alignment horizontal="right"/>
    </xf>
    <xf numFmtId="167" fontId="31" fillId="128" borderId="36" xfId="1302" applyNumberFormat="1" applyFont="1" applyFill="1" applyBorder="1"/>
    <xf numFmtId="166" fontId="31" fillId="128" borderId="36" xfId="1253" applyNumberFormat="1" applyFont="1" applyFill="1" applyBorder="1"/>
    <xf numFmtId="166" fontId="31" fillId="128" borderId="0" xfId="1253" applyNumberFormat="1" applyFont="1" applyFill="1" applyBorder="1"/>
    <xf numFmtId="167" fontId="31" fillId="128" borderId="36" xfId="1302" applyNumberFormat="1" applyFont="1" applyFill="1" applyBorder="1" applyAlignment="1">
      <alignment horizontal="center"/>
    </xf>
    <xf numFmtId="43" fontId="31" fillId="128" borderId="0" xfId="1253" quotePrefix="1" applyFont="1" applyFill="1" applyBorder="1" applyAlignment="1">
      <alignment horizontal="right"/>
    </xf>
    <xf numFmtId="167" fontId="130" fillId="128" borderId="37" xfId="1475" applyNumberFormat="1" applyFill="1" applyBorder="1"/>
    <xf numFmtId="167" fontId="130" fillId="128" borderId="0" xfId="1475" applyNumberFormat="1" applyFill="1" applyBorder="1"/>
    <xf numFmtId="0" fontId="130" fillId="128" borderId="37" xfId="1475" applyFill="1" applyBorder="1"/>
    <xf numFmtId="43" fontId="31" fillId="128" borderId="37" xfId="1253" applyFont="1" applyFill="1" applyBorder="1"/>
    <xf numFmtId="43" fontId="130" fillId="128" borderId="0" xfId="1475" applyNumberFormat="1" applyFill="1"/>
    <xf numFmtId="167" fontId="130" fillId="128" borderId="0" xfId="1475" applyNumberFormat="1" applyFill="1"/>
    <xf numFmtId="0" fontId="130" fillId="128" borderId="0" xfId="1475" applyFill="1"/>
    <xf numFmtId="166" fontId="31" fillId="128" borderId="0" xfId="1253" applyNumberFormat="1" applyFont="1" applyFill="1"/>
    <xf numFmtId="166" fontId="80" fillId="128" borderId="0" xfId="1253" applyNumberFormat="1" applyFont="1" applyFill="1"/>
    <xf numFmtId="0" fontId="130" fillId="128" borderId="0" xfId="1475" applyFill="1" applyAlignment="1">
      <alignment horizontal="center"/>
    </xf>
    <xf numFmtId="14" fontId="130" fillId="128" borderId="0" xfId="1475" applyNumberFormat="1" applyFill="1"/>
    <xf numFmtId="174" fontId="75" fillId="128" borderId="0" xfId="1633" applyNumberFormat="1" applyFont="1" applyFill="1" applyBorder="1"/>
    <xf numFmtId="43" fontId="31" fillId="128" borderId="0" xfId="1253" applyFont="1" applyFill="1"/>
    <xf numFmtId="172" fontId="31" fillId="128" borderId="0" xfId="1253" applyNumberFormat="1" applyFont="1" applyFill="1"/>
    <xf numFmtId="166" fontId="130" fillId="128" borderId="0" xfId="1475" applyNumberFormat="1" applyFill="1"/>
    <xf numFmtId="14" fontId="130" fillId="129" borderId="37" xfId="1475" applyNumberFormat="1" applyFill="1" applyBorder="1"/>
    <xf numFmtId="43" fontId="130" fillId="129" borderId="0" xfId="1475" applyNumberFormat="1" applyFill="1"/>
    <xf numFmtId="166" fontId="31" fillId="129" borderId="35" xfId="1253" applyNumberFormat="1" applyFont="1" applyFill="1" applyBorder="1"/>
    <xf numFmtId="166" fontId="31" fillId="129" borderId="36" xfId="1253" applyNumberFormat="1" applyFont="1" applyFill="1" applyBorder="1"/>
    <xf numFmtId="166" fontId="130" fillId="129" borderId="35" xfId="1475" applyNumberFormat="1" applyFill="1" applyBorder="1"/>
    <xf numFmtId="166" fontId="130" fillId="129" borderId="0" xfId="1475" applyNumberFormat="1" applyFill="1" applyBorder="1"/>
    <xf numFmtId="166" fontId="130" fillId="129" borderId="36" xfId="1475" applyNumberFormat="1" applyFill="1" applyBorder="1"/>
    <xf numFmtId="166" fontId="130" fillId="129" borderId="50" xfId="1475" applyNumberFormat="1" applyFill="1" applyBorder="1"/>
    <xf numFmtId="166" fontId="75" fillId="129" borderId="37" xfId="1475" applyNumberFormat="1" applyFont="1" applyFill="1" applyBorder="1" applyAlignment="1"/>
    <xf numFmtId="166" fontId="31" fillId="129" borderId="0" xfId="1253" applyNumberFormat="1" applyFont="1" applyFill="1"/>
    <xf numFmtId="43" fontId="31" fillId="129" borderId="0" xfId="1253" applyFont="1" applyFill="1"/>
    <xf numFmtId="0" fontId="130" fillId="129" borderId="0" xfId="1475" applyFill="1"/>
    <xf numFmtId="166" fontId="130" fillId="129" borderId="61" xfId="1475" applyNumberFormat="1" applyFill="1" applyBorder="1"/>
    <xf numFmtId="166" fontId="130" fillId="127" borderId="36" xfId="1475" applyNumberFormat="1" applyFill="1" applyBorder="1"/>
    <xf numFmtId="166" fontId="130" fillId="126" borderId="0" xfId="1475" applyNumberFormat="1" applyFill="1" applyBorder="1"/>
    <xf numFmtId="0" fontId="7" fillId="121" borderId="0" xfId="1558" applyNumberFormat="1" applyFill="1" applyBorder="1" applyAlignment="1"/>
    <xf numFmtId="17" fontId="6" fillId="121" borderId="40" xfId="1571" quotePrefix="1" applyNumberFormat="1" applyFill="1" applyBorder="1" applyAlignment="1">
      <alignment horizontal="left"/>
    </xf>
    <xf numFmtId="41" fontId="6" fillId="121" borderId="0" xfId="1573" applyNumberFormat="1" applyFont="1" applyFill="1" applyBorder="1" applyAlignment="1"/>
    <xf numFmtId="41" fontId="6" fillId="121" borderId="0" xfId="1255" applyNumberFormat="1" applyFont="1" applyFill="1" applyBorder="1" applyAlignment="1"/>
    <xf numFmtId="41" fontId="6" fillId="121" borderId="0" xfId="1207" applyNumberFormat="1" applyFont="1" applyFill="1" applyBorder="1" applyAlignment="1"/>
    <xf numFmtId="41" fontId="6" fillId="121" borderId="0" xfId="1225" applyNumberFormat="1" applyFont="1" applyFill="1" applyBorder="1" applyAlignment="1"/>
    <xf numFmtId="41" fontId="6" fillId="121" borderId="0" xfId="1558" applyNumberFormat="1" applyFont="1" applyFill="1" applyBorder="1" applyAlignment="1"/>
    <xf numFmtId="41" fontId="7" fillId="121" borderId="0" xfId="1558" applyNumberFormat="1" applyFill="1" applyBorder="1" applyAlignment="1"/>
    <xf numFmtId="41" fontId="6" fillId="121" borderId="36" xfId="1558" applyNumberFormat="1" applyFont="1" applyFill="1" applyBorder="1" applyAlignment="1"/>
    <xf numFmtId="43" fontId="6" fillId="121" borderId="0" xfId="1558" applyNumberFormat="1" applyFont="1" applyFill="1" applyAlignment="1"/>
    <xf numFmtId="166" fontId="6" fillId="121" borderId="0" xfId="1558" applyNumberFormat="1" applyFont="1" applyFill="1" applyAlignment="1"/>
    <xf numFmtId="9" fontId="7" fillId="121" borderId="0" xfId="1608" applyFont="1" applyFill="1" applyAlignment="1"/>
    <xf numFmtId="0" fontId="7" fillId="121" borderId="0" xfId="1558" applyNumberFormat="1" applyFill="1" applyAlignment="1"/>
    <xf numFmtId="0" fontId="0" fillId="121" borderId="35" xfId="0" applyNumberFormat="1" applyFill="1" applyBorder="1" applyAlignment="1"/>
    <xf numFmtId="17" fontId="6" fillId="121" borderId="0" xfId="1574" applyNumberFormat="1" applyFont="1" applyFill="1" applyBorder="1"/>
    <xf numFmtId="0" fontId="0" fillId="121" borderId="0" xfId="0" applyNumberFormat="1" applyFill="1" applyBorder="1" applyAlignment="1"/>
    <xf numFmtId="166" fontId="233" fillId="121" borderId="0" xfId="1257" applyNumberFormat="1" applyFont="1" applyFill="1" applyBorder="1"/>
    <xf numFmtId="41" fontId="233" fillId="121" borderId="0" xfId="1257" applyNumberFormat="1" applyFont="1" applyFill="1" applyBorder="1"/>
    <xf numFmtId="166" fontId="233" fillId="121" borderId="36" xfId="1574" applyNumberFormat="1" applyFont="1" applyFill="1" applyBorder="1"/>
    <xf numFmtId="166" fontId="233" fillId="121" borderId="37" xfId="1542" applyNumberFormat="1" applyFont="1" applyFill="1" applyBorder="1" applyAlignment="1"/>
    <xf numFmtId="0" fontId="0" fillId="121" borderId="0" xfId="0" applyNumberFormat="1" applyFont="1" applyFill="1" applyAlignment="1"/>
    <xf numFmtId="17" fontId="6" fillId="121" borderId="0" xfId="1574" applyNumberFormat="1" applyFill="1" applyBorder="1"/>
    <xf numFmtId="0" fontId="250" fillId="0" borderId="0" xfId="0" applyNumberFormat="1" applyFont="1" applyAlignment="1">
      <alignment horizontal="center"/>
    </xf>
    <xf numFmtId="177" fontId="6" fillId="125" borderId="55" xfId="0" applyNumberFormat="1" applyFont="1" applyFill="1" applyBorder="1" applyAlignment="1">
      <alignment horizontal="right"/>
    </xf>
    <xf numFmtId="41" fontId="6" fillId="125" borderId="55" xfId="0" applyNumberFormat="1" applyFont="1" applyFill="1" applyBorder="1">
      <alignment horizontal="left" wrapText="1"/>
    </xf>
    <xf numFmtId="165" fontId="6" fillId="125" borderId="0" xfId="0" applyFont="1" applyFill="1" applyBorder="1">
      <alignment horizontal="left" wrapText="1"/>
    </xf>
    <xf numFmtId="0" fontId="0" fillId="125" borderId="0" xfId="0" applyNumberFormat="1" applyFill="1" applyAlignment="1"/>
    <xf numFmtId="17" fontId="6" fillId="125" borderId="0" xfId="1573" applyNumberFormat="1" applyFill="1"/>
    <xf numFmtId="166" fontId="6" fillId="125" borderId="0" xfId="1255" applyNumberFormat="1" applyFill="1"/>
    <xf numFmtId="166" fontId="6" fillId="125" borderId="0" xfId="1255" applyNumberFormat="1" applyFont="1" applyFill="1"/>
    <xf numFmtId="0" fontId="8" fillId="121" borderId="40" xfId="1497" applyNumberFormat="1" applyFont="1" applyFill="1" applyBorder="1" applyAlignment="1"/>
    <xf numFmtId="17" fontId="111" fillId="121" borderId="0" xfId="1574" applyNumberFormat="1" applyFont="1" applyFill="1" applyBorder="1"/>
    <xf numFmtId="166" fontId="109" fillId="121" borderId="0" xfId="1256" applyNumberFormat="1" applyFont="1" applyFill="1" applyBorder="1"/>
    <xf numFmtId="166" fontId="111" fillId="121" borderId="0" xfId="1256" applyNumberFormat="1" applyFont="1" applyFill="1" applyBorder="1"/>
    <xf numFmtId="166" fontId="111" fillId="121" borderId="0" xfId="1574" applyNumberFormat="1" applyFont="1" applyFill="1" applyBorder="1"/>
    <xf numFmtId="166" fontId="111" fillId="121" borderId="50" xfId="1498" applyNumberFormat="1" applyFont="1" applyFill="1" applyBorder="1" applyAlignment="1"/>
    <xf numFmtId="0" fontId="8" fillId="121" borderId="0" xfId="1497" applyNumberFormat="1" applyFont="1" applyFill="1" applyAlignment="1"/>
    <xf numFmtId="17" fontId="6" fillId="128" borderId="0" xfId="35248" applyNumberFormat="1" applyFill="1"/>
    <xf numFmtId="0" fontId="7" fillId="128" borderId="0" xfId="1498" applyNumberFormat="1" applyFill="1" applyAlignment="1"/>
    <xf numFmtId="166" fontId="6" fillId="128" borderId="0" xfId="29902" applyNumberFormat="1" applyFont="1" applyFill="1" applyBorder="1"/>
    <xf numFmtId="166" fontId="6" fillId="128" borderId="0" xfId="35248" applyNumberFormat="1" applyFont="1" applyFill="1" applyBorder="1"/>
    <xf numFmtId="166" fontId="6" fillId="128" borderId="0" xfId="1498" applyNumberFormat="1" applyFont="1" applyFill="1" applyAlignment="1"/>
    <xf numFmtId="166" fontId="6" fillId="128" borderId="0" xfId="29902" applyNumberFormat="1" applyFill="1"/>
    <xf numFmtId="9" fontId="111" fillId="128" borderId="0" xfId="1608" applyFont="1" applyFill="1" applyAlignment="1"/>
    <xf numFmtId="17" fontId="6" fillId="128" borderId="0" xfId="35248" applyNumberFormat="1" applyFont="1" applyFill="1" applyBorder="1"/>
    <xf numFmtId="0" fontId="7" fillId="121" borderId="0" xfId="1498" applyNumberFormat="1" applyFont="1" applyFill="1" applyAlignment="1"/>
    <xf numFmtId="17" fontId="6" fillId="121" borderId="0" xfId="1574" applyNumberFormat="1" applyFont="1" applyFill="1"/>
    <xf numFmtId="166" fontId="6" fillId="121" borderId="0" xfId="29890" applyNumberFormat="1" applyFont="1" applyFill="1"/>
    <xf numFmtId="166" fontId="6" fillId="121" borderId="0" xfId="29890" applyNumberFormat="1" applyFont="1" applyFill="1" applyBorder="1"/>
    <xf numFmtId="166" fontId="6" fillId="121" borderId="0" xfId="1574" applyNumberFormat="1" applyFont="1" applyFill="1" applyBorder="1"/>
    <xf numFmtId="9" fontId="7" fillId="121" borderId="0" xfId="35860" applyFont="1" applyFill="1" applyAlignment="1"/>
    <xf numFmtId="166" fontId="7" fillId="121" borderId="0" xfId="1498" applyNumberFormat="1" applyFont="1" applyFill="1" applyAlignment="1"/>
    <xf numFmtId="17" fontId="13" fillId="0" borderId="0" xfId="1574" applyNumberFormat="1" applyFont="1" applyFill="1" applyAlignment="1">
      <alignment horizontal="center"/>
    </xf>
    <xf numFmtId="0" fontId="228" fillId="122" borderId="35" xfId="1498" applyNumberFormat="1" applyFont="1" applyFill="1" applyBorder="1" applyAlignment="1"/>
    <xf numFmtId="17" fontId="228" fillId="122" borderId="0" xfId="1574" applyNumberFormat="1" applyFont="1" applyFill="1" applyBorder="1"/>
    <xf numFmtId="0" fontId="228" fillId="122" borderId="0" xfId="1498" applyNumberFormat="1" applyFont="1" applyFill="1" applyBorder="1" applyAlignment="1"/>
    <xf numFmtId="166" fontId="228" fillId="122" borderId="0" xfId="1256" applyNumberFormat="1" applyFont="1" applyFill="1" applyBorder="1"/>
    <xf numFmtId="166" fontId="155" fillId="122" borderId="0" xfId="1256" applyNumberFormat="1" applyFont="1" applyFill="1" applyBorder="1"/>
    <xf numFmtId="41" fontId="228" fillId="122" borderId="0" xfId="1256" applyNumberFormat="1" applyFont="1" applyFill="1" applyBorder="1"/>
    <xf numFmtId="166" fontId="228" fillId="122" borderId="36" xfId="1574" applyNumberFormat="1" applyFont="1" applyFill="1" applyBorder="1"/>
    <xf numFmtId="166" fontId="228" fillId="122" borderId="37" xfId="1542" applyNumberFormat="1" applyFont="1" applyFill="1" applyBorder="1" applyAlignment="1"/>
    <xf numFmtId="0" fontId="7" fillId="122" borderId="0" xfId="1498" applyNumberFormat="1" applyFill="1" applyAlignment="1"/>
    <xf numFmtId="0" fontId="110" fillId="0" borderId="0" xfId="1497" applyNumberFormat="1" applyFont="1" applyFill="1" applyAlignment="1">
      <alignment horizontal="center"/>
    </xf>
    <xf numFmtId="166" fontId="111" fillId="0" borderId="0" xfId="1497" applyNumberFormat="1" applyFont="1" applyFill="1" applyAlignment="1"/>
    <xf numFmtId="17" fontId="13" fillId="0" borderId="0" xfId="35248" applyNumberFormat="1" applyFont="1" applyFill="1" applyBorder="1" applyAlignment="1">
      <alignment horizontal="center"/>
    </xf>
    <xf numFmtId="166" fontId="6" fillId="0" borderId="122" xfId="29902" applyNumberFormat="1" applyFont="1" applyFill="1" applyBorder="1"/>
    <xf numFmtId="17" fontId="13" fillId="0" borderId="46" xfId="35248" applyNumberFormat="1" applyFont="1" applyFill="1" applyBorder="1" applyAlignment="1">
      <alignment horizontal="center"/>
    </xf>
    <xf numFmtId="17" fontId="13" fillId="0" borderId="61" xfId="35248" applyNumberFormat="1" applyFont="1" applyFill="1" applyBorder="1" applyAlignment="1">
      <alignment horizontal="center"/>
    </xf>
    <xf numFmtId="166" fontId="6" fillId="0" borderId="46" xfId="29902" applyNumberFormat="1" applyFill="1" applyBorder="1"/>
    <xf numFmtId="166" fontId="6" fillId="0" borderId="61" xfId="29902" applyNumberFormat="1" applyFill="1" applyBorder="1"/>
    <xf numFmtId="0" fontId="6" fillId="128" borderId="0" xfId="35248" applyFill="1"/>
    <xf numFmtId="17" fontId="6" fillId="128" borderId="0" xfId="35248" applyNumberFormat="1" applyFill="1" applyBorder="1"/>
    <xf numFmtId="0" fontId="7" fillId="125" borderId="0" xfId="1498" applyNumberFormat="1" applyFill="1" applyAlignment="1"/>
    <xf numFmtId="17" fontId="6" fillId="125" borderId="0" xfId="35248" applyNumberFormat="1" applyFill="1"/>
    <xf numFmtId="166" fontId="6" fillId="125" borderId="0" xfId="29902" applyNumberFormat="1" applyFont="1" applyFill="1" applyBorder="1"/>
    <xf numFmtId="166" fontId="6" fillId="125" borderId="0" xfId="29902" applyNumberFormat="1" applyFill="1"/>
    <xf numFmtId="166" fontId="6" fillId="125" borderId="0" xfId="35248" applyNumberFormat="1" applyFont="1" applyFill="1" applyBorder="1"/>
    <xf numFmtId="166" fontId="6" fillId="125" borderId="0" xfId="1498" applyNumberFormat="1" applyFont="1" applyFill="1" applyAlignment="1"/>
    <xf numFmtId="9" fontId="111" fillId="125" borderId="0" xfId="1608" applyFont="1" applyFill="1" applyAlignment="1"/>
    <xf numFmtId="41" fontId="6" fillId="125" borderId="0" xfId="29902" applyNumberFormat="1" applyFont="1" applyFill="1" applyBorder="1"/>
    <xf numFmtId="0" fontId="7" fillId="126" borderId="0" xfId="1558" applyNumberFormat="1" applyFill="1" applyBorder="1" applyAlignment="1"/>
    <xf numFmtId="17" fontId="6" fillId="126" borderId="40" xfId="1571" quotePrefix="1" applyNumberFormat="1" applyFill="1" applyBorder="1" applyAlignment="1">
      <alignment horizontal="left"/>
    </xf>
    <xf numFmtId="41" fontId="6" fillId="126" borderId="0" xfId="1573" applyNumberFormat="1" applyFont="1" applyFill="1" applyBorder="1" applyAlignment="1"/>
    <xf numFmtId="41" fontId="6" fillId="126" borderId="0" xfId="1255" applyNumberFormat="1" applyFont="1" applyFill="1" applyBorder="1" applyAlignment="1"/>
    <xf numFmtId="41" fontId="6" fillId="126" borderId="0" xfId="1207" applyNumberFormat="1" applyFont="1" applyFill="1" applyBorder="1" applyAlignment="1"/>
    <xf numFmtId="41" fontId="6" fillId="126" borderId="0" xfId="1225" applyNumberFormat="1" applyFont="1" applyFill="1" applyBorder="1" applyAlignment="1"/>
    <xf numFmtId="41" fontId="6" fillId="126" borderId="0" xfId="1558" applyNumberFormat="1" applyFont="1" applyFill="1" applyBorder="1" applyAlignment="1"/>
    <xf numFmtId="41" fontId="7" fillId="126" borderId="0" xfId="1558" applyNumberFormat="1" applyFill="1" applyBorder="1" applyAlignment="1"/>
    <xf numFmtId="41" fontId="6" fillId="126" borderId="36" xfId="1558" applyNumberFormat="1" applyFont="1" applyFill="1" applyBorder="1" applyAlignment="1"/>
    <xf numFmtId="43" fontId="6" fillId="126" borderId="0" xfId="1558" applyNumberFormat="1" applyFont="1" applyFill="1" applyAlignment="1"/>
    <xf numFmtId="166" fontId="6" fillId="126" borderId="0" xfId="1558" applyNumberFormat="1" applyFont="1" applyFill="1" applyAlignment="1"/>
    <xf numFmtId="9" fontId="7" fillId="126" borderId="0" xfId="1608" applyFont="1" applyFill="1" applyAlignment="1"/>
    <xf numFmtId="0" fontId="7" fillId="126" borderId="0" xfId="1558" applyNumberFormat="1" applyFill="1" applyAlignment="1"/>
    <xf numFmtId="17" fontId="6" fillId="130" borderId="0" xfId="1573" applyNumberFormat="1" applyFill="1"/>
    <xf numFmtId="17" fontId="6" fillId="130" borderId="0" xfId="1573" applyNumberFormat="1" applyFill="1" applyBorder="1"/>
    <xf numFmtId="3" fontId="6" fillId="130" borderId="0" xfId="1202" applyNumberFormat="1" applyFont="1" applyFill="1" applyAlignment="1">
      <alignment horizontal="center"/>
    </xf>
    <xf numFmtId="6" fontId="6" fillId="130" borderId="0" xfId="1573" applyNumberFormat="1" applyFill="1"/>
    <xf numFmtId="38" fontId="6" fillId="130" borderId="0" xfId="1290" applyNumberFormat="1" applyFont="1" applyFill="1"/>
    <xf numFmtId="166" fontId="6" fillId="130" borderId="0" xfId="1255" applyNumberFormat="1" applyFont="1" applyFill="1" applyBorder="1"/>
    <xf numFmtId="166" fontId="6" fillId="130" borderId="0" xfId="1255" applyNumberFormat="1" applyFill="1"/>
    <xf numFmtId="166" fontId="6" fillId="130" borderId="0" xfId="1255" applyNumberFormat="1" applyFont="1" applyFill="1"/>
    <xf numFmtId="6" fontId="6" fillId="130" borderId="0" xfId="1573" applyNumberFormat="1" applyFont="1" applyFill="1" applyBorder="1"/>
    <xf numFmtId="5" fontId="6" fillId="130" borderId="0" xfId="1573" applyNumberFormat="1" applyFont="1" applyFill="1" applyBorder="1"/>
    <xf numFmtId="166" fontId="6" fillId="130" borderId="0" xfId="1573" applyNumberFormat="1" applyFont="1" applyFill="1" applyBorder="1"/>
    <xf numFmtId="6" fontId="6" fillId="130" borderId="0" xfId="1573" applyNumberFormat="1" applyFill="1" applyBorder="1"/>
    <xf numFmtId="0" fontId="6" fillId="130" borderId="0" xfId="1573" applyFill="1" applyBorder="1"/>
    <xf numFmtId="17" fontId="238" fillId="0" borderId="0" xfId="0" applyNumberFormat="1" applyFont="1" applyFill="1" applyAlignment="1"/>
    <xf numFmtId="220" fontId="238" fillId="0" borderId="0" xfId="0" applyNumberFormat="1" applyFont="1" applyFill="1" applyAlignment="1"/>
    <xf numFmtId="17" fontId="0" fillId="0" borderId="0" xfId="0" applyNumberFormat="1" applyFill="1" applyAlignment="1"/>
    <xf numFmtId="166" fontId="0" fillId="0" borderId="0" xfId="0" applyNumberFormat="1" applyFill="1" applyBorder="1" applyAlignment="1"/>
    <xf numFmtId="49" fontId="0" fillId="0" borderId="0" xfId="0" applyNumberFormat="1" applyFill="1" applyAlignment="1"/>
    <xf numFmtId="166" fontId="0" fillId="0" borderId="0" xfId="0" applyNumberFormat="1" applyFill="1" applyAlignment="1"/>
    <xf numFmtId="0" fontId="7" fillId="0" borderId="0" xfId="42398" applyNumberFormat="1" applyAlignment="1"/>
    <xf numFmtId="0" fontId="72" fillId="0" borderId="0" xfId="42399"/>
    <xf numFmtId="0" fontId="241" fillId="0" borderId="0" xfId="0" applyNumberFormat="1" applyFont="1" applyFill="1" applyAlignment="1">
      <alignment horizontal="center"/>
    </xf>
    <xf numFmtId="0" fontId="128" fillId="0" borderId="29" xfId="1475" applyFont="1" applyFill="1" applyBorder="1" applyAlignment="1">
      <alignment horizontal="center" vertical="top" wrapText="1"/>
    </xf>
    <xf numFmtId="0" fontId="128" fillId="0" borderId="4" xfId="1475" applyFont="1" applyFill="1" applyBorder="1" applyAlignment="1">
      <alignment horizontal="center" vertical="top" wrapText="1"/>
    </xf>
    <xf numFmtId="0" fontId="128" fillId="0" borderId="30" xfId="1475" applyFont="1" applyFill="1" applyBorder="1" applyAlignment="1">
      <alignment horizontal="center" vertical="top" wrapText="1"/>
    </xf>
    <xf numFmtId="0" fontId="226" fillId="0" borderId="21" xfId="1573" applyFont="1" applyFill="1" applyBorder="1" applyAlignment="1">
      <alignment horizontal="center"/>
    </xf>
    <xf numFmtId="0" fontId="150" fillId="0" borderId="0" xfId="1574" applyFont="1" applyFill="1" applyBorder="1" applyAlignment="1">
      <alignment horizontal="center" wrapText="1"/>
    </xf>
    <xf numFmtId="0" fontId="150" fillId="121" borderId="0" xfId="1572" applyFont="1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130" fillId="0" borderId="29" xfId="1475" applyFill="1" applyBorder="1" applyAlignment="1">
      <alignment horizontal="center"/>
    </xf>
    <xf numFmtId="0" fontId="130" fillId="0" borderId="30" xfId="1475" applyFill="1" applyBorder="1" applyAlignment="1">
      <alignment horizontal="center"/>
    </xf>
    <xf numFmtId="0" fontId="176" fillId="0" borderId="29" xfId="1475" applyFont="1" applyFill="1" applyBorder="1" applyAlignment="1">
      <alignment horizontal="center"/>
    </xf>
    <xf numFmtId="0" fontId="176" fillId="0" borderId="30" xfId="1475" applyFont="1" applyFill="1" applyBorder="1" applyAlignment="1">
      <alignment horizontal="center"/>
    </xf>
    <xf numFmtId="0" fontId="122" fillId="38" borderId="29" xfId="0" applyNumberFormat="1" applyFont="1" applyFill="1" applyBorder="1" applyAlignment="1">
      <alignment horizontal="center"/>
    </xf>
    <xf numFmtId="0" fontId="122" fillId="38" borderId="30" xfId="0" applyNumberFormat="1" applyFont="1" applyFill="1" applyBorder="1" applyAlignment="1">
      <alignment horizontal="center"/>
    </xf>
    <xf numFmtId="0" fontId="27" fillId="0" borderId="58" xfId="1565" applyFont="1" applyBorder="1" applyAlignment="1">
      <alignment horizontal="left" vertical="center" wrapText="1"/>
    </xf>
    <xf numFmtId="0" fontId="27" fillId="0" borderId="5" xfId="1565" applyFont="1" applyBorder="1" applyAlignment="1">
      <alignment horizontal="left" vertical="center" wrapText="1"/>
    </xf>
    <xf numFmtId="43" fontId="13" fillId="70" borderId="0" xfId="1569" applyNumberFormat="1" applyFont="1" applyFill="1" applyBorder="1" applyAlignment="1">
      <alignment horizontal="left" shrinkToFit="1"/>
    </xf>
    <xf numFmtId="0" fontId="47" fillId="0" borderId="0" xfId="1566" applyAlignment="1">
      <alignment shrinkToFit="1"/>
    </xf>
  </cellXfs>
  <cellStyles count="42400">
    <cellStyle name="_x0013_" xfId="1"/>
    <cellStyle name=" 1" xfId="1771"/>
    <cellStyle name=" 1 2" xfId="1772"/>
    <cellStyle name=" 1 2 2" xfId="1773"/>
    <cellStyle name=" 1 2 2 2" xfId="1774"/>
    <cellStyle name=" 1 2 2 3" xfId="1775"/>
    <cellStyle name=" 1 2 3" xfId="1776"/>
    <cellStyle name=" 1 2 4" xfId="1777"/>
    <cellStyle name=" 1 3" xfId="1778"/>
    <cellStyle name=" 1 3 2" xfId="1779"/>
    <cellStyle name=" 1 3 3" xfId="1780"/>
    <cellStyle name=" 1 3 4" xfId="1781"/>
    <cellStyle name=" 1 4" xfId="1782"/>
    <cellStyle name=" 1 4 2" xfId="1783"/>
    <cellStyle name=" 1 5" xfId="1784"/>
    <cellStyle name=" 1 6" xfId="1785"/>
    <cellStyle name=" 1 6 2" xfId="1786"/>
    <cellStyle name=" 1 7" xfId="1787"/>
    <cellStyle name=" 1 7 2" xfId="1788"/>
    <cellStyle name=" 1 8" xfId="1789"/>
    <cellStyle name="_x0013_ 10" xfId="1790"/>
    <cellStyle name="_x0013_ 10 2" xfId="1791"/>
    <cellStyle name="_x0013_ 11" xfId="1792"/>
    <cellStyle name="_x0013_ 11 2" xfId="1793"/>
    <cellStyle name="_x0013_ 12" xfId="1794"/>
    <cellStyle name="_x0013_ 12 2" xfId="1795"/>
    <cellStyle name="_x0013_ 13" xfId="1796"/>
    <cellStyle name="_x0013_ 13 2" xfId="1797"/>
    <cellStyle name="_x0013_ 14" xfId="1798"/>
    <cellStyle name="_x0013_ 14 2" xfId="1799"/>
    <cellStyle name="_x0013_ 15" xfId="1800"/>
    <cellStyle name="_x0013_ 15 2" xfId="1801"/>
    <cellStyle name="_x0013_ 16" xfId="1802"/>
    <cellStyle name="_x0013_ 17" xfId="1803"/>
    <cellStyle name="_x0013_ 18" xfId="1804"/>
    <cellStyle name="_x0013_ 19" xfId="1805"/>
    <cellStyle name="_x0013_ 2" xfId="1806"/>
    <cellStyle name="_x0013_ 2 2" xfId="1807"/>
    <cellStyle name="_x0013_ 2 2 2" xfId="1808"/>
    <cellStyle name="_x0013_ 2 3" xfId="1809"/>
    <cellStyle name="_x0013_ 20" xfId="1810"/>
    <cellStyle name="_x0013_ 21" xfId="1811"/>
    <cellStyle name="_x0013_ 22" xfId="1812"/>
    <cellStyle name="_x0013_ 23" xfId="1813"/>
    <cellStyle name="_x0013_ 24" xfId="1814"/>
    <cellStyle name="_x0013_ 25" xfId="1815"/>
    <cellStyle name="_x0013_ 26" xfId="1816"/>
    <cellStyle name="_x0013_ 27" xfId="1817"/>
    <cellStyle name="_x0013_ 28" xfId="1818"/>
    <cellStyle name="_x0013_ 29" xfId="1819"/>
    <cellStyle name="_x0013_ 3" xfId="1820"/>
    <cellStyle name="_x0013_ 3 2" xfId="1821"/>
    <cellStyle name="_x0013_ 3 2 2" xfId="1822"/>
    <cellStyle name="_x0013_ 3 3" xfId="1823"/>
    <cellStyle name="_x0013_ 30" xfId="1824"/>
    <cellStyle name="_x0013_ 31" xfId="1825"/>
    <cellStyle name="_x0013_ 32" xfId="1826"/>
    <cellStyle name="_x0013_ 33" xfId="1827"/>
    <cellStyle name="_x0013_ 34" xfId="1828"/>
    <cellStyle name="_x0013_ 35" xfId="1829"/>
    <cellStyle name="_x0013_ 36" xfId="1830"/>
    <cellStyle name="_x0013_ 37" xfId="1831"/>
    <cellStyle name="_x0013_ 38" xfId="1832"/>
    <cellStyle name="_x0013_ 39" xfId="1833"/>
    <cellStyle name="_x0013_ 4" xfId="1834"/>
    <cellStyle name="_x0013_ 4 2" xfId="1835"/>
    <cellStyle name="_x0013_ 4 2 2" xfId="1836"/>
    <cellStyle name="_x0013_ 4 3" xfId="1837"/>
    <cellStyle name="_x0013_ 40" xfId="1838"/>
    <cellStyle name="_x0013_ 41" xfId="1839"/>
    <cellStyle name="_x0013_ 42" xfId="1840"/>
    <cellStyle name="_x0013_ 43" xfId="1841"/>
    <cellStyle name="_x0013_ 44" xfId="1842"/>
    <cellStyle name="_x0013_ 45" xfId="1843"/>
    <cellStyle name="_x0013_ 46" xfId="1844"/>
    <cellStyle name="_x0013_ 47" xfId="1845"/>
    <cellStyle name="_x0013_ 48" xfId="1846"/>
    <cellStyle name="_x0013_ 49" xfId="1847"/>
    <cellStyle name="_x0013_ 5" xfId="1848"/>
    <cellStyle name="_x0013_ 5 2" xfId="1849"/>
    <cellStyle name="_x0013_ 50" xfId="1850"/>
    <cellStyle name="_x0013_ 51" xfId="1851"/>
    <cellStyle name="_x0013_ 6" xfId="1852"/>
    <cellStyle name="_x0013_ 6 2" xfId="1853"/>
    <cellStyle name="_x0013_ 7" xfId="1854"/>
    <cellStyle name="_x0013_ 7 2" xfId="1855"/>
    <cellStyle name="_x0013_ 8" xfId="1856"/>
    <cellStyle name="_x0013_ 8 2" xfId="1857"/>
    <cellStyle name="_x0013_ 9" xfId="1858"/>
    <cellStyle name="_x0013_ 9 2" xfId="1859"/>
    <cellStyle name="_09GRC Gas Transport For Review" xfId="2"/>
    <cellStyle name="_09GRC Gas Transport For Review 2" xfId="1860"/>
    <cellStyle name="_09GRC Gas Transport For Review 2 2" xfId="1861"/>
    <cellStyle name="_09GRC Gas Transport For Review 2 2 2" xfId="1862"/>
    <cellStyle name="_09GRC Gas Transport For Review 2 3" xfId="1863"/>
    <cellStyle name="_09GRC Gas Transport For Review 3" xfId="1864"/>
    <cellStyle name="_09GRC Gas Transport For Review 3 2" xfId="1865"/>
    <cellStyle name="_09GRC Gas Transport For Review 4" xfId="1866"/>
    <cellStyle name="_09GRC Gas Transport For Review_Book4" xfId="3"/>
    <cellStyle name="_09GRC Gas Transport For Review_Book4 2" xfId="1867"/>
    <cellStyle name="_09GRC Gas Transport For Review_Book4 2 2" xfId="1868"/>
    <cellStyle name="_09GRC Gas Transport For Review_Book4 2 2 2" xfId="1869"/>
    <cellStyle name="_09GRC Gas Transport For Review_Book4 2 3" xfId="1870"/>
    <cellStyle name="_09GRC Gas Transport For Review_Book4 3" xfId="1871"/>
    <cellStyle name="_09GRC Gas Transport For Review_Book4 3 2" xfId="1872"/>
    <cellStyle name="_09GRC Gas Transport For Review_Book4 4" xfId="1873"/>
    <cellStyle name="_09GRC Gas Transport For Review_Book4_DEM-WP(C) ENERG10C--ctn Mid-C_042010 2010GRC" xfId="1874"/>
    <cellStyle name="_09GRC Gas Transport For Review_DEM-WP(C) ENERG10C--ctn Mid-C_042010 2010GRC" xfId="1875"/>
    <cellStyle name="_x0013__16.07E Wild Horse Wind Expansionwrkingfile" xfId="4"/>
    <cellStyle name="_x0013__16.07E Wild Horse Wind Expansionwrkingfile 2" xfId="1876"/>
    <cellStyle name="_x0013__16.07E Wild Horse Wind Expansionwrkingfile 2 2" xfId="1877"/>
    <cellStyle name="_x0013__16.07E Wild Horse Wind Expansionwrkingfile 2 2 2" xfId="1878"/>
    <cellStyle name="_x0013__16.07E Wild Horse Wind Expansionwrkingfile 2 3" xfId="1879"/>
    <cellStyle name="_x0013__16.07E Wild Horse Wind Expansionwrkingfile 3" xfId="1880"/>
    <cellStyle name="_x0013__16.07E Wild Horse Wind Expansionwrkingfile 3 2" xfId="1881"/>
    <cellStyle name="_x0013__16.07E Wild Horse Wind Expansionwrkingfile 4" xfId="1882"/>
    <cellStyle name="_x0013__16.07E Wild Horse Wind Expansionwrkingfile SF" xfId="5"/>
    <cellStyle name="_x0013__16.07E Wild Horse Wind Expansionwrkingfile SF 2" xfId="1883"/>
    <cellStyle name="_x0013__16.07E Wild Horse Wind Expansionwrkingfile SF 2 2" xfId="1884"/>
    <cellStyle name="_x0013__16.07E Wild Horse Wind Expansionwrkingfile SF 2 2 2" xfId="1885"/>
    <cellStyle name="_x0013__16.07E Wild Horse Wind Expansionwrkingfile SF 2 3" xfId="1886"/>
    <cellStyle name="_x0013__16.07E Wild Horse Wind Expansionwrkingfile SF 3" xfId="1887"/>
    <cellStyle name="_x0013__16.07E Wild Horse Wind Expansionwrkingfile SF 3 2" xfId="1888"/>
    <cellStyle name="_x0013__16.07E Wild Horse Wind Expansionwrkingfile SF 4" xfId="1889"/>
    <cellStyle name="_x0013__16.07E Wild Horse Wind Expansionwrkingfile SF_DEM-WP(C) ENERG10C--ctn Mid-C_042010 2010GRC" xfId="1890"/>
    <cellStyle name="_x0013__16.07E Wild Horse Wind Expansionwrkingfile_DEM-WP(C) ENERG10C--ctn Mid-C_042010 2010GRC" xfId="1891"/>
    <cellStyle name="_x0013__16.37E Wild Horse Expansion DeferralRevwrkingfile SF" xfId="6"/>
    <cellStyle name="_x0013__16.37E Wild Horse Expansion DeferralRevwrkingfile SF 2" xfId="1892"/>
    <cellStyle name="_x0013__16.37E Wild Horse Expansion DeferralRevwrkingfile SF 2 2" xfId="1893"/>
    <cellStyle name="_x0013__16.37E Wild Horse Expansion DeferralRevwrkingfile SF 2 2 2" xfId="1894"/>
    <cellStyle name="_x0013__16.37E Wild Horse Expansion DeferralRevwrkingfile SF 2 3" xfId="1895"/>
    <cellStyle name="_x0013__16.37E Wild Horse Expansion DeferralRevwrkingfile SF 3" xfId="1896"/>
    <cellStyle name="_x0013__16.37E Wild Horse Expansion DeferralRevwrkingfile SF 3 2" xfId="1897"/>
    <cellStyle name="_x0013__16.37E Wild Horse Expansion DeferralRevwrkingfile SF 4" xfId="1898"/>
    <cellStyle name="_x0013__16.37E Wild Horse Expansion DeferralRevwrkingfile SF_DEM-WP(C) ENERG10C--ctn Mid-C_042010 2010GRC" xfId="1899"/>
    <cellStyle name="_2008 Strat Plan Power Costs Forecast V2 (2009 Update)" xfId="1900"/>
    <cellStyle name="_2008 Strat Plan Power Costs Forecast V2 (2009 Update) 2" xfId="1901"/>
    <cellStyle name="_2008 Strat Plan Power Costs Forecast V2 (2009 Update) 2 2" xfId="1902"/>
    <cellStyle name="_2008 Strat Plan Power Costs Forecast V2 (2009 Update) 3" xfId="1903"/>
    <cellStyle name="_2008 Strat Plan Power Costs Forecast V2 (2009 Update)_DEM-WP(C) ENERG10C--ctn Mid-C_042010 2010GRC" xfId="1904"/>
    <cellStyle name="_2008 Strat Plan Power Costs Forecast V2 (2009 Update)_NIM Summary" xfId="1905"/>
    <cellStyle name="_2008 Strat Plan Power Costs Forecast V2 (2009 Update)_NIM Summary 2" xfId="1906"/>
    <cellStyle name="_2008 Strat Plan Power Costs Forecast V2 (2009 Update)_NIM Summary 2 2" xfId="1907"/>
    <cellStyle name="_2008 Strat Plan Power Costs Forecast V2 (2009 Update)_NIM Summary 3" xfId="1908"/>
    <cellStyle name="_2008 Strat Plan Power Costs Forecast V2 (2009 Update)_NIM Summary_DEM-WP(C) ENERG10C--ctn Mid-C_042010 2010GRC" xfId="1909"/>
    <cellStyle name="_4.06E Pass Throughs" xfId="7"/>
    <cellStyle name="_4.06E Pass Throughs 10" xfId="1910"/>
    <cellStyle name="_4.06E Pass Throughs 10 2" xfId="1911"/>
    <cellStyle name="_4.06E Pass Throughs 2" xfId="8"/>
    <cellStyle name="_4.06E Pass Throughs 2 2" xfId="1912"/>
    <cellStyle name="_4.06E Pass Throughs 2 2 2" xfId="1913"/>
    <cellStyle name="_4.06E Pass Throughs 2 2 2 2" xfId="1914"/>
    <cellStyle name="_4.06E Pass Throughs 2 2 3" xfId="1915"/>
    <cellStyle name="_4.06E Pass Throughs 2 3" xfId="1916"/>
    <cellStyle name="_4.06E Pass Throughs 2 3 2" xfId="1917"/>
    <cellStyle name="_4.06E Pass Throughs 2 4" xfId="1918"/>
    <cellStyle name="_4.06E Pass Throughs 3" xfId="1919"/>
    <cellStyle name="_4.06E Pass Throughs 3 2" xfId="1920"/>
    <cellStyle name="_4.06E Pass Throughs 3 2 2" xfId="1921"/>
    <cellStyle name="_4.06E Pass Throughs 3 2 2 2" xfId="1922"/>
    <cellStyle name="_4.06E Pass Throughs 3 2 3" xfId="1923"/>
    <cellStyle name="_4.06E Pass Throughs 3 3" xfId="1924"/>
    <cellStyle name="_4.06E Pass Throughs 3 3 2" xfId="1925"/>
    <cellStyle name="_4.06E Pass Throughs 3 3 2 2" xfId="1926"/>
    <cellStyle name="_4.06E Pass Throughs 3 3 3" xfId="1927"/>
    <cellStyle name="_4.06E Pass Throughs 3 4" xfId="1928"/>
    <cellStyle name="_4.06E Pass Throughs 3 4 2" xfId="1929"/>
    <cellStyle name="_4.06E Pass Throughs 3 4 2 2" xfId="1930"/>
    <cellStyle name="_4.06E Pass Throughs 3 4 3" xfId="1931"/>
    <cellStyle name="_4.06E Pass Throughs 3 5" xfId="1932"/>
    <cellStyle name="_4.06E Pass Throughs 4" xfId="1933"/>
    <cellStyle name="_4.06E Pass Throughs 4 2" xfId="1934"/>
    <cellStyle name="_4.06E Pass Throughs 4 2 2" xfId="1935"/>
    <cellStyle name="_4.06E Pass Throughs 4 3" xfId="1936"/>
    <cellStyle name="_4.06E Pass Throughs 5" xfId="1937"/>
    <cellStyle name="_4.06E Pass Throughs 5 2" xfId="1938"/>
    <cellStyle name="_4.06E Pass Throughs 5 2 2" xfId="1939"/>
    <cellStyle name="_4.06E Pass Throughs 5 2 3" xfId="1940"/>
    <cellStyle name="_4.06E Pass Throughs 5 3" xfId="1941"/>
    <cellStyle name="_4.06E Pass Throughs 5 3 2" xfId="1942"/>
    <cellStyle name="_4.06E Pass Throughs 6" xfId="1943"/>
    <cellStyle name="_4.06E Pass Throughs 6 2" xfId="1944"/>
    <cellStyle name="_4.06E Pass Throughs 6 2 2" xfId="1945"/>
    <cellStyle name="_4.06E Pass Throughs 6 3" xfId="1946"/>
    <cellStyle name="_4.06E Pass Throughs 7" xfId="1947"/>
    <cellStyle name="_4.06E Pass Throughs 7 2" xfId="1948"/>
    <cellStyle name="_4.06E Pass Throughs 8" xfId="1949"/>
    <cellStyle name="_4.06E Pass Throughs 8 2" xfId="1950"/>
    <cellStyle name="_4.06E Pass Throughs 9" xfId="1951"/>
    <cellStyle name="_4.06E Pass Throughs 9 2" xfId="1952"/>
    <cellStyle name="_4.06E Pass Throughs_04 07E Wild Horse Wind Expansion (C) (2)" xfId="9"/>
    <cellStyle name="_4.06E Pass Throughs_04 07E Wild Horse Wind Expansion (C) (2) 2" xfId="1953"/>
    <cellStyle name="_4.06E Pass Throughs_04 07E Wild Horse Wind Expansion (C) (2) 2 2" xfId="1954"/>
    <cellStyle name="_4.06E Pass Throughs_04 07E Wild Horse Wind Expansion (C) (2) 2 2 2" xfId="1955"/>
    <cellStyle name="_4.06E Pass Throughs_04 07E Wild Horse Wind Expansion (C) (2) 2 3" xfId="1956"/>
    <cellStyle name="_4.06E Pass Throughs_04 07E Wild Horse Wind Expansion (C) (2) 3" xfId="1957"/>
    <cellStyle name="_4.06E Pass Throughs_04 07E Wild Horse Wind Expansion (C) (2) 3 2" xfId="1958"/>
    <cellStyle name="_4.06E Pass Throughs_04 07E Wild Horse Wind Expansion (C) (2) 4" xfId="1959"/>
    <cellStyle name="_4.06E Pass Throughs_04 07E Wild Horse Wind Expansion (C) (2)_Adj Bench DR 3 for Initial Briefs (Electric)" xfId="10"/>
    <cellStyle name="_4.06E Pass Throughs_04 07E Wild Horse Wind Expansion (C) (2)_Adj Bench DR 3 for Initial Briefs (Electric) 2" xfId="1960"/>
    <cellStyle name="_4.06E Pass Throughs_04 07E Wild Horse Wind Expansion (C) (2)_Adj Bench DR 3 for Initial Briefs (Electric) 2 2" xfId="1961"/>
    <cellStyle name="_4.06E Pass Throughs_04 07E Wild Horse Wind Expansion (C) (2)_Adj Bench DR 3 for Initial Briefs (Electric) 2 2 2" xfId="1962"/>
    <cellStyle name="_4.06E Pass Throughs_04 07E Wild Horse Wind Expansion (C) (2)_Adj Bench DR 3 for Initial Briefs (Electric) 2 3" xfId="1963"/>
    <cellStyle name="_4.06E Pass Throughs_04 07E Wild Horse Wind Expansion (C) (2)_Adj Bench DR 3 for Initial Briefs (Electric) 3" xfId="1964"/>
    <cellStyle name="_4.06E Pass Throughs_04 07E Wild Horse Wind Expansion (C) (2)_Adj Bench DR 3 for Initial Briefs (Electric) 3 2" xfId="1965"/>
    <cellStyle name="_4.06E Pass Throughs_04 07E Wild Horse Wind Expansion (C) (2)_Adj Bench DR 3 for Initial Briefs (Electric) 4" xfId="1966"/>
    <cellStyle name="_4.06E Pass Throughs_04 07E Wild Horse Wind Expansion (C) (2)_Adj Bench DR 3 for Initial Briefs (Electric)_DEM-WP(C) ENERG10C--ctn Mid-C_042010 2010GRC" xfId="1967"/>
    <cellStyle name="_4.06E Pass Throughs_04 07E Wild Horse Wind Expansion (C) (2)_Book1" xfId="1968"/>
    <cellStyle name="_4.06E Pass Throughs_04 07E Wild Horse Wind Expansion (C) (2)_DEM-WP(C) ENERG10C--ctn Mid-C_042010 2010GRC" xfId="1969"/>
    <cellStyle name="_4.06E Pass Throughs_04 07E Wild Horse Wind Expansion (C) (2)_Electric Rev Req Model (2009 GRC) " xfId="11"/>
    <cellStyle name="_4.06E Pass Throughs_04 07E Wild Horse Wind Expansion (C) (2)_Electric Rev Req Model (2009 GRC)  2" xfId="1970"/>
    <cellStyle name="_4.06E Pass Throughs_04 07E Wild Horse Wind Expansion (C) (2)_Electric Rev Req Model (2009 GRC)  2 2" xfId="1971"/>
    <cellStyle name="_4.06E Pass Throughs_04 07E Wild Horse Wind Expansion (C) (2)_Electric Rev Req Model (2009 GRC)  2 2 2" xfId="1972"/>
    <cellStyle name="_4.06E Pass Throughs_04 07E Wild Horse Wind Expansion (C) (2)_Electric Rev Req Model (2009 GRC)  2 3" xfId="1973"/>
    <cellStyle name="_4.06E Pass Throughs_04 07E Wild Horse Wind Expansion (C) (2)_Electric Rev Req Model (2009 GRC)  3" xfId="1974"/>
    <cellStyle name="_4.06E Pass Throughs_04 07E Wild Horse Wind Expansion (C) (2)_Electric Rev Req Model (2009 GRC)  3 2" xfId="1975"/>
    <cellStyle name="_4.06E Pass Throughs_04 07E Wild Horse Wind Expansion (C) (2)_Electric Rev Req Model (2009 GRC)  4" xfId="1976"/>
    <cellStyle name="_4.06E Pass Throughs_04 07E Wild Horse Wind Expansion (C) (2)_Electric Rev Req Model (2009 GRC) _DEM-WP(C) ENERG10C--ctn Mid-C_042010 2010GRC" xfId="1977"/>
    <cellStyle name="_4.06E Pass Throughs_04 07E Wild Horse Wind Expansion (C) (2)_Electric Rev Req Model (2009 GRC) Rebuttal" xfId="12"/>
    <cellStyle name="_4.06E Pass Throughs_04 07E Wild Horse Wind Expansion (C) (2)_Electric Rev Req Model (2009 GRC) Rebuttal 2" xfId="1978"/>
    <cellStyle name="_4.06E Pass Throughs_04 07E Wild Horse Wind Expansion (C) (2)_Electric Rev Req Model (2009 GRC) Rebuttal 2 2" xfId="1979"/>
    <cellStyle name="_4.06E Pass Throughs_04 07E Wild Horse Wind Expansion (C) (2)_Electric Rev Req Model (2009 GRC) Rebuttal 2 2 2" xfId="1980"/>
    <cellStyle name="_4.06E Pass Throughs_04 07E Wild Horse Wind Expansion (C) (2)_Electric Rev Req Model (2009 GRC) Rebuttal 2 3" xfId="1981"/>
    <cellStyle name="_4.06E Pass Throughs_04 07E Wild Horse Wind Expansion (C) (2)_Electric Rev Req Model (2009 GRC) Rebuttal 3" xfId="1982"/>
    <cellStyle name="_4.06E Pass Throughs_04 07E Wild Horse Wind Expansion (C) (2)_Electric Rev Req Model (2009 GRC) Rebuttal 3 2" xfId="1983"/>
    <cellStyle name="_4.06E Pass Throughs_04 07E Wild Horse Wind Expansion (C) (2)_Electric Rev Req Model (2009 GRC) Rebuttal 4" xfId="1984"/>
    <cellStyle name="_4.06E Pass Throughs_04 07E Wild Horse Wind Expansion (C) (2)_Electric Rev Req Model (2009 GRC) Rebuttal REmoval of New  WH Solar AdjustMI" xfId="13"/>
    <cellStyle name="_4.06E Pass Throughs_04 07E Wild Horse Wind Expansion (C) (2)_Electric Rev Req Model (2009 GRC) Rebuttal REmoval of New  WH Solar AdjustMI 2" xfId="1985"/>
    <cellStyle name="_4.06E Pass Throughs_04 07E Wild Horse Wind Expansion (C) (2)_Electric Rev Req Model (2009 GRC) Rebuttal REmoval of New  WH Solar AdjustMI 2 2" xfId="1986"/>
    <cellStyle name="_4.06E Pass Throughs_04 07E Wild Horse Wind Expansion (C) (2)_Electric Rev Req Model (2009 GRC) Rebuttal REmoval of New  WH Solar AdjustMI 2 2 2" xfId="1987"/>
    <cellStyle name="_4.06E Pass Throughs_04 07E Wild Horse Wind Expansion (C) (2)_Electric Rev Req Model (2009 GRC) Rebuttal REmoval of New  WH Solar AdjustMI 2 3" xfId="1988"/>
    <cellStyle name="_4.06E Pass Throughs_04 07E Wild Horse Wind Expansion (C) (2)_Electric Rev Req Model (2009 GRC) Rebuttal REmoval of New  WH Solar AdjustMI 3" xfId="1989"/>
    <cellStyle name="_4.06E Pass Throughs_04 07E Wild Horse Wind Expansion (C) (2)_Electric Rev Req Model (2009 GRC) Rebuttal REmoval of New  WH Solar AdjustMI 3 2" xfId="1990"/>
    <cellStyle name="_4.06E Pass Throughs_04 07E Wild Horse Wind Expansion (C) (2)_Electric Rev Req Model (2009 GRC) Rebuttal REmoval of New  WH Solar AdjustMI 4" xfId="1991"/>
    <cellStyle name="_4.06E Pass Throughs_04 07E Wild Horse Wind Expansion (C) (2)_Electric Rev Req Model (2009 GRC) Rebuttal REmoval of New  WH Solar AdjustMI_DEM-WP(C) ENERG10C--ctn Mid-C_042010 2010GRC" xfId="1992"/>
    <cellStyle name="_4.06E Pass Throughs_04 07E Wild Horse Wind Expansion (C) (2)_Electric Rev Req Model (2009 GRC) Revised 01-18-2010" xfId="14"/>
    <cellStyle name="_4.06E Pass Throughs_04 07E Wild Horse Wind Expansion (C) (2)_Electric Rev Req Model (2009 GRC) Revised 01-18-2010 2" xfId="1993"/>
    <cellStyle name="_4.06E Pass Throughs_04 07E Wild Horse Wind Expansion (C) (2)_Electric Rev Req Model (2009 GRC) Revised 01-18-2010 2 2" xfId="1994"/>
    <cellStyle name="_4.06E Pass Throughs_04 07E Wild Horse Wind Expansion (C) (2)_Electric Rev Req Model (2009 GRC) Revised 01-18-2010 2 2 2" xfId="1995"/>
    <cellStyle name="_4.06E Pass Throughs_04 07E Wild Horse Wind Expansion (C) (2)_Electric Rev Req Model (2009 GRC) Revised 01-18-2010 2 3" xfId="1996"/>
    <cellStyle name="_4.06E Pass Throughs_04 07E Wild Horse Wind Expansion (C) (2)_Electric Rev Req Model (2009 GRC) Revised 01-18-2010 3" xfId="1997"/>
    <cellStyle name="_4.06E Pass Throughs_04 07E Wild Horse Wind Expansion (C) (2)_Electric Rev Req Model (2009 GRC) Revised 01-18-2010 3 2" xfId="1998"/>
    <cellStyle name="_4.06E Pass Throughs_04 07E Wild Horse Wind Expansion (C) (2)_Electric Rev Req Model (2009 GRC) Revised 01-18-2010 4" xfId="1999"/>
    <cellStyle name="_4.06E Pass Throughs_04 07E Wild Horse Wind Expansion (C) (2)_Electric Rev Req Model (2009 GRC) Revised 01-18-2010_DEM-WP(C) ENERG10C--ctn Mid-C_042010 2010GRC" xfId="2000"/>
    <cellStyle name="_4.06E Pass Throughs_04 07E Wild Horse Wind Expansion (C) (2)_Electric Rev Req Model (2010 GRC)" xfId="2001"/>
    <cellStyle name="_4.06E Pass Throughs_04 07E Wild Horse Wind Expansion (C) (2)_Electric Rev Req Model (2010 GRC) SF" xfId="2002"/>
    <cellStyle name="_4.06E Pass Throughs_04 07E Wild Horse Wind Expansion (C) (2)_Final Order Electric EXHIBIT A-1" xfId="15"/>
    <cellStyle name="_4.06E Pass Throughs_04 07E Wild Horse Wind Expansion (C) (2)_Final Order Electric EXHIBIT A-1 2" xfId="2003"/>
    <cellStyle name="_4.06E Pass Throughs_04 07E Wild Horse Wind Expansion (C) (2)_Final Order Electric EXHIBIT A-1 2 2" xfId="2004"/>
    <cellStyle name="_4.06E Pass Throughs_04 07E Wild Horse Wind Expansion (C) (2)_Final Order Electric EXHIBIT A-1 2 2 2" xfId="2005"/>
    <cellStyle name="_4.06E Pass Throughs_04 07E Wild Horse Wind Expansion (C) (2)_Final Order Electric EXHIBIT A-1 2 3" xfId="2006"/>
    <cellStyle name="_4.06E Pass Throughs_04 07E Wild Horse Wind Expansion (C) (2)_Final Order Electric EXHIBIT A-1 3" xfId="2007"/>
    <cellStyle name="_4.06E Pass Throughs_04 07E Wild Horse Wind Expansion (C) (2)_Final Order Electric EXHIBIT A-1 3 2" xfId="2008"/>
    <cellStyle name="_4.06E Pass Throughs_04 07E Wild Horse Wind Expansion (C) (2)_Final Order Electric EXHIBIT A-1 4" xfId="2009"/>
    <cellStyle name="_4.06E Pass Throughs_04 07E Wild Horse Wind Expansion (C) (2)_TENASKA REGULATORY ASSET" xfId="16"/>
    <cellStyle name="_4.06E Pass Throughs_04 07E Wild Horse Wind Expansion (C) (2)_TENASKA REGULATORY ASSET 2" xfId="2010"/>
    <cellStyle name="_4.06E Pass Throughs_04 07E Wild Horse Wind Expansion (C) (2)_TENASKA REGULATORY ASSET 2 2" xfId="2011"/>
    <cellStyle name="_4.06E Pass Throughs_04 07E Wild Horse Wind Expansion (C) (2)_TENASKA REGULATORY ASSET 2 2 2" xfId="2012"/>
    <cellStyle name="_4.06E Pass Throughs_04 07E Wild Horse Wind Expansion (C) (2)_TENASKA REGULATORY ASSET 2 3" xfId="2013"/>
    <cellStyle name="_4.06E Pass Throughs_04 07E Wild Horse Wind Expansion (C) (2)_TENASKA REGULATORY ASSET 3" xfId="2014"/>
    <cellStyle name="_4.06E Pass Throughs_04 07E Wild Horse Wind Expansion (C) (2)_TENASKA REGULATORY ASSET 3 2" xfId="2015"/>
    <cellStyle name="_4.06E Pass Throughs_04 07E Wild Horse Wind Expansion (C) (2)_TENASKA REGULATORY ASSET 4" xfId="2016"/>
    <cellStyle name="_4.06E Pass Throughs_16.37E Wild Horse Expansion DeferralRevwrkingfile SF" xfId="17"/>
    <cellStyle name="_4.06E Pass Throughs_16.37E Wild Horse Expansion DeferralRevwrkingfile SF 2" xfId="2017"/>
    <cellStyle name="_4.06E Pass Throughs_16.37E Wild Horse Expansion DeferralRevwrkingfile SF 2 2" xfId="2018"/>
    <cellStyle name="_4.06E Pass Throughs_16.37E Wild Horse Expansion DeferralRevwrkingfile SF 2 2 2" xfId="2019"/>
    <cellStyle name="_4.06E Pass Throughs_16.37E Wild Horse Expansion DeferralRevwrkingfile SF 2 3" xfId="2020"/>
    <cellStyle name="_4.06E Pass Throughs_16.37E Wild Horse Expansion DeferralRevwrkingfile SF 3" xfId="2021"/>
    <cellStyle name="_4.06E Pass Throughs_16.37E Wild Horse Expansion DeferralRevwrkingfile SF 3 2" xfId="2022"/>
    <cellStyle name="_4.06E Pass Throughs_16.37E Wild Horse Expansion DeferralRevwrkingfile SF 4" xfId="2023"/>
    <cellStyle name="_4.06E Pass Throughs_16.37E Wild Horse Expansion DeferralRevwrkingfile SF_DEM-WP(C) ENERG10C--ctn Mid-C_042010 2010GRC" xfId="2024"/>
    <cellStyle name="_4.06E Pass Throughs_2009 Compliance Filing PCA Exhibits for GRC" xfId="2025"/>
    <cellStyle name="_4.06E Pass Throughs_2009 Compliance Filing PCA Exhibits for GRC 2" xfId="2026"/>
    <cellStyle name="_4.06E Pass Throughs_2009 GRC Compl Filing - Exhibit D" xfId="18"/>
    <cellStyle name="_4.06E Pass Throughs_2009 GRC Compl Filing - Exhibit D 2" xfId="2027"/>
    <cellStyle name="_4.06E Pass Throughs_2009 GRC Compl Filing - Exhibit D 2 2" xfId="2028"/>
    <cellStyle name="_4.06E Pass Throughs_2009 GRC Compl Filing - Exhibit D 3" xfId="2029"/>
    <cellStyle name="_4.06E Pass Throughs_2009 GRC Compl Filing - Exhibit D_DEM-WP(C) ENERG10C--ctn Mid-C_042010 2010GRC" xfId="2030"/>
    <cellStyle name="_4.06E Pass Throughs_3.01 Income Statement" xfId="19"/>
    <cellStyle name="_4.06E Pass Throughs_4 31 Regulatory Assets and Liabilities  7 06- Exhibit D" xfId="20"/>
    <cellStyle name="_4.06E Pass Throughs_4 31 Regulatory Assets and Liabilities  7 06- Exhibit D 2" xfId="2031"/>
    <cellStyle name="_4.06E Pass Throughs_4 31 Regulatory Assets and Liabilities  7 06- Exhibit D 2 2" xfId="2032"/>
    <cellStyle name="_4.06E Pass Throughs_4 31 Regulatory Assets and Liabilities  7 06- Exhibit D 2 2 2" xfId="2033"/>
    <cellStyle name="_4.06E Pass Throughs_4 31 Regulatory Assets and Liabilities  7 06- Exhibit D 3" xfId="2034"/>
    <cellStyle name="_4.06E Pass Throughs_4 31 Regulatory Assets and Liabilities  7 06- Exhibit D 3 2" xfId="2035"/>
    <cellStyle name="_4.06E Pass Throughs_4 31 Regulatory Assets and Liabilities  7 06- Exhibit D_DEM-WP(C) ENERG10C--ctn Mid-C_042010 2010GRC" xfId="2036"/>
    <cellStyle name="_4.06E Pass Throughs_4 31 Regulatory Assets and Liabilities  7 06- Exhibit D_NIM Summary" xfId="2037"/>
    <cellStyle name="_4.06E Pass Throughs_4 31 Regulatory Assets and Liabilities  7 06- Exhibit D_NIM Summary 2" xfId="2038"/>
    <cellStyle name="_4.06E Pass Throughs_4 31 Regulatory Assets and Liabilities  7 06- Exhibit D_NIM Summary 2 2" xfId="2039"/>
    <cellStyle name="_4.06E Pass Throughs_4 31 Regulatory Assets and Liabilities  7 06- Exhibit D_NIM Summary 3" xfId="2040"/>
    <cellStyle name="_4.06E Pass Throughs_4 31 Regulatory Assets and Liabilities  7 06- Exhibit D_NIM Summary_DEM-WP(C) ENERG10C--ctn Mid-C_042010 2010GRC" xfId="2041"/>
    <cellStyle name="_4.06E Pass Throughs_4 31 Regulatory Assets and Liabilities  7 06- Exhibit D_NIM+O&amp;M" xfId="2042"/>
    <cellStyle name="_4.06E Pass Throughs_4 31 Regulatory Assets and Liabilities  7 06- Exhibit D_NIM+O&amp;M 2" xfId="2043"/>
    <cellStyle name="_4.06E Pass Throughs_4 31 Regulatory Assets and Liabilities  7 06- Exhibit D_NIM+O&amp;M Monthly" xfId="2044"/>
    <cellStyle name="_4.06E Pass Throughs_4 31 Regulatory Assets and Liabilities  7 06- Exhibit D_NIM+O&amp;M Monthly 2" xfId="2045"/>
    <cellStyle name="_4.06E Pass Throughs_4 31E Reg Asset  Liab and EXH D" xfId="2046"/>
    <cellStyle name="_4.06E Pass Throughs_4 31E Reg Asset  Liab and EXH D _ Aug 10 Filing (2)" xfId="2047"/>
    <cellStyle name="_4.06E Pass Throughs_4 31E Reg Asset  Liab and EXH D _ Aug 10 Filing (2) 2" xfId="2048"/>
    <cellStyle name="_4.06E Pass Throughs_4 31E Reg Asset  Liab and EXH D 10" xfId="2049"/>
    <cellStyle name="_4.06E Pass Throughs_4 31E Reg Asset  Liab and EXH D 11" xfId="2050"/>
    <cellStyle name="_4.06E Pass Throughs_4 31E Reg Asset  Liab and EXH D 12" xfId="2051"/>
    <cellStyle name="_4.06E Pass Throughs_4 31E Reg Asset  Liab and EXH D 13" xfId="2052"/>
    <cellStyle name="_4.06E Pass Throughs_4 31E Reg Asset  Liab and EXH D 14" xfId="2053"/>
    <cellStyle name="_4.06E Pass Throughs_4 31E Reg Asset  Liab and EXH D 15" xfId="2054"/>
    <cellStyle name="_4.06E Pass Throughs_4 31E Reg Asset  Liab and EXH D 16" xfId="2055"/>
    <cellStyle name="_4.06E Pass Throughs_4 31E Reg Asset  Liab and EXH D 17" xfId="2056"/>
    <cellStyle name="_4.06E Pass Throughs_4 31E Reg Asset  Liab and EXH D 18" xfId="2057"/>
    <cellStyle name="_4.06E Pass Throughs_4 31E Reg Asset  Liab and EXH D 19" xfId="2058"/>
    <cellStyle name="_4.06E Pass Throughs_4 31E Reg Asset  Liab and EXH D 2" xfId="2059"/>
    <cellStyle name="_4.06E Pass Throughs_4 31E Reg Asset  Liab and EXH D 20" xfId="2060"/>
    <cellStyle name="_4.06E Pass Throughs_4 31E Reg Asset  Liab and EXH D 21" xfId="2061"/>
    <cellStyle name="_4.06E Pass Throughs_4 31E Reg Asset  Liab and EXH D 22" xfId="2062"/>
    <cellStyle name="_4.06E Pass Throughs_4 31E Reg Asset  Liab and EXH D 23" xfId="2063"/>
    <cellStyle name="_4.06E Pass Throughs_4 31E Reg Asset  Liab and EXH D 24" xfId="2064"/>
    <cellStyle name="_4.06E Pass Throughs_4 31E Reg Asset  Liab and EXH D 25" xfId="2065"/>
    <cellStyle name="_4.06E Pass Throughs_4 31E Reg Asset  Liab and EXH D 26" xfId="2066"/>
    <cellStyle name="_4.06E Pass Throughs_4 31E Reg Asset  Liab and EXH D 27" xfId="2067"/>
    <cellStyle name="_4.06E Pass Throughs_4 31E Reg Asset  Liab and EXH D 28" xfId="2068"/>
    <cellStyle name="_4.06E Pass Throughs_4 31E Reg Asset  Liab and EXH D 29" xfId="2069"/>
    <cellStyle name="_4.06E Pass Throughs_4 31E Reg Asset  Liab and EXH D 3" xfId="2070"/>
    <cellStyle name="_4.06E Pass Throughs_4 31E Reg Asset  Liab and EXH D 30" xfId="2071"/>
    <cellStyle name="_4.06E Pass Throughs_4 31E Reg Asset  Liab and EXH D 31" xfId="2072"/>
    <cellStyle name="_4.06E Pass Throughs_4 31E Reg Asset  Liab and EXH D 32" xfId="2073"/>
    <cellStyle name="_4.06E Pass Throughs_4 31E Reg Asset  Liab and EXH D 33" xfId="2074"/>
    <cellStyle name="_4.06E Pass Throughs_4 31E Reg Asset  Liab and EXH D 34" xfId="2075"/>
    <cellStyle name="_4.06E Pass Throughs_4 31E Reg Asset  Liab and EXH D 35" xfId="2076"/>
    <cellStyle name="_4.06E Pass Throughs_4 31E Reg Asset  Liab and EXH D 36" xfId="2077"/>
    <cellStyle name="_4.06E Pass Throughs_4 31E Reg Asset  Liab and EXH D 4" xfId="2078"/>
    <cellStyle name="_4.06E Pass Throughs_4 31E Reg Asset  Liab and EXH D 5" xfId="2079"/>
    <cellStyle name="_4.06E Pass Throughs_4 31E Reg Asset  Liab and EXH D 6" xfId="2080"/>
    <cellStyle name="_4.06E Pass Throughs_4 31E Reg Asset  Liab and EXH D 7" xfId="2081"/>
    <cellStyle name="_4.06E Pass Throughs_4 31E Reg Asset  Liab and EXH D 8" xfId="2082"/>
    <cellStyle name="_4.06E Pass Throughs_4 31E Reg Asset  Liab and EXH D 9" xfId="2083"/>
    <cellStyle name="_4.06E Pass Throughs_4 32 Regulatory Assets and Liabilities  7 06- Exhibit D" xfId="21"/>
    <cellStyle name="_4.06E Pass Throughs_4 32 Regulatory Assets and Liabilities  7 06- Exhibit D 2" xfId="2084"/>
    <cellStyle name="_4.06E Pass Throughs_4 32 Regulatory Assets and Liabilities  7 06- Exhibit D 2 2" xfId="2085"/>
    <cellStyle name="_4.06E Pass Throughs_4 32 Regulatory Assets and Liabilities  7 06- Exhibit D 2 2 2" xfId="2086"/>
    <cellStyle name="_4.06E Pass Throughs_4 32 Regulatory Assets and Liabilities  7 06- Exhibit D 3" xfId="2087"/>
    <cellStyle name="_4.06E Pass Throughs_4 32 Regulatory Assets and Liabilities  7 06- Exhibit D 3 2" xfId="2088"/>
    <cellStyle name="_4.06E Pass Throughs_4 32 Regulatory Assets and Liabilities  7 06- Exhibit D_DEM-WP(C) ENERG10C--ctn Mid-C_042010 2010GRC" xfId="2089"/>
    <cellStyle name="_4.06E Pass Throughs_4 32 Regulatory Assets and Liabilities  7 06- Exhibit D_NIM Summary" xfId="2090"/>
    <cellStyle name="_4.06E Pass Throughs_4 32 Regulatory Assets and Liabilities  7 06- Exhibit D_NIM Summary 2" xfId="2091"/>
    <cellStyle name="_4.06E Pass Throughs_4 32 Regulatory Assets and Liabilities  7 06- Exhibit D_NIM Summary 2 2" xfId="2092"/>
    <cellStyle name="_4.06E Pass Throughs_4 32 Regulatory Assets and Liabilities  7 06- Exhibit D_NIM Summary 3" xfId="2093"/>
    <cellStyle name="_4.06E Pass Throughs_4 32 Regulatory Assets and Liabilities  7 06- Exhibit D_NIM Summary_DEM-WP(C) ENERG10C--ctn Mid-C_042010 2010GRC" xfId="2094"/>
    <cellStyle name="_4.06E Pass Throughs_4 32 Regulatory Assets and Liabilities  7 06- Exhibit D_NIM+O&amp;M" xfId="2095"/>
    <cellStyle name="_4.06E Pass Throughs_4 32 Regulatory Assets and Liabilities  7 06- Exhibit D_NIM+O&amp;M 2" xfId="2096"/>
    <cellStyle name="_4.06E Pass Throughs_4 32 Regulatory Assets and Liabilities  7 06- Exhibit D_NIM+O&amp;M Monthly" xfId="2097"/>
    <cellStyle name="_4.06E Pass Throughs_4 32 Regulatory Assets and Liabilities  7 06- Exhibit D_NIM+O&amp;M Monthly 2" xfId="2098"/>
    <cellStyle name="_4.06E Pass Throughs_AURORA Total New" xfId="2099"/>
    <cellStyle name="_4.06E Pass Throughs_AURORA Total New 2" xfId="2100"/>
    <cellStyle name="_4.06E Pass Throughs_AURORA Total New 2 2" xfId="2101"/>
    <cellStyle name="_4.06E Pass Throughs_AURORA Total New 3" xfId="2102"/>
    <cellStyle name="_4.06E Pass Throughs_Book2" xfId="22"/>
    <cellStyle name="_4.06E Pass Throughs_Book2 2" xfId="2103"/>
    <cellStyle name="_4.06E Pass Throughs_Book2 2 2" xfId="2104"/>
    <cellStyle name="_4.06E Pass Throughs_Book2 2 2 2" xfId="2105"/>
    <cellStyle name="_4.06E Pass Throughs_Book2 2 3" xfId="2106"/>
    <cellStyle name="_4.06E Pass Throughs_Book2 3" xfId="2107"/>
    <cellStyle name="_4.06E Pass Throughs_Book2 3 2" xfId="2108"/>
    <cellStyle name="_4.06E Pass Throughs_Book2 4" xfId="2109"/>
    <cellStyle name="_4.06E Pass Throughs_Book2_Adj Bench DR 3 for Initial Briefs (Electric)" xfId="23"/>
    <cellStyle name="_4.06E Pass Throughs_Book2_Adj Bench DR 3 for Initial Briefs (Electric) 2" xfId="2110"/>
    <cellStyle name="_4.06E Pass Throughs_Book2_Adj Bench DR 3 for Initial Briefs (Electric) 2 2" xfId="2111"/>
    <cellStyle name="_4.06E Pass Throughs_Book2_Adj Bench DR 3 for Initial Briefs (Electric) 2 2 2" xfId="2112"/>
    <cellStyle name="_4.06E Pass Throughs_Book2_Adj Bench DR 3 for Initial Briefs (Electric) 2 3" xfId="2113"/>
    <cellStyle name="_4.06E Pass Throughs_Book2_Adj Bench DR 3 for Initial Briefs (Electric) 3" xfId="2114"/>
    <cellStyle name="_4.06E Pass Throughs_Book2_Adj Bench DR 3 for Initial Briefs (Electric) 3 2" xfId="2115"/>
    <cellStyle name="_4.06E Pass Throughs_Book2_Adj Bench DR 3 for Initial Briefs (Electric) 4" xfId="2116"/>
    <cellStyle name="_4.06E Pass Throughs_Book2_Adj Bench DR 3 for Initial Briefs (Electric)_DEM-WP(C) ENERG10C--ctn Mid-C_042010 2010GRC" xfId="2117"/>
    <cellStyle name="_4.06E Pass Throughs_Book2_DEM-WP(C) ENERG10C--ctn Mid-C_042010 2010GRC" xfId="2118"/>
    <cellStyle name="_4.06E Pass Throughs_Book2_Electric Rev Req Model (2009 GRC) Rebuttal" xfId="24"/>
    <cellStyle name="_4.06E Pass Throughs_Book2_Electric Rev Req Model (2009 GRC) Rebuttal 2" xfId="2119"/>
    <cellStyle name="_4.06E Pass Throughs_Book2_Electric Rev Req Model (2009 GRC) Rebuttal 2 2" xfId="2120"/>
    <cellStyle name="_4.06E Pass Throughs_Book2_Electric Rev Req Model (2009 GRC) Rebuttal 2 2 2" xfId="2121"/>
    <cellStyle name="_4.06E Pass Throughs_Book2_Electric Rev Req Model (2009 GRC) Rebuttal 2 3" xfId="2122"/>
    <cellStyle name="_4.06E Pass Throughs_Book2_Electric Rev Req Model (2009 GRC) Rebuttal 3" xfId="2123"/>
    <cellStyle name="_4.06E Pass Throughs_Book2_Electric Rev Req Model (2009 GRC) Rebuttal 3 2" xfId="2124"/>
    <cellStyle name="_4.06E Pass Throughs_Book2_Electric Rev Req Model (2009 GRC) Rebuttal 4" xfId="2125"/>
    <cellStyle name="_4.06E Pass Throughs_Book2_Electric Rev Req Model (2009 GRC) Rebuttal REmoval of New  WH Solar AdjustMI" xfId="25"/>
    <cellStyle name="_4.06E Pass Throughs_Book2_Electric Rev Req Model (2009 GRC) Rebuttal REmoval of New  WH Solar AdjustMI 2" xfId="2126"/>
    <cellStyle name="_4.06E Pass Throughs_Book2_Electric Rev Req Model (2009 GRC) Rebuttal REmoval of New  WH Solar AdjustMI 2 2" xfId="2127"/>
    <cellStyle name="_4.06E Pass Throughs_Book2_Electric Rev Req Model (2009 GRC) Rebuttal REmoval of New  WH Solar AdjustMI 2 2 2" xfId="2128"/>
    <cellStyle name="_4.06E Pass Throughs_Book2_Electric Rev Req Model (2009 GRC) Rebuttal REmoval of New  WH Solar AdjustMI 2 3" xfId="2129"/>
    <cellStyle name="_4.06E Pass Throughs_Book2_Electric Rev Req Model (2009 GRC) Rebuttal REmoval of New  WH Solar AdjustMI 3" xfId="2130"/>
    <cellStyle name="_4.06E Pass Throughs_Book2_Electric Rev Req Model (2009 GRC) Rebuttal REmoval of New  WH Solar AdjustMI 3 2" xfId="2131"/>
    <cellStyle name="_4.06E Pass Throughs_Book2_Electric Rev Req Model (2009 GRC) Rebuttal REmoval of New  WH Solar AdjustMI 4" xfId="2132"/>
    <cellStyle name="_4.06E Pass Throughs_Book2_Electric Rev Req Model (2009 GRC) Rebuttal REmoval of New  WH Solar AdjustMI_DEM-WP(C) ENERG10C--ctn Mid-C_042010 2010GRC" xfId="2133"/>
    <cellStyle name="_4.06E Pass Throughs_Book2_Electric Rev Req Model (2009 GRC) Revised 01-18-2010" xfId="26"/>
    <cellStyle name="_4.06E Pass Throughs_Book2_Electric Rev Req Model (2009 GRC) Revised 01-18-2010 2" xfId="2134"/>
    <cellStyle name="_4.06E Pass Throughs_Book2_Electric Rev Req Model (2009 GRC) Revised 01-18-2010 2 2" xfId="2135"/>
    <cellStyle name="_4.06E Pass Throughs_Book2_Electric Rev Req Model (2009 GRC) Revised 01-18-2010 2 2 2" xfId="2136"/>
    <cellStyle name="_4.06E Pass Throughs_Book2_Electric Rev Req Model (2009 GRC) Revised 01-18-2010 2 3" xfId="2137"/>
    <cellStyle name="_4.06E Pass Throughs_Book2_Electric Rev Req Model (2009 GRC) Revised 01-18-2010 3" xfId="2138"/>
    <cellStyle name="_4.06E Pass Throughs_Book2_Electric Rev Req Model (2009 GRC) Revised 01-18-2010 3 2" xfId="2139"/>
    <cellStyle name="_4.06E Pass Throughs_Book2_Electric Rev Req Model (2009 GRC) Revised 01-18-2010 4" xfId="2140"/>
    <cellStyle name="_4.06E Pass Throughs_Book2_Electric Rev Req Model (2009 GRC) Revised 01-18-2010_DEM-WP(C) ENERG10C--ctn Mid-C_042010 2010GRC" xfId="2141"/>
    <cellStyle name="_4.06E Pass Throughs_Book2_Final Order Electric EXHIBIT A-1" xfId="27"/>
    <cellStyle name="_4.06E Pass Throughs_Book2_Final Order Electric EXHIBIT A-1 2" xfId="2142"/>
    <cellStyle name="_4.06E Pass Throughs_Book2_Final Order Electric EXHIBIT A-1 2 2" xfId="2143"/>
    <cellStyle name="_4.06E Pass Throughs_Book2_Final Order Electric EXHIBIT A-1 2 2 2" xfId="2144"/>
    <cellStyle name="_4.06E Pass Throughs_Book2_Final Order Electric EXHIBIT A-1 2 3" xfId="2145"/>
    <cellStyle name="_4.06E Pass Throughs_Book2_Final Order Electric EXHIBIT A-1 3" xfId="2146"/>
    <cellStyle name="_4.06E Pass Throughs_Book2_Final Order Electric EXHIBIT A-1 3 2" xfId="2147"/>
    <cellStyle name="_4.06E Pass Throughs_Book2_Final Order Electric EXHIBIT A-1 4" xfId="2148"/>
    <cellStyle name="_4.06E Pass Throughs_Book4" xfId="28"/>
    <cellStyle name="_4.06E Pass Throughs_Book4 2" xfId="2149"/>
    <cellStyle name="_4.06E Pass Throughs_Book4 2 2" xfId="2150"/>
    <cellStyle name="_4.06E Pass Throughs_Book4 2 2 2" xfId="2151"/>
    <cellStyle name="_4.06E Pass Throughs_Book4 2 3" xfId="2152"/>
    <cellStyle name="_4.06E Pass Throughs_Book4 3" xfId="2153"/>
    <cellStyle name="_4.06E Pass Throughs_Book4 3 2" xfId="2154"/>
    <cellStyle name="_4.06E Pass Throughs_Book4 4" xfId="2155"/>
    <cellStyle name="_4.06E Pass Throughs_Book4_DEM-WP(C) ENERG10C--ctn Mid-C_042010 2010GRC" xfId="2156"/>
    <cellStyle name="_4.06E Pass Throughs_Book9" xfId="29"/>
    <cellStyle name="_4.06E Pass Throughs_Book9 2" xfId="2157"/>
    <cellStyle name="_4.06E Pass Throughs_Book9 2 2" xfId="2158"/>
    <cellStyle name="_4.06E Pass Throughs_Book9 2 2 2" xfId="2159"/>
    <cellStyle name="_4.06E Pass Throughs_Book9 2 3" xfId="2160"/>
    <cellStyle name="_4.06E Pass Throughs_Book9 3" xfId="2161"/>
    <cellStyle name="_4.06E Pass Throughs_Book9 3 2" xfId="2162"/>
    <cellStyle name="_4.06E Pass Throughs_Book9 4" xfId="2163"/>
    <cellStyle name="_4.06E Pass Throughs_Book9_DEM-WP(C) ENERG10C--ctn Mid-C_042010 2010GRC" xfId="2164"/>
    <cellStyle name="_4.06E Pass Throughs_Chelan PUD Power Costs (8-10)" xfId="2165"/>
    <cellStyle name="_4.06E Pass Throughs_Chelan PUD Power Costs (8-10) 2" xfId="2166"/>
    <cellStyle name="_4.06E Pass Throughs_DEM-WP(C) Chelan Power Costs" xfId="2167"/>
    <cellStyle name="_4.06E Pass Throughs_DEM-WP(C) Chelan Power Costs 2" xfId="2168"/>
    <cellStyle name="_4.06E Pass Throughs_DEM-WP(C) ENERG10C--ctn Mid-C_042010 2010GRC" xfId="2169"/>
    <cellStyle name="_4.06E Pass Throughs_DEM-WP(C) Gas Transport 2010GRC" xfId="2170"/>
    <cellStyle name="_4.06E Pass Throughs_DEM-WP(C) Gas Transport 2010GRC 2" xfId="2171"/>
    <cellStyle name="_4.06E Pass Throughs_Exh A-1 resulting from UE-112050 effective Jan 1 2012" xfId="2172"/>
    <cellStyle name="_4.06E Pass Throughs_Exh G - Klamath Peaker PPA fr C Locke 2-12" xfId="2173"/>
    <cellStyle name="_4.06E Pass Throughs_Exhibit A-1 effective 4-1-11 fr S Free 12-11" xfId="2174"/>
    <cellStyle name="_4.06E Pass Throughs_INPUTS" xfId="2175"/>
    <cellStyle name="_4.06E Pass Throughs_INPUTS 2" xfId="2176"/>
    <cellStyle name="_4.06E Pass Throughs_INPUTS 2 2" xfId="2177"/>
    <cellStyle name="_4.06E Pass Throughs_INPUTS 2 2 2" xfId="2178"/>
    <cellStyle name="_4.06E Pass Throughs_INPUTS 2 3" xfId="2179"/>
    <cellStyle name="_4.06E Pass Throughs_INPUTS 3" xfId="2180"/>
    <cellStyle name="_4.06E Pass Throughs_INPUTS 3 2" xfId="2181"/>
    <cellStyle name="_4.06E Pass Throughs_INPUTS 4" xfId="2182"/>
    <cellStyle name="_4.06E Pass Throughs_Mint Farm Generation BPA" xfId="2183"/>
    <cellStyle name="_4.06E Pass Throughs_NIM Summary" xfId="2184"/>
    <cellStyle name="_4.06E Pass Throughs_NIM Summary 09GRC" xfId="2185"/>
    <cellStyle name="_4.06E Pass Throughs_NIM Summary 09GRC 2" xfId="2186"/>
    <cellStyle name="_4.06E Pass Throughs_NIM Summary 09GRC 2 2" xfId="2187"/>
    <cellStyle name="_4.06E Pass Throughs_NIM Summary 09GRC 3" xfId="2188"/>
    <cellStyle name="_4.06E Pass Throughs_NIM Summary 09GRC_DEM-WP(C) ENERG10C--ctn Mid-C_042010 2010GRC" xfId="2189"/>
    <cellStyle name="_4.06E Pass Throughs_NIM Summary 10" xfId="2190"/>
    <cellStyle name="_4.06E Pass Throughs_NIM Summary 11" xfId="2191"/>
    <cellStyle name="_4.06E Pass Throughs_NIM Summary 12" xfId="2192"/>
    <cellStyle name="_4.06E Pass Throughs_NIM Summary 13" xfId="2193"/>
    <cellStyle name="_4.06E Pass Throughs_NIM Summary 14" xfId="2194"/>
    <cellStyle name="_4.06E Pass Throughs_NIM Summary 15" xfId="2195"/>
    <cellStyle name="_4.06E Pass Throughs_NIM Summary 16" xfId="2196"/>
    <cellStyle name="_4.06E Pass Throughs_NIM Summary 17" xfId="2197"/>
    <cellStyle name="_4.06E Pass Throughs_NIM Summary 18" xfId="2198"/>
    <cellStyle name="_4.06E Pass Throughs_NIM Summary 19" xfId="2199"/>
    <cellStyle name="_4.06E Pass Throughs_NIM Summary 2" xfId="2200"/>
    <cellStyle name="_4.06E Pass Throughs_NIM Summary 2 2" xfId="2201"/>
    <cellStyle name="_4.06E Pass Throughs_NIM Summary 20" xfId="2202"/>
    <cellStyle name="_4.06E Pass Throughs_NIM Summary 21" xfId="2203"/>
    <cellStyle name="_4.06E Pass Throughs_NIM Summary 22" xfId="2204"/>
    <cellStyle name="_4.06E Pass Throughs_NIM Summary 23" xfId="2205"/>
    <cellStyle name="_4.06E Pass Throughs_NIM Summary 24" xfId="2206"/>
    <cellStyle name="_4.06E Pass Throughs_NIM Summary 25" xfId="2207"/>
    <cellStyle name="_4.06E Pass Throughs_NIM Summary 26" xfId="2208"/>
    <cellStyle name="_4.06E Pass Throughs_NIM Summary 27" xfId="2209"/>
    <cellStyle name="_4.06E Pass Throughs_NIM Summary 28" xfId="2210"/>
    <cellStyle name="_4.06E Pass Throughs_NIM Summary 29" xfId="2211"/>
    <cellStyle name="_4.06E Pass Throughs_NIM Summary 3" xfId="2212"/>
    <cellStyle name="_4.06E Pass Throughs_NIM Summary 3 2" xfId="2213"/>
    <cellStyle name="_4.06E Pass Throughs_NIM Summary 30" xfId="2214"/>
    <cellStyle name="_4.06E Pass Throughs_NIM Summary 31" xfId="2215"/>
    <cellStyle name="_4.06E Pass Throughs_NIM Summary 32" xfId="2216"/>
    <cellStyle name="_4.06E Pass Throughs_NIM Summary 33" xfId="2217"/>
    <cellStyle name="_4.06E Pass Throughs_NIM Summary 34" xfId="2218"/>
    <cellStyle name="_4.06E Pass Throughs_NIM Summary 35" xfId="2219"/>
    <cellStyle name="_4.06E Pass Throughs_NIM Summary 36" xfId="2220"/>
    <cellStyle name="_4.06E Pass Throughs_NIM Summary 37" xfId="2221"/>
    <cellStyle name="_4.06E Pass Throughs_NIM Summary 38" xfId="2222"/>
    <cellStyle name="_4.06E Pass Throughs_NIM Summary 39" xfId="2223"/>
    <cellStyle name="_4.06E Pass Throughs_NIM Summary 4" xfId="2224"/>
    <cellStyle name="_4.06E Pass Throughs_NIM Summary 4 2" xfId="2225"/>
    <cellStyle name="_4.06E Pass Throughs_NIM Summary 40" xfId="2226"/>
    <cellStyle name="_4.06E Pass Throughs_NIM Summary 41" xfId="2227"/>
    <cellStyle name="_4.06E Pass Throughs_NIM Summary 42" xfId="2228"/>
    <cellStyle name="_4.06E Pass Throughs_NIM Summary 43" xfId="2229"/>
    <cellStyle name="_4.06E Pass Throughs_NIM Summary 44" xfId="2230"/>
    <cellStyle name="_4.06E Pass Throughs_NIM Summary 45" xfId="2231"/>
    <cellStyle name="_4.06E Pass Throughs_NIM Summary 46" xfId="2232"/>
    <cellStyle name="_4.06E Pass Throughs_NIM Summary 47" xfId="2233"/>
    <cellStyle name="_4.06E Pass Throughs_NIM Summary 48" xfId="2234"/>
    <cellStyle name="_4.06E Pass Throughs_NIM Summary 49" xfId="2235"/>
    <cellStyle name="_4.06E Pass Throughs_NIM Summary 5" xfId="2236"/>
    <cellStyle name="_4.06E Pass Throughs_NIM Summary 5 2" xfId="2237"/>
    <cellStyle name="_4.06E Pass Throughs_NIM Summary 50" xfId="2238"/>
    <cellStyle name="_4.06E Pass Throughs_NIM Summary 51" xfId="2239"/>
    <cellStyle name="_4.06E Pass Throughs_NIM Summary 52" xfId="2240"/>
    <cellStyle name="_4.06E Pass Throughs_NIM Summary 6" xfId="2241"/>
    <cellStyle name="_4.06E Pass Throughs_NIM Summary 6 2" xfId="2242"/>
    <cellStyle name="_4.06E Pass Throughs_NIM Summary 7" xfId="2243"/>
    <cellStyle name="_4.06E Pass Throughs_NIM Summary 7 2" xfId="2244"/>
    <cellStyle name="_4.06E Pass Throughs_NIM Summary 8" xfId="2245"/>
    <cellStyle name="_4.06E Pass Throughs_NIM Summary 8 2" xfId="2246"/>
    <cellStyle name="_4.06E Pass Throughs_NIM Summary 9" xfId="2247"/>
    <cellStyle name="_4.06E Pass Throughs_NIM Summary 9 2" xfId="2248"/>
    <cellStyle name="_4.06E Pass Throughs_NIM Summary_DEM-WP(C) ENERG10C--ctn Mid-C_042010 2010GRC" xfId="2249"/>
    <cellStyle name="_4.06E Pass Throughs_NIM+O&amp;M" xfId="2250"/>
    <cellStyle name="_4.06E Pass Throughs_NIM+O&amp;M 2" xfId="2251"/>
    <cellStyle name="_4.06E Pass Throughs_NIM+O&amp;M 2 2" xfId="2252"/>
    <cellStyle name="_4.06E Pass Throughs_NIM+O&amp;M 3" xfId="2253"/>
    <cellStyle name="_4.06E Pass Throughs_NIM+O&amp;M Monthly" xfId="2254"/>
    <cellStyle name="_4.06E Pass Throughs_NIM+O&amp;M Monthly 2" xfId="2255"/>
    <cellStyle name="_4.06E Pass Throughs_NIM+O&amp;M Monthly 2 2" xfId="2256"/>
    <cellStyle name="_4.06E Pass Throughs_NIM+O&amp;M Monthly 3" xfId="2257"/>
    <cellStyle name="_4.06E Pass Throughs_PCA 10 -  Exhibit D Dec 2011" xfId="2258"/>
    <cellStyle name="_4.06E Pass Throughs_PCA 10 -  Exhibit D from A Kellogg Jan 2011" xfId="2259"/>
    <cellStyle name="_4.06E Pass Throughs_PCA 10 -  Exhibit D from A Kellogg July 2011" xfId="2260"/>
    <cellStyle name="_4.06E Pass Throughs_PCA 10 -  Exhibit D from S Free Rcv'd 12-11" xfId="2261"/>
    <cellStyle name="_4.06E Pass Throughs_PCA 11 -  Exhibit D Jan 2012 fr A Kellogg" xfId="2262"/>
    <cellStyle name="_4.06E Pass Throughs_PCA 11 -  Exhibit D Jan 2012 WF" xfId="2263"/>
    <cellStyle name="_4.06E Pass Throughs_PCA 9 -  Exhibit D April 2010" xfId="2264"/>
    <cellStyle name="_4.06E Pass Throughs_PCA 9 -  Exhibit D April 2010 (3)" xfId="2265"/>
    <cellStyle name="_4.06E Pass Throughs_PCA 9 -  Exhibit D April 2010 (3) 2" xfId="2266"/>
    <cellStyle name="_4.06E Pass Throughs_PCA 9 -  Exhibit D April 2010 (3) 2 2" xfId="2267"/>
    <cellStyle name="_4.06E Pass Throughs_PCA 9 -  Exhibit D April 2010 (3) 3" xfId="2268"/>
    <cellStyle name="_4.06E Pass Throughs_PCA 9 -  Exhibit D April 2010 (3)_DEM-WP(C) ENERG10C--ctn Mid-C_042010 2010GRC" xfId="2269"/>
    <cellStyle name="_4.06E Pass Throughs_PCA 9 -  Exhibit D April 2010 2" xfId="2270"/>
    <cellStyle name="_4.06E Pass Throughs_PCA 9 -  Exhibit D April 2010 3" xfId="2271"/>
    <cellStyle name="_4.06E Pass Throughs_PCA 9 -  Exhibit D April 2010 4" xfId="2272"/>
    <cellStyle name="_4.06E Pass Throughs_PCA 9 -  Exhibit D April 2010 5" xfId="2273"/>
    <cellStyle name="_4.06E Pass Throughs_PCA 9 -  Exhibit D April 2010 6" xfId="2274"/>
    <cellStyle name="_4.06E Pass Throughs_PCA 9 -  Exhibit D Nov 2010" xfId="2275"/>
    <cellStyle name="_4.06E Pass Throughs_PCA 9 -  Exhibit D Nov 2010 2" xfId="2276"/>
    <cellStyle name="_4.06E Pass Throughs_PCA 9 - Exhibit D at August 2010" xfId="2277"/>
    <cellStyle name="_4.06E Pass Throughs_PCA 9 - Exhibit D at August 2010 2" xfId="2278"/>
    <cellStyle name="_4.06E Pass Throughs_PCA 9 - Exhibit D June 2010 GRC" xfId="2279"/>
    <cellStyle name="_4.06E Pass Throughs_PCA 9 - Exhibit D June 2010 GRC 2" xfId="2280"/>
    <cellStyle name="_4.06E Pass Throughs_Power Costs - Comparison bx Rbtl-Staff-Jt-PC" xfId="30"/>
    <cellStyle name="_4.06E Pass Throughs_Power Costs - Comparison bx Rbtl-Staff-Jt-PC 2" xfId="2281"/>
    <cellStyle name="_4.06E Pass Throughs_Power Costs - Comparison bx Rbtl-Staff-Jt-PC 2 2" xfId="2282"/>
    <cellStyle name="_4.06E Pass Throughs_Power Costs - Comparison bx Rbtl-Staff-Jt-PC 2 2 2" xfId="2283"/>
    <cellStyle name="_4.06E Pass Throughs_Power Costs - Comparison bx Rbtl-Staff-Jt-PC 2 3" xfId="2284"/>
    <cellStyle name="_4.06E Pass Throughs_Power Costs - Comparison bx Rbtl-Staff-Jt-PC 3" xfId="2285"/>
    <cellStyle name="_4.06E Pass Throughs_Power Costs - Comparison bx Rbtl-Staff-Jt-PC 3 2" xfId="2286"/>
    <cellStyle name="_4.06E Pass Throughs_Power Costs - Comparison bx Rbtl-Staff-Jt-PC 4" xfId="2287"/>
    <cellStyle name="_4.06E Pass Throughs_Power Costs - Comparison bx Rbtl-Staff-Jt-PC_Adj Bench DR 3 for Initial Briefs (Electric)" xfId="31"/>
    <cellStyle name="_4.06E Pass Throughs_Power Costs - Comparison bx Rbtl-Staff-Jt-PC_Adj Bench DR 3 for Initial Briefs (Electric) 2" xfId="2288"/>
    <cellStyle name="_4.06E Pass Throughs_Power Costs - Comparison bx Rbtl-Staff-Jt-PC_Adj Bench DR 3 for Initial Briefs (Electric) 2 2" xfId="2289"/>
    <cellStyle name="_4.06E Pass Throughs_Power Costs - Comparison bx Rbtl-Staff-Jt-PC_Adj Bench DR 3 for Initial Briefs (Electric) 2 2 2" xfId="2290"/>
    <cellStyle name="_4.06E Pass Throughs_Power Costs - Comparison bx Rbtl-Staff-Jt-PC_Adj Bench DR 3 for Initial Briefs (Electric) 2 3" xfId="2291"/>
    <cellStyle name="_4.06E Pass Throughs_Power Costs - Comparison bx Rbtl-Staff-Jt-PC_Adj Bench DR 3 for Initial Briefs (Electric) 3" xfId="2292"/>
    <cellStyle name="_4.06E Pass Throughs_Power Costs - Comparison bx Rbtl-Staff-Jt-PC_Adj Bench DR 3 for Initial Briefs (Electric) 3 2" xfId="2293"/>
    <cellStyle name="_4.06E Pass Throughs_Power Costs - Comparison bx Rbtl-Staff-Jt-PC_Adj Bench DR 3 for Initial Briefs (Electric) 4" xfId="2294"/>
    <cellStyle name="_4.06E Pass Throughs_Power Costs - Comparison bx Rbtl-Staff-Jt-PC_Adj Bench DR 3 for Initial Briefs (Electric)_DEM-WP(C) ENERG10C--ctn Mid-C_042010 2010GRC" xfId="2295"/>
    <cellStyle name="_4.06E Pass Throughs_Power Costs - Comparison bx Rbtl-Staff-Jt-PC_DEM-WP(C) ENERG10C--ctn Mid-C_042010 2010GRC" xfId="2296"/>
    <cellStyle name="_4.06E Pass Throughs_Power Costs - Comparison bx Rbtl-Staff-Jt-PC_Electric Rev Req Model (2009 GRC) Rebuttal" xfId="32"/>
    <cellStyle name="_4.06E Pass Throughs_Power Costs - Comparison bx Rbtl-Staff-Jt-PC_Electric Rev Req Model (2009 GRC) Rebuttal 2" xfId="2297"/>
    <cellStyle name="_4.06E Pass Throughs_Power Costs - Comparison bx Rbtl-Staff-Jt-PC_Electric Rev Req Model (2009 GRC) Rebuttal 2 2" xfId="2298"/>
    <cellStyle name="_4.06E Pass Throughs_Power Costs - Comparison bx Rbtl-Staff-Jt-PC_Electric Rev Req Model (2009 GRC) Rebuttal 2 2 2" xfId="2299"/>
    <cellStyle name="_4.06E Pass Throughs_Power Costs - Comparison bx Rbtl-Staff-Jt-PC_Electric Rev Req Model (2009 GRC) Rebuttal 2 3" xfId="2300"/>
    <cellStyle name="_4.06E Pass Throughs_Power Costs - Comparison bx Rbtl-Staff-Jt-PC_Electric Rev Req Model (2009 GRC) Rebuttal 3" xfId="2301"/>
    <cellStyle name="_4.06E Pass Throughs_Power Costs - Comparison bx Rbtl-Staff-Jt-PC_Electric Rev Req Model (2009 GRC) Rebuttal 3 2" xfId="2302"/>
    <cellStyle name="_4.06E Pass Throughs_Power Costs - Comparison bx Rbtl-Staff-Jt-PC_Electric Rev Req Model (2009 GRC) Rebuttal 4" xfId="2303"/>
    <cellStyle name="_4.06E Pass Throughs_Power Costs - Comparison bx Rbtl-Staff-Jt-PC_Electric Rev Req Model (2009 GRC) Rebuttal REmoval of New  WH Solar AdjustMI" xfId="33"/>
    <cellStyle name="_4.06E Pass Throughs_Power Costs - Comparison bx Rbtl-Staff-Jt-PC_Electric Rev Req Model (2009 GRC) Rebuttal REmoval of New  WH Solar AdjustMI 2" xfId="2304"/>
    <cellStyle name="_4.06E Pass Throughs_Power Costs - Comparison bx Rbtl-Staff-Jt-PC_Electric Rev Req Model (2009 GRC) Rebuttal REmoval of New  WH Solar AdjustMI 2 2" xfId="2305"/>
    <cellStyle name="_4.06E Pass Throughs_Power Costs - Comparison bx Rbtl-Staff-Jt-PC_Electric Rev Req Model (2009 GRC) Rebuttal REmoval of New  WH Solar AdjustMI 2 2 2" xfId="2306"/>
    <cellStyle name="_4.06E Pass Throughs_Power Costs - Comparison bx Rbtl-Staff-Jt-PC_Electric Rev Req Model (2009 GRC) Rebuttal REmoval of New  WH Solar AdjustMI 2 3" xfId="2307"/>
    <cellStyle name="_4.06E Pass Throughs_Power Costs - Comparison bx Rbtl-Staff-Jt-PC_Electric Rev Req Model (2009 GRC) Rebuttal REmoval of New  WH Solar AdjustMI 3" xfId="2308"/>
    <cellStyle name="_4.06E Pass Throughs_Power Costs - Comparison bx Rbtl-Staff-Jt-PC_Electric Rev Req Model (2009 GRC) Rebuttal REmoval of New  WH Solar AdjustMI 3 2" xfId="2309"/>
    <cellStyle name="_4.06E Pass Throughs_Power Costs - Comparison bx Rbtl-Staff-Jt-PC_Electric Rev Req Model (2009 GRC) Rebuttal REmoval of New  WH Solar AdjustMI 4" xfId="2310"/>
    <cellStyle name="_4.06E Pass Throughs_Power Costs - Comparison bx Rbtl-Staff-Jt-PC_Electric Rev Req Model (2009 GRC) Rebuttal REmoval of New  WH Solar AdjustMI_DEM-WP(C) ENERG10C--ctn Mid-C_042010 2010GRC" xfId="2311"/>
    <cellStyle name="_4.06E Pass Throughs_Power Costs - Comparison bx Rbtl-Staff-Jt-PC_Electric Rev Req Model (2009 GRC) Revised 01-18-2010" xfId="34"/>
    <cellStyle name="_4.06E Pass Throughs_Power Costs - Comparison bx Rbtl-Staff-Jt-PC_Electric Rev Req Model (2009 GRC) Revised 01-18-2010 2" xfId="2312"/>
    <cellStyle name="_4.06E Pass Throughs_Power Costs - Comparison bx Rbtl-Staff-Jt-PC_Electric Rev Req Model (2009 GRC) Revised 01-18-2010 2 2" xfId="2313"/>
    <cellStyle name="_4.06E Pass Throughs_Power Costs - Comparison bx Rbtl-Staff-Jt-PC_Electric Rev Req Model (2009 GRC) Revised 01-18-2010 2 2 2" xfId="2314"/>
    <cellStyle name="_4.06E Pass Throughs_Power Costs - Comparison bx Rbtl-Staff-Jt-PC_Electric Rev Req Model (2009 GRC) Revised 01-18-2010 2 3" xfId="2315"/>
    <cellStyle name="_4.06E Pass Throughs_Power Costs - Comparison bx Rbtl-Staff-Jt-PC_Electric Rev Req Model (2009 GRC) Revised 01-18-2010 3" xfId="2316"/>
    <cellStyle name="_4.06E Pass Throughs_Power Costs - Comparison bx Rbtl-Staff-Jt-PC_Electric Rev Req Model (2009 GRC) Revised 01-18-2010 3 2" xfId="2317"/>
    <cellStyle name="_4.06E Pass Throughs_Power Costs - Comparison bx Rbtl-Staff-Jt-PC_Electric Rev Req Model (2009 GRC) Revised 01-18-2010 4" xfId="2318"/>
    <cellStyle name="_4.06E Pass Throughs_Power Costs - Comparison bx Rbtl-Staff-Jt-PC_Electric Rev Req Model (2009 GRC) Revised 01-18-2010_DEM-WP(C) ENERG10C--ctn Mid-C_042010 2010GRC" xfId="2319"/>
    <cellStyle name="_4.06E Pass Throughs_Power Costs - Comparison bx Rbtl-Staff-Jt-PC_Final Order Electric EXHIBIT A-1" xfId="35"/>
    <cellStyle name="_4.06E Pass Throughs_Power Costs - Comparison bx Rbtl-Staff-Jt-PC_Final Order Electric EXHIBIT A-1 2" xfId="2320"/>
    <cellStyle name="_4.06E Pass Throughs_Power Costs - Comparison bx Rbtl-Staff-Jt-PC_Final Order Electric EXHIBIT A-1 2 2" xfId="2321"/>
    <cellStyle name="_4.06E Pass Throughs_Power Costs - Comparison bx Rbtl-Staff-Jt-PC_Final Order Electric EXHIBIT A-1 2 2 2" xfId="2322"/>
    <cellStyle name="_4.06E Pass Throughs_Power Costs - Comparison bx Rbtl-Staff-Jt-PC_Final Order Electric EXHIBIT A-1 2 3" xfId="2323"/>
    <cellStyle name="_4.06E Pass Throughs_Power Costs - Comparison bx Rbtl-Staff-Jt-PC_Final Order Electric EXHIBIT A-1 3" xfId="2324"/>
    <cellStyle name="_4.06E Pass Throughs_Power Costs - Comparison bx Rbtl-Staff-Jt-PC_Final Order Electric EXHIBIT A-1 3 2" xfId="2325"/>
    <cellStyle name="_4.06E Pass Throughs_Power Costs - Comparison bx Rbtl-Staff-Jt-PC_Final Order Electric EXHIBIT A-1 4" xfId="2326"/>
    <cellStyle name="_4.06E Pass Throughs_Production Adj 4.37" xfId="2327"/>
    <cellStyle name="_4.06E Pass Throughs_Production Adj 4.37 2" xfId="2328"/>
    <cellStyle name="_4.06E Pass Throughs_Production Adj 4.37 2 2" xfId="2329"/>
    <cellStyle name="_4.06E Pass Throughs_Production Adj 4.37 2 2 2" xfId="2330"/>
    <cellStyle name="_4.06E Pass Throughs_Production Adj 4.37 2 3" xfId="2331"/>
    <cellStyle name="_4.06E Pass Throughs_Production Adj 4.37 3" xfId="2332"/>
    <cellStyle name="_4.06E Pass Throughs_Production Adj 4.37 3 2" xfId="2333"/>
    <cellStyle name="_4.06E Pass Throughs_Production Adj 4.37 4" xfId="2334"/>
    <cellStyle name="_4.06E Pass Throughs_Purchased Power Adj 4.03" xfId="2335"/>
    <cellStyle name="_4.06E Pass Throughs_Purchased Power Adj 4.03 2" xfId="2336"/>
    <cellStyle name="_4.06E Pass Throughs_Purchased Power Adj 4.03 2 2" xfId="2337"/>
    <cellStyle name="_4.06E Pass Throughs_Purchased Power Adj 4.03 2 2 2" xfId="2338"/>
    <cellStyle name="_4.06E Pass Throughs_Purchased Power Adj 4.03 2 3" xfId="2339"/>
    <cellStyle name="_4.06E Pass Throughs_Purchased Power Adj 4.03 3" xfId="2340"/>
    <cellStyle name="_4.06E Pass Throughs_Purchased Power Adj 4.03 3 2" xfId="2341"/>
    <cellStyle name="_4.06E Pass Throughs_Purchased Power Adj 4.03 4" xfId="2342"/>
    <cellStyle name="_4.06E Pass Throughs_Rebuttal Power Costs" xfId="36"/>
    <cellStyle name="_4.06E Pass Throughs_Rebuttal Power Costs 2" xfId="2343"/>
    <cellStyle name="_4.06E Pass Throughs_Rebuttal Power Costs 2 2" xfId="2344"/>
    <cellStyle name="_4.06E Pass Throughs_Rebuttal Power Costs 2 2 2" xfId="2345"/>
    <cellStyle name="_4.06E Pass Throughs_Rebuttal Power Costs 2 3" xfId="2346"/>
    <cellStyle name="_4.06E Pass Throughs_Rebuttal Power Costs 3" xfId="2347"/>
    <cellStyle name="_4.06E Pass Throughs_Rebuttal Power Costs 3 2" xfId="2348"/>
    <cellStyle name="_4.06E Pass Throughs_Rebuttal Power Costs 4" xfId="2349"/>
    <cellStyle name="_4.06E Pass Throughs_Rebuttal Power Costs_Adj Bench DR 3 for Initial Briefs (Electric)" xfId="37"/>
    <cellStyle name="_4.06E Pass Throughs_Rebuttal Power Costs_Adj Bench DR 3 for Initial Briefs (Electric) 2" xfId="2350"/>
    <cellStyle name="_4.06E Pass Throughs_Rebuttal Power Costs_Adj Bench DR 3 for Initial Briefs (Electric) 2 2" xfId="2351"/>
    <cellStyle name="_4.06E Pass Throughs_Rebuttal Power Costs_Adj Bench DR 3 for Initial Briefs (Electric) 2 2 2" xfId="2352"/>
    <cellStyle name="_4.06E Pass Throughs_Rebuttal Power Costs_Adj Bench DR 3 for Initial Briefs (Electric) 2 3" xfId="2353"/>
    <cellStyle name="_4.06E Pass Throughs_Rebuttal Power Costs_Adj Bench DR 3 for Initial Briefs (Electric) 3" xfId="2354"/>
    <cellStyle name="_4.06E Pass Throughs_Rebuttal Power Costs_Adj Bench DR 3 for Initial Briefs (Electric) 3 2" xfId="2355"/>
    <cellStyle name="_4.06E Pass Throughs_Rebuttal Power Costs_Adj Bench DR 3 for Initial Briefs (Electric) 4" xfId="2356"/>
    <cellStyle name="_4.06E Pass Throughs_Rebuttal Power Costs_Adj Bench DR 3 for Initial Briefs (Electric)_DEM-WP(C) ENERG10C--ctn Mid-C_042010 2010GRC" xfId="2357"/>
    <cellStyle name="_4.06E Pass Throughs_Rebuttal Power Costs_DEM-WP(C) ENERG10C--ctn Mid-C_042010 2010GRC" xfId="2358"/>
    <cellStyle name="_4.06E Pass Throughs_Rebuttal Power Costs_Electric Rev Req Model (2009 GRC) Rebuttal" xfId="38"/>
    <cellStyle name="_4.06E Pass Throughs_Rebuttal Power Costs_Electric Rev Req Model (2009 GRC) Rebuttal 2" xfId="2359"/>
    <cellStyle name="_4.06E Pass Throughs_Rebuttal Power Costs_Electric Rev Req Model (2009 GRC) Rebuttal 2 2" xfId="2360"/>
    <cellStyle name="_4.06E Pass Throughs_Rebuttal Power Costs_Electric Rev Req Model (2009 GRC) Rebuttal 2 2 2" xfId="2361"/>
    <cellStyle name="_4.06E Pass Throughs_Rebuttal Power Costs_Electric Rev Req Model (2009 GRC) Rebuttal 2 3" xfId="2362"/>
    <cellStyle name="_4.06E Pass Throughs_Rebuttal Power Costs_Electric Rev Req Model (2009 GRC) Rebuttal 3" xfId="2363"/>
    <cellStyle name="_4.06E Pass Throughs_Rebuttal Power Costs_Electric Rev Req Model (2009 GRC) Rebuttal 3 2" xfId="2364"/>
    <cellStyle name="_4.06E Pass Throughs_Rebuttal Power Costs_Electric Rev Req Model (2009 GRC) Rebuttal 4" xfId="2365"/>
    <cellStyle name="_4.06E Pass Throughs_Rebuttal Power Costs_Electric Rev Req Model (2009 GRC) Rebuttal REmoval of New  WH Solar AdjustMI" xfId="39"/>
    <cellStyle name="_4.06E Pass Throughs_Rebuttal Power Costs_Electric Rev Req Model (2009 GRC) Rebuttal REmoval of New  WH Solar AdjustMI 2" xfId="2366"/>
    <cellStyle name="_4.06E Pass Throughs_Rebuttal Power Costs_Electric Rev Req Model (2009 GRC) Rebuttal REmoval of New  WH Solar AdjustMI 2 2" xfId="2367"/>
    <cellStyle name="_4.06E Pass Throughs_Rebuttal Power Costs_Electric Rev Req Model (2009 GRC) Rebuttal REmoval of New  WH Solar AdjustMI 2 2 2" xfId="2368"/>
    <cellStyle name="_4.06E Pass Throughs_Rebuttal Power Costs_Electric Rev Req Model (2009 GRC) Rebuttal REmoval of New  WH Solar AdjustMI 2 3" xfId="2369"/>
    <cellStyle name="_4.06E Pass Throughs_Rebuttal Power Costs_Electric Rev Req Model (2009 GRC) Rebuttal REmoval of New  WH Solar AdjustMI 3" xfId="2370"/>
    <cellStyle name="_4.06E Pass Throughs_Rebuttal Power Costs_Electric Rev Req Model (2009 GRC) Rebuttal REmoval of New  WH Solar AdjustMI 3 2" xfId="2371"/>
    <cellStyle name="_4.06E Pass Throughs_Rebuttal Power Costs_Electric Rev Req Model (2009 GRC) Rebuttal REmoval of New  WH Solar AdjustMI 4" xfId="2372"/>
    <cellStyle name="_4.06E Pass Throughs_Rebuttal Power Costs_Electric Rev Req Model (2009 GRC) Rebuttal REmoval of New  WH Solar AdjustMI_DEM-WP(C) ENERG10C--ctn Mid-C_042010 2010GRC" xfId="2373"/>
    <cellStyle name="_4.06E Pass Throughs_Rebuttal Power Costs_Electric Rev Req Model (2009 GRC) Revised 01-18-2010" xfId="40"/>
    <cellStyle name="_4.06E Pass Throughs_Rebuttal Power Costs_Electric Rev Req Model (2009 GRC) Revised 01-18-2010 2" xfId="2374"/>
    <cellStyle name="_4.06E Pass Throughs_Rebuttal Power Costs_Electric Rev Req Model (2009 GRC) Revised 01-18-2010 2 2" xfId="2375"/>
    <cellStyle name="_4.06E Pass Throughs_Rebuttal Power Costs_Electric Rev Req Model (2009 GRC) Revised 01-18-2010 2 2 2" xfId="2376"/>
    <cellStyle name="_4.06E Pass Throughs_Rebuttal Power Costs_Electric Rev Req Model (2009 GRC) Revised 01-18-2010 2 3" xfId="2377"/>
    <cellStyle name="_4.06E Pass Throughs_Rebuttal Power Costs_Electric Rev Req Model (2009 GRC) Revised 01-18-2010 3" xfId="2378"/>
    <cellStyle name="_4.06E Pass Throughs_Rebuttal Power Costs_Electric Rev Req Model (2009 GRC) Revised 01-18-2010 3 2" xfId="2379"/>
    <cellStyle name="_4.06E Pass Throughs_Rebuttal Power Costs_Electric Rev Req Model (2009 GRC) Revised 01-18-2010 4" xfId="2380"/>
    <cellStyle name="_4.06E Pass Throughs_Rebuttal Power Costs_Electric Rev Req Model (2009 GRC) Revised 01-18-2010_DEM-WP(C) ENERG10C--ctn Mid-C_042010 2010GRC" xfId="2381"/>
    <cellStyle name="_4.06E Pass Throughs_Rebuttal Power Costs_Final Order Electric EXHIBIT A-1" xfId="41"/>
    <cellStyle name="_4.06E Pass Throughs_Rebuttal Power Costs_Final Order Electric EXHIBIT A-1 2" xfId="2382"/>
    <cellStyle name="_4.06E Pass Throughs_Rebuttal Power Costs_Final Order Electric EXHIBIT A-1 2 2" xfId="2383"/>
    <cellStyle name="_4.06E Pass Throughs_Rebuttal Power Costs_Final Order Electric EXHIBIT A-1 2 2 2" xfId="2384"/>
    <cellStyle name="_4.06E Pass Throughs_Rebuttal Power Costs_Final Order Electric EXHIBIT A-1 2 3" xfId="2385"/>
    <cellStyle name="_4.06E Pass Throughs_Rebuttal Power Costs_Final Order Electric EXHIBIT A-1 3" xfId="2386"/>
    <cellStyle name="_4.06E Pass Throughs_Rebuttal Power Costs_Final Order Electric EXHIBIT A-1 3 2" xfId="2387"/>
    <cellStyle name="_4.06E Pass Throughs_Rebuttal Power Costs_Final Order Electric EXHIBIT A-1 4" xfId="2388"/>
    <cellStyle name="_4.06E Pass Throughs_ROR &amp; CONV FACTOR" xfId="2389"/>
    <cellStyle name="_4.06E Pass Throughs_ROR &amp; CONV FACTOR 2" xfId="2390"/>
    <cellStyle name="_4.06E Pass Throughs_ROR &amp; CONV FACTOR 2 2" xfId="2391"/>
    <cellStyle name="_4.06E Pass Throughs_ROR &amp; CONV FACTOR 2 2 2" xfId="2392"/>
    <cellStyle name="_4.06E Pass Throughs_ROR &amp; CONV FACTOR 2 3" xfId="2393"/>
    <cellStyle name="_4.06E Pass Throughs_ROR &amp; CONV FACTOR 3" xfId="2394"/>
    <cellStyle name="_4.06E Pass Throughs_ROR &amp; CONV FACTOR 3 2" xfId="2395"/>
    <cellStyle name="_4.06E Pass Throughs_ROR &amp; CONV FACTOR 4" xfId="2396"/>
    <cellStyle name="_4.06E Pass Throughs_ROR 5.02" xfId="2397"/>
    <cellStyle name="_4.06E Pass Throughs_ROR 5.02 2" xfId="2398"/>
    <cellStyle name="_4.06E Pass Throughs_ROR 5.02 2 2" xfId="2399"/>
    <cellStyle name="_4.06E Pass Throughs_ROR 5.02 2 2 2" xfId="2400"/>
    <cellStyle name="_4.06E Pass Throughs_ROR 5.02 2 3" xfId="2401"/>
    <cellStyle name="_4.06E Pass Throughs_ROR 5.02 3" xfId="2402"/>
    <cellStyle name="_4.06E Pass Throughs_ROR 5.02 3 2" xfId="2403"/>
    <cellStyle name="_4.06E Pass Throughs_ROR 5.02 4" xfId="2404"/>
    <cellStyle name="_4.06E Pass Throughs_Wind Integration 10GRC" xfId="2405"/>
    <cellStyle name="_4.06E Pass Throughs_Wind Integration 10GRC 2" xfId="2406"/>
    <cellStyle name="_4.06E Pass Throughs_Wind Integration 10GRC 2 2" xfId="2407"/>
    <cellStyle name="_4.06E Pass Throughs_Wind Integration 10GRC 3" xfId="2408"/>
    <cellStyle name="_4.06E Pass Throughs_Wind Integration 10GRC_DEM-WP(C) ENERG10C--ctn Mid-C_042010 2010GRC" xfId="2409"/>
    <cellStyle name="_4.13E Montana Energy Tax" xfId="42"/>
    <cellStyle name="_4.13E Montana Energy Tax 2" xfId="43"/>
    <cellStyle name="_4.13E Montana Energy Tax 2 2" xfId="2410"/>
    <cellStyle name="_4.13E Montana Energy Tax 2 2 2" xfId="2411"/>
    <cellStyle name="_4.13E Montana Energy Tax 2 2 2 2" xfId="2412"/>
    <cellStyle name="_4.13E Montana Energy Tax 2 2 3" xfId="2413"/>
    <cellStyle name="_4.13E Montana Energy Tax 2 3" xfId="2414"/>
    <cellStyle name="_4.13E Montana Energy Tax 2 3 2" xfId="2415"/>
    <cellStyle name="_4.13E Montana Energy Tax 2 4" xfId="2416"/>
    <cellStyle name="_4.13E Montana Energy Tax 3" xfId="2417"/>
    <cellStyle name="_4.13E Montana Energy Tax 3 2" xfId="2418"/>
    <cellStyle name="_4.13E Montana Energy Tax 3 2 2" xfId="2419"/>
    <cellStyle name="_4.13E Montana Energy Tax 3 2 2 2" xfId="2420"/>
    <cellStyle name="_4.13E Montana Energy Tax 3 2 3" xfId="2421"/>
    <cellStyle name="_4.13E Montana Energy Tax 3 3" xfId="2422"/>
    <cellStyle name="_4.13E Montana Energy Tax 3 3 2" xfId="2423"/>
    <cellStyle name="_4.13E Montana Energy Tax 3 3 2 2" xfId="2424"/>
    <cellStyle name="_4.13E Montana Energy Tax 3 3 3" xfId="2425"/>
    <cellStyle name="_4.13E Montana Energy Tax 3 4" xfId="2426"/>
    <cellStyle name="_4.13E Montana Energy Tax 3 4 2" xfId="2427"/>
    <cellStyle name="_4.13E Montana Energy Tax 3 4 2 2" xfId="2428"/>
    <cellStyle name="_4.13E Montana Energy Tax 3 4 3" xfId="2429"/>
    <cellStyle name="_4.13E Montana Energy Tax 3 5" xfId="2430"/>
    <cellStyle name="_4.13E Montana Energy Tax 4" xfId="2431"/>
    <cellStyle name="_4.13E Montana Energy Tax 4 2" xfId="2432"/>
    <cellStyle name="_4.13E Montana Energy Tax 4 2 2" xfId="2433"/>
    <cellStyle name="_4.13E Montana Energy Tax 4 3" xfId="2434"/>
    <cellStyle name="_4.13E Montana Energy Tax 5" xfId="2435"/>
    <cellStyle name="_4.13E Montana Energy Tax 5 2" xfId="2436"/>
    <cellStyle name="_4.13E Montana Energy Tax 5 2 2" xfId="2437"/>
    <cellStyle name="_4.13E Montana Energy Tax 5 3" xfId="2438"/>
    <cellStyle name="_4.13E Montana Energy Tax 6" xfId="2439"/>
    <cellStyle name="_4.13E Montana Energy Tax 6 2" xfId="2440"/>
    <cellStyle name="_4.13E Montana Energy Tax 7" xfId="2441"/>
    <cellStyle name="_4.13E Montana Energy Tax 7 2" xfId="2442"/>
    <cellStyle name="_4.13E Montana Energy Tax 8" xfId="2443"/>
    <cellStyle name="_4.13E Montana Energy Tax 8 2" xfId="2444"/>
    <cellStyle name="_4.13E Montana Energy Tax 9" xfId="2445"/>
    <cellStyle name="_4.13E Montana Energy Tax 9 2" xfId="2446"/>
    <cellStyle name="_4.13E Montana Energy Tax_04 07E Wild Horse Wind Expansion (C) (2)" xfId="44"/>
    <cellStyle name="_4.13E Montana Energy Tax_04 07E Wild Horse Wind Expansion (C) (2) 2" xfId="2447"/>
    <cellStyle name="_4.13E Montana Energy Tax_04 07E Wild Horse Wind Expansion (C) (2) 2 2" xfId="2448"/>
    <cellStyle name="_4.13E Montana Energy Tax_04 07E Wild Horse Wind Expansion (C) (2) 2 2 2" xfId="2449"/>
    <cellStyle name="_4.13E Montana Energy Tax_04 07E Wild Horse Wind Expansion (C) (2) 2 3" xfId="2450"/>
    <cellStyle name="_4.13E Montana Energy Tax_04 07E Wild Horse Wind Expansion (C) (2) 3" xfId="2451"/>
    <cellStyle name="_4.13E Montana Energy Tax_04 07E Wild Horse Wind Expansion (C) (2) 3 2" xfId="2452"/>
    <cellStyle name="_4.13E Montana Energy Tax_04 07E Wild Horse Wind Expansion (C) (2) 4" xfId="2453"/>
    <cellStyle name="_4.13E Montana Energy Tax_04 07E Wild Horse Wind Expansion (C) (2)_Adj Bench DR 3 for Initial Briefs (Electric)" xfId="45"/>
    <cellStyle name="_4.13E Montana Energy Tax_04 07E Wild Horse Wind Expansion (C) (2)_Adj Bench DR 3 for Initial Briefs (Electric) 2" xfId="2454"/>
    <cellStyle name="_4.13E Montana Energy Tax_04 07E Wild Horse Wind Expansion (C) (2)_Adj Bench DR 3 for Initial Briefs (Electric) 2 2" xfId="2455"/>
    <cellStyle name="_4.13E Montana Energy Tax_04 07E Wild Horse Wind Expansion (C) (2)_Adj Bench DR 3 for Initial Briefs (Electric) 2 2 2" xfId="2456"/>
    <cellStyle name="_4.13E Montana Energy Tax_04 07E Wild Horse Wind Expansion (C) (2)_Adj Bench DR 3 for Initial Briefs (Electric) 2 3" xfId="2457"/>
    <cellStyle name="_4.13E Montana Energy Tax_04 07E Wild Horse Wind Expansion (C) (2)_Adj Bench DR 3 for Initial Briefs (Electric) 3" xfId="2458"/>
    <cellStyle name="_4.13E Montana Energy Tax_04 07E Wild Horse Wind Expansion (C) (2)_Adj Bench DR 3 for Initial Briefs (Electric) 3 2" xfId="2459"/>
    <cellStyle name="_4.13E Montana Energy Tax_04 07E Wild Horse Wind Expansion (C) (2)_Adj Bench DR 3 for Initial Briefs (Electric) 4" xfId="2460"/>
    <cellStyle name="_4.13E Montana Energy Tax_04 07E Wild Horse Wind Expansion (C) (2)_Adj Bench DR 3 for Initial Briefs (Electric)_DEM-WP(C) ENERG10C--ctn Mid-C_042010 2010GRC" xfId="2461"/>
    <cellStyle name="_4.13E Montana Energy Tax_04 07E Wild Horse Wind Expansion (C) (2)_Book1" xfId="2462"/>
    <cellStyle name="_4.13E Montana Energy Tax_04 07E Wild Horse Wind Expansion (C) (2)_DEM-WP(C) ENERG10C--ctn Mid-C_042010 2010GRC" xfId="2463"/>
    <cellStyle name="_4.13E Montana Energy Tax_04 07E Wild Horse Wind Expansion (C) (2)_Electric Rev Req Model (2009 GRC) " xfId="46"/>
    <cellStyle name="_4.13E Montana Energy Tax_04 07E Wild Horse Wind Expansion (C) (2)_Electric Rev Req Model (2009 GRC)  2" xfId="2464"/>
    <cellStyle name="_4.13E Montana Energy Tax_04 07E Wild Horse Wind Expansion (C) (2)_Electric Rev Req Model (2009 GRC)  2 2" xfId="2465"/>
    <cellStyle name="_4.13E Montana Energy Tax_04 07E Wild Horse Wind Expansion (C) (2)_Electric Rev Req Model (2009 GRC)  2 2 2" xfId="2466"/>
    <cellStyle name="_4.13E Montana Energy Tax_04 07E Wild Horse Wind Expansion (C) (2)_Electric Rev Req Model (2009 GRC)  2 3" xfId="2467"/>
    <cellStyle name="_4.13E Montana Energy Tax_04 07E Wild Horse Wind Expansion (C) (2)_Electric Rev Req Model (2009 GRC)  3" xfId="2468"/>
    <cellStyle name="_4.13E Montana Energy Tax_04 07E Wild Horse Wind Expansion (C) (2)_Electric Rev Req Model (2009 GRC)  3 2" xfId="2469"/>
    <cellStyle name="_4.13E Montana Energy Tax_04 07E Wild Horse Wind Expansion (C) (2)_Electric Rev Req Model (2009 GRC)  4" xfId="2470"/>
    <cellStyle name="_4.13E Montana Energy Tax_04 07E Wild Horse Wind Expansion (C) (2)_Electric Rev Req Model (2009 GRC) _DEM-WP(C) ENERG10C--ctn Mid-C_042010 2010GRC" xfId="2471"/>
    <cellStyle name="_4.13E Montana Energy Tax_04 07E Wild Horse Wind Expansion (C) (2)_Electric Rev Req Model (2009 GRC) Rebuttal" xfId="47"/>
    <cellStyle name="_4.13E Montana Energy Tax_04 07E Wild Horse Wind Expansion (C) (2)_Electric Rev Req Model (2009 GRC) Rebuttal 2" xfId="2472"/>
    <cellStyle name="_4.13E Montana Energy Tax_04 07E Wild Horse Wind Expansion (C) (2)_Electric Rev Req Model (2009 GRC) Rebuttal 2 2" xfId="2473"/>
    <cellStyle name="_4.13E Montana Energy Tax_04 07E Wild Horse Wind Expansion (C) (2)_Electric Rev Req Model (2009 GRC) Rebuttal 2 2 2" xfId="2474"/>
    <cellStyle name="_4.13E Montana Energy Tax_04 07E Wild Horse Wind Expansion (C) (2)_Electric Rev Req Model (2009 GRC) Rebuttal 2 3" xfId="2475"/>
    <cellStyle name="_4.13E Montana Energy Tax_04 07E Wild Horse Wind Expansion (C) (2)_Electric Rev Req Model (2009 GRC) Rebuttal 3" xfId="2476"/>
    <cellStyle name="_4.13E Montana Energy Tax_04 07E Wild Horse Wind Expansion (C) (2)_Electric Rev Req Model (2009 GRC) Rebuttal 3 2" xfId="2477"/>
    <cellStyle name="_4.13E Montana Energy Tax_04 07E Wild Horse Wind Expansion (C) (2)_Electric Rev Req Model (2009 GRC) Rebuttal 4" xfId="2478"/>
    <cellStyle name="_4.13E Montana Energy Tax_04 07E Wild Horse Wind Expansion (C) (2)_Electric Rev Req Model (2009 GRC) Rebuttal REmoval of New  WH Solar AdjustMI" xfId="48"/>
    <cellStyle name="_4.13E Montana Energy Tax_04 07E Wild Horse Wind Expansion (C) (2)_Electric Rev Req Model (2009 GRC) Rebuttal REmoval of New  WH Solar AdjustMI 2" xfId="2479"/>
    <cellStyle name="_4.13E Montana Energy Tax_04 07E Wild Horse Wind Expansion (C) (2)_Electric Rev Req Model (2009 GRC) Rebuttal REmoval of New  WH Solar AdjustMI 2 2" xfId="2480"/>
    <cellStyle name="_4.13E Montana Energy Tax_04 07E Wild Horse Wind Expansion (C) (2)_Electric Rev Req Model (2009 GRC) Rebuttal REmoval of New  WH Solar AdjustMI 2 2 2" xfId="2481"/>
    <cellStyle name="_4.13E Montana Energy Tax_04 07E Wild Horse Wind Expansion (C) (2)_Electric Rev Req Model (2009 GRC) Rebuttal REmoval of New  WH Solar AdjustMI 2 3" xfId="2482"/>
    <cellStyle name="_4.13E Montana Energy Tax_04 07E Wild Horse Wind Expansion (C) (2)_Electric Rev Req Model (2009 GRC) Rebuttal REmoval of New  WH Solar AdjustMI 3" xfId="2483"/>
    <cellStyle name="_4.13E Montana Energy Tax_04 07E Wild Horse Wind Expansion (C) (2)_Electric Rev Req Model (2009 GRC) Rebuttal REmoval of New  WH Solar AdjustMI 3 2" xfId="2484"/>
    <cellStyle name="_4.13E Montana Energy Tax_04 07E Wild Horse Wind Expansion (C) (2)_Electric Rev Req Model (2009 GRC) Rebuttal REmoval of New  WH Solar AdjustMI 4" xfId="2485"/>
    <cellStyle name="_4.13E Montana Energy Tax_04 07E Wild Horse Wind Expansion (C) (2)_Electric Rev Req Model (2009 GRC) Rebuttal REmoval of New  WH Solar AdjustMI_DEM-WP(C) ENERG10C--ctn Mid-C_042010 2010GRC" xfId="2486"/>
    <cellStyle name="_4.13E Montana Energy Tax_04 07E Wild Horse Wind Expansion (C) (2)_Electric Rev Req Model (2009 GRC) Revised 01-18-2010" xfId="49"/>
    <cellStyle name="_4.13E Montana Energy Tax_04 07E Wild Horse Wind Expansion (C) (2)_Electric Rev Req Model (2009 GRC) Revised 01-18-2010 2" xfId="2487"/>
    <cellStyle name="_4.13E Montana Energy Tax_04 07E Wild Horse Wind Expansion (C) (2)_Electric Rev Req Model (2009 GRC) Revised 01-18-2010 2 2" xfId="2488"/>
    <cellStyle name="_4.13E Montana Energy Tax_04 07E Wild Horse Wind Expansion (C) (2)_Electric Rev Req Model (2009 GRC) Revised 01-18-2010 2 2 2" xfId="2489"/>
    <cellStyle name="_4.13E Montana Energy Tax_04 07E Wild Horse Wind Expansion (C) (2)_Electric Rev Req Model (2009 GRC) Revised 01-18-2010 2 3" xfId="2490"/>
    <cellStyle name="_4.13E Montana Energy Tax_04 07E Wild Horse Wind Expansion (C) (2)_Electric Rev Req Model (2009 GRC) Revised 01-18-2010 3" xfId="2491"/>
    <cellStyle name="_4.13E Montana Energy Tax_04 07E Wild Horse Wind Expansion (C) (2)_Electric Rev Req Model (2009 GRC) Revised 01-18-2010 3 2" xfId="2492"/>
    <cellStyle name="_4.13E Montana Energy Tax_04 07E Wild Horse Wind Expansion (C) (2)_Electric Rev Req Model (2009 GRC) Revised 01-18-2010 4" xfId="2493"/>
    <cellStyle name="_4.13E Montana Energy Tax_04 07E Wild Horse Wind Expansion (C) (2)_Electric Rev Req Model (2009 GRC) Revised 01-18-2010_DEM-WP(C) ENERG10C--ctn Mid-C_042010 2010GRC" xfId="2494"/>
    <cellStyle name="_4.13E Montana Energy Tax_04 07E Wild Horse Wind Expansion (C) (2)_Electric Rev Req Model (2010 GRC)" xfId="2495"/>
    <cellStyle name="_4.13E Montana Energy Tax_04 07E Wild Horse Wind Expansion (C) (2)_Electric Rev Req Model (2010 GRC) SF" xfId="2496"/>
    <cellStyle name="_4.13E Montana Energy Tax_04 07E Wild Horse Wind Expansion (C) (2)_Final Order Electric EXHIBIT A-1" xfId="50"/>
    <cellStyle name="_4.13E Montana Energy Tax_04 07E Wild Horse Wind Expansion (C) (2)_Final Order Electric EXHIBIT A-1 2" xfId="2497"/>
    <cellStyle name="_4.13E Montana Energy Tax_04 07E Wild Horse Wind Expansion (C) (2)_Final Order Electric EXHIBIT A-1 2 2" xfId="2498"/>
    <cellStyle name="_4.13E Montana Energy Tax_04 07E Wild Horse Wind Expansion (C) (2)_Final Order Electric EXHIBIT A-1 2 2 2" xfId="2499"/>
    <cellStyle name="_4.13E Montana Energy Tax_04 07E Wild Horse Wind Expansion (C) (2)_Final Order Electric EXHIBIT A-1 2 3" xfId="2500"/>
    <cellStyle name="_4.13E Montana Energy Tax_04 07E Wild Horse Wind Expansion (C) (2)_Final Order Electric EXHIBIT A-1 3" xfId="2501"/>
    <cellStyle name="_4.13E Montana Energy Tax_04 07E Wild Horse Wind Expansion (C) (2)_Final Order Electric EXHIBIT A-1 3 2" xfId="2502"/>
    <cellStyle name="_4.13E Montana Energy Tax_04 07E Wild Horse Wind Expansion (C) (2)_Final Order Electric EXHIBIT A-1 4" xfId="2503"/>
    <cellStyle name="_4.13E Montana Energy Tax_04 07E Wild Horse Wind Expansion (C) (2)_TENASKA REGULATORY ASSET" xfId="51"/>
    <cellStyle name="_4.13E Montana Energy Tax_04 07E Wild Horse Wind Expansion (C) (2)_TENASKA REGULATORY ASSET 2" xfId="2504"/>
    <cellStyle name="_4.13E Montana Energy Tax_04 07E Wild Horse Wind Expansion (C) (2)_TENASKA REGULATORY ASSET 2 2" xfId="2505"/>
    <cellStyle name="_4.13E Montana Energy Tax_04 07E Wild Horse Wind Expansion (C) (2)_TENASKA REGULATORY ASSET 2 2 2" xfId="2506"/>
    <cellStyle name="_4.13E Montana Energy Tax_04 07E Wild Horse Wind Expansion (C) (2)_TENASKA REGULATORY ASSET 2 3" xfId="2507"/>
    <cellStyle name="_4.13E Montana Energy Tax_04 07E Wild Horse Wind Expansion (C) (2)_TENASKA REGULATORY ASSET 3" xfId="2508"/>
    <cellStyle name="_4.13E Montana Energy Tax_04 07E Wild Horse Wind Expansion (C) (2)_TENASKA REGULATORY ASSET 3 2" xfId="2509"/>
    <cellStyle name="_4.13E Montana Energy Tax_04 07E Wild Horse Wind Expansion (C) (2)_TENASKA REGULATORY ASSET 4" xfId="2510"/>
    <cellStyle name="_4.13E Montana Energy Tax_16.37E Wild Horse Expansion DeferralRevwrkingfile SF" xfId="52"/>
    <cellStyle name="_4.13E Montana Energy Tax_16.37E Wild Horse Expansion DeferralRevwrkingfile SF 2" xfId="2511"/>
    <cellStyle name="_4.13E Montana Energy Tax_16.37E Wild Horse Expansion DeferralRevwrkingfile SF 2 2" xfId="2512"/>
    <cellStyle name="_4.13E Montana Energy Tax_16.37E Wild Horse Expansion DeferralRevwrkingfile SF 2 2 2" xfId="2513"/>
    <cellStyle name="_4.13E Montana Energy Tax_16.37E Wild Horse Expansion DeferralRevwrkingfile SF 2 3" xfId="2514"/>
    <cellStyle name="_4.13E Montana Energy Tax_16.37E Wild Horse Expansion DeferralRevwrkingfile SF 3" xfId="2515"/>
    <cellStyle name="_4.13E Montana Energy Tax_16.37E Wild Horse Expansion DeferralRevwrkingfile SF 3 2" xfId="2516"/>
    <cellStyle name="_4.13E Montana Energy Tax_16.37E Wild Horse Expansion DeferralRevwrkingfile SF 4" xfId="2517"/>
    <cellStyle name="_4.13E Montana Energy Tax_16.37E Wild Horse Expansion DeferralRevwrkingfile SF_DEM-WP(C) ENERG10C--ctn Mid-C_042010 2010GRC" xfId="2518"/>
    <cellStyle name="_4.13E Montana Energy Tax_2009 Compliance Filing PCA Exhibits for GRC" xfId="2519"/>
    <cellStyle name="_4.13E Montana Energy Tax_2009 Compliance Filing PCA Exhibits for GRC 2" xfId="2520"/>
    <cellStyle name="_4.13E Montana Energy Tax_2009 GRC Compl Filing - Exhibit D" xfId="53"/>
    <cellStyle name="_4.13E Montana Energy Tax_2009 GRC Compl Filing - Exhibit D 2" xfId="2521"/>
    <cellStyle name="_4.13E Montana Energy Tax_2009 GRC Compl Filing - Exhibit D 2 2" xfId="2522"/>
    <cellStyle name="_4.13E Montana Energy Tax_2009 GRC Compl Filing - Exhibit D 3" xfId="2523"/>
    <cellStyle name="_4.13E Montana Energy Tax_2009 GRC Compl Filing - Exhibit D_DEM-WP(C) ENERG10C--ctn Mid-C_042010 2010GRC" xfId="2524"/>
    <cellStyle name="_4.13E Montana Energy Tax_3.01 Income Statement" xfId="54"/>
    <cellStyle name="_4.13E Montana Energy Tax_4 31 Regulatory Assets and Liabilities  7 06- Exhibit D" xfId="55"/>
    <cellStyle name="_4.13E Montana Energy Tax_4 31 Regulatory Assets and Liabilities  7 06- Exhibit D 2" xfId="2525"/>
    <cellStyle name="_4.13E Montana Energy Tax_4 31 Regulatory Assets and Liabilities  7 06- Exhibit D 2 2" xfId="2526"/>
    <cellStyle name="_4.13E Montana Energy Tax_4 31 Regulatory Assets and Liabilities  7 06- Exhibit D 2 2 2" xfId="2527"/>
    <cellStyle name="_4.13E Montana Energy Tax_4 31 Regulatory Assets and Liabilities  7 06- Exhibit D 2 3" xfId="2528"/>
    <cellStyle name="_4.13E Montana Energy Tax_4 31 Regulatory Assets and Liabilities  7 06- Exhibit D 3" xfId="2529"/>
    <cellStyle name="_4.13E Montana Energy Tax_4 31 Regulatory Assets and Liabilities  7 06- Exhibit D 3 2" xfId="2530"/>
    <cellStyle name="_4.13E Montana Energy Tax_4 31 Regulatory Assets and Liabilities  7 06- Exhibit D 4" xfId="2531"/>
    <cellStyle name="_4.13E Montana Energy Tax_4 31 Regulatory Assets and Liabilities  7 06- Exhibit D_DEM-WP(C) ENERG10C--ctn Mid-C_042010 2010GRC" xfId="2532"/>
    <cellStyle name="_4.13E Montana Energy Tax_4 31 Regulatory Assets and Liabilities  7 06- Exhibit D_NIM Summary" xfId="2533"/>
    <cellStyle name="_4.13E Montana Energy Tax_4 31 Regulatory Assets and Liabilities  7 06- Exhibit D_NIM Summary 2" xfId="2534"/>
    <cellStyle name="_4.13E Montana Energy Tax_4 31 Regulatory Assets and Liabilities  7 06- Exhibit D_NIM Summary 2 2" xfId="2535"/>
    <cellStyle name="_4.13E Montana Energy Tax_4 31 Regulatory Assets and Liabilities  7 06- Exhibit D_NIM Summary 3" xfId="2536"/>
    <cellStyle name="_4.13E Montana Energy Tax_4 31 Regulatory Assets and Liabilities  7 06- Exhibit D_NIM Summary_DEM-WP(C) ENERG10C--ctn Mid-C_042010 2010GRC" xfId="2537"/>
    <cellStyle name="_4.13E Montana Energy Tax_4 31E Reg Asset  Liab and EXH D" xfId="2538"/>
    <cellStyle name="_4.13E Montana Energy Tax_4 31E Reg Asset  Liab and EXH D _ Aug 10 Filing (2)" xfId="2539"/>
    <cellStyle name="_4.13E Montana Energy Tax_4 31E Reg Asset  Liab and EXH D _ Aug 10 Filing (2) 2" xfId="2540"/>
    <cellStyle name="_4.13E Montana Energy Tax_4 31E Reg Asset  Liab and EXH D 10" xfId="2541"/>
    <cellStyle name="_4.13E Montana Energy Tax_4 31E Reg Asset  Liab and EXH D 11" xfId="2542"/>
    <cellStyle name="_4.13E Montana Energy Tax_4 31E Reg Asset  Liab and EXH D 12" xfId="2543"/>
    <cellStyle name="_4.13E Montana Energy Tax_4 31E Reg Asset  Liab and EXH D 13" xfId="2544"/>
    <cellStyle name="_4.13E Montana Energy Tax_4 31E Reg Asset  Liab and EXH D 14" xfId="2545"/>
    <cellStyle name="_4.13E Montana Energy Tax_4 31E Reg Asset  Liab and EXH D 15" xfId="2546"/>
    <cellStyle name="_4.13E Montana Energy Tax_4 31E Reg Asset  Liab and EXH D 16" xfId="2547"/>
    <cellStyle name="_4.13E Montana Energy Tax_4 31E Reg Asset  Liab and EXH D 17" xfId="2548"/>
    <cellStyle name="_4.13E Montana Energy Tax_4 31E Reg Asset  Liab and EXH D 18" xfId="2549"/>
    <cellStyle name="_4.13E Montana Energy Tax_4 31E Reg Asset  Liab and EXH D 19" xfId="2550"/>
    <cellStyle name="_4.13E Montana Energy Tax_4 31E Reg Asset  Liab and EXH D 2" xfId="2551"/>
    <cellStyle name="_4.13E Montana Energy Tax_4 31E Reg Asset  Liab and EXH D 20" xfId="2552"/>
    <cellStyle name="_4.13E Montana Energy Tax_4 31E Reg Asset  Liab and EXH D 21" xfId="2553"/>
    <cellStyle name="_4.13E Montana Energy Tax_4 31E Reg Asset  Liab and EXH D 22" xfId="2554"/>
    <cellStyle name="_4.13E Montana Energy Tax_4 31E Reg Asset  Liab and EXH D 23" xfId="2555"/>
    <cellStyle name="_4.13E Montana Energy Tax_4 31E Reg Asset  Liab and EXH D 24" xfId="2556"/>
    <cellStyle name="_4.13E Montana Energy Tax_4 31E Reg Asset  Liab and EXH D 25" xfId="2557"/>
    <cellStyle name="_4.13E Montana Energy Tax_4 31E Reg Asset  Liab and EXH D 26" xfId="2558"/>
    <cellStyle name="_4.13E Montana Energy Tax_4 31E Reg Asset  Liab and EXH D 27" xfId="2559"/>
    <cellStyle name="_4.13E Montana Energy Tax_4 31E Reg Asset  Liab and EXH D 28" xfId="2560"/>
    <cellStyle name="_4.13E Montana Energy Tax_4 31E Reg Asset  Liab and EXH D 29" xfId="2561"/>
    <cellStyle name="_4.13E Montana Energy Tax_4 31E Reg Asset  Liab and EXH D 3" xfId="2562"/>
    <cellStyle name="_4.13E Montana Energy Tax_4 31E Reg Asset  Liab and EXH D 30" xfId="2563"/>
    <cellStyle name="_4.13E Montana Energy Tax_4 31E Reg Asset  Liab and EXH D 31" xfId="2564"/>
    <cellStyle name="_4.13E Montana Energy Tax_4 31E Reg Asset  Liab and EXH D 32" xfId="2565"/>
    <cellStyle name="_4.13E Montana Energy Tax_4 31E Reg Asset  Liab and EXH D 33" xfId="2566"/>
    <cellStyle name="_4.13E Montana Energy Tax_4 31E Reg Asset  Liab and EXH D 34" xfId="2567"/>
    <cellStyle name="_4.13E Montana Energy Tax_4 31E Reg Asset  Liab and EXH D 35" xfId="2568"/>
    <cellStyle name="_4.13E Montana Energy Tax_4 31E Reg Asset  Liab and EXH D 36" xfId="2569"/>
    <cellStyle name="_4.13E Montana Energy Tax_4 31E Reg Asset  Liab and EXH D 4" xfId="2570"/>
    <cellStyle name="_4.13E Montana Energy Tax_4 31E Reg Asset  Liab and EXH D 5" xfId="2571"/>
    <cellStyle name="_4.13E Montana Energy Tax_4 31E Reg Asset  Liab and EXH D 6" xfId="2572"/>
    <cellStyle name="_4.13E Montana Energy Tax_4 31E Reg Asset  Liab and EXH D 7" xfId="2573"/>
    <cellStyle name="_4.13E Montana Energy Tax_4 31E Reg Asset  Liab and EXH D 8" xfId="2574"/>
    <cellStyle name="_4.13E Montana Energy Tax_4 31E Reg Asset  Liab and EXH D 9" xfId="2575"/>
    <cellStyle name="_4.13E Montana Energy Tax_4 32 Regulatory Assets and Liabilities  7 06- Exhibit D" xfId="56"/>
    <cellStyle name="_4.13E Montana Energy Tax_4 32 Regulatory Assets and Liabilities  7 06- Exhibit D 2" xfId="2576"/>
    <cellStyle name="_4.13E Montana Energy Tax_4 32 Regulatory Assets and Liabilities  7 06- Exhibit D 2 2" xfId="2577"/>
    <cellStyle name="_4.13E Montana Energy Tax_4 32 Regulatory Assets and Liabilities  7 06- Exhibit D 2 2 2" xfId="2578"/>
    <cellStyle name="_4.13E Montana Energy Tax_4 32 Regulatory Assets and Liabilities  7 06- Exhibit D 2 3" xfId="2579"/>
    <cellStyle name="_4.13E Montana Energy Tax_4 32 Regulatory Assets and Liabilities  7 06- Exhibit D 3" xfId="2580"/>
    <cellStyle name="_4.13E Montana Energy Tax_4 32 Regulatory Assets and Liabilities  7 06- Exhibit D 3 2" xfId="2581"/>
    <cellStyle name="_4.13E Montana Energy Tax_4 32 Regulatory Assets and Liabilities  7 06- Exhibit D 4" xfId="2582"/>
    <cellStyle name="_4.13E Montana Energy Tax_4 32 Regulatory Assets and Liabilities  7 06- Exhibit D_DEM-WP(C) ENERG10C--ctn Mid-C_042010 2010GRC" xfId="2583"/>
    <cellStyle name="_4.13E Montana Energy Tax_4 32 Regulatory Assets and Liabilities  7 06- Exhibit D_NIM Summary" xfId="2584"/>
    <cellStyle name="_4.13E Montana Energy Tax_4 32 Regulatory Assets and Liabilities  7 06- Exhibit D_NIM Summary 2" xfId="2585"/>
    <cellStyle name="_4.13E Montana Energy Tax_4 32 Regulatory Assets and Liabilities  7 06- Exhibit D_NIM Summary 2 2" xfId="2586"/>
    <cellStyle name="_4.13E Montana Energy Tax_4 32 Regulatory Assets and Liabilities  7 06- Exhibit D_NIM Summary 3" xfId="2587"/>
    <cellStyle name="_4.13E Montana Energy Tax_4 32 Regulatory Assets and Liabilities  7 06- Exhibit D_NIM Summary_DEM-WP(C) ENERG10C--ctn Mid-C_042010 2010GRC" xfId="2588"/>
    <cellStyle name="_4.13E Montana Energy Tax_AURORA Total New" xfId="2589"/>
    <cellStyle name="_4.13E Montana Energy Tax_AURORA Total New 2" xfId="2590"/>
    <cellStyle name="_4.13E Montana Energy Tax_AURORA Total New 2 2" xfId="2591"/>
    <cellStyle name="_4.13E Montana Energy Tax_AURORA Total New 3" xfId="2592"/>
    <cellStyle name="_4.13E Montana Energy Tax_Book2" xfId="57"/>
    <cellStyle name="_4.13E Montana Energy Tax_Book2 2" xfId="2593"/>
    <cellStyle name="_4.13E Montana Energy Tax_Book2 2 2" xfId="2594"/>
    <cellStyle name="_4.13E Montana Energy Tax_Book2 2 2 2" xfId="2595"/>
    <cellStyle name="_4.13E Montana Energy Tax_Book2 2 3" xfId="2596"/>
    <cellStyle name="_4.13E Montana Energy Tax_Book2 3" xfId="2597"/>
    <cellStyle name="_4.13E Montana Energy Tax_Book2 3 2" xfId="2598"/>
    <cellStyle name="_4.13E Montana Energy Tax_Book2 4" xfId="2599"/>
    <cellStyle name="_4.13E Montana Energy Tax_Book2_Adj Bench DR 3 for Initial Briefs (Electric)" xfId="58"/>
    <cellStyle name="_4.13E Montana Energy Tax_Book2_Adj Bench DR 3 for Initial Briefs (Electric) 2" xfId="2600"/>
    <cellStyle name="_4.13E Montana Energy Tax_Book2_Adj Bench DR 3 for Initial Briefs (Electric) 2 2" xfId="2601"/>
    <cellStyle name="_4.13E Montana Energy Tax_Book2_Adj Bench DR 3 for Initial Briefs (Electric) 2 2 2" xfId="2602"/>
    <cellStyle name="_4.13E Montana Energy Tax_Book2_Adj Bench DR 3 for Initial Briefs (Electric) 2 3" xfId="2603"/>
    <cellStyle name="_4.13E Montana Energy Tax_Book2_Adj Bench DR 3 for Initial Briefs (Electric) 3" xfId="2604"/>
    <cellStyle name="_4.13E Montana Energy Tax_Book2_Adj Bench DR 3 for Initial Briefs (Electric) 3 2" xfId="2605"/>
    <cellStyle name="_4.13E Montana Energy Tax_Book2_Adj Bench DR 3 for Initial Briefs (Electric) 4" xfId="2606"/>
    <cellStyle name="_4.13E Montana Energy Tax_Book2_Adj Bench DR 3 for Initial Briefs (Electric)_DEM-WP(C) ENERG10C--ctn Mid-C_042010 2010GRC" xfId="2607"/>
    <cellStyle name="_4.13E Montana Energy Tax_Book2_DEM-WP(C) ENERG10C--ctn Mid-C_042010 2010GRC" xfId="2608"/>
    <cellStyle name="_4.13E Montana Energy Tax_Book2_Electric Rev Req Model (2009 GRC) Rebuttal" xfId="59"/>
    <cellStyle name="_4.13E Montana Energy Tax_Book2_Electric Rev Req Model (2009 GRC) Rebuttal 2" xfId="2609"/>
    <cellStyle name="_4.13E Montana Energy Tax_Book2_Electric Rev Req Model (2009 GRC) Rebuttal 2 2" xfId="2610"/>
    <cellStyle name="_4.13E Montana Energy Tax_Book2_Electric Rev Req Model (2009 GRC) Rebuttal 2 2 2" xfId="2611"/>
    <cellStyle name="_4.13E Montana Energy Tax_Book2_Electric Rev Req Model (2009 GRC) Rebuttal 2 3" xfId="2612"/>
    <cellStyle name="_4.13E Montana Energy Tax_Book2_Electric Rev Req Model (2009 GRC) Rebuttal 3" xfId="2613"/>
    <cellStyle name="_4.13E Montana Energy Tax_Book2_Electric Rev Req Model (2009 GRC) Rebuttal 3 2" xfId="2614"/>
    <cellStyle name="_4.13E Montana Energy Tax_Book2_Electric Rev Req Model (2009 GRC) Rebuttal 4" xfId="2615"/>
    <cellStyle name="_4.13E Montana Energy Tax_Book2_Electric Rev Req Model (2009 GRC) Rebuttal REmoval of New  WH Solar AdjustMI" xfId="60"/>
    <cellStyle name="_4.13E Montana Energy Tax_Book2_Electric Rev Req Model (2009 GRC) Rebuttal REmoval of New  WH Solar AdjustMI 2" xfId="2616"/>
    <cellStyle name="_4.13E Montana Energy Tax_Book2_Electric Rev Req Model (2009 GRC) Rebuttal REmoval of New  WH Solar AdjustMI 2 2" xfId="2617"/>
    <cellStyle name="_4.13E Montana Energy Tax_Book2_Electric Rev Req Model (2009 GRC) Rebuttal REmoval of New  WH Solar AdjustMI 2 2 2" xfId="2618"/>
    <cellStyle name="_4.13E Montana Energy Tax_Book2_Electric Rev Req Model (2009 GRC) Rebuttal REmoval of New  WH Solar AdjustMI 2 3" xfId="2619"/>
    <cellStyle name="_4.13E Montana Energy Tax_Book2_Electric Rev Req Model (2009 GRC) Rebuttal REmoval of New  WH Solar AdjustMI 3" xfId="2620"/>
    <cellStyle name="_4.13E Montana Energy Tax_Book2_Electric Rev Req Model (2009 GRC) Rebuttal REmoval of New  WH Solar AdjustMI 3 2" xfId="2621"/>
    <cellStyle name="_4.13E Montana Energy Tax_Book2_Electric Rev Req Model (2009 GRC) Rebuttal REmoval of New  WH Solar AdjustMI 4" xfId="2622"/>
    <cellStyle name="_4.13E Montana Energy Tax_Book2_Electric Rev Req Model (2009 GRC) Rebuttal REmoval of New  WH Solar AdjustMI_DEM-WP(C) ENERG10C--ctn Mid-C_042010 2010GRC" xfId="2623"/>
    <cellStyle name="_4.13E Montana Energy Tax_Book2_Electric Rev Req Model (2009 GRC) Revised 01-18-2010" xfId="61"/>
    <cellStyle name="_4.13E Montana Energy Tax_Book2_Electric Rev Req Model (2009 GRC) Revised 01-18-2010 2" xfId="2624"/>
    <cellStyle name="_4.13E Montana Energy Tax_Book2_Electric Rev Req Model (2009 GRC) Revised 01-18-2010 2 2" xfId="2625"/>
    <cellStyle name="_4.13E Montana Energy Tax_Book2_Electric Rev Req Model (2009 GRC) Revised 01-18-2010 2 2 2" xfId="2626"/>
    <cellStyle name="_4.13E Montana Energy Tax_Book2_Electric Rev Req Model (2009 GRC) Revised 01-18-2010 2 3" xfId="2627"/>
    <cellStyle name="_4.13E Montana Energy Tax_Book2_Electric Rev Req Model (2009 GRC) Revised 01-18-2010 3" xfId="2628"/>
    <cellStyle name="_4.13E Montana Energy Tax_Book2_Electric Rev Req Model (2009 GRC) Revised 01-18-2010 3 2" xfId="2629"/>
    <cellStyle name="_4.13E Montana Energy Tax_Book2_Electric Rev Req Model (2009 GRC) Revised 01-18-2010 4" xfId="2630"/>
    <cellStyle name="_4.13E Montana Energy Tax_Book2_Electric Rev Req Model (2009 GRC) Revised 01-18-2010_DEM-WP(C) ENERG10C--ctn Mid-C_042010 2010GRC" xfId="2631"/>
    <cellStyle name="_4.13E Montana Energy Tax_Book2_Final Order Electric EXHIBIT A-1" xfId="62"/>
    <cellStyle name="_4.13E Montana Energy Tax_Book2_Final Order Electric EXHIBIT A-1 2" xfId="2632"/>
    <cellStyle name="_4.13E Montana Energy Tax_Book2_Final Order Electric EXHIBIT A-1 2 2" xfId="2633"/>
    <cellStyle name="_4.13E Montana Energy Tax_Book2_Final Order Electric EXHIBIT A-1 2 2 2" xfId="2634"/>
    <cellStyle name="_4.13E Montana Energy Tax_Book2_Final Order Electric EXHIBIT A-1 2 3" xfId="2635"/>
    <cellStyle name="_4.13E Montana Energy Tax_Book2_Final Order Electric EXHIBIT A-1 3" xfId="2636"/>
    <cellStyle name="_4.13E Montana Energy Tax_Book2_Final Order Electric EXHIBIT A-1 3 2" xfId="2637"/>
    <cellStyle name="_4.13E Montana Energy Tax_Book2_Final Order Electric EXHIBIT A-1 4" xfId="2638"/>
    <cellStyle name="_4.13E Montana Energy Tax_Book4" xfId="63"/>
    <cellStyle name="_4.13E Montana Energy Tax_Book4 2" xfId="2639"/>
    <cellStyle name="_4.13E Montana Energy Tax_Book4 2 2" xfId="2640"/>
    <cellStyle name="_4.13E Montana Energy Tax_Book4 2 2 2" xfId="2641"/>
    <cellStyle name="_4.13E Montana Energy Tax_Book4 2 3" xfId="2642"/>
    <cellStyle name="_4.13E Montana Energy Tax_Book4 3" xfId="2643"/>
    <cellStyle name="_4.13E Montana Energy Tax_Book4 3 2" xfId="2644"/>
    <cellStyle name="_4.13E Montana Energy Tax_Book4 4" xfId="2645"/>
    <cellStyle name="_4.13E Montana Energy Tax_Book4_DEM-WP(C) ENERG10C--ctn Mid-C_042010 2010GRC" xfId="2646"/>
    <cellStyle name="_4.13E Montana Energy Tax_Book9" xfId="64"/>
    <cellStyle name="_4.13E Montana Energy Tax_Book9 2" xfId="2647"/>
    <cellStyle name="_4.13E Montana Energy Tax_Book9 2 2" xfId="2648"/>
    <cellStyle name="_4.13E Montana Energy Tax_Book9 2 2 2" xfId="2649"/>
    <cellStyle name="_4.13E Montana Energy Tax_Book9 2 3" xfId="2650"/>
    <cellStyle name="_4.13E Montana Energy Tax_Book9 3" xfId="2651"/>
    <cellStyle name="_4.13E Montana Energy Tax_Book9 3 2" xfId="2652"/>
    <cellStyle name="_4.13E Montana Energy Tax_Book9 4" xfId="2653"/>
    <cellStyle name="_4.13E Montana Energy Tax_Book9_DEM-WP(C) ENERG10C--ctn Mid-C_042010 2010GRC" xfId="2654"/>
    <cellStyle name="_4.13E Montana Energy Tax_Chelan PUD Power Costs (8-10)" xfId="2655"/>
    <cellStyle name="_4.13E Montana Energy Tax_Chelan PUD Power Costs (8-10) 2" xfId="2656"/>
    <cellStyle name="_4.13E Montana Energy Tax_DEM-WP(C) Chelan Power Costs" xfId="2657"/>
    <cellStyle name="_4.13E Montana Energy Tax_DEM-WP(C) Chelan Power Costs 2" xfId="2658"/>
    <cellStyle name="_4.13E Montana Energy Tax_DEM-WP(C) ENERG10C--ctn Mid-C_042010 2010GRC" xfId="2659"/>
    <cellStyle name="_4.13E Montana Energy Tax_DEM-WP(C) Gas Transport 2010GRC" xfId="2660"/>
    <cellStyle name="_4.13E Montana Energy Tax_DEM-WP(C) Gas Transport 2010GRC 2" xfId="2661"/>
    <cellStyle name="_4.13E Montana Energy Tax_Exh A-1 resulting from UE-112050 effective Jan 1 2012" xfId="2662"/>
    <cellStyle name="_4.13E Montana Energy Tax_Exh G - Klamath Peaker PPA fr C Locke 2-12" xfId="2663"/>
    <cellStyle name="_4.13E Montana Energy Tax_Exhibit A-1 effective 4-1-11 fr S Free 12-11" xfId="2664"/>
    <cellStyle name="_4.13E Montana Energy Tax_INPUTS" xfId="2665"/>
    <cellStyle name="_4.13E Montana Energy Tax_INPUTS 2" xfId="2666"/>
    <cellStyle name="_4.13E Montana Energy Tax_INPUTS 2 2" xfId="2667"/>
    <cellStyle name="_4.13E Montana Energy Tax_INPUTS 2 2 2" xfId="2668"/>
    <cellStyle name="_4.13E Montana Energy Tax_INPUTS 2 3" xfId="2669"/>
    <cellStyle name="_4.13E Montana Energy Tax_INPUTS 3" xfId="2670"/>
    <cellStyle name="_4.13E Montana Energy Tax_INPUTS 3 2" xfId="2671"/>
    <cellStyle name="_4.13E Montana Energy Tax_INPUTS 4" xfId="2672"/>
    <cellStyle name="_4.13E Montana Energy Tax_Mint Farm Generation BPA" xfId="2673"/>
    <cellStyle name="_4.13E Montana Energy Tax_NIM Summary" xfId="2674"/>
    <cellStyle name="_4.13E Montana Energy Tax_NIM Summary 09GRC" xfId="2675"/>
    <cellStyle name="_4.13E Montana Energy Tax_NIM Summary 09GRC 2" xfId="2676"/>
    <cellStyle name="_4.13E Montana Energy Tax_NIM Summary 09GRC 2 2" xfId="2677"/>
    <cellStyle name="_4.13E Montana Energy Tax_NIM Summary 09GRC 3" xfId="2678"/>
    <cellStyle name="_4.13E Montana Energy Tax_NIM Summary 09GRC_DEM-WP(C) ENERG10C--ctn Mid-C_042010 2010GRC" xfId="2679"/>
    <cellStyle name="_4.13E Montana Energy Tax_NIM Summary 10" xfId="2680"/>
    <cellStyle name="_4.13E Montana Energy Tax_NIM Summary 11" xfId="2681"/>
    <cellStyle name="_4.13E Montana Energy Tax_NIM Summary 12" xfId="2682"/>
    <cellStyle name="_4.13E Montana Energy Tax_NIM Summary 13" xfId="2683"/>
    <cellStyle name="_4.13E Montana Energy Tax_NIM Summary 14" xfId="2684"/>
    <cellStyle name="_4.13E Montana Energy Tax_NIM Summary 15" xfId="2685"/>
    <cellStyle name="_4.13E Montana Energy Tax_NIM Summary 16" xfId="2686"/>
    <cellStyle name="_4.13E Montana Energy Tax_NIM Summary 17" xfId="2687"/>
    <cellStyle name="_4.13E Montana Energy Tax_NIM Summary 18" xfId="2688"/>
    <cellStyle name="_4.13E Montana Energy Tax_NIM Summary 19" xfId="2689"/>
    <cellStyle name="_4.13E Montana Energy Tax_NIM Summary 2" xfId="2690"/>
    <cellStyle name="_4.13E Montana Energy Tax_NIM Summary 2 2" xfId="2691"/>
    <cellStyle name="_4.13E Montana Energy Tax_NIM Summary 20" xfId="2692"/>
    <cellStyle name="_4.13E Montana Energy Tax_NIM Summary 21" xfId="2693"/>
    <cellStyle name="_4.13E Montana Energy Tax_NIM Summary 22" xfId="2694"/>
    <cellStyle name="_4.13E Montana Energy Tax_NIM Summary 23" xfId="2695"/>
    <cellStyle name="_4.13E Montana Energy Tax_NIM Summary 24" xfId="2696"/>
    <cellStyle name="_4.13E Montana Energy Tax_NIM Summary 25" xfId="2697"/>
    <cellStyle name="_4.13E Montana Energy Tax_NIM Summary 26" xfId="2698"/>
    <cellStyle name="_4.13E Montana Energy Tax_NIM Summary 27" xfId="2699"/>
    <cellStyle name="_4.13E Montana Energy Tax_NIM Summary 28" xfId="2700"/>
    <cellStyle name="_4.13E Montana Energy Tax_NIM Summary 29" xfId="2701"/>
    <cellStyle name="_4.13E Montana Energy Tax_NIM Summary 3" xfId="2702"/>
    <cellStyle name="_4.13E Montana Energy Tax_NIM Summary 3 2" xfId="2703"/>
    <cellStyle name="_4.13E Montana Energy Tax_NIM Summary 30" xfId="2704"/>
    <cellStyle name="_4.13E Montana Energy Tax_NIM Summary 31" xfId="2705"/>
    <cellStyle name="_4.13E Montana Energy Tax_NIM Summary 32" xfId="2706"/>
    <cellStyle name="_4.13E Montana Energy Tax_NIM Summary 33" xfId="2707"/>
    <cellStyle name="_4.13E Montana Energy Tax_NIM Summary 34" xfId="2708"/>
    <cellStyle name="_4.13E Montana Energy Tax_NIM Summary 35" xfId="2709"/>
    <cellStyle name="_4.13E Montana Energy Tax_NIM Summary 36" xfId="2710"/>
    <cellStyle name="_4.13E Montana Energy Tax_NIM Summary 37" xfId="2711"/>
    <cellStyle name="_4.13E Montana Energy Tax_NIM Summary 38" xfId="2712"/>
    <cellStyle name="_4.13E Montana Energy Tax_NIM Summary 39" xfId="2713"/>
    <cellStyle name="_4.13E Montana Energy Tax_NIM Summary 4" xfId="2714"/>
    <cellStyle name="_4.13E Montana Energy Tax_NIM Summary 4 2" xfId="2715"/>
    <cellStyle name="_4.13E Montana Energy Tax_NIM Summary 40" xfId="2716"/>
    <cellStyle name="_4.13E Montana Energy Tax_NIM Summary 41" xfId="2717"/>
    <cellStyle name="_4.13E Montana Energy Tax_NIM Summary 42" xfId="2718"/>
    <cellStyle name="_4.13E Montana Energy Tax_NIM Summary 43" xfId="2719"/>
    <cellStyle name="_4.13E Montana Energy Tax_NIM Summary 44" xfId="2720"/>
    <cellStyle name="_4.13E Montana Energy Tax_NIM Summary 45" xfId="2721"/>
    <cellStyle name="_4.13E Montana Energy Tax_NIM Summary 46" xfId="2722"/>
    <cellStyle name="_4.13E Montana Energy Tax_NIM Summary 47" xfId="2723"/>
    <cellStyle name="_4.13E Montana Energy Tax_NIM Summary 48" xfId="2724"/>
    <cellStyle name="_4.13E Montana Energy Tax_NIM Summary 49" xfId="2725"/>
    <cellStyle name="_4.13E Montana Energy Tax_NIM Summary 5" xfId="2726"/>
    <cellStyle name="_4.13E Montana Energy Tax_NIM Summary 5 2" xfId="2727"/>
    <cellStyle name="_4.13E Montana Energy Tax_NIM Summary 50" xfId="2728"/>
    <cellStyle name="_4.13E Montana Energy Tax_NIM Summary 51" xfId="2729"/>
    <cellStyle name="_4.13E Montana Energy Tax_NIM Summary 52" xfId="2730"/>
    <cellStyle name="_4.13E Montana Energy Tax_NIM Summary 6" xfId="2731"/>
    <cellStyle name="_4.13E Montana Energy Tax_NIM Summary 6 2" xfId="2732"/>
    <cellStyle name="_4.13E Montana Energy Tax_NIM Summary 7" xfId="2733"/>
    <cellStyle name="_4.13E Montana Energy Tax_NIM Summary 7 2" xfId="2734"/>
    <cellStyle name="_4.13E Montana Energy Tax_NIM Summary 8" xfId="2735"/>
    <cellStyle name="_4.13E Montana Energy Tax_NIM Summary 8 2" xfId="2736"/>
    <cellStyle name="_4.13E Montana Energy Tax_NIM Summary 9" xfId="2737"/>
    <cellStyle name="_4.13E Montana Energy Tax_NIM Summary 9 2" xfId="2738"/>
    <cellStyle name="_4.13E Montana Energy Tax_NIM Summary_DEM-WP(C) ENERG10C--ctn Mid-C_042010 2010GRC" xfId="2739"/>
    <cellStyle name="_4.13E Montana Energy Tax_PCA 10 -  Exhibit D Dec 2011" xfId="2740"/>
    <cellStyle name="_4.13E Montana Energy Tax_PCA 10 -  Exhibit D from A Kellogg Jan 2011" xfId="2741"/>
    <cellStyle name="_4.13E Montana Energy Tax_PCA 10 -  Exhibit D from A Kellogg July 2011" xfId="2742"/>
    <cellStyle name="_4.13E Montana Energy Tax_PCA 10 -  Exhibit D from S Free Rcv'd 12-11" xfId="2743"/>
    <cellStyle name="_4.13E Montana Energy Tax_PCA 11 -  Exhibit D Jan 2012 fr A Kellogg" xfId="2744"/>
    <cellStyle name="_4.13E Montana Energy Tax_PCA 11 -  Exhibit D Jan 2012 WF" xfId="2745"/>
    <cellStyle name="_4.13E Montana Energy Tax_PCA 9 -  Exhibit D April 2010" xfId="2746"/>
    <cellStyle name="_4.13E Montana Energy Tax_PCA 9 -  Exhibit D April 2010 (3)" xfId="2747"/>
    <cellStyle name="_4.13E Montana Energy Tax_PCA 9 -  Exhibit D April 2010 (3) 2" xfId="2748"/>
    <cellStyle name="_4.13E Montana Energy Tax_PCA 9 -  Exhibit D April 2010 (3) 2 2" xfId="2749"/>
    <cellStyle name="_4.13E Montana Energy Tax_PCA 9 -  Exhibit D April 2010 (3) 3" xfId="2750"/>
    <cellStyle name="_4.13E Montana Energy Tax_PCA 9 -  Exhibit D April 2010 (3)_DEM-WP(C) ENERG10C--ctn Mid-C_042010 2010GRC" xfId="2751"/>
    <cellStyle name="_4.13E Montana Energy Tax_PCA 9 -  Exhibit D April 2010 2" xfId="2752"/>
    <cellStyle name="_4.13E Montana Energy Tax_PCA 9 -  Exhibit D April 2010 3" xfId="2753"/>
    <cellStyle name="_4.13E Montana Energy Tax_PCA 9 -  Exhibit D April 2010 4" xfId="2754"/>
    <cellStyle name="_4.13E Montana Energy Tax_PCA 9 -  Exhibit D April 2010 5" xfId="2755"/>
    <cellStyle name="_4.13E Montana Energy Tax_PCA 9 -  Exhibit D April 2010 6" xfId="2756"/>
    <cellStyle name="_4.13E Montana Energy Tax_PCA 9 -  Exhibit D Nov 2010" xfId="2757"/>
    <cellStyle name="_4.13E Montana Energy Tax_PCA 9 -  Exhibit D Nov 2010 2" xfId="2758"/>
    <cellStyle name="_4.13E Montana Energy Tax_PCA 9 - Exhibit D at August 2010" xfId="2759"/>
    <cellStyle name="_4.13E Montana Energy Tax_PCA 9 - Exhibit D at August 2010 2" xfId="2760"/>
    <cellStyle name="_4.13E Montana Energy Tax_PCA 9 - Exhibit D June 2010 GRC" xfId="2761"/>
    <cellStyle name="_4.13E Montana Energy Tax_PCA 9 - Exhibit D June 2010 GRC 2" xfId="2762"/>
    <cellStyle name="_4.13E Montana Energy Tax_Power Costs - Comparison bx Rbtl-Staff-Jt-PC" xfId="65"/>
    <cellStyle name="_4.13E Montana Energy Tax_Power Costs - Comparison bx Rbtl-Staff-Jt-PC 2" xfId="2763"/>
    <cellStyle name="_4.13E Montana Energy Tax_Power Costs - Comparison bx Rbtl-Staff-Jt-PC 2 2" xfId="2764"/>
    <cellStyle name="_4.13E Montana Energy Tax_Power Costs - Comparison bx Rbtl-Staff-Jt-PC 2 2 2" xfId="2765"/>
    <cellStyle name="_4.13E Montana Energy Tax_Power Costs - Comparison bx Rbtl-Staff-Jt-PC 2 3" xfId="2766"/>
    <cellStyle name="_4.13E Montana Energy Tax_Power Costs - Comparison bx Rbtl-Staff-Jt-PC 3" xfId="2767"/>
    <cellStyle name="_4.13E Montana Energy Tax_Power Costs - Comparison bx Rbtl-Staff-Jt-PC 3 2" xfId="2768"/>
    <cellStyle name="_4.13E Montana Energy Tax_Power Costs - Comparison bx Rbtl-Staff-Jt-PC 4" xfId="2769"/>
    <cellStyle name="_4.13E Montana Energy Tax_Power Costs - Comparison bx Rbtl-Staff-Jt-PC_Adj Bench DR 3 for Initial Briefs (Electric)" xfId="66"/>
    <cellStyle name="_4.13E Montana Energy Tax_Power Costs - Comparison bx Rbtl-Staff-Jt-PC_Adj Bench DR 3 for Initial Briefs (Electric) 2" xfId="2770"/>
    <cellStyle name="_4.13E Montana Energy Tax_Power Costs - Comparison bx Rbtl-Staff-Jt-PC_Adj Bench DR 3 for Initial Briefs (Electric) 2 2" xfId="2771"/>
    <cellStyle name="_4.13E Montana Energy Tax_Power Costs - Comparison bx Rbtl-Staff-Jt-PC_Adj Bench DR 3 for Initial Briefs (Electric) 2 2 2" xfId="2772"/>
    <cellStyle name="_4.13E Montana Energy Tax_Power Costs - Comparison bx Rbtl-Staff-Jt-PC_Adj Bench DR 3 for Initial Briefs (Electric) 2 3" xfId="2773"/>
    <cellStyle name="_4.13E Montana Energy Tax_Power Costs - Comparison bx Rbtl-Staff-Jt-PC_Adj Bench DR 3 for Initial Briefs (Electric) 3" xfId="2774"/>
    <cellStyle name="_4.13E Montana Energy Tax_Power Costs - Comparison bx Rbtl-Staff-Jt-PC_Adj Bench DR 3 for Initial Briefs (Electric) 3 2" xfId="2775"/>
    <cellStyle name="_4.13E Montana Energy Tax_Power Costs - Comparison bx Rbtl-Staff-Jt-PC_Adj Bench DR 3 for Initial Briefs (Electric) 4" xfId="2776"/>
    <cellStyle name="_4.13E Montana Energy Tax_Power Costs - Comparison bx Rbtl-Staff-Jt-PC_Adj Bench DR 3 for Initial Briefs (Electric)_DEM-WP(C) ENERG10C--ctn Mid-C_042010 2010GRC" xfId="2777"/>
    <cellStyle name="_4.13E Montana Energy Tax_Power Costs - Comparison bx Rbtl-Staff-Jt-PC_DEM-WP(C) ENERG10C--ctn Mid-C_042010 2010GRC" xfId="2778"/>
    <cellStyle name="_4.13E Montana Energy Tax_Power Costs - Comparison bx Rbtl-Staff-Jt-PC_Electric Rev Req Model (2009 GRC) Rebuttal" xfId="67"/>
    <cellStyle name="_4.13E Montana Energy Tax_Power Costs - Comparison bx Rbtl-Staff-Jt-PC_Electric Rev Req Model (2009 GRC) Rebuttal 2" xfId="2779"/>
    <cellStyle name="_4.13E Montana Energy Tax_Power Costs - Comparison bx Rbtl-Staff-Jt-PC_Electric Rev Req Model (2009 GRC) Rebuttal 2 2" xfId="2780"/>
    <cellStyle name="_4.13E Montana Energy Tax_Power Costs - Comparison bx Rbtl-Staff-Jt-PC_Electric Rev Req Model (2009 GRC) Rebuttal 2 2 2" xfId="2781"/>
    <cellStyle name="_4.13E Montana Energy Tax_Power Costs - Comparison bx Rbtl-Staff-Jt-PC_Electric Rev Req Model (2009 GRC) Rebuttal 2 3" xfId="2782"/>
    <cellStyle name="_4.13E Montana Energy Tax_Power Costs - Comparison bx Rbtl-Staff-Jt-PC_Electric Rev Req Model (2009 GRC) Rebuttal 3" xfId="2783"/>
    <cellStyle name="_4.13E Montana Energy Tax_Power Costs - Comparison bx Rbtl-Staff-Jt-PC_Electric Rev Req Model (2009 GRC) Rebuttal 3 2" xfId="2784"/>
    <cellStyle name="_4.13E Montana Energy Tax_Power Costs - Comparison bx Rbtl-Staff-Jt-PC_Electric Rev Req Model (2009 GRC) Rebuttal 4" xfId="2785"/>
    <cellStyle name="_4.13E Montana Energy Tax_Power Costs - Comparison bx Rbtl-Staff-Jt-PC_Electric Rev Req Model (2009 GRC) Rebuttal REmoval of New  WH Solar AdjustMI" xfId="68"/>
    <cellStyle name="_4.13E Montana Energy Tax_Power Costs - Comparison bx Rbtl-Staff-Jt-PC_Electric Rev Req Model (2009 GRC) Rebuttal REmoval of New  WH Solar AdjustMI 2" xfId="2786"/>
    <cellStyle name="_4.13E Montana Energy Tax_Power Costs - Comparison bx Rbtl-Staff-Jt-PC_Electric Rev Req Model (2009 GRC) Rebuttal REmoval of New  WH Solar AdjustMI 2 2" xfId="2787"/>
    <cellStyle name="_4.13E Montana Energy Tax_Power Costs - Comparison bx Rbtl-Staff-Jt-PC_Electric Rev Req Model (2009 GRC) Rebuttal REmoval of New  WH Solar AdjustMI 2 2 2" xfId="2788"/>
    <cellStyle name="_4.13E Montana Energy Tax_Power Costs - Comparison bx Rbtl-Staff-Jt-PC_Electric Rev Req Model (2009 GRC) Rebuttal REmoval of New  WH Solar AdjustMI 2 3" xfId="2789"/>
    <cellStyle name="_4.13E Montana Energy Tax_Power Costs - Comparison bx Rbtl-Staff-Jt-PC_Electric Rev Req Model (2009 GRC) Rebuttal REmoval of New  WH Solar AdjustMI 3" xfId="2790"/>
    <cellStyle name="_4.13E Montana Energy Tax_Power Costs - Comparison bx Rbtl-Staff-Jt-PC_Electric Rev Req Model (2009 GRC) Rebuttal REmoval of New  WH Solar AdjustMI 3 2" xfId="2791"/>
    <cellStyle name="_4.13E Montana Energy Tax_Power Costs - Comparison bx Rbtl-Staff-Jt-PC_Electric Rev Req Model (2009 GRC) Rebuttal REmoval of New  WH Solar AdjustMI 4" xfId="2792"/>
    <cellStyle name="_4.13E Montana Energy Tax_Power Costs - Comparison bx Rbtl-Staff-Jt-PC_Electric Rev Req Model (2009 GRC) Rebuttal REmoval of New  WH Solar AdjustMI_DEM-WP(C) ENERG10C--ctn Mid-C_042010 2010GRC" xfId="2793"/>
    <cellStyle name="_4.13E Montana Energy Tax_Power Costs - Comparison bx Rbtl-Staff-Jt-PC_Electric Rev Req Model (2009 GRC) Revised 01-18-2010" xfId="69"/>
    <cellStyle name="_4.13E Montana Energy Tax_Power Costs - Comparison bx Rbtl-Staff-Jt-PC_Electric Rev Req Model (2009 GRC) Revised 01-18-2010 2" xfId="2794"/>
    <cellStyle name="_4.13E Montana Energy Tax_Power Costs - Comparison bx Rbtl-Staff-Jt-PC_Electric Rev Req Model (2009 GRC) Revised 01-18-2010 2 2" xfId="2795"/>
    <cellStyle name="_4.13E Montana Energy Tax_Power Costs - Comparison bx Rbtl-Staff-Jt-PC_Electric Rev Req Model (2009 GRC) Revised 01-18-2010 2 2 2" xfId="2796"/>
    <cellStyle name="_4.13E Montana Energy Tax_Power Costs - Comparison bx Rbtl-Staff-Jt-PC_Electric Rev Req Model (2009 GRC) Revised 01-18-2010 2 3" xfId="2797"/>
    <cellStyle name="_4.13E Montana Energy Tax_Power Costs - Comparison bx Rbtl-Staff-Jt-PC_Electric Rev Req Model (2009 GRC) Revised 01-18-2010 3" xfId="2798"/>
    <cellStyle name="_4.13E Montana Energy Tax_Power Costs - Comparison bx Rbtl-Staff-Jt-PC_Electric Rev Req Model (2009 GRC) Revised 01-18-2010 3 2" xfId="2799"/>
    <cellStyle name="_4.13E Montana Energy Tax_Power Costs - Comparison bx Rbtl-Staff-Jt-PC_Electric Rev Req Model (2009 GRC) Revised 01-18-2010 4" xfId="2800"/>
    <cellStyle name="_4.13E Montana Energy Tax_Power Costs - Comparison bx Rbtl-Staff-Jt-PC_Electric Rev Req Model (2009 GRC) Revised 01-18-2010_DEM-WP(C) ENERG10C--ctn Mid-C_042010 2010GRC" xfId="2801"/>
    <cellStyle name="_4.13E Montana Energy Tax_Power Costs - Comparison bx Rbtl-Staff-Jt-PC_Final Order Electric EXHIBIT A-1" xfId="70"/>
    <cellStyle name="_4.13E Montana Energy Tax_Power Costs - Comparison bx Rbtl-Staff-Jt-PC_Final Order Electric EXHIBIT A-1 2" xfId="2802"/>
    <cellStyle name="_4.13E Montana Energy Tax_Power Costs - Comparison bx Rbtl-Staff-Jt-PC_Final Order Electric EXHIBIT A-1 2 2" xfId="2803"/>
    <cellStyle name="_4.13E Montana Energy Tax_Power Costs - Comparison bx Rbtl-Staff-Jt-PC_Final Order Electric EXHIBIT A-1 2 2 2" xfId="2804"/>
    <cellStyle name="_4.13E Montana Energy Tax_Power Costs - Comparison bx Rbtl-Staff-Jt-PC_Final Order Electric EXHIBIT A-1 2 3" xfId="2805"/>
    <cellStyle name="_4.13E Montana Energy Tax_Power Costs - Comparison bx Rbtl-Staff-Jt-PC_Final Order Electric EXHIBIT A-1 3" xfId="2806"/>
    <cellStyle name="_4.13E Montana Energy Tax_Power Costs - Comparison bx Rbtl-Staff-Jt-PC_Final Order Electric EXHIBIT A-1 3 2" xfId="2807"/>
    <cellStyle name="_4.13E Montana Energy Tax_Power Costs - Comparison bx Rbtl-Staff-Jt-PC_Final Order Electric EXHIBIT A-1 4" xfId="2808"/>
    <cellStyle name="_4.13E Montana Energy Tax_Production Adj 4.37" xfId="2809"/>
    <cellStyle name="_4.13E Montana Energy Tax_Production Adj 4.37 2" xfId="2810"/>
    <cellStyle name="_4.13E Montana Energy Tax_Production Adj 4.37 2 2" xfId="2811"/>
    <cellStyle name="_4.13E Montana Energy Tax_Production Adj 4.37 2 2 2" xfId="2812"/>
    <cellStyle name="_4.13E Montana Energy Tax_Production Adj 4.37 2 3" xfId="2813"/>
    <cellStyle name="_4.13E Montana Energy Tax_Production Adj 4.37 3" xfId="2814"/>
    <cellStyle name="_4.13E Montana Energy Tax_Production Adj 4.37 3 2" xfId="2815"/>
    <cellStyle name="_4.13E Montana Energy Tax_Production Adj 4.37 4" xfId="2816"/>
    <cellStyle name="_4.13E Montana Energy Tax_Purchased Power Adj 4.03" xfId="2817"/>
    <cellStyle name="_4.13E Montana Energy Tax_Purchased Power Adj 4.03 2" xfId="2818"/>
    <cellStyle name="_4.13E Montana Energy Tax_Purchased Power Adj 4.03 2 2" xfId="2819"/>
    <cellStyle name="_4.13E Montana Energy Tax_Purchased Power Adj 4.03 2 2 2" xfId="2820"/>
    <cellStyle name="_4.13E Montana Energy Tax_Purchased Power Adj 4.03 2 3" xfId="2821"/>
    <cellStyle name="_4.13E Montana Energy Tax_Purchased Power Adj 4.03 3" xfId="2822"/>
    <cellStyle name="_4.13E Montana Energy Tax_Purchased Power Adj 4.03 3 2" xfId="2823"/>
    <cellStyle name="_4.13E Montana Energy Tax_Purchased Power Adj 4.03 4" xfId="2824"/>
    <cellStyle name="_4.13E Montana Energy Tax_Rebuttal Power Costs" xfId="71"/>
    <cellStyle name="_4.13E Montana Energy Tax_Rebuttal Power Costs 2" xfId="2825"/>
    <cellStyle name="_4.13E Montana Energy Tax_Rebuttal Power Costs 2 2" xfId="2826"/>
    <cellStyle name="_4.13E Montana Energy Tax_Rebuttal Power Costs 2 2 2" xfId="2827"/>
    <cellStyle name="_4.13E Montana Energy Tax_Rebuttal Power Costs 2 3" xfId="2828"/>
    <cellStyle name="_4.13E Montana Energy Tax_Rebuttal Power Costs 3" xfId="2829"/>
    <cellStyle name="_4.13E Montana Energy Tax_Rebuttal Power Costs 3 2" xfId="2830"/>
    <cellStyle name="_4.13E Montana Energy Tax_Rebuttal Power Costs 4" xfId="2831"/>
    <cellStyle name="_4.13E Montana Energy Tax_Rebuttal Power Costs_Adj Bench DR 3 for Initial Briefs (Electric)" xfId="72"/>
    <cellStyle name="_4.13E Montana Energy Tax_Rebuttal Power Costs_Adj Bench DR 3 for Initial Briefs (Electric) 2" xfId="2832"/>
    <cellStyle name="_4.13E Montana Energy Tax_Rebuttal Power Costs_Adj Bench DR 3 for Initial Briefs (Electric) 2 2" xfId="2833"/>
    <cellStyle name="_4.13E Montana Energy Tax_Rebuttal Power Costs_Adj Bench DR 3 for Initial Briefs (Electric) 2 2 2" xfId="2834"/>
    <cellStyle name="_4.13E Montana Energy Tax_Rebuttal Power Costs_Adj Bench DR 3 for Initial Briefs (Electric) 2 3" xfId="2835"/>
    <cellStyle name="_4.13E Montana Energy Tax_Rebuttal Power Costs_Adj Bench DR 3 for Initial Briefs (Electric) 3" xfId="2836"/>
    <cellStyle name="_4.13E Montana Energy Tax_Rebuttal Power Costs_Adj Bench DR 3 for Initial Briefs (Electric) 3 2" xfId="2837"/>
    <cellStyle name="_4.13E Montana Energy Tax_Rebuttal Power Costs_Adj Bench DR 3 for Initial Briefs (Electric) 4" xfId="2838"/>
    <cellStyle name="_4.13E Montana Energy Tax_Rebuttal Power Costs_Adj Bench DR 3 for Initial Briefs (Electric)_DEM-WP(C) ENERG10C--ctn Mid-C_042010 2010GRC" xfId="2839"/>
    <cellStyle name="_4.13E Montana Energy Tax_Rebuttal Power Costs_DEM-WP(C) ENERG10C--ctn Mid-C_042010 2010GRC" xfId="2840"/>
    <cellStyle name="_4.13E Montana Energy Tax_Rebuttal Power Costs_Electric Rev Req Model (2009 GRC) Rebuttal" xfId="73"/>
    <cellStyle name="_4.13E Montana Energy Tax_Rebuttal Power Costs_Electric Rev Req Model (2009 GRC) Rebuttal 2" xfId="2841"/>
    <cellStyle name="_4.13E Montana Energy Tax_Rebuttal Power Costs_Electric Rev Req Model (2009 GRC) Rebuttal 2 2" xfId="2842"/>
    <cellStyle name="_4.13E Montana Energy Tax_Rebuttal Power Costs_Electric Rev Req Model (2009 GRC) Rebuttal 2 2 2" xfId="2843"/>
    <cellStyle name="_4.13E Montana Energy Tax_Rebuttal Power Costs_Electric Rev Req Model (2009 GRC) Rebuttal 2 3" xfId="2844"/>
    <cellStyle name="_4.13E Montana Energy Tax_Rebuttal Power Costs_Electric Rev Req Model (2009 GRC) Rebuttal 3" xfId="2845"/>
    <cellStyle name="_4.13E Montana Energy Tax_Rebuttal Power Costs_Electric Rev Req Model (2009 GRC) Rebuttal 3 2" xfId="2846"/>
    <cellStyle name="_4.13E Montana Energy Tax_Rebuttal Power Costs_Electric Rev Req Model (2009 GRC) Rebuttal 4" xfId="2847"/>
    <cellStyle name="_4.13E Montana Energy Tax_Rebuttal Power Costs_Electric Rev Req Model (2009 GRC) Rebuttal REmoval of New  WH Solar AdjustMI" xfId="74"/>
    <cellStyle name="_4.13E Montana Energy Tax_Rebuttal Power Costs_Electric Rev Req Model (2009 GRC) Rebuttal REmoval of New  WH Solar AdjustMI 2" xfId="2848"/>
    <cellStyle name="_4.13E Montana Energy Tax_Rebuttal Power Costs_Electric Rev Req Model (2009 GRC) Rebuttal REmoval of New  WH Solar AdjustMI 2 2" xfId="2849"/>
    <cellStyle name="_4.13E Montana Energy Tax_Rebuttal Power Costs_Electric Rev Req Model (2009 GRC) Rebuttal REmoval of New  WH Solar AdjustMI 2 2 2" xfId="2850"/>
    <cellStyle name="_4.13E Montana Energy Tax_Rebuttal Power Costs_Electric Rev Req Model (2009 GRC) Rebuttal REmoval of New  WH Solar AdjustMI 2 3" xfId="2851"/>
    <cellStyle name="_4.13E Montana Energy Tax_Rebuttal Power Costs_Electric Rev Req Model (2009 GRC) Rebuttal REmoval of New  WH Solar AdjustMI 3" xfId="2852"/>
    <cellStyle name="_4.13E Montana Energy Tax_Rebuttal Power Costs_Electric Rev Req Model (2009 GRC) Rebuttal REmoval of New  WH Solar AdjustMI 3 2" xfId="2853"/>
    <cellStyle name="_4.13E Montana Energy Tax_Rebuttal Power Costs_Electric Rev Req Model (2009 GRC) Rebuttal REmoval of New  WH Solar AdjustMI 4" xfId="2854"/>
    <cellStyle name="_4.13E Montana Energy Tax_Rebuttal Power Costs_Electric Rev Req Model (2009 GRC) Rebuttal REmoval of New  WH Solar AdjustMI_DEM-WP(C) ENERG10C--ctn Mid-C_042010 2010GRC" xfId="2855"/>
    <cellStyle name="_4.13E Montana Energy Tax_Rebuttal Power Costs_Electric Rev Req Model (2009 GRC) Revised 01-18-2010" xfId="75"/>
    <cellStyle name="_4.13E Montana Energy Tax_Rebuttal Power Costs_Electric Rev Req Model (2009 GRC) Revised 01-18-2010 2" xfId="2856"/>
    <cellStyle name="_4.13E Montana Energy Tax_Rebuttal Power Costs_Electric Rev Req Model (2009 GRC) Revised 01-18-2010 2 2" xfId="2857"/>
    <cellStyle name="_4.13E Montana Energy Tax_Rebuttal Power Costs_Electric Rev Req Model (2009 GRC) Revised 01-18-2010 2 2 2" xfId="2858"/>
    <cellStyle name="_4.13E Montana Energy Tax_Rebuttal Power Costs_Electric Rev Req Model (2009 GRC) Revised 01-18-2010 2 3" xfId="2859"/>
    <cellStyle name="_4.13E Montana Energy Tax_Rebuttal Power Costs_Electric Rev Req Model (2009 GRC) Revised 01-18-2010 3" xfId="2860"/>
    <cellStyle name="_4.13E Montana Energy Tax_Rebuttal Power Costs_Electric Rev Req Model (2009 GRC) Revised 01-18-2010 3 2" xfId="2861"/>
    <cellStyle name="_4.13E Montana Energy Tax_Rebuttal Power Costs_Electric Rev Req Model (2009 GRC) Revised 01-18-2010 4" xfId="2862"/>
    <cellStyle name="_4.13E Montana Energy Tax_Rebuttal Power Costs_Electric Rev Req Model (2009 GRC) Revised 01-18-2010_DEM-WP(C) ENERG10C--ctn Mid-C_042010 2010GRC" xfId="2863"/>
    <cellStyle name="_4.13E Montana Energy Tax_Rebuttal Power Costs_Final Order Electric EXHIBIT A-1" xfId="76"/>
    <cellStyle name="_4.13E Montana Energy Tax_Rebuttal Power Costs_Final Order Electric EXHIBIT A-1 2" xfId="2864"/>
    <cellStyle name="_4.13E Montana Energy Tax_Rebuttal Power Costs_Final Order Electric EXHIBIT A-1 2 2" xfId="2865"/>
    <cellStyle name="_4.13E Montana Energy Tax_Rebuttal Power Costs_Final Order Electric EXHIBIT A-1 2 2 2" xfId="2866"/>
    <cellStyle name="_4.13E Montana Energy Tax_Rebuttal Power Costs_Final Order Electric EXHIBIT A-1 2 3" xfId="2867"/>
    <cellStyle name="_4.13E Montana Energy Tax_Rebuttal Power Costs_Final Order Electric EXHIBIT A-1 3" xfId="2868"/>
    <cellStyle name="_4.13E Montana Energy Tax_Rebuttal Power Costs_Final Order Electric EXHIBIT A-1 3 2" xfId="2869"/>
    <cellStyle name="_4.13E Montana Energy Tax_Rebuttal Power Costs_Final Order Electric EXHIBIT A-1 4" xfId="2870"/>
    <cellStyle name="_4.13E Montana Energy Tax_ROR &amp; CONV FACTOR" xfId="2871"/>
    <cellStyle name="_4.13E Montana Energy Tax_ROR &amp; CONV FACTOR 2" xfId="2872"/>
    <cellStyle name="_4.13E Montana Energy Tax_ROR &amp; CONV FACTOR 2 2" xfId="2873"/>
    <cellStyle name="_4.13E Montana Energy Tax_ROR &amp; CONV FACTOR 2 2 2" xfId="2874"/>
    <cellStyle name="_4.13E Montana Energy Tax_ROR &amp; CONV FACTOR 2 3" xfId="2875"/>
    <cellStyle name="_4.13E Montana Energy Tax_ROR &amp; CONV FACTOR 3" xfId="2876"/>
    <cellStyle name="_4.13E Montana Energy Tax_ROR &amp; CONV FACTOR 3 2" xfId="2877"/>
    <cellStyle name="_4.13E Montana Energy Tax_ROR &amp; CONV FACTOR 4" xfId="2878"/>
    <cellStyle name="_4.13E Montana Energy Tax_ROR 5.02" xfId="2879"/>
    <cellStyle name="_4.13E Montana Energy Tax_ROR 5.02 2" xfId="2880"/>
    <cellStyle name="_4.13E Montana Energy Tax_ROR 5.02 2 2" xfId="2881"/>
    <cellStyle name="_4.13E Montana Energy Tax_ROR 5.02 2 2 2" xfId="2882"/>
    <cellStyle name="_4.13E Montana Energy Tax_ROR 5.02 2 3" xfId="2883"/>
    <cellStyle name="_4.13E Montana Energy Tax_ROR 5.02 3" xfId="2884"/>
    <cellStyle name="_4.13E Montana Energy Tax_ROR 5.02 3 2" xfId="2885"/>
    <cellStyle name="_4.13E Montana Energy Tax_ROR 5.02 4" xfId="2886"/>
    <cellStyle name="_4.13E Montana Energy Tax_Wind Integration 10GRC" xfId="2887"/>
    <cellStyle name="_4.13E Montana Energy Tax_Wind Integration 10GRC 2" xfId="2888"/>
    <cellStyle name="_4.13E Montana Energy Tax_Wind Integration 10GRC 2 2" xfId="2889"/>
    <cellStyle name="_4.13E Montana Energy Tax_Wind Integration 10GRC 3" xfId="2890"/>
    <cellStyle name="_4.13E Montana Energy Tax_Wind Integration 10GRC_DEM-WP(C) ENERG10C--ctn Mid-C_042010 2010GRC" xfId="2891"/>
    <cellStyle name="_4.17E Montana Energy Tax Working File" xfId="2892"/>
    <cellStyle name="_5 year summary (9-25-09)" xfId="2893"/>
    <cellStyle name="_5 year summary (9-25-09) 2" xfId="2894"/>
    <cellStyle name="_x0013__Adj Bench DR 3 for Initial Briefs (Electric)" xfId="77"/>
    <cellStyle name="_x0013__Adj Bench DR 3 for Initial Briefs (Electric) 2" xfId="2895"/>
    <cellStyle name="_x0013__Adj Bench DR 3 for Initial Briefs (Electric) 2 2" xfId="2896"/>
    <cellStyle name="_x0013__Adj Bench DR 3 for Initial Briefs (Electric) 2 2 2" xfId="2897"/>
    <cellStyle name="_x0013__Adj Bench DR 3 for Initial Briefs (Electric) 2 3" xfId="2898"/>
    <cellStyle name="_x0013__Adj Bench DR 3 for Initial Briefs (Electric) 3" xfId="2899"/>
    <cellStyle name="_x0013__Adj Bench DR 3 for Initial Briefs (Electric) 3 2" xfId="2900"/>
    <cellStyle name="_x0013__Adj Bench DR 3 for Initial Briefs (Electric) 4" xfId="2901"/>
    <cellStyle name="_x0013__Adj Bench DR 3 for Initial Briefs (Electric)_DEM-WP(C) ENERG10C--ctn Mid-C_042010 2010GRC" xfId="2902"/>
    <cellStyle name="_AURORA WIP" xfId="78"/>
    <cellStyle name="_AURORA WIP 2" xfId="2903"/>
    <cellStyle name="_AURORA WIP 2 2" xfId="2904"/>
    <cellStyle name="_AURORA WIP 2 2 2" xfId="2905"/>
    <cellStyle name="_AURORA WIP 2 2 2 2" xfId="2906"/>
    <cellStyle name="_AURORA WIP 2 3" xfId="2907"/>
    <cellStyle name="_AURORA WIP 3" xfId="2908"/>
    <cellStyle name="_AURORA WIP 3 2" xfId="2909"/>
    <cellStyle name="_AURORA WIP 3 2 2" xfId="2910"/>
    <cellStyle name="_AURORA WIP 3 3" xfId="2911"/>
    <cellStyle name="_AURORA WIP 4" xfId="2912"/>
    <cellStyle name="_AURORA WIP 4 2" xfId="2913"/>
    <cellStyle name="_AURORA WIP 5" xfId="2914"/>
    <cellStyle name="_AURORA WIP 5 2" xfId="2915"/>
    <cellStyle name="_AURORA WIP 6" xfId="2916"/>
    <cellStyle name="_AURORA WIP 6 2" xfId="2917"/>
    <cellStyle name="_AURORA WIP 7" xfId="2918"/>
    <cellStyle name="_AURORA WIP 7 2" xfId="2919"/>
    <cellStyle name="_AURORA WIP 8" xfId="2920"/>
    <cellStyle name="_AURORA WIP 8 2" xfId="2921"/>
    <cellStyle name="_AURORA WIP_4 31E Reg Asset  Liab and EXH D" xfId="2922"/>
    <cellStyle name="_AURORA WIP_4 31E Reg Asset  Liab and EXH D _ Aug 10 Filing (2)" xfId="2923"/>
    <cellStyle name="_AURORA WIP_4 31E Reg Asset  Liab and EXH D _ Aug 10 Filing (2) 2" xfId="2924"/>
    <cellStyle name="_AURORA WIP_4 31E Reg Asset  Liab and EXH D 10" xfId="2925"/>
    <cellStyle name="_AURORA WIP_4 31E Reg Asset  Liab and EXH D 11" xfId="2926"/>
    <cellStyle name="_AURORA WIP_4 31E Reg Asset  Liab and EXH D 12" xfId="2927"/>
    <cellStyle name="_AURORA WIP_4 31E Reg Asset  Liab and EXH D 13" xfId="2928"/>
    <cellStyle name="_AURORA WIP_4 31E Reg Asset  Liab and EXH D 14" xfId="2929"/>
    <cellStyle name="_AURORA WIP_4 31E Reg Asset  Liab and EXH D 15" xfId="2930"/>
    <cellStyle name="_AURORA WIP_4 31E Reg Asset  Liab and EXH D 16" xfId="2931"/>
    <cellStyle name="_AURORA WIP_4 31E Reg Asset  Liab and EXH D 17" xfId="2932"/>
    <cellStyle name="_AURORA WIP_4 31E Reg Asset  Liab and EXH D 18" xfId="2933"/>
    <cellStyle name="_AURORA WIP_4 31E Reg Asset  Liab and EXH D 19" xfId="2934"/>
    <cellStyle name="_AURORA WIP_4 31E Reg Asset  Liab and EXH D 2" xfId="2935"/>
    <cellStyle name="_AURORA WIP_4 31E Reg Asset  Liab and EXH D 20" xfId="2936"/>
    <cellStyle name="_AURORA WIP_4 31E Reg Asset  Liab and EXH D 21" xfId="2937"/>
    <cellStyle name="_AURORA WIP_4 31E Reg Asset  Liab and EXH D 22" xfId="2938"/>
    <cellStyle name="_AURORA WIP_4 31E Reg Asset  Liab and EXH D 23" xfId="2939"/>
    <cellStyle name="_AURORA WIP_4 31E Reg Asset  Liab and EXH D 24" xfId="2940"/>
    <cellStyle name="_AURORA WIP_4 31E Reg Asset  Liab and EXH D 25" xfId="2941"/>
    <cellStyle name="_AURORA WIP_4 31E Reg Asset  Liab and EXH D 26" xfId="2942"/>
    <cellStyle name="_AURORA WIP_4 31E Reg Asset  Liab and EXH D 27" xfId="2943"/>
    <cellStyle name="_AURORA WIP_4 31E Reg Asset  Liab and EXH D 28" xfId="2944"/>
    <cellStyle name="_AURORA WIP_4 31E Reg Asset  Liab and EXH D 29" xfId="2945"/>
    <cellStyle name="_AURORA WIP_4 31E Reg Asset  Liab and EXH D 3" xfId="2946"/>
    <cellStyle name="_AURORA WIP_4 31E Reg Asset  Liab and EXH D 30" xfId="2947"/>
    <cellStyle name="_AURORA WIP_4 31E Reg Asset  Liab and EXH D 31" xfId="2948"/>
    <cellStyle name="_AURORA WIP_4 31E Reg Asset  Liab and EXH D 32" xfId="2949"/>
    <cellStyle name="_AURORA WIP_4 31E Reg Asset  Liab and EXH D 33" xfId="2950"/>
    <cellStyle name="_AURORA WIP_4 31E Reg Asset  Liab and EXH D 34" xfId="2951"/>
    <cellStyle name="_AURORA WIP_4 31E Reg Asset  Liab and EXH D 35" xfId="2952"/>
    <cellStyle name="_AURORA WIP_4 31E Reg Asset  Liab and EXH D 36" xfId="2953"/>
    <cellStyle name="_AURORA WIP_4 31E Reg Asset  Liab and EXH D 4" xfId="2954"/>
    <cellStyle name="_AURORA WIP_4 31E Reg Asset  Liab and EXH D 5" xfId="2955"/>
    <cellStyle name="_AURORA WIP_4 31E Reg Asset  Liab and EXH D 6" xfId="2956"/>
    <cellStyle name="_AURORA WIP_4 31E Reg Asset  Liab and EXH D 7" xfId="2957"/>
    <cellStyle name="_AURORA WIP_4 31E Reg Asset  Liab and EXH D 8" xfId="2958"/>
    <cellStyle name="_AURORA WIP_4 31E Reg Asset  Liab and EXH D 9" xfId="2959"/>
    <cellStyle name="_AURORA WIP_Chelan PUD Power Costs (8-10)" xfId="2960"/>
    <cellStyle name="_AURORA WIP_Chelan PUD Power Costs (8-10) 2" xfId="2961"/>
    <cellStyle name="_AURORA WIP_compare wind integration" xfId="2962"/>
    <cellStyle name="_AURORA WIP_DEM-WP(C) Chelan Power Costs" xfId="2963"/>
    <cellStyle name="_AURORA WIP_DEM-WP(C) Chelan Power Costs 2" xfId="2964"/>
    <cellStyle name="_AURORA WIP_DEM-WP(C) Costs Not In AURORA 2010GRC As Filed" xfId="2965"/>
    <cellStyle name="_AURORA WIP_DEM-WP(C) Costs Not In AURORA 2010GRC As Filed 2" xfId="2966"/>
    <cellStyle name="_AURORA WIP_DEM-WP(C) Costs Not In AURORA 2010GRC As Filed 2 2" xfId="2967"/>
    <cellStyle name="_AURORA WIP_DEM-WP(C) Costs Not In AURORA 2010GRC As Filed 3" xfId="2968"/>
    <cellStyle name="_AURORA WIP_DEM-WP(C) Costs Not In AURORA 2010GRC As Filed 3 2" xfId="2969"/>
    <cellStyle name="_AURORA WIP_DEM-WP(C) Costs Not In AURORA 2010GRC As Filed 4" xfId="2970"/>
    <cellStyle name="_AURORA WIP_DEM-WP(C) Costs Not In AURORA 2010GRC As Filed 4 2" xfId="2971"/>
    <cellStyle name="_AURORA WIP_DEM-WP(C) Costs Not In AURORA 2010GRC As Filed 5" xfId="2972"/>
    <cellStyle name="_AURORA WIP_DEM-WP(C) Costs Not In AURORA 2010GRC As Filed 5 2" xfId="2973"/>
    <cellStyle name="_AURORA WIP_DEM-WP(C) Costs Not In AURORA 2010GRC As Filed 6" xfId="2974"/>
    <cellStyle name="_AURORA WIP_DEM-WP(C) Costs Not In AURORA 2010GRC As Filed 6 2" xfId="2975"/>
    <cellStyle name="_AURORA WIP_DEM-WP(C) Costs Not In AURORA 2010GRC As Filed_DEM-WP(C) ENERG10C--ctn Mid-C_042010 2010GRC" xfId="2976"/>
    <cellStyle name="_AURORA WIP_DEM-WP(C) ENERG10C--ctn Mid-C_042010 2010GRC" xfId="2977"/>
    <cellStyle name="_AURORA WIP_DEM-WP(C) Gas Transport 2010GRC" xfId="2978"/>
    <cellStyle name="_AURORA WIP_DEM-WP(C) Gas Transport 2010GRC 2" xfId="2979"/>
    <cellStyle name="_AURORA WIP_NIM Summary" xfId="2980"/>
    <cellStyle name="_AURORA WIP_NIM Summary 09GRC" xfId="2981"/>
    <cellStyle name="_AURORA WIP_NIM Summary 09GRC 2" xfId="2982"/>
    <cellStyle name="_AURORA WIP_NIM Summary 09GRC 2 2" xfId="2983"/>
    <cellStyle name="_AURORA WIP_NIM Summary 09GRC 3" xfId="2984"/>
    <cellStyle name="_AURORA WIP_NIM Summary 09GRC_DEM-WP(C) ENERG10C--ctn Mid-C_042010 2010GRC" xfId="2985"/>
    <cellStyle name="_AURORA WIP_NIM Summary 10" xfId="2986"/>
    <cellStyle name="_AURORA WIP_NIM Summary 11" xfId="2987"/>
    <cellStyle name="_AURORA WIP_NIM Summary 12" xfId="2988"/>
    <cellStyle name="_AURORA WIP_NIM Summary 13" xfId="2989"/>
    <cellStyle name="_AURORA WIP_NIM Summary 14" xfId="2990"/>
    <cellStyle name="_AURORA WIP_NIM Summary 15" xfId="2991"/>
    <cellStyle name="_AURORA WIP_NIM Summary 16" xfId="2992"/>
    <cellStyle name="_AURORA WIP_NIM Summary 17" xfId="2993"/>
    <cellStyle name="_AURORA WIP_NIM Summary 18" xfId="2994"/>
    <cellStyle name="_AURORA WIP_NIM Summary 19" xfId="2995"/>
    <cellStyle name="_AURORA WIP_NIM Summary 2" xfId="2996"/>
    <cellStyle name="_AURORA WIP_NIM Summary 2 2" xfId="2997"/>
    <cellStyle name="_AURORA WIP_NIM Summary 20" xfId="2998"/>
    <cellStyle name="_AURORA WIP_NIM Summary 21" xfId="2999"/>
    <cellStyle name="_AURORA WIP_NIM Summary 22" xfId="3000"/>
    <cellStyle name="_AURORA WIP_NIM Summary 23" xfId="3001"/>
    <cellStyle name="_AURORA WIP_NIM Summary 24" xfId="3002"/>
    <cellStyle name="_AURORA WIP_NIM Summary 25" xfId="3003"/>
    <cellStyle name="_AURORA WIP_NIM Summary 26" xfId="3004"/>
    <cellStyle name="_AURORA WIP_NIM Summary 27" xfId="3005"/>
    <cellStyle name="_AURORA WIP_NIM Summary 28" xfId="3006"/>
    <cellStyle name="_AURORA WIP_NIM Summary 29" xfId="3007"/>
    <cellStyle name="_AURORA WIP_NIM Summary 3" xfId="3008"/>
    <cellStyle name="_AURORA WIP_NIM Summary 3 2" xfId="3009"/>
    <cellStyle name="_AURORA WIP_NIM Summary 30" xfId="3010"/>
    <cellStyle name="_AURORA WIP_NIM Summary 31" xfId="3011"/>
    <cellStyle name="_AURORA WIP_NIM Summary 32" xfId="3012"/>
    <cellStyle name="_AURORA WIP_NIM Summary 33" xfId="3013"/>
    <cellStyle name="_AURORA WIP_NIM Summary 34" xfId="3014"/>
    <cellStyle name="_AURORA WIP_NIM Summary 35" xfId="3015"/>
    <cellStyle name="_AURORA WIP_NIM Summary 36" xfId="3016"/>
    <cellStyle name="_AURORA WIP_NIM Summary 37" xfId="3017"/>
    <cellStyle name="_AURORA WIP_NIM Summary 38" xfId="3018"/>
    <cellStyle name="_AURORA WIP_NIM Summary 39" xfId="3019"/>
    <cellStyle name="_AURORA WIP_NIM Summary 4" xfId="3020"/>
    <cellStyle name="_AURORA WIP_NIM Summary 4 2" xfId="3021"/>
    <cellStyle name="_AURORA WIP_NIM Summary 40" xfId="3022"/>
    <cellStyle name="_AURORA WIP_NIM Summary 41" xfId="3023"/>
    <cellStyle name="_AURORA WIP_NIM Summary 42" xfId="3024"/>
    <cellStyle name="_AURORA WIP_NIM Summary 43" xfId="3025"/>
    <cellStyle name="_AURORA WIP_NIM Summary 44" xfId="3026"/>
    <cellStyle name="_AURORA WIP_NIM Summary 45" xfId="3027"/>
    <cellStyle name="_AURORA WIP_NIM Summary 46" xfId="3028"/>
    <cellStyle name="_AURORA WIP_NIM Summary 47" xfId="3029"/>
    <cellStyle name="_AURORA WIP_NIM Summary 48" xfId="3030"/>
    <cellStyle name="_AURORA WIP_NIM Summary 49" xfId="3031"/>
    <cellStyle name="_AURORA WIP_NIM Summary 5" xfId="3032"/>
    <cellStyle name="_AURORA WIP_NIM Summary 5 2" xfId="3033"/>
    <cellStyle name="_AURORA WIP_NIM Summary 50" xfId="3034"/>
    <cellStyle name="_AURORA WIP_NIM Summary 51" xfId="3035"/>
    <cellStyle name="_AURORA WIP_NIM Summary 52" xfId="3036"/>
    <cellStyle name="_AURORA WIP_NIM Summary 6" xfId="3037"/>
    <cellStyle name="_AURORA WIP_NIM Summary 6 2" xfId="3038"/>
    <cellStyle name="_AURORA WIP_NIM Summary 7" xfId="3039"/>
    <cellStyle name="_AURORA WIP_NIM Summary 7 2" xfId="3040"/>
    <cellStyle name="_AURORA WIP_NIM Summary 8" xfId="3041"/>
    <cellStyle name="_AURORA WIP_NIM Summary 8 2" xfId="3042"/>
    <cellStyle name="_AURORA WIP_NIM Summary 9" xfId="3043"/>
    <cellStyle name="_AURORA WIP_NIM Summary 9 2" xfId="3044"/>
    <cellStyle name="_AURORA WIP_NIM Summary_DEM-WP(C) ENERG10C--ctn Mid-C_042010 2010GRC" xfId="3045"/>
    <cellStyle name="_AURORA WIP_NIM+O&amp;M" xfId="3046"/>
    <cellStyle name="_AURORA WIP_NIM+O&amp;M 2" xfId="3047"/>
    <cellStyle name="_AURORA WIP_NIM+O&amp;M 2 2" xfId="3048"/>
    <cellStyle name="_AURORA WIP_NIM+O&amp;M 3" xfId="3049"/>
    <cellStyle name="_AURORA WIP_NIM+O&amp;M Monthly" xfId="3050"/>
    <cellStyle name="_AURORA WIP_NIM+O&amp;M Monthly 2" xfId="3051"/>
    <cellStyle name="_AURORA WIP_NIM+O&amp;M Monthly 2 2" xfId="3052"/>
    <cellStyle name="_AURORA WIP_NIM+O&amp;M Monthly 3" xfId="3053"/>
    <cellStyle name="_AURORA WIP_PCA 9 -  Exhibit D April 2010 (3)" xfId="3054"/>
    <cellStyle name="_AURORA WIP_PCA 9 -  Exhibit D April 2010 (3) 2" xfId="3055"/>
    <cellStyle name="_AURORA WIP_PCA 9 -  Exhibit D April 2010 (3) 2 2" xfId="3056"/>
    <cellStyle name="_AURORA WIP_PCA 9 -  Exhibit D April 2010 (3) 3" xfId="3057"/>
    <cellStyle name="_AURORA WIP_PCA 9 -  Exhibit D April 2010 (3)_DEM-WP(C) ENERG10C--ctn Mid-C_042010 2010GRC" xfId="3058"/>
    <cellStyle name="_AURORA WIP_Reconciliation" xfId="3059"/>
    <cellStyle name="_AURORA WIP_Reconciliation 2" xfId="3060"/>
    <cellStyle name="_AURORA WIP_Reconciliation 2 2" xfId="3061"/>
    <cellStyle name="_AURORA WIP_Reconciliation 3" xfId="3062"/>
    <cellStyle name="_AURORA WIP_Reconciliation 3 2" xfId="3063"/>
    <cellStyle name="_AURORA WIP_Reconciliation 4" xfId="3064"/>
    <cellStyle name="_AURORA WIP_Reconciliation 4 2" xfId="3065"/>
    <cellStyle name="_AURORA WIP_Reconciliation 5" xfId="3066"/>
    <cellStyle name="_AURORA WIP_Reconciliation 5 2" xfId="3067"/>
    <cellStyle name="_AURORA WIP_Reconciliation 6" xfId="3068"/>
    <cellStyle name="_AURORA WIP_Reconciliation 6 2" xfId="3069"/>
    <cellStyle name="_AURORA WIP_Reconciliation_DEM-WP(C) ENERG10C--ctn Mid-C_042010 2010GRC" xfId="3070"/>
    <cellStyle name="_AURORA WIP_Wind Integration 10GRC" xfId="3071"/>
    <cellStyle name="_AURORA WIP_Wind Integration 10GRC 2" xfId="3072"/>
    <cellStyle name="_AURORA WIP_Wind Integration 10GRC 2 2" xfId="3073"/>
    <cellStyle name="_AURORA WIP_Wind Integration 10GRC 3" xfId="3074"/>
    <cellStyle name="_AURORA WIP_Wind Integration 10GRC_DEM-WP(C) ENERG10C--ctn Mid-C_042010 2010GRC" xfId="3075"/>
    <cellStyle name="_Book1" xfId="79"/>
    <cellStyle name="_x0013__Book1" xfId="3076"/>
    <cellStyle name="_Book1 (2)" xfId="80"/>
    <cellStyle name="_Book1 (2) 2" xfId="81"/>
    <cellStyle name="_Book1 (2) 2 2" xfId="3077"/>
    <cellStyle name="_Book1 (2) 2 2 2" xfId="3078"/>
    <cellStyle name="_Book1 (2) 2 2 2 2" xfId="3079"/>
    <cellStyle name="_Book1 (2) 2 2 3" xfId="3080"/>
    <cellStyle name="_Book1 (2) 2 3" xfId="3081"/>
    <cellStyle name="_Book1 (2) 2 3 2" xfId="3082"/>
    <cellStyle name="_Book1 (2) 2 4" xfId="3083"/>
    <cellStyle name="_Book1 (2) 3" xfId="3084"/>
    <cellStyle name="_Book1 (2) 3 2" xfId="3085"/>
    <cellStyle name="_Book1 (2) 3 2 2" xfId="3086"/>
    <cellStyle name="_Book1 (2) 3 2 2 2" xfId="3087"/>
    <cellStyle name="_Book1 (2) 3 2 3" xfId="3088"/>
    <cellStyle name="_Book1 (2) 3 3" xfId="3089"/>
    <cellStyle name="_Book1 (2) 3 3 2" xfId="3090"/>
    <cellStyle name="_Book1 (2) 3 3 2 2" xfId="3091"/>
    <cellStyle name="_Book1 (2) 3 3 3" xfId="3092"/>
    <cellStyle name="_Book1 (2) 3 4" xfId="3093"/>
    <cellStyle name="_Book1 (2) 3 4 2" xfId="3094"/>
    <cellStyle name="_Book1 (2) 3 4 2 2" xfId="3095"/>
    <cellStyle name="_Book1 (2) 3 4 3" xfId="3096"/>
    <cellStyle name="_Book1 (2) 3 5" xfId="3097"/>
    <cellStyle name="_Book1 (2) 4" xfId="3098"/>
    <cellStyle name="_Book1 (2) 4 2" xfId="3099"/>
    <cellStyle name="_Book1 (2) 4 2 2" xfId="3100"/>
    <cellStyle name="_Book1 (2) 4 3" xfId="3101"/>
    <cellStyle name="_Book1 (2) 5" xfId="3102"/>
    <cellStyle name="_Book1 (2) 5 2" xfId="3103"/>
    <cellStyle name="_Book1 (2) 5 2 2" xfId="3104"/>
    <cellStyle name="_Book1 (2) 5 3" xfId="3105"/>
    <cellStyle name="_Book1 (2) 6" xfId="3106"/>
    <cellStyle name="_Book1 (2) 6 2" xfId="3107"/>
    <cellStyle name="_Book1 (2) 7" xfId="3108"/>
    <cellStyle name="_Book1 (2) 7 2" xfId="3109"/>
    <cellStyle name="_Book1 (2) 8" xfId="3110"/>
    <cellStyle name="_Book1 (2) 8 2" xfId="3111"/>
    <cellStyle name="_Book1 (2) 9" xfId="3112"/>
    <cellStyle name="_Book1 (2) 9 2" xfId="3113"/>
    <cellStyle name="_Book1 (2)_04 07E Wild Horse Wind Expansion (C) (2)" xfId="82"/>
    <cellStyle name="_Book1 (2)_04 07E Wild Horse Wind Expansion (C) (2) 2" xfId="3114"/>
    <cellStyle name="_Book1 (2)_04 07E Wild Horse Wind Expansion (C) (2) 2 2" xfId="3115"/>
    <cellStyle name="_Book1 (2)_04 07E Wild Horse Wind Expansion (C) (2) 2 2 2" xfId="3116"/>
    <cellStyle name="_Book1 (2)_04 07E Wild Horse Wind Expansion (C) (2) 2 3" xfId="3117"/>
    <cellStyle name="_Book1 (2)_04 07E Wild Horse Wind Expansion (C) (2) 3" xfId="3118"/>
    <cellStyle name="_Book1 (2)_04 07E Wild Horse Wind Expansion (C) (2) 3 2" xfId="3119"/>
    <cellStyle name="_Book1 (2)_04 07E Wild Horse Wind Expansion (C) (2) 4" xfId="3120"/>
    <cellStyle name="_Book1 (2)_04 07E Wild Horse Wind Expansion (C) (2)_Adj Bench DR 3 for Initial Briefs (Electric)" xfId="83"/>
    <cellStyle name="_Book1 (2)_04 07E Wild Horse Wind Expansion (C) (2)_Adj Bench DR 3 for Initial Briefs (Electric) 2" xfId="3121"/>
    <cellStyle name="_Book1 (2)_04 07E Wild Horse Wind Expansion (C) (2)_Adj Bench DR 3 for Initial Briefs (Electric) 2 2" xfId="3122"/>
    <cellStyle name="_Book1 (2)_04 07E Wild Horse Wind Expansion (C) (2)_Adj Bench DR 3 for Initial Briefs (Electric) 2 2 2" xfId="3123"/>
    <cellStyle name="_Book1 (2)_04 07E Wild Horse Wind Expansion (C) (2)_Adj Bench DR 3 for Initial Briefs (Electric) 2 3" xfId="3124"/>
    <cellStyle name="_Book1 (2)_04 07E Wild Horse Wind Expansion (C) (2)_Adj Bench DR 3 for Initial Briefs (Electric) 3" xfId="3125"/>
    <cellStyle name="_Book1 (2)_04 07E Wild Horse Wind Expansion (C) (2)_Adj Bench DR 3 for Initial Briefs (Electric) 3 2" xfId="3126"/>
    <cellStyle name="_Book1 (2)_04 07E Wild Horse Wind Expansion (C) (2)_Adj Bench DR 3 for Initial Briefs (Electric) 4" xfId="3127"/>
    <cellStyle name="_Book1 (2)_04 07E Wild Horse Wind Expansion (C) (2)_Adj Bench DR 3 for Initial Briefs (Electric)_DEM-WP(C) ENERG10C--ctn Mid-C_042010 2010GRC" xfId="3128"/>
    <cellStyle name="_Book1 (2)_04 07E Wild Horse Wind Expansion (C) (2)_Book1" xfId="3129"/>
    <cellStyle name="_Book1 (2)_04 07E Wild Horse Wind Expansion (C) (2)_DEM-WP(C) ENERG10C--ctn Mid-C_042010 2010GRC" xfId="3130"/>
    <cellStyle name="_Book1 (2)_04 07E Wild Horse Wind Expansion (C) (2)_Electric Rev Req Model (2009 GRC) " xfId="84"/>
    <cellStyle name="_Book1 (2)_04 07E Wild Horse Wind Expansion (C) (2)_Electric Rev Req Model (2009 GRC)  2" xfId="3131"/>
    <cellStyle name="_Book1 (2)_04 07E Wild Horse Wind Expansion (C) (2)_Electric Rev Req Model (2009 GRC)  2 2" xfId="3132"/>
    <cellStyle name="_Book1 (2)_04 07E Wild Horse Wind Expansion (C) (2)_Electric Rev Req Model (2009 GRC)  2 2 2" xfId="3133"/>
    <cellStyle name="_Book1 (2)_04 07E Wild Horse Wind Expansion (C) (2)_Electric Rev Req Model (2009 GRC)  2 3" xfId="3134"/>
    <cellStyle name="_Book1 (2)_04 07E Wild Horse Wind Expansion (C) (2)_Electric Rev Req Model (2009 GRC)  3" xfId="3135"/>
    <cellStyle name="_Book1 (2)_04 07E Wild Horse Wind Expansion (C) (2)_Electric Rev Req Model (2009 GRC)  3 2" xfId="3136"/>
    <cellStyle name="_Book1 (2)_04 07E Wild Horse Wind Expansion (C) (2)_Electric Rev Req Model (2009 GRC)  4" xfId="3137"/>
    <cellStyle name="_Book1 (2)_04 07E Wild Horse Wind Expansion (C) (2)_Electric Rev Req Model (2009 GRC) _DEM-WP(C) ENERG10C--ctn Mid-C_042010 2010GRC" xfId="3138"/>
    <cellStyle name="_Book1 (2)_04 07E Wild Horse Wind Expansion (C) (2)_Electric Rev Req Model (2009 GRC) Rebuttal" xfId="85"/>
    <cellStyle name="_Book1 (2)_04 07E Wild Horse Wind Expansion (C) (2)_Electric Rev Req Model (2009 GRC) Rebuttal 2" xfId="3139"/>
    <cellStyle name="_Book1 (2)_04 07E Wild Horse Wind Expansion (C) (2)_Electric Rev Req Model (2009 GRC) Rebuttal 2 2" xfId="3140"/>
    <cellStyle name="_Book1 (2)_04 07E Wild Horse Wind Expansion (C) (2)_Electric Rev Req Model (2009 GRC) Rebuttal 2 2 2" xfId="3141"/>
    <cellStyle name="_Book1 (2)_04 07E Wild Horse Wind Expansion (C) (2)_Electric Rev Req Model (2009 GRC) Rebuttal 2 3" xfId="3142"/>
    <cellStyle name="_Book1 (2)_04 07E Wild Horse Wind Expansion (C) (2)_Electric Rev Req Model (2009 GRC) Rebuttal 3" xfId="3143"/>
    <cellStyle name="_Book1 (2)_04 07E Wild Horse Wind Expansion (C) (2)_Electric Rev Req Model (2009 GRC) Rebuttal 3 2" xfId="3144"/>
    <cellStyle name="_Book1 (2)_04 07E Wild Horse Wind Expansion (C) (2)_Electric Rev Req Model (2009 GRC) Rebuttal 4" xfId="3145"/>
    <cellStyle name="_Book1 (2)_04 07E Wild Horse Wind Expansion (C) (2)_Electric Rev Req Model (2009 GRC) Rebuttal REmoval of New  WH Solar AdjustMI" xfId="86"/>
    <cellStyle name="_Book1 (2)_04 07E Wild Horse Wind Expansion (C) (2)_Electric Rev Req Model (2009 GRC) Rebuttal REmoval of New  WH Solar AdjustMI 2" xfId="3146"/>
    <cellStyle name="_Book1 (2)_04 07E Wild Horse Wind Expansion (C) (2)_Electric Rev Req Model (2009 GRC) Rebuttal REmoval of New  WH Solar AdjustMI 2 2" xfId="3147"/>
    <cellStyle name="_Book1 (2)_04 07E Wild Horse Wind Expansion (C) (2)_Electric Rev Req Model (2009 GRC) Rebuttal REmoval of New  WH Solar AdjustMI 2 2 2" xfId="3148"/>
    <cellStyle name="_Book1 (2)_04 07E Wild Horse Wind Expansion (C) (2)_Electric Rev Req Model (2009 GRC) Rebuttal REmoval of New  WH Solar AdjustMI 2 3" xfId="3149"/>
    <cellStyle name="_Book1 (2)_04 07E Wild Horse Wind Expansion (C) (2)_Electric Rev Req Model (2009 GRC) Rebuttal REmoval of New  WH Solar AdjustMI 3" xfId="3150"/>
    <cellStyle name="_Book1 (2)_04 07E Wild Horse Wind Expansion (C) (2)_Electric Rev Req Model (2009 GRC) Rebuttal REmoval of New  WH Solar AdjustMI 3 2" xfId="3151"/>
    <cellStyle name="_Book1 (2)_04 07E Wild Horse Wind Expansion (C) (2)_Electric Rev Req Model (2009 GRC) Rebuttal REmoval of New  WH Solar AdjustMI 4" xfId="3152"/>
    <cellStyle name="_Book1 (2)_04 07E Wild Horse Wind Expansion (C) (2)_Electric Rev Req Model (2009 GRC) Rebuttal REmoval of New  WH Solar AdjustMI_DEM-WP(C) ENERG10C--ctn Mid-C_042010 2010GRC" xfId="3153"/>
    <cellStyle name="_Book1 (2)_04 07E Wild Horse Wind Expansion (C) (2)_Electric Rev Req Model (2009 GRC) Revised 01-18-2010" xfId="87"/>
    <cellStyle name="_Book1 (2)_04 07E Wild Horse Wind Expansion (C) (2)_Electric Rev Req Model (2009 GRC) Revised 01-18-2010 2" xfId="3154"/>
    <cellStyle name="_Book1 (2)_04 07E Wild Horse Wind Expansion (C) (2)_Electric Rev Req Model (2009 GRC) Revised 01-18-2010 2 2" xfId="3155"/>
    <cellStyle name="_Book1 (2)_04 07E Wild Horse Wind Expansion (C) (2)_Electric Rev Req Model (2009 GRC) Revised 01-18-2010 2 2 2" xfId="3156"/>
    <cellStyle name="_Book1 (2)_04 07E Wild Horse Wind Expansion (C) (2)_Electric Rev Req Model (2009 GRC) Revised 01-18-2010 2 3" xfId="3157"/>
    <cellStyle name="_Book1 (2)_04 07E Wild Horse Wind Expansion (C) (2)_Electric Rev Req Model (2009 GRC) Revised 01-18-2010 3" xfId="3158"/>
    <cellStyle name="_Book1 (2)_04 07E Wild Horse Wind Expansion (C) (2)_Electric Rev Req Model (2009 GRC) Revised 01-18-2010 3 2" xfId="3159"/>
    <cellStyle name="_Book1 (2)_04 07E Wild Horse Wind Expansion (C) (2)_Electric Rev Req Model (2009 GRC) Revised 01-18-2010 4" xfId="3160"/>
    <cellStyle name="_Book1 (2)_04 07E Wild Horse Wind Expansion (C) (2)_Electric Rev Req Model (2009 GRC) Revised 01-18-2010_DEM-WP(C) ENERG10C--ctn Mid-C_042010 2010GRC" xfId="3161"/>
    <cellStyle name="_Book1 (2)_04 07E Wild Horse Wind Expansion (C) (2)_Electric Rev Req Model (2010 GRC)" xfId="3162"/>
    <cellStyle name="_Book1 (2)_04 07E Wild Horse Wind Expansion (C) (2)_Electric Rev Req Model (2010 GRC) SF" xfId="3163"/>
    <cellStyle name="_Book1 (2)_04 07E Wild Horse Wind Expansion (C) (2)_Final Order Electric EXHIBIT A-1" xfId="88"/>
    <cellStyle name="_Book1 (2)_04 07E Wild Horse Wind Expansion (C) (2)_Final Order Electric EXHIBIT A-1 2" xfId="3164"/>
    <cellStyle name="_Book1 (2)_04 07E Wild Horse Wind Expansion (C) (2)_Final Order Electric EXHIBIT A-1 2 2" xfId="3165"/>
    <cellStyle name="_Book1 (2)_04 07E Wild Horse Wind Expansion (C) (2)_Final Order Electric EXHIBIT A-1 2 2 2" xfId="3166"/>
    <cellStyle name="_Book1 (2)_04 07E Wild Horse Wind Expansion (C) (2)_Final Order Electric EXHIBIT A-1 2 3" xfId="3167"/>
    <cellStyle name="_Book1 (2)_04 07E Wild Horse Wind Expansion (C) (2)_Final Order Electric EXHIBIT A-1 3" xfId="3168"/>
    <cellStyle name="_Book1 (2)_04 07E Wild Horse Wind Expansion (C) (2)_Final Order Electric EXHIBIT A-1 3 2" xfId="3169"/>
    <cellStyle name="_Book1 (2)_04 07E Wild Horse Wind Expansion (C) (2)_Final Order Electric EXHIBIT A-1 4" xfId="3170"/>
    <cellStyle name="_Book1 (2)_04 07E Wild Horse Wind Expansion (C) (2)_TENASKA REGULATORY ASSET" xfId="89"/>
    <cellStyle name="_Book1 (2)_04 07E Wild Horse Wind Expansion (C) (2)_TENASKA REGULATORY ASSET 2" xfId="3171"/>
    <cellStyle name="_Book1 (2)_04 07E Wild Horse Wind Expansion (C) (2)_TENASKA REGULATORY ASSET 2 2" xfId="3172"/>
    <cellStyle name="_Book1 (2)_04 07E Wild Horse Wind Expansion (C) (2)_TENASKA REGULATORY ASSET 2 2 2" xfId="3173"/>
    <cellStyle name="_Book1 (2)_04 07E Wild Horse Wind Expansion (C) (2)_TENASKA REGULATORY ASSET 2 3" xfId="3174"/>
    <cellStyle name="_Book1 (2)_04 07E Wild Horse Wind Expansion (C) (2)_TENASKA REGULATORY ASSET 3" xfId="3175"/>
    <cellStyle name="_Book1 (2)_04 07E Wild Horse Wind Expansion (C) (2)_TENASKA REGULATORY ASSET 3 2" xfId="3176"/>
    <cellStyle name="_Book1 (2)_04 07E Wild Horse Wind Expansion (C) (2)_TENASKA REGULATORY ASSET 4" xfId="3177"/>
    <cellStyle name="_Book1 (2)_16.37E Wild Horse Expansion DeferralRevwrkingfile SF" xfId="90"/>
    <cellStyle name="_Book1 (2)_16.37E Wild Horse Expansion DeferralRevwrkingfile SF 2" xfId="3178"/>
    <cellStyle name="_Book1 (2)_16.37E Wild Horse Expansion DeferralRevwrkingfile SF 2 2" xfId="3179"/>
    <cellStyle name="_Book1 (2)_16.37E Wild Horse Expansion DeferralRevwrkingfile SF 2 2 2" xfId="3180"/>
    <cellStyle name="_Book1 (2)_16.37E Wild Horse Expansion DeferralRevwrkingfile SF 2 3" xfId="3181"/>
    <cellStyle name="_Book1 (2)_16.37E Wild Horse Expansion DeferralRevwrkingfile SF 3" xfId="3182"/>
    <cellStyle name="_Book1 (2)_16.37E Wild Horse Expansion DeferralRevwrkingfile SF 3 2" xfId="3183"/>
    <cellStyle name="_Book1 (2)_16.37E Wild Horse Expansion DeferralRevwrkingfile SF 4" xfId="3184"/>
    <cellStyle name="_Book1 (2)_16.37E Wild Horse Expansion DeferralRevwrkingfile SF_DEM-WP(C) ENERG10C--ctn Mid-C_042010 2010GRC" xfId="3185"/>
    <cellStyle name="_Book1 (2)_2009 Compliance Filing PCA Exhibits for GRC" xfId="3186"/>
    <cellStyle name="_Book1 (2)_2009 Compliance Filing PCA Exhibits for GRC 2" xfId="3187"/>
    <cellStyle name="_Book1 (2)_2009 GRC Compl Filing - Exhibit D" xfId="91"/>
    <cellStyle name="_Book1 (2)_2009 GRC Compl Filing - Exhibit D 2" xfId="3188"/>
    <cellStyle name="_Book1 (2)_2009 GRC Compl Filing - Exhibit D 2 2" xfId="3189"/>
    <cellStyle name="_Book1 (2)_2009 GRC Compl Filing - Exhibit D 3" xfId="3190"/>
    <cellStyle name="_Book1 (2)_2009 GRC Compl Filing - Exhibit D_DEM-WP(C) ENERG10C--ctn Mid-C_042010 2010GRC" xfId="3191"/>
    <cellStyle name="_Book1 (2)_3.01 Income Statement" xfId="92"/>
    <cellStyle name="_Book1 (2)_4 31 Regulatory Assets and Liabilities  7 06- Exhibit D" xfId="93"/>
    <cellStyle name="_Book1 (2)_4 31 Regulatory Assets and Liabilities  7 06- Exhibit D 2" xfId="3192"/>
    <cellStyle name="_Book1 (2)_4 31 Regulatory Assets and Liabilities  7 06- Exhibit D 2 2" xfId="3193"/>
    <cellStyle name="_Book1 (2)_4 31 Regulatory Assets and Liabilities  7 06- Exhibit D 2 2 2" xfId="3194"/>
    <cellStyle name="_Book1 (2)_4 31 Regulatory Assets and Liabilities  7 06- Exhibit D 2 3" xfId="3195"/>
    <cellStyle name="_Book1 (2)_4 31 Regulatory Assets and Liabilities  7 06- Exhibit D 3" xfId="3196"/>
    <cellStyle name="_Book1 (2)_4 31 Regulatory Assets and Liabilities  7 06- Exhibit D 3 2" xfId="3197"/>
    <cellStyle name="_Book1 (2)_4 31 Regulatory Assets and Liabilities  7 06- Exhibit D 4" xfId="3198"/>
    <cellStyle name="_Book1 (2)_4 31 Regulatory Assets and Liabilities  7 06- Exhibit D_DEM-WP(C) ENERG10C--ctn Mid-C_042010 2010GRC" xfId="3199"/>
    <cellStyle name="_Book1 (2)_4 31 Regulatory Assets and Liabilities  7 06- Exhibit D_NIM Summary" xfId="3200"/>
    <cellStyle name="_Book1 (2)_4 31 Regulatory Assets and Liabilities  7 06- Exhibit D_NIM Summary 2" xfId="3201"/>
    <cellStyle name="_Book1 (2)_4 31 Regulatory Assets and Liabilities  7 06- Exhibit D_NIM Summary 2 2" xfId="3202"/>
    <cellStyle name="_Book1 (2)_4 31 Regulatory Assets and Liabilities  7 06- Exhibit D_NIM Summary 3" xfId="3203"/>
    <cellStyle name="_Book1 (2)_4 31 Regulatory Assets and Liabilities  7 06- Exhibit D_NIM Summary_DEM-WP(C) ENERG10C--ctn Mid-C_042010 2010GRC" xfId="3204"/>
    <cellStyle name="_Book1 (2)_4 31E Reg Asset  Liab and EXH D" xfId="3205"/>
    <cellStyle name="_Book1 (2)_4 31E Reg Asset  Liab and EXH D _ Aug 10 Filing (2)" xfId="3206"/>
    <cellStyle name="_Book1 (2)_4 31E Reg Asset  Liab and EXH D _ Aug 10 Filing (2) 2" xfId="3207"/>
    <cellStyle name="_Book1 (2)_4 31E Reg Asset  Liab and EXH D 10" xfId="3208"/>
    <cellStyle name="_Book1 (2)_4 31E Reg Asset  Liab and EXH D 11" xfId="3209"/>
    <cellStyle name="_Book1 (2)_4 31E Reg Asset  Liab and EXH D 12" xfId="3210"/>
    <cellStyle name="_Book1 (2)_4 31E Reg Asset  Liab and EXH D 13" xfId="3211"/>
    <cellStyle name="_Book1 (2)_4 31E Reg Asset  Liab and EXH D 14" xfId="3212"/>
    <cellStyle name="_Book1 (2)_4 31E Reg Asset  Liab and EXH D 15" xfId="3213"/>
    <cellStyle name="_Book1 (2)_4 31E Reg Asset  Liab and EXH D 16" xfId="3214"/>
    <cellStyle name="_Book1 (2)_4 31E Reg Asset  Liab and EXH D 17" xfId="3215"/>
    <cellStyle name="_Book1 (2)_4 31E Reg Asset  Liab and EXH D 18" xfId="3216"/>
    <cellStyle name="_Book1 (2)_4 31E Reg Asset  Liab and EXH D 19" xfId="3217"/>
    <cellStyle name="_Book1 (2)_4 31E Reg Asset  Liab and EXH D 2" xfId="3218"/>
    <cellStyle name="_Book1 (2)_4 31E Reg Asset  Liab and EXH D 20" xfId="3219"/>
    <cellStyle name="_Book1 (2)_4 31E Reg Asset  Liab and EXH D 21" xfId="3220"/>
    <cellStyle name="_Book1 (2)_4 31E Reg Asset  Liab and EXH D 22" xfId="3221"/>
    <cellStyle name="_Book1 (2)_4 31E Reg Asset  Liab and EXH D 23" xfId="3222"/>
    <cellStyle name="_Book1 (2)_4 31E Reg Asset  Liab and EXH D 24" xfId="3223"/>
    <cellStyle name="_Book1 (2)_4 31E Reg Asset  Liab and EXH D 25" xfId="3224"/>
    <cellStyle name="_Book1 (2)_4 31E Reg Asset  Liab and EXH D 26" xfId="3225"/>
    <cellStyle name="_Book1 (2)_4 31E Reg Asset  Liab and EXH D 27" xfId="3226"/>
    <cellStyle name="_Book1 (2)_4 31E Reg Asset  Liab and EXH D 28" xfId="3227"/>
    <cellStyle name="_Book1 (2)_4 31E Reg Asset  Liab and EXH D 29" xfId="3228"/>
    <cellStyle name="_Book1 (2)_4 31E Reg Asset  Liab and EXH D 3" xfId="3229"/>
    <cellStyle name="_Book1 (2)_4 31E Reg Asset  Liab and EXH D 30" xfId="3230"/>
    <cellStyle name="_Book1 (2)_4 31E Reg Asset  Liab and EXH D 31" xfId="3231"/>
    <cellStyle name="_Book1 (2)_4 31E Reg Asset  Liab and EXH D 32" xfId="3232"/>
    <cellStyle name="_Book1 (2)_4 31E Reg Asset  Liab and EXH D 33" xfId="3233"/>
    <cellStyle name="_Book1 (2)_4 31E Reg Asset  Liab and EXH D 34" xfId="3234"/>
    <cellStyle name="_Book1 (2)_4 31E Reg Asset  Liab and EXH D 35" xfId="3235"/>
    <cellStyle name="_Book1 (2)_4 31E Reg Asset  Liab and EXH D 36" xfId="3236"/>
    <cellStyle name="_Book1 (2)_4 31E Reg Asset  Liab and EXH D 4" xfId="3237"/>
    <cellStyle name="_Book1 (2)_4 31E Reg Asset  Liab and EXH D 5" xfId="3238"/>
    <cellStyle name="_Book1 (2)_4 31E Reg Asset  Liab and EXH D 6" xfId="3239"/>
    <cellStyle name="_Book1 (2)_4 31E Reg Asset  Liab and EXH D 7" xfId="3240"/>
    <cellStyle name="_Book1 (2)_4 31E Reg Asset  Liab and EXH D 8" xfId="3241"/>
    <cellStyle name="_Book1 (2)_4 31E Reg Asset  Liab and EXH D 9" xfId="3242"/>
    <cellStyle name="_Book1 (2)_4 32 Regulatory Assets and Liabilities  7 06- Exhibit D" xfId="94"/>
    <cellStyle name="_Book1 (2)_4 32 Regulatory Assets and Liabilities  7 06- Exhibit D 2" xfId="3243"/>
    <cellStyle name="_Book1 (2)_4 32 Regulatory Assets and Liabilities  7 06- Exhibit D 2 2" xfId="3244"/>
    <cellStyle name="_Book1 (2)_4 32 Regulatory Assets and Liabilities  7 06- Exhibit D 2 2 2" xfId="3245"/>
    <cellStyle name="_Book1 (2)_4 32 Regulatory Assets and Liabilities  7 06- Exhibit D 2 3" xfId="3246"/>
    <cellStyle name="_Book1 (2)_4 32 Regulatory Assets and Liabilities  7 06- Exhibit D 3" xfId="3247"/>
    <cellStyle name="_Book1 (2)_4 32 Regulatory Assets and Liabilities  7 06- Exhibit D 3 2" xfId="3248"/>
    <cellStyle name="_Book1 (2)_4 32 Regulatory Assets and Liabilities  7 06- Exhibit D 4" xfId="3249"/>
    <cellStyle name="_Book1 (2)_4 32 Regulatory Assets and Liabilities  7 06- Exhibit D_DEM-WP(C) ENERG10C--ctn Mid-C_042010 2010GRC" xfId="3250"/>
    <cellStyle name="_Book1 (2)_4 32 Regulatory Assets and Liabilities  7 06- Exhibit D_NIM Summary" xfId="3251"/>
    <cellStyle name="_Book1 (2)_4 32 Regulatory Assets and Liabilities  7 06- Exhibit D_NIM Summary 2" xfId="3252"/>
    <cellStyle name="_Book1 (2)_4 32 Regulatory Assets and Liabilities  7 06- Exhibit D_NIM Summary 2 2" xfId="3253"/>
    <cellStyle name="_Book1 (2)_4 32 Regulatory Assets and Liabilities  7 06- Exhibit D_NIM Summary 3" xfId="3254"/>
    <cellStyle name="_Book1 (2)_4 32 Regulatory Assets and Liabilities  7 06- Exhibit D_NIM Summary_DEM-WP(C) ENERG10C--ctn Mid-C_042010 2010GRC" xfId="3255"/>
    <cellStyle name="_Book1 (2)_AURORA Total New" xfId="3256"/>
    <cellStyle name="_Book1 (2)_AURORA Total New 2" xfId="3257"/>
    <cellStyle name="_Book1 (2)_AURORA Total New 2 2" xfId="3258"/>
    <cellStyle name="_Book1 (2)_AURORA Total New 3" xfId="3259"/>
    <cellStyle name="_Book1 (2)_Book2" xfId="95"/>
    <cellStyle name="_Book1 (2)_Book2 2" xfId="3260"/>
    <cellStyle name="_Book1 (2)_Book2 2 2" xfId="3261"/>
    <cellStyle name="_Book1 (2)_Book2 2 2 2" xfId="3262"/>
    <cellStyle name="_Book1 (2)_Book2 2 3" xfId="3263"/>
    <cellStyle name="_Book1 (2)_Book2 3" xfId="3264"/>
    <cellStyle name="_Book1 (2)_Book2 3 2" xfId="3265"/>
    <cellStyle name="_Book1 (2)_Book2 4" xfId="3266"/>
    <cellStyle name="_Book1 (2)_Book2_Adj Bench DR 3 for Initial Briefs (Electric)" xfId="96"/>
    <cellStyle name="_Book1 (2)_Book2_Adj Bench DR 3 for Initial Briefs (Electric) 2" xfId="3267"/>
    <cellStyle name="_Book1 (2)_Book2_Adj Bench DR 3 for Initial Briefs (Electric) 2 2" xfId="3268"/>
    <cellStyle name="_Book1 (2)_Book2_Adj Bench DR 3 for Initial Briefs (Electric) 2 2 2" xfId="3269"/>
    <cellStyle name="_Book1 (2)_Book2_Adj Bench DR 3 for Initial Briefs (Electric) 2 3" xfId="3270"/>
    <cellStyle name="_Book1 (2)_Book2_Adj Bench DR 3 for Initial Briefs (Electric) 3" xfId="3271"/>
    <cellStyle name="_Book1 (2)_Book2_Adj Bench DR 3 for Initial Briefs (Electric) 3 2" xfId="3272"/>
    <cellStyle name="_Book1 (2)_Book2_Adj Bench DR 3 for Initial Briefs (Electric) 4" xfId="3273"/>
    <cellStyle name="_Book1 (2)_Book2_Adj Bench DR 3 for Initial Briefs (Electric)_DEM-WP(C) ENERG10C--ctn Mid-C_042010 2010GRC" xfId="3274"/>
    <cellStyle name="_Book1 (2)_Book2_DEM-WP(C) ENERG10C--ctn Mid-C_042010 2010GRC" xfId="3275"/>
    <cellStyle name="_Book1 (2)_Book2_Electric Rev Req Model (2009 GRC) Rebuttal" xfId="97"/>
    <cellStyle name="_Book1 (2)_Book2_Electric Rev Req Model (2009 GRC) Rebuttal 2" xfId="3276"/>
    <cellStyle name="_Book1 (2)_Book2_Electric Rev Req Model (2009 GRC) Rebuttal 2 2" xfId="3277"/>
    <cellStyle name="_Book1 (2)_Book2_Electric Rev Req Model (2009 GRC) Rebuttal 2 2 2" xfId="3278"/>
    <cellStyle name="_Book1 (2)_Book2_Electric Rev Req Model (2009 GRC) Rebuttal 2 3" xfId="3279"/>
    <cellStyle name="_Book1 (2)_Book2_Electric Rev Req Model (2009 GRC) Rebuttal 3" xfId="3280"/>
    <cellStyle name="_Book1 (2)_Book2_Electric Rev Req Model (2009 GRC) Rebuttal 3 2" xfId="3281"/>
    <cellStyle name="_Book1 (2)_Book2_Electric Rev Req Model (2009 GRC) Rebuttal 4" xfId="3282"/>
    <cellStyle name="_Book1 (2)_Book2_Electric Rev Req Model (2009 GRC) Rebuttal REmoval of New  WH Solar AdjustMI" xfId="98"/>
    <cellStyle name="_Book1 (2)_Book2_Electric Rev Req Model (2009 GRC) Rebuttal REmoval of New  WH Solar AdjustMI 2" xfId="3283"/>
    <cellStyle name="_Book1 (2)_Book2_Electric Rev Req Model (2009 GRC) Rebuttal REmoval of New  WH Solar AdjustMI 2 2" xfId="3284"/>
    <cellStyle name="_Book1 (2)_Book2_Electric Rev Req Model (2009 GRC) Rebuttal REmoval of New  WH Solar AdjustMI 2 2 2" xfId="3285"/>
    <cellStyle name="_Book1 (2)_Book2_Electric Rev Req Model (2009 GRC) Rebuttal REmoval of New  WH Solar AdjustMI 2 3" xfId="3286"/>
    <cellStyle name="_Book1 (2)_Book2_Electric Rev Req Model (2009 GRC) Rebuttal REmoval of New  WH Solar AdjustMI 3" xfId="3287"/>
    <cellStyle name="_Book1 (2)_Book2_Electric Rev Req Model (2009 GRC) Rebuttal REmoval of New  WH Solar AdjustMI 3 2" xfId="3288"/>
    <cellStyle name="_Book1 (2)_Book2_Electric Rev Req Model (2009 GRC) Rebuttal REmoval of New  WH Solar AdjustMI 4" xfId="3289"/>
    <cellStyle name="_Book1 (2)_Book2_Electric Rev Req Model (2009 GRC) Rebuttal REmoval of New  WH Solar AdjustMI_DEM-WP(C) ENERG10C--ctn Mid-C_042010 2010GRC" xfId="3290"/>
    <cellStyle name="_Book1 (2)_Book2_Electric Rev Req Model (2009 GRC) Revised 01-18-2010" xfId="99"/>
    <cellStyle name="_Book1 (2)_Book2_Electric Rev Req Model (2009 GRC) Revised 01-18-2010 2" xfId="3291"/>
    <cellStyle name="_Book1 (2)_Book2_Electric Rev Req Model (2009 GRC) Revised 01-18-2010 2 2" xfId="3292"/>
    <cellStyle name="_Book1 (2)_Book2_Electric Rev Req Model (2009 GRC) Revised 01-18-2010 2 2 2" xfId="3293"/>
    <cellStyle name="_Book1 (2)_Book2_Electric Rev Req Model (2009 GRC) Revised 01-18-2010 2 3" xfId="3294"/>
    <cellStyle name="_Book1 (2)_Book2_Electric Rev Req Model (2009 GRC) Revised 01-18-2010 3" xfId="3295"/>
    <cellStyle name="_Book1 (2)_Book2_Electric Rev Req Model (2009 GRC) Revised 01-18-2010 3 2" xfId="3296"/>
    <cellStyle name="_Book1 (2)_Book2_Electric Rev Req Model (2009 GRC) Revised 01-18-2010 4" xfId="3297"/>
    <cellStyle name="_Book1 (2)_Book2_Electric Rev Req Model (2009 GRC) Revised 01-18-2010_DEM-WP(C) ENERG10C--ctn Mid-C_042010 2010GRC" xfId="3298"/>
    <cellStyle name="_Book1 (2)_Book2_Final Order Electric EXHIBIT A-1" xfId="100"/>
    <cellStyle name="_Book1 (2)_Book2_Final Order Electric EXHIBIT A-1 2" xfId="3299"/>
    <cellStyle name="_Book1 (2)_Book2_Final Order Electric EXHIBIT A-1 2 2" xfId="3300"/>
    <cellStyle name="_Book1 (2)_Book2_Final Order Electric EXHIBIT A-1 2 2 2" xfId="3301"/>
    <cellStyle name="_Book1 (2)_Book2_Final Order Electric EXHIBIT A-1 2 3" xfId="3302"/>
    <cellStyle name="_Book1 (2)_Book2_Final Order Electric EXHIBIT A-1 3" xfId="3303"/>
    <cellStyle name="_Book1 (2)_Book2_Final Order Electric EXHIBIT A-1 3 2" xfId="3304"/>
    <cellStyle name="_Book1 (2)_Book2_Final Order Electric EXHIBIT A-1 4" xfId="3305"/>
    <cellStyle name="_Book1 (2)_Book4" xfId="101"/>
    <cellStyle name="_Book1 (2)_Book4 2" xfId="3306"/>
    <cellStyle name="_Book1 (2)_Book4 2 2" xfId="3307"/>
    <cellStyle name="_Book1 (2)_Book4 2 2 2" xfId="3308"/>
    <cellStyle name="_Book1 (2)_Book4 2 3" xfId="3309"/>
    <cellStyle name="_Book1 (2)_Book4 3" xfId="3310"/>
    <cellStyle name="_Book1 (2)_Book4 3 2" xfId="3311"/>
    <cellStyle name="_Book1 (2)_Book4 4" xfId="3312"/>
    <cellStyle name="_Book1 (2)_Book4_DEM-WP(C) ENERG10C--ctn Mid-C_042010 2010GRC" xfId="3313"/>
    <cellStyle name="_Book1 (2)_Book9" xfId="102"/>
    <cellStyle name="_Book1 (2)_Book9 2" xfId="3314"/>
    <cellStyle name="_Book1 (2)_Book9 2 2" xfId="3315"/>
    <cellStyle name="_Book1 (2)_Book9 2 2 2" xfId="3316"/>
    <cellStyle name="_Book1 (2)_Book9 2 3" xfId="3317"/>
    <cellStyle name="_Book1 (2)_Book9 3" xfId="3318"/>
    <cellStyle name="_Book1 (2)_Book9 3 2" xfId="3319"/>
    <cellStyle name="_Book1 (2)_Book9 4" xfId="3320"/>
    <cellStyle name="_Book1 (2)_Book9_DEM-WP(C) ENERG10C--ctn Mid-C_042010 2010GRC" xfId="3321"/>
    <cellStyle name="_Book1 (2)_Chelan PUD Power Costs (8-10)" xfId="3322"/>
    <cellStyle name="_Book1 (2)_Chelan PUD Power Costs (8-10) 2" xfId="3323"/>
    <cellStyle name="_Book1 (2)_DEM-WP(C) Chelan Power Costs" xfId="3324"/>
    <cellStyle name="_Book1 (2)_DEM-WP(C) Chelan Power Costs 2" xfId="3325"/>
    <cellStyle name="_Book1 (2)_DEM-WP(C) ENERG10C--ctn Mid-C_042010 2010GRC" xfId="3326"/>
    <cellStyle name="_Book1 (2)_DEM-WP(C) Gas Transport 2010GRC" xfId="3327"/>
    <cellStyle name="_Book1 (2)_DEM-WP(C) Gas Transport 2010GRC 2" xfId="3328"/>
    <cellStyle name="_Book1 (2)_Exh A-1 resulting from UE-112050 effective Jan 1 2012" xfId="3329"/>
    <cellStyle name="_Book1 (2)_Exh G - Klamath Peaker PPA fr C Locke 2-12" xfId="3330"/>
    <cellStyle name="_Book1 (2)_Exhibit A-1 effective 4-1-11 fr S Free 12-11" xfId="3331"/>
    <cellStyle name="_Book1 (2)_INPUTS" xfId="3332"/>
    <cellStyle name="_Book1 (2)_INPUTS 2" xfId="3333"/>
    <cellStyle name="_Book1 (2)_INPUTS 2 2" xfId="3334"/>
    <cellStyle name="_Book1 (2)_INPUTS 2 2 2" xfId="3335"/>
    <cellStyle name="_Book1 (2)_INPUTS 2 3" xfId="3336"/>
    <cellStyle name="_Book1 (2)_INPUTS 3" xfId="3337"/>
    <cellStyle name="_Book1 (2)_INPUTS 3 2" xfId="3338"/>
    <cellStyle name="_Book1 (2)_INPUTS 4" xfId="3339"/>
    <cellStyle name="_Book1 (2)_Mint Farm Generation BPA" xfId="3340"/>
    <cellStyle name="_Book1 (2)_NIM Summary" xfId="3341"/>
    <cellStyle name="_Book1 (2)_NIM Summary 09GRC" xfId="3342"/>
    <cellStyle name="_Book1 (2)_NIM Summary 09GRC 2" xfId="3343"/>
    <cellStyle name="_Book1 (2)_NIM Summary 09GRC 2 2" xfId="3344"/>
    <cellStyle name="_Book1 (2)_NIM Summary 09GRC 3" xfId="3345"/>
    <cellStyle name="_Book1 (2)_NIM Summary 09GRC_DEM-WP(C) ENERG10C--ctn Mid-C_042010 2010GRC" xfId="3346"/>
    <cellStyle name="_Book1 (2)_NIM Summary 10" xfId="3347"/>
    <cellStyle name="_Book1 (2)_NIM Summary 11" xfId="3348"/>
    <cellStyle name="_Book1 (2)_NIM Summary 12" xfId="3349"/>
    <cellStyle name="_Book1 (2)_NIM Summary 13" xfId="3350"/>
    <cellStyle name="_Book1 (2)_NIM Summary 14" xfId="3351"/>
    <cellStyle name="_Book1 (2)_NIM Summary 15" xfId="3352"/>
    <cellStyle name="_Book1 (2)_NIM Summary 16" xfId="3353"/>
    <cellStyle name="_Book1 (2)_NIM Summary 17" xfId="3354"/>
    <cellStyle name="_Book1 (2)_NIM Summary 18" xfId="3355"/>
    <cellStyle name="_Book1 (2)_NIM Summary 19" xfId="3356"/>
    <cellStyle name="_Book1 (2)_NIM Summary 2" xfId="3357"/>
    <cellStyle name="_Book1 (2)_NIM Summary 2 2" xfId="3358"/>
    <cellStyle name="_Book1 (2)_NIM Summary 20" xfId="3359"/>
    <cellStyle name="_Book1 (2)_NIM Summary 21" xfId="3360"/>
    <cellStyle name="_Book1 (2)_NIM Summary 22" xfId="3361"/>
    <cellStyle name="_Book1 (2)_NIM Summary 23" xfId="3362"/>
    <cellStyle name="_Book1 (2)_NIM Summary 24" xfId="3363"/>
    <cellStyle name="_Book1 (2)_NIM Summary 25" xfId="3364"/>
    <cellStyle name="_Book1 (2)_NIM Summary 26" xfId="3365"/>
    <cellStyle name="_Book1 (2)_NIM Summary 27" xfId="3366"/>
    <cellStyle name="_Book1 (2)_NIM Summary 28" xfId="3367"/>
    <cellStyle name="_Book1 (2)_NIM Summary 29" xfId="3368"/>
    <cellStyle name="_Book1 (2)_NIM Summary 3" xfId="3369"/>
    <cellStyle name="_Book1 (2)_NIM Summary 3 2" xfId="3370"/>
    <cellStyle name="_Book1 (2)_NIM Summary 30" xfId="3371"/>
    <cellStyle name="_Book1 (2)_NIM Summary 31" xfId="3372"/>
    <cellStyle name="_Book1 (2)_NIM Summary 32" xfId="3373"/>
    <cellStyle name="_Book1 (2)_NIM Summary 33" xfId="3374"/>
    <cellStyle name="_Book1 (2)_NIM Summary 34" xfId="3375"/>
    <cellStyle name="_Book1 (2)_NIM Summary 35" xfId="3376"/>
    <cellStyle name="_Book1 (2)_NIM Summary 36" xfId="3377"/>
    <cellStyle name="_Book1 (2)_NIM Summary 37" xfId="3378"/>
    <cellStyle name="_Book1 (2)_NIM Summary 38" xfId="3379"/>
    <cellStyle name="_Book1 (2)_NIM Summary 39" xfId="3380"/>
    <cellStyle name="_Book1 (2)_NIM Summary 4" xfId="3381"/>
    <cellStyle name="_Book1 (2)_NIM Summary 4 2" xfId="3382"/>
    <cellStyle name="_Book1 (2)_NIM Summary 40" xfId="3383"/>
    <cellStyle name="_Book1 (2)_NIM Summary 41" xfId="3384"/>
    <cellStyle name="_Book1 (2)_NIM Summary 42" xfId="3385"/>
    <cellStyle name="_Book1 (2)_NIM Summary 43" xfId="3386"/>
    <cellStyle name="_Book1 (2)_NIM Summary 44" xfId="3387"/>
    <cellStyle name="_Book1 (2)_NIM Summary 45" xfId="3388"/>
    <cellStyle name="_Book1 (2)_NIM Summary 46" xfId="3389"/>
    <cellStyle name="_Book1 (2)_NIM Summary 47" xfId="3390"/>
    <cellStyle name="_Book1 (2)_NIM Summary 48" xfId="3391"/>
    <cellStyle name="_Book1 (2)_NIM Summary 49" xfId="3392"/>
    <cellStyle name="_Book1 (2)_NIM Summary 5" xfId="3393"/>
    <cellStyle name="_Book1 (2)_NIM Summary 5 2" xfId="3394"/>
    <cellStyle name="_Book1 (2)_NIM Summary 50" xfId="3395"/>
    <cellStyle name="_Book1 (2)_NIM Summary 51" xfId="3396"/>
    <cellStyle name="_Book1 (2)_NIM Summary 52" xfId="3397"/>
    <cellStyle name="_Book1 (2)_NIM Summary 6" xfId="3398"/>
    <cellStyle name="_Book1 (2)_NIM Summary 6 2" xfId="3399"/>
    <cellStyle name="_Book1 (2)_NIM Summary 7" xfId="3400"/>
    <cellStyle name="_Book1 (2)_NIM Summary 7 2" xfId="3401"/>
    <cellStyle name="_Book1 (2)_NIM Summary 8" xfId="3402"/>
    <cellStyle name="_Book1 (2)_NIM Summary 8 2" xfId="3403"/>
    <cellStyle name="_Book1 (2)_NIM Summary 9" xfId="3404"/>
    <cellStyle name="_Book1 (2)_NIM Summary 9 2" xfId="3405"/>
    <cellStyle name="_Book1 (2)_NIM Summary_DEM-WP(C) ENERG10C--ctn Mid-C_042010 2010GRC" xfId="3406"/>
    <cellStyle name="_Book1 (2)_PCA 10 -  Exhibit D Dec 2011" xfId="3407"/>
    <cellStyle name="_Book1 (2)_PCA 10 -  Exhibit D from A Kellogg Jan 2011" xfId="3408"/>
    <cellStyle name="_Book1 (2)_PCA 10 -  Exhibit D from A Kellogg July 2011" xfId="3409"/>
    <cellStyle name="_Book1 (2)_PCA 10 -  Exhibit D from S Free Rcv'd 12-11" xfId="3410"/>
    <cellStyle name="_Book1 (2)_PCA 11 -  Exhibit D Jan 2012 fr A Kellogg" xfId="3411"/>
    <cellStyle name="_Book1 (2)_PCA 11 -  Exhibit D Jan 2012 WF" xfId="3412"/>
    <cellStyle name="_Book1 (2)_PCA 9 -  Exhibit D April 2010" xfId="3413"/>
    <cellStyle name="_Book1 (2)_PCA 9 -  Exhibit D April 2010 (3)" xfId="3414"/>
    <cellStyle name="_Book1 (2)_PCA 9 -  Exhibit D April 2010 (3) 2" xfId="3415"/>
    <cellStyle name="_Book1 (2)_PCA 9 -  Exhibit D April 2010 (3) 2 2" xfId="3416"/>
    <cellStyle name="_Book1 (2)_PCA 9 -  Exhibit D April 2010 (3) 3" xfId="3417"/>
    <cellStyle name="_Book1 (2)_PCA 9 -  Exhibit D April 2010 (3)_DEM-WP(C) ENERG10C--ctn Mid-C_042010 2010GRC" xfId="3418"/>
    <cellStyle name="_Book1 (2)_PCA 9 -  Exhibit D April 2010 2" xfId="3419"/>
    <cellStyle name="_Book1 (2)_PCA 9 -  Exhibit D April 2010 3" xfId="3420"/>
    <cellStyle name="_Book1 (2)_PCA 9 -  Exhibit D April 2010 4" xfId="3421"/>
    <cellStyle name="_Book1 (2)_PCA 9 -  Exhibit D April 2010 5" xfId="3422"/>
    <cellStyle name="_Book1 (2)_PCA 9 -  Exhibit D April 2010 6" xfId="3423"/>
    <cellStyle name="_Book1 (2)_PCA 9 -  Exhibit D Nov 2010" xfId="3424"/>
    <cellStyle name="_Book1 (2)_PCA 9 -  Exhibit D Nov 2010 2" xfId="3425"/>
    <cellStyle name="_Book1 (2)_PCA 9 - Exhibit D at August 2010" xfId="3426"/>
    <cellStyle name="_Book1 (2)_PCA 9 - Exhibit D at August 2010 2" xfId="3427"/>
    <cellStyle name="_Book1 (2)_PCA 9 - Exhibit D June 2010 GRC" xfId="3428"/>
    <cellStyle name="_Book1 (2)_PCA 9 - Exhibit D June 2010 GRC 2" xfId="3429"/>
    <cellStyle name="_Book1 (2)_Power Costs - Comparison bx Rbtl-Staff-Jt-PC" xfId="103"/>
    <cellStyle name="_Book1 (2)_Power Costs - Comparison bx Rbtl-Staff-Jt-PC 2" xfId="3430"/>
    <cellStyle name="_Book1 (2)_Power Costs - Comparison bx Rbtl-Staff-Jt-PC 2 2" xfId="3431"/>
    <cellStyle name="_Book1 (2)_Power Costs - Comparison bx Rbtl-Staff-Jt-PC 2 2 2" xfId="3432"/>
    <cellStyle name="_Book1 (2)_Power Costs - Comparison bx Rbtl-Staff-Jt-PC 2 3" xfId="3433"/>
    <cellStyle name="_Book1 (2)_Power Costs - Comparison bx Rbtl-Staff-Jt-PC 3" xfId="3434"/>
    <cellStyle name="_Book1 (2)_Power Costs - Comparison bx Rbtl-Staff-Jt-PC 3 2" xfId="3435"/>
    <cellStyle name="_Book1 (2)_Power Costs - Comparison bx Rbtl-Staff-Jt-PC 4" xfId="3436"/>
    <cellStyle name="_Book1 (2)_Power Costs - Comparison bx Rbtl-Staff-Jt-PC_Adj Bench DR 3 for Initial Briefs (Electric)" xfId="104"/>
    <cellStyle name="_Book1 (2)_Power Costs - Comparison bx Rbtl-Staff-Jt-PC_Adj Bench DR 3 for Initial Briefs (Electric) 2" xfId="3437"/>
    <cellStyle name="_Book1 (2)_Power Costs - Comparison bx Rbtl-Staff-Jt-PC_Adj Bench DR 3 for Initial Briefs (Electric) 2 2" xfId="3438"/>
    <cellStyle name="_Book1 (2)_Power Costs - Comparison bx Rbtl-Staff-Jt-PC_Adj Bench DR 3 for Initial Briefs (Electric) 2 2 2" xfId="3439"/>
    <cellStyle name="_Book1 (2)_Power Costs - Comparison bx Rbtl-Staff-Jt-PC_Adj Bench DR 3 for Initial Briefs (Electric) 2 3" xfId="3440"/>
    <cellStyle name="_Book1 (2)_Power Costs - Comparison bx Rbtl-Staff-Jt-PC_Adj Bench DR 3 for Initial Briefs (Electric) 3" xfId="3441"/>
    <cellStyle name="_Book1 (2)_Power Costs - Comparison bx Rbtl-Staff-Jt-PC_Adj Bench DR 3 for Initial Briefs (Electric) 3 2" xfId="3442"/>
    <cellStyle name="_Book1 (2)_Power Costs - Comparison bx Rbtl-Staff-Jt-PC_Adj Bench DR 3 for Initial Briefs (Electric) 4" xfId="3443"/>
    <cellStyle name="_Book1 (2)_Power Costs - Comparison bx Rbtl-Staff-Jt-PC_Adj Bench DR 3 for Initial Briefs (Electric)_DEM-WP(C) ENERG10C--ctn Mid-C_042010 2010GRC" xfId="3444"/>
    <cellStyle name="_Book1 (2)_Power Costs - Comparison bx Rbtl-Staff-Jt-PC_DEM-WP(C) ENERG10C--ctn Mid-C_042010 2010GRC" xfId="3445"/>
    <cellStyle name="_Book1 (2)_Power Costs - Comparison bx Rbtl-Staff-Jt-PC_Electric Rev Req Model (2009 GRC) Rebuttal" xfId="105"/>
    <cellStyle name="_Book1 (2)_Power Costs - Comparison bx Rbtl-Staff-Jt-PC_Electric Rev Req Model (2009 GRC) Rebuttal 2" xfId="3446"/>
    <cellStyle name="_Book1 (2)_Power Costs - Comparison bx Rbtl-Staff-Jt-PC_Electric Rev Req Model (2009 GRC) Rebuttal 2 2" xfId="3447"/>
    <cellStyle name="_Book1 (2)_Power Costs - Comparison bx Rbtl-Staff-Jt-PC_Electric Rev Req Model (2009 GRC) Rebuttal 2 2 2" xfId="3448"/>
    <cellStyle name="_Book1 (2)_Power Costs - Comparison bx Rbtl-Staff-Jt-PC_Electric Rev Req Model (2009 GRC) Rebuttal 2 3" xfId="3449"/>
    <cellStyle name="_Book1 (2)_Power Costs - Comparison bx Rbtl-Staff-Jt-PC_Electric Rev Req Model (2009 GRC) Rebuttal 3" xfId="3450"/>
    <cellStyle name="_Book1 (2)_Power Costs - Comparison bx Rbtl-Staff-Jt-PC_Electric Rev Req Model (2009 GRC) Rebuttal 3 2" xfId="3451"/>
    <cellStyle name="_Book1 (2)_Power Costs - Comparison bx Rbtl-Staff-Jt-PC_Electric Rev Req Model (2009 GRC) Rebuttal 4" xfId="3452"/>
    <cellStyle name="_Book1 (2)_Power Costs - Comparison bx Rbtl-Staff-Jt-PC_Electric Rev Req Model (2009 GRC) Rebuttal REmoval of New  WH Solar AdjustMI" xfId="106"/>
    <cellStyle name="_Book1 (2)_Power Costs - Comparison bx Rbtl-Staff-Jt-PC_Electric Rev Req Model (2009 GRC) Rebuttal REmoval of New  WH Solar AdjustMI 2" xfId="3453"/>
    <cellStyle name="_Book1 (2)_Power Costs - Comparison bx Rbtl-Staff-Jt-PC_Electric Rev Req Model (2009 GRC) Rebuttal REmoval of New  WH Solar AdjustMI 2 2" xfId="3454"/>
    <cellStyle name="_Book1 (2)_Power Costs - Comparison bx Rbtl-Staff-Jt-PC_Electric Rev Req Model (2009 GRC) Rebuttal REmoval of New  WH Solar AdjustMI 2 2 2" xfId="3455"/>
    <cellStyle name="_Book1 (2)_Power Costs - Comparison bx Rbtl-Staff-Jt-PC_Electric Rev Req Model (2009 GRC) Rebuttal REmoval of New  WH Solar AdjustMI 2 3" xfId="3456"/>
    <cellStyle name="_Book1 (2)_Power Costs - Comparison bx Rbtl-Staff-Jt-PC_Electric Rev Req Model (2009 GRC) Rebuttal REmoval of New  WH Solar AdjustMI 3" xfId="3457"/>
    <cellStyle name="_Book1 (2)_Power Costs - Comparison bx Rbtl-Staff-Jt-PC_Electric Rev Req Model (2009 GRC) Rebuttal REmoval of New  WH Solar AdjustMI 3 2" xfId="3458"/>
    <cellStyle name="_Book1 (2)_Power Costs - Comparison bx Rbtl-Staff-Jt-PC_Electric Rev Req Model (2009 GRC) Rebuttal REmoval of New  WH Solar AdjustMI 4" xfId="3459"/>
    <cellStyle name="_Book1 (2)_Power Costs - Comparison bx Rbtl-Staff-Jt-PC_Electric Rev Req Model (2009 GRC) Rebuttal REmoval of New  WH Solar AdjustMI_DEM-WP(C) ENERG10C--ctn Mid-C_042010 2010GRC" xfId="3460"/>
    <cellStyle name="_Book1 (2)_Power Costs - Comparison bx Rbtl-Staff-Jt-PC_Electric Rev Req Model (2009 GRC) Revised 01-18-2010" xfId="107"/>
    <cellStyle name="_Book1 (2)_Power Costs - Comparison bx Rbtl-Staff-Jt-PC_Electric Rev Req Model (2009 GRC) Revised 01-18-2010 2" xfId="3461"/>
    <cellStyle name="_Book1 (2)_Power Costs - Comparison bx Rbtl-Staff-Jt-PC_Electric Rev Req Model (2009 GRC) Revised 01-18-2010 2 2" xfId="3462"/>
    <cellStyle name="_Book1 (2)_Power Costs - Comparison bx Rbtl-Staff-Jt-PC_Electric Rev Req Model (2009 GRC) Revised 01-18-2010 2 2 2" xfId="3463"/>
    <cellStyle name="_Book1 (2)_Power Costs - Comparison bx Rbtl-Staff-Jt-PC_Electric Rev Req Model (2009 GRC) Revised 01-18-2010 2 3" xfId="3464"/>
    <cellStyle name="_Book1 (2)_Power Costs - Comparison bx Rbtl-Staff-Jt-PC_Electric Rev Req Model (2009 GRC) Revised 01-18-2010 3" xfId="3465"/>
    <cellStyle name="_Book1 (2)_Power Costs - Comparison bx Rbtl-Staff-Jt-PC_Electric Rev Req Model (2009 GRC) Revised 01-18-2010 3 2" xfId="3466"/>
    <cellStyle name="_Book1 (2)_Power Costs - Comparison bx Rbtl-Staff-Jt-PC_Electric Rev Req Model (2009 GRC) Revised 01-18-2010 4" xfId="3467"/>
    <cellStyle name="_Book1 (2)_Power Costs - Comparison bx Rbtl-Staff-Jt-PC_Electric Rev Req Model (2009 GRC) Revised 01-18-2010_DEM-WP(C) ENERG10C--ctn Mid-C_042010 2010GRC" xfId="3468"/>
    <cellStyle name="_Book1 (2)_Power Costs - Comparison bx Rbtl-Staff-Jt-PC_Final Order Electric EXHIBIT A-1" xfId="108"/>
    <cellStyle name="_Book1 (2)_Power Costs - Comparison bx Rbtl-Staff-Jt-PC_Final Order Electric EXHIBIT A-1 2" xfId="3469"/>
    <cellStyle name="_Book1 (2)_Power Costs - Comparison bx Rbtl-Staff-Jt-PC_Final Order Electric EXHIBIT A-1 2 2" xfId="3470"/>
    <cellStyle name="_Book1 (2)_Power Costs - Comparison bx Rbtl-Staff-Jt-PC_Final Order Electric EXHIBIT A-1 2 2 2" xfId="3471"/>
    <cellStyle name="_Book1 (2)_Power Costs - Comparison bx Rbtl-Staff-Jt-PC_Final Order Electric EXHIBIT A-1 2 3" xfId="3472"/>
    <cellStyle name="_Book1 (2)_Power Costs - Comparison bx Rbtl-Staff-Jt-PC_Final Order Electric EXHIBIT A-1 3" xfId="3473"/>
    <cellStyle name="_Book1 (2)_Power Costs - Comparison bx Rbtl-Staff-Jt-PC_Final Order Electric EXHIBIT A-1 3 2" xfId="3474"/>
    <cellStyle name="_Book1 (2)_Power Costs - Comparison bx Rbtl-Staff-Jt-PC_Final Order Electric EXHIBIT A-1 4" xfId="3475"/>
    <cellStyle name="_Book1 (2)_Production Adj 4.37" xfId="3476"/>
    <cellStyle name="_Book1 (2)_Production Adj 4.37 2" xfId="3477"/>
    <cellStyle name="_Book1 (2)_Production Adj 4.37 2 2" xfId="3478"/>
    <cellStyle name="_Book1 (2)_Production Adj 4.37 2 2 2" xfId="3479"/>
    <cellStyle name="_Book1 (2)_Production Adj 4.37 2 3" xfId="3480"/>
    <cellStyle name="_Book1 (2)_Production Adj 4.37 3" xfId="3481"/>
    <cellStyle name="_Book1 (2)_Production Adj 4.37 3 2" xfId="3482"/>
    <cellStyle name="_Book1 (2)_Production Adj 4.37 4" xfId="3483"/>
    <cellStyle name="_Book1 (2)_Purchased Power Adj 4.03" xfId="3484"/>
    <cellStyle name="_Book1 (2)_Purchased Power Adj 4.03 2" xfId="3485"/>
    <cellStyle name="_Book1 (2)_Purchased Power Adj 4.03 2 2" xfId="3486"/>
    <cellStyle name="_Book1 (2)_Purchased Power Adj 4.03 2 2 2" xfId="3487"/>
    <cellStyle name="_Book1 (2)_Purchased Power Adj 4.03 2 3" xfId="3488"/>
    <cellStyle name="_Book1 (2)_Purchased Power Adj 4.03 3" xfId="3489"/>
    <cellStyle name="_Book1 (2)_Purchased Power Adj 4.03 3 2" xfId="3490"/>
    <cellStyle name="_Book1 (2)_Purchased Power Adj 4.03 4" xfId="3491"/>
    <cellStyle name="_Book1 (2)_Rebuttal Power Costs" xfId="109"/>
    <cellStyle name="_Book1 (2)_Rebuttal Power Costs 2" xfId="3492"/>
    <cellStyle name="_Book1 (2)_Rebuttal Power Costs 2 2" xfId="3493"/>
    <cellStyle name="_Book1 (2)_Rebuttal Power Costs 2 2 2" xfId="3494"/>
    <cellStyle name="_Book1 (2)_Rebuttal Power Costs 2 3" xfId="3495"/>
    <cellStyle name="_Book1 (2)_Rebuttal Power Costs 3" xfId="3496"/>
    <cellStyle name="_Book1 (2)_Rebuttal Power Costs 3 2" xfId="3497"/>
    <cellStyle name="_Book1 (2)_Rebuttal Power Costs 4" xfId="3498"/>
    <cellStyle name="_Book1 (2)_Rebuttal Power Costs_Adj Bench DR 3 for Initial Briefs (Electric)" xfId="110"/>
    <cellStyle name="_Book1 (2)_Rebuttal Power Costs_Adj Bench DR 3 for Initial Briefs (Electric) 2" xfId="3499"/>
    <cellStyle name="_Book1 (2)_Rebuttal Power Costs_Adj Bench DR 3 for Initial Briefs (Electric) 2 2" xfId="3500"/>
    <cellStyle name="_Book1 (2)_Rebuttal Power Costs_Adj Bench DR 3 for Initial Briefs (Electric) 2 2 2" xfId="3501"/>
    <cellStyle name="_Book1 (2)_Rebuttal Power Costs_Adj Bench DR 3 for Initial Briefs (Electric) 2 3" xfId="3502"/>
    <cellStyle name="_Book1 (2)_Rebuttal Power Costs_Adj Bench DR 3 for Initial Briefs (Electric) 3" xfId="3503"/>
    <cellStyle name="_Book1 (2)_Rebuttal Power Costs_Adj Bench DR 3 for Initial Briefs (Electric) 3 2" xfId="3504"/>
    <cellStyle name="_Book1 (2)_Rebuttal Power Costs_Adj Bench DR 3 for Initial Briefs (Electric) 4" xfId="3505"/>
    <cellStyle name="_Book1 (2)_Rebuttal Power Costs_Adj Bench DR 3 for Initial Briefs (Electric)_DEM-WP(C) ENERG10C--ctn Mid-C_042010 2010GRC" xfId="3506"/>
    <cellStyle name="_Book1 (2)_Rebuttal Power Costs_DEM-WP(C) ENERG10C--ctn Mid-C_042010 2010GRC" xfId="3507"/>
    <cellStyle name="_Book1 (2)_Rebuttal Power Costs_Electric Rev Req Model (2009 GRC) Rebuttal" xfId="111"/>
    <cellStyle name="_Book1 (2)_Rebuttal Power Costs_Electric Rev Req Model (2009 GRC) Rebuttal 2" xfId="3508"/>
    <cellStyle name="_Book1 (2)_Rebuttal Power Costs_Electric Rev Req Model (2009 GRC) Rebuttal 2 2" xfId="3509"/>
    <cellStyle name="_Book1 (2)_Rebuttal Power Costs_Electric Rev Req Model (2009 GRC) Rebuttal 2 2 2" xfId="3510"/>
    <cellStyle name="_Book1 (2)_Rebuttal Power Costs_Electric Rev Req Model (2009 GRC) Rebuttal 2 3" xfId="3511"/>
    <cellStyle name="_Book1 (2)_Rebuttal Power Costs_Electric Rev Req Model (2009 GRC) Rebuttal 3" xfId="3512"/>
    <cellStyle name="_Book1 (2)_Rebuttal Power Costs_Electric Rev Req Model (2009 GRC) Rebuttal 3 2" xfId="3513"/>
    <cellStyle name="_Book1 (2)_Rebuttal Power Costs_Electric Rev Req Model (2009 GRC) Rebuttal 4" xfId="3514"/>
    <cellStyle name="_Book1 (2)_Rebuttal Power Costs_Electric Rev Req Model (2009 GRC) Rebuttal REmoval of New  WH Solar AdjustMI" xfId="112"/>
    <cellStyle name="_Book1 (2)_Rebuttal Power Costs_Electric Rev Req Model (2009 GRC) Rebuttal REmoval of New  WH Solar AdjustMI 2" xfId="3515"/>
    <cellStyle name="_Book1 (2)_Rebuttal Power Costs_Electric Rev Req Model (2009 GRC) Rebuttal REmoval of New  WH Solar AdjustMI 2 2" xfId="3516"/>
    <cellStyle name="_Book1 (2)_Rebuttal Power Costs_Electric Rev Req Model (2009 GRC) Rebuttal REmoval of New  WH Solar AdjustMI 2 2 2" xfId="3517"/>
    <cellStyle name="_Book1 (2)_Rebuttal Power Costs_Electric Rev Req Model (2009 GRC) Rebuttal REmoval of New  WH Solar AdjustMI 2 3" xfId="3518"/>
    <cellStyle name="_Book1 (2)_Rebuttal Power Costs_Electric Rev Req Model (2009 GRC) Rebuttal REmoval of New  WH Solar AdjustMI 3" xfId="3519"/>
    <cellStyle name="_Book1 (2)_Rebuttal Power Costs_Electric Rev Req Model (2009 GRC) Rebuttal REmoval of New  WH Solar AdjustMI 3 2" xfId="3520"/>
    <cellStyle name="_Book1 (2)_Rebuttal Power Costs_Electric Rev Req Model (2009 GRC) Rebuttal REmoval of New  WH Solar AdjustMI 4" xfId="3521"/>
    <cellStyle name="_Book1 (2)_Rebuttal Power Costs_Electric Rev Req Model (2009 GRC) Rebuttal REmoval of New  WH Solar AdjustMI_DEM-WP(C) ENERG10C--ctn Mid-C_042010 2010GRC" xfId="3522"/>
    <cellStyle name="_Book1 (2)_Rebuttal Power Costs_Electric Rev Req Model (2009 GRC) Revised 01-18-2010" xfId="113"/>
    <cellStyle name="_Book1 (2)_Rebuttal Power Costs_Electric Rev Req Model (2009 GRC) Revised 01-18-2010 2" xfId="3523"/>
    <cellStyle name="_Book1 (2)_Rebuttal Power Costs_Electric Rev Req Model (2009 GRC) Revised 01-18-2010 2 2" xfId="3524"/>
    <cellStyle name="_Book1 (2)_Rebuttal Power Costs_Electric Rev Req Model (2009 GRC) Revised 01-18-2010 2 2 2" xfId="3525"/>
    <cellStyle name="_Book1 (2)_Rebuttal Power Costs_Electric Rev Req Model (2009 GRC) Revised 01-18-2010 2 3" xfId="3526"/>
    <cellStyle name="_Book1 (2)_Rebuttal Power Costs_Electric Rev Req Model (2009 GRC) Revised 01-18-2010 3" xfId="3527"/>
    <cellStyle name="_Book1 (2)_Rebuttal Power Costs_Electric Rev Req Model (2009 GRC) Revised 01-18-2010 3 2" xfId="3528"/>
    <cellStyle name="_Book1 (2)_Rebuttal Power Costs_Electric Rev Req Model (2009 GRC) Revised 01-18-2010 4" xfId="3529"/>
    <cellStyle name="_Book1 (2)_Rebuttal Power Costs_Electric Rev Req Model (2009 GRC) Revised 01-18-2010_DEM-WP(C) ENERG10C--ctn Mid-C_042010 2010GRC" xfId="3530"/>
    <cellStyle name="_Book1 (2)_Rebuttal Power Costs_Final Order Electric EXHIBIT A-1" xfId="114"/>
    <cellStyle name="_Book1 (2)_Rebuttal Power Costs_Final Order Electric EXHIBIT A-1 2" xfId="3531"/>
    <cellStyle name="_Book1 (2)_Rebuttal Power Costs_Final Order Electric EXHIBIT A-1 2 2" xfId="3532"/>
    <cellStyle name="_Book1 (2)_Rebuttal Power Costs_Final Order Electric EXHIBIT A-1 2 2 2" xfId="3533"/>
    <cellStyle name="_Book1 (2)_Rebuttal Power Costs_Final Order Electric EXHIBIT A-1 2 3" xfId="3534"/>
    <cellStyle name="_Book1 (2)_Rebuttal Power Costs_Final Order Electric EXHIBIT A-1 3" xfId="3535"/>
    <cellStyle name="_Book1 (2)_Rebuttal Power Costs_Final Order Electric EXHIBIT A-1 3 2" xfId="3536"/>
    <cellStyle name="_Book1 (2)_Rebuttal Power Costs_Final Order Electric EXHIBIT A-1 4" xfId="3537"/>
    <cellStyle name="_Book1 (2)_ROR &amp; CONV FACTOR" xfId="3538"/>
    <cellStyle name="_Book1 (2)_ROR &amp; CONV FACTOR 2" xfId="3539"/>
    <cellStyle name="_Book1 (2)_ROR &amp; CONV FACTOR 2 2" xfId="3540"/>
    <cellStyle name="_Book1 (2)_ROR &amp; CONV FACTOR 2 2 2" xfId="3541"/>
    <cellStyle name="_Book1 (2)_ROR &amp; CONV FACTOR 2 3" xfId="3542"/>
    <cellStyle name="_Book1 (2)_ROR &amp; CONV FACTOR 3" xfId="3543"/>
    <cellStyle name="_Book1 (2)_ROR &amp; CONV FACTOR 3 2" xfId="3544"/>
    <cellStyle name="_Book1 (2)_ROR &amp; CONV FACTOR 4" xfId="3545"/>
    <cellStyle name="_Book1 (2)_ROR 5.02" xfId="3546"/>
    <cellStyle name="_Book1 (2)_ROR 5.02 2" xfId="3547"/>
    <cellStyle name="_Book1 (2)_ROR 5.02 2 2" xfId="3548"/>
    <cellStyle name="_Book1 (2)_ROR 5.02 2 2 2" xfId="3549"/>
    <cellStyle name="_Book1 (2)_ROR 5.02 2 3" xfId="3550"/>
    <cellStyle name="_Book1 (2)_ROR 5.02 3" xfId="3551"/>
    <cellStyle name="_Book1 (2)_ROR 5.02 3 2" xfId="3552"/>
    <cellStyle name="_Book1 (2)_ROR 5.02 4" xfId="3553"/>
    <cellStyle name="_Book1 (2)_Wind Integration 10GRC" xfId="3554"/>
    <cellStyle name="_Book1 (2)_Wind Integration 10GRC 2" xfId="3555"/>
    <cellStyle name="_Book1 (2)_Wind Integration 10GRC 2 2" xfId="3556"/>
    <cellStyle name="_Book1 (2)_Wind Integration 10GRC 3" xfId="3557"/>
    <cellStyle name="_Book1 (2)_Wind Integration 10GRC_DEM-WP(C) ENERG10C--ctn Mid-C_042010 2010GRC" xfId="3558"/>
    <cellStyle name="_Book1 10" xfId="3559"/>
    <cellStyle name="_Book1 10 2" xfId="3560"/>
    <cellStyle name="_Book1 10 2 2" xfId="3561"/>
    <cellStyle name="_Book1 10 3" xfId="3562"/>
    <cellStyle name="_Book1 11" xfId="3563"/>
    <cellStyle name="_Book1 11 2" xfId="3564"/>
    <cellStyle name="_Book1 11 2 2" xfId="3565"/>
    <cellStyle name="_Book1 11 3" xfId="3566"/>
    <cellStyle name="_Book1 12" xfId="3567"/>
    <cellStyle name="_Book1 12 2" xfId="3568"/>
    <cellStyle name="_Book1 12 2 2" xfId="3569"/>
    <cellStyle name="_Book1 12 2 3" xfId="3570"/>
    <cellStyle name="_Book1 12 3" xfId="3571"/>
    <cellStyle name="_Book1 12 3 2" xfId="3572"/>
    <cellStyle name="_Book1 13" xfId="3573"/>
    <cellStyle name="_Book1 13 2" xfId="3574"/>
    <cellStyle name="_Book1 13 2 2" xfId="3575"/>
    <cellStyle name="_Book1 13 2 3" xfId="3576"/>
    <cellStyle name="_Book1 13 3" xfId="3577"/>
    <cellStyle name="_Book1 13 3 2" xfId="3578"/>
    <cellStyle name="_Book1 14" xfId="3579"/>
    <cellStyle name="_Book1 14 2" xfId="3580"/>
    <cellStyle name="_Book1 14 2 2" xfId="3581"/>
    <cellStyle name="_Book1 14 2 3" xfId="3582"/>
    <cellStyle name="_Book1 14 3" xfId="3583"/>
    <cellStyle name="_Book1 14 3 2" xfId="3584"/>
    <cellStyle name="_Book1 15" xfId="3585"/>
    <cellStyle name="_Book1 15 2" xfId="3586"/>
    <cellStyle name="_Book1 15 2 2" xfId="3587"/>
    <cellStyle name="_Book1 15 3" xfId="3588"/>
    <cellStyle name="_Book1 16" xfId="3589"/>
    <cellStyle name="_Book1 16 2" xfId="3590"/>
    <cellStyle name="_Book1 16 2 2" xfId="3591"/>
    <cellStyle name="_Book1 16 3" xfId="3592"/>
    <cellStyle name="_Book1 17" xfId="3593"/>
    <cellStyle name="_Book1 17 2" xfId="3594"/>
    <cellStyle name="_Book1 18" xfId="3595"/>
    <cellStyle name="_Book1 18 2" xfId="3596"/>
    <cellStyle name="_Book1 19" xfId="3597"/>
    <cellStyle name="_Book1 19 2" xfId="3598"/>
    <cellStyle name="_Book1 2" xfId="115"/>
    <cellStyle name="_Book1 2 2" xfId="3599"/>
    <cellStyle name="_Book1 2 2 2" xfId="3600"/>
    <cellStyle name="_Book1 2 2 2 2" xfId="3601"/>
    <cellStyle name="_Book1 2 2 3" xfId="3602"/>
    <cellStyle name="_Book1 2 3" xfId="3603"/>
    <cellStyle name="_Book1 2 3 2" xfId="3604"/>
    <cellStyle name="_Book1 2 4" xfId="3605"/>
    <cellStyle name="_Book1 20" xfId="3606"/>
    <cellStyle name="_Book1 20 2" xfId="3607"/>
    <cellStyle name="_Book1 21" xfId="3608"/>
    <cellStyle name="_Book1 21 2" xfId="3609"/>
    <cellStyle name="_Book1 22" xfId="3610"/>
    <cellStyle name="_Book1 22 2" xfId="3611"/>
    <cellStyle name="_Book1 23" xfId="3612"/>
    <cellStyle name="_Book1 23 2" xfId="3613"/>
    <cellStyle name="_Book1 24" xfId="3614"/>
    <cellStyle name="_Book1 24 2" xfId="3615"/>
    <cellStyle name="_Book1 25" xfId="3616"/>
    <cellStyle name="_Book1 25 2" xfId="3617"/>
    <cellStyle name="_Book1 26" xfId="3618"/>
    <cellStyle name="_Book1 26 2" xfId="3619"/>
    <cellStyle name="_Book1 27" xfId="3620"/>
    <cellStyle name="_Book1 27 2" xfId="3621"/>
    <cellStyle name="_Book1 28" xfId="3622"/>
    <cellStyle name="_Book1 28 2" xfId="3623"/>
    <cellStyle name="_Book1 29" xfId="3624"/>
    <cellStyle name="_Book1 29 2" xfId="3625"/>
    <cellStyle name="_Book1 3" xfId="3626"/>
    <cellStyle name="_Book1 3 2" xfId="3627"/>
    <cellStyle name="_Book1 3 2 2" xfId="3628"/>
    <cellStyle name="_Book1 3 3" xfId="3629"/>
    <cellStyle name="_Book1 30" xfId="3630"/>
    <cellStyle name="_Book1 30 2" xfId="3631"/>
    <cellStyle name="_Book1 31" xfId="3632"/>
    <cellStyle name="_Book1 32" xfId="3633"/>
    <cellStyle name="_Book1 33" xfId="3634"/>
    <cellStyle name="_Book1 33 2" xfId="3635"/>
    <cellStyle name="_Book1 34" xfId="3636"/>
    <cellStyle name="_Book1 34 2" xfId="3637"/>
    <cellStyle name="_Book1 35" xfId="3638"/>
    <cellStyle name="_Book1 35 2" xfId="3639"/>
    <cellStyle name="_Book1 36" xfId="3640"/>
    <cellStyle name="_Book1 4" xfId="3641"/>
    <cellStyle name="_Book1 4 2" xfId="3642"/>
    <cellStyle name="_Book1 4 2 2" xfId="3643"/>
    <cellStyle name="_Book1 4 3" xfId="3644"/>
    <cellStyle name="_Book1 5" xfId="3645"/>
    <cellStyle name="_Book1 5 2" xfId="3646"/>
    <cellStyle name="_Book1 5 2 2" xfId="3647"/>
    <cellStyle name="_Book1 5 3" xfId="3648"/>
    <cellStyle name="_Book1 6" xfId="3649"/>
    <cellStyle name="_Book1 6 2" xfId="3650"/>
    <cellStyle name="_Book1 6 2 2" xfId="3651"/>
    <cellStyle name="_Book1 6 3" xfId="3652"/>
    <cellStyle name="_Book1 7" xfId="3653"/>
    <cellStyle name="_Book1 7 2" xfId="3654"/>
    <cellStyle name="_Book1 7 2 2" xfId="3655"/>
    <cellStyle name="_Book1 7 3" xfId="3656"/>
    <cellStyle name="_Book1 8" xfId="3657"/>
    <cellStyle name="_Book1 8 2" xfId="3658"/>
    <cellStyle name="_Book1 8 2 2" xfId="3659"/>
    <cellStyle name="_Book1 8 3" xfId="3660"/>
    <cellStyle name="_Book1 9" xfId="3661"/>
    <cellStyle name="_Book1 9 2" xfId="3662"/>
    <cellStyle name="_Book1 9 2 2" xfId="3663"/>
    <cellStyle name="_Book1 9 3" xfId="3664"/>
    <cellStyle name="_Book1_(C) WHE Proforma with ITC cash grant 10 Yr Amort_for deferral_102809" xfId="116"/>
    <cellStyle name="_Book1_(C) WHE Proforma with ITC cash grant 10 Yr Amort_for deferral_102809 2" xfId="3665"/>
    <cellStyle name="_Book1_(C) WHE Proforma with ITC cash grant 10 Yr Amort_for deferral_102809 2 2" xfId="3666"/>
    <cellStyle name="_Book1_(C) WHE Proforma with ITC cash grant 10 Yr Amort_for deferral_102809 2 2 2" xfId="3667"/>
    <cellStyle name="_Book1_(C) WHE Proforma with ITC cash grant 10 Yr Amort_for deferral_102809 2 3" xfId="3668"/>
    <cellStyle name="_Book1_(C) WHE Proforma with ITC cash grant 10 Yr Amort_for deferral_102809 3" xfId="3669"/>
    <cellStyle name="_Book1_(C) WHE Proforma with ITC cash grant 10 Yr Amort_for deferral_102809 3 2" xfId="3670"/>
    <cellStyle name="_Book1_(C) WHE Proforma with ITC cash grant 10 Yr Amort_for deferral_102809 4" xfId="3671"/>
    <cellStyle name="_Book1_(C) WHE Proforma with ITC cash grant 10 Yr Amort_for deferral_102809_16.07E Wild Horse Wind Expansionwrkingfile" xfId="117"/>
    <cellStyle name="_Book1_(C) WHE Proforma with ITC cash grant 10 Yr Amort_for deferral_102809_16.07E Wild Horse Wind Expansionwrkingfile 2" xfId="3672"/>
    <cellStyle name="_Book1_(C) WHE Proforma with ITC cash grant 10 Yr Amort_for deferral_102809_16.07E Wild Horse Wind Expansionwrkingfile 2 2" xfId="3673"/>
    <cellStyle name="_Book1_(C) WHE Proforma with ITC cash grant 10 Yr Amort_for deferral_102809_16.07E Wild Horse Wind Expansionwrkingfile 2 2 2" xfId="3674"/>
    <cellStyle name="_Book1_(C) WHE Proforma with ITC cash grant 10 Yr Amort_for deferral_102809_16.07E Wild Horse Wind Expansionwrkingfile 2 3" xfId="3675"/>
    <cellStyle name="_Book1_(C) WHE Proforma with ITC cash grant 10 Yr Amort_for deferral_102809_16.07E Wild Horse Wind Expansionwrkingfile 3" xfId="3676"/>
    <cellStyle name="_Book1_(C) WHE Proforma with ITC cash grant 10 Yr Amort_for deferral_102809_16.07E Wild Horse Wind Expansionwrkingfile 3 2" xfId="3677"/>
    <cellStyle name="_Book1_(C) WHE Proforma with ITC cash grant 10 Yr Amort_for deferral_102809_16.07E Wild Horse Wind Expansionwrkingfile 4" xfId="3678"/>
    <cellStyle name="_Book1_(C) WHE Proforma with ITC cash grant 10 Yr Amort_for deferral_102809_16.07E Wild Horse Wind Expansionwrkingfile SF" xfId="118"/>
    <cellStyle name="_Book1_(C) WHE Proforma with ITC cash grant 10 Yr Amort_for deferral_102809_16.07E Wild Horse Wind Expansionwrkingfile SF 2" xfId="3679"/>
    <cellStyle name="_Book1_(C) WHE Proforma with ITC cash grant 10 Yr Amort_for deferral_102809_16.07E Wild Horse Wind Expansionwrkingfile SF 2 2" xfId="3680"/>
    <cellStyle name="_Book1_(C) WHE Proforma with ITC cash grant 10 Yr Amort_for deferral_102809_16.07E Wild Horse Wind Expansionwrkingfile SF 2 2 2" xfId="3681"/>
    <cellStyle name="_Book1_(C) WHE Proforma with ITC cash grant 10 Yr Amort_for deferral_102809_16.07E Wild Horse Wind Expansionwrkingfile SF 2 3" xfId="3682"/>
    <cellStyle name="_Book1_(C) WHE Proforma with ITC cash grant 10 Yr Amort_for deferral_102809_16.07E Wild Horse Wind Expansionwrkingfile SF 3" xfId="3683"/>
    <cellStyle name="_Book1_(C) WHE Proforma with ITC cash grant 10 Yr Amort_for deferral_102809_16.07E Wild Horse Wind Expansionwrkingfile SF 3 2" xfId="3684"/>
    <cellStyle name="_Book1_(C) WHE Proforma with ITC cash grant 10 Yr Amort_for deferral_102809_16.07E Wild Horse Wind Expansionwrkingfile SF 4" xfId="3685"/>
    <cellStyle name="_Book1_(C) WHE Proforma with ITC cash grant 10 Yr Amort_for deferral_102809_16.07E Wild Horse Wind Expansionwrkingfile SF_DEM-WP(C) ENERG10C--ctn Mid-C_042010 2010GRC" xfId="3686"/>
    <cellStyle name="_Book1_(C) WHE Proforma with ITC cash grant 10 Yr Amort_for deferral_102809_16.07E Wild Horse Wind Expansionwrkingfile_DEM-WP(C) ENERG10C--ctn Mid-C_042010 2010GRC" xfId="3687"/>
    <cellStyle name="_Book1_(C) WHE Proforma with ITC cash grant 10 Yr Amort_for deferral_102809_16.37E Wild Horse Expansion DeferralRevwrkingfile SF" xfId="119"/>
    <cellStyle name="_Book1_(C) WHE Proforma with ITC cash grant 10 Yr Amort_for deferral_102809_16.37E Wild Horse Expansion DeferralRevwrkingfile SF 2" xfId="3688"/>
    <cellStyle name="_Book1_(C) WHE Proforma with ITC cash grant 10 Yr Amort_for deferral_102809_16.37E Wild Horse Expansion DeferralRevwrkingfile SF 2 2" xfId="3689"/>
    <cellStyle name="_Book1_(C) WHE Proforma with ITC cash grant 10 Yr Amort_for deferral_102809_16.37E Wild Horse Expansion DeferralRevwrkingfile SF 2 2 2" xfId="3690"/>
    <cellStyle name="_Book1_(C) WHE Proforma with ITC cash grant 10 Yr Amort_for deferral_102809_16.37E Wild Horse Expansion DeferralRevwrkingfile SF 2 3" xfId="3691"/>
    <cellStyle name="_Book1_(C) WHE Proforma with ITC cash grant 10 Yr Amort_for deferral_102809_16.37E Wild Horse Expansion DeferralRevwrkingfile SF 3" xfId="3692"/>
    <cellStyle name="_Book1_(C) WHE Proforma with ITC cash grant 10 Yr Amort_for deferral_102809_16.37E Wild Horse Expansion DeferralRevwrkingfile SF 3 2" xfId="3693"/>
    <cellStyle name="_Book1_(C) WHE Proforma with ITC cash grant 10 Yr Amort_for deferral_102809_16.37E Wild Horse Expansion DeferralRevwrkingfile SF 4" xfId="3694"/>
    <cellStyle name="_Book1_(C) WHE Proforma with ITC cash grant 10 Yr Amort_for deferral_102809_16.37E Wild Horse Expansion DeferralRevwrkingfile SF_DEM-WP(C) ENERG10C--ctn Mid-C_042010 2010GRC" xfId="3695"/>
    <cellStyle name="_Book1_(C) WHE Proforma with ITC cash grant 10 Yr Amort_for deferral_102809_DEM-WP(C) ENERG10C--ctn Mid-C_042010 2010GRC" xfId="3696"/>
    <cellStyle name="_Book1_(C) WHE Proforma with ITC cash grant 10 Yr Amort_for rebuttal_120709" xfId="120"/>
    <cellStyle name="_Book1_(C) WHE Proforma with ITC cash grant 10 Yr Amort_for rebuttal_120709 2" xfId="3697"/>
    <cellStyle name="_Book1_(C) WHE Proforma with ITC cash grant 10 Yr Amort_for rebuttal_120709 2 2" xfId="3698"/>
    <cellStyle name="_Book1_(C) WHE Proforma with ITC cash grant 10 Yr Amort_for rebuttal_120709 2 2 2" xfId="3699"/>
    <cellStyle name="_Book1_(C) WHE Proforma with ITC cash grant 10 Yr Amort_for rebuttal_120709 2 3" xfId="3700"/>
    <cellStyle name="_Book1_(C) WHE Proforma with ITC cash grant 10 Yr Amort_for rebuttal_120709 3" xfId="3701"/>
    <cellStyle name="_Book1_(C) WHE Proforma with ITC cash grant 10 Yr Amort_for rebuttal_120709 3 2" xfId="3702"/>
    <cellStyle name="_Book1_(C) WHE Proforma with ITC cash grant 10 Yr Amort_for rebuttal_120709 4" xfId="3703"/>
    <cellStyle name="_Book1_(C) WHE Proforma with ITC cash grant 10 Yr Amort_for rebuttal_120709_DEM-WP(C) ENERG10C--ctn Mid-C_042010 2010GRC" xfId="3704"/>
    <cellStyle name="_Book1_04.07E Wild Horse Wind Expansion" xfId="121"/>
    <cellStyle name="_Book1_04.07E Wild Horse Wind Expansion 2" xfId="3705"/>
    <cellStyle name="_Book1_04.07E Wild Horse Wind Expansion 2 2" xfId="3706"/>
    <cellStyle name="_Book1_04.07E Wild Horse Wind Expansion 2 2 2" xfId="3707"/>
    <cellStyle name="_Book1_04.07E Wild Horse Wind Expansion 2 3" xfId="3708"/>
    <cellStyle name="_Book1_04.07E Wild Horse Wind Expansion 3" xfId="3709"/>
    <cellStyle name="_Book1_04.07E Wild Horse Wind Expansion 3 2" xfId="3710"/>
    <cellStyle name="_Book1_04.07E Wild Horse Wind Expansion 4" xfId="3711"/>
    <cellStyle name="_Book1_04.07E Wild Horse Wind Expansion_16.07E Wild Horse Wind Expansionwrkingfile" xfId="122"/>
    <cellStyle name="_Book1_04.07E Wild Horse Wind Expansion_16.07E Wild Horse Wind Expansionwrkingfile 2" xfId="3712"/>
    <cellStyle name="_Book1_04.07E Wild Horse Wind Expansion_16.07E Wild Horse Wind Expansionwrkingfile 2 2" xfId="3713"/>
    <cellStyle name="_Book1_04.07E Wild Horse Wind Expansion_16.07E Wild Horse Wind Expansionwrkingfile 2 2 2" xfId="3714"/>
    <cellStyle name="_Book1_04.07E Wild Horse Wind Expansion_16.07E Wild Horse Wind Expansionwrkingfile 2 3" xfId="3715"/>
    <cellStyle name="_Book1_04.07E Wild Horse Wind Expansion_16.07E Wild Horse Wind Expansionwrkingfile 3" xfId="3716"/>
    <cellStyle name="_Book1_04.07E Wild Horse Wind Expansion_16.07E Wild Horse Wind Expansionwrkingfile 3 2" xfId="3717"/>
    <cellStyle name="_Book1_04.07E Wild Horse Wind Expansion_16.07E Wild Horse Wind Expansionwrkingfile 4" xfId="3718"/>
    <cellStyle name="_Book1_04.07E Wild Horse Wind Expansion_16.07E Wild Horse Wind Expansionwrkingfile SF" xfId="123"/>
    <cellStyle name="_Book1_04.07E Wild Horse Wind Expansion_16.07E Wild Horse Wind Expansionwrkingfile SF 2" xfId="3719"/>
    <cellStyle name="_Book1_04.07E Wild Horse Wind Expansion_16.07E Wild Horse Wind Expansionwrkingfile SF 2 2" xfId="3720"/>
    <cellStyle name="_Book1_04.07E Wild Horse Wind Expansion_16.07E Wild Horse Wind Expansionwrkingfile SF 2 2 2" xfId="3721"/>
    <cellStyle name="_Book1_04.07E Wild Horse Wind Expansion_16.07E Wild Horse Wind Expansionwrkingfile SF 2 3" xfId="3722"/>
    <cellStyle name="_Book1_04.07E Wild Horse Wind Expansion_16.07E Wild Horse Wind Expansionwrkingfile SF 3" xfId="3723"/>
    <cellStyle name="_Book1_04.07E Wild Horse Wind Expansion_16.07E Wild Horse Wind Expansionwrkingfile SF 3 2" xfId="3724"/>
    <cellStyle name="_Book1_04.07E Wild Horse Wind Expansion_16.07E Wild Horse Wind Expansionwrkingfile SF 4" xfId="3725"/>
    <cellStyle name="_Book1_04.07E Wild Horse Wind Expansion_16.07E Wild Horse Wind Expansionwrkingfile SF_DEM-WP(C) ENERG10C--ctn Mid-C_042010 2010GRC" xfId="3726"/>
    <cellStyle name="_Book1_04.07E Wild Horse Wind Expansion_16.07E Wild Horse Wind Expansionwrkingfile_DEM-WP(C) ENERG10C--ctn Mid-C_042010 2010GRC" xfId="3727"/>
    <cellStyle name="_Book1_04.07E Wild Horse Wind Expansion_16.37E Wild Horse Expansion DeferralRevwrkingfile SF" xfId="124"/>
    <cellStyle name="_Book1_04.07E Wild Horse Wind Expansion_16.37E Wild Horse Expansion DeferralRevwrkingfile SF 2" xfId="3728"/>
    <cellStyle name="_Book1_04.07E Wild Horse Wind Expansion_16.37E Wild Horse Expansion DeferralRevwrkingfile SF 2 2" xfId="3729"/>
    <cellStyle name="_Book1_04.07E Wild Horse Wind Expansion_16.37E Wild Horse Expansion DeferralRevwrkingfile SF 2 2 2" xfId="3730"/>
    <cellStyle name="_Book1_04.07E Wild Horse Wind Expansion_16.37E Wild Horse Expansion DeferralRevwrkingfile SF 2 3" xfId="3731"/>
    <cellStyle name="_Book1_04.07E Wild Horse Wind Expansion_16.37E Wild Horse Expansion DeferralRevwrkingfile SF 3" xfId="3732"/>
    <cellStyle name="_Book1_04.07E Wild Horse Wind Expansion_16.37E Wild Horse Expansion DeferralRevwrkingfile SF 3 2" xfId="3733"/>
    <cellStyle name="_Book1_04.07E Wild Horse Wind Expansion_16.37E Wild Horse Expansion DeferralRevwrkingfile SF 4" xfId="3734"/>
    <cellStyle name="_Book1_04.07E Wild Horse Wind Expansion_16.37E Wild Horse Expansion DeferralRevwrkingfile SF_DEM-WP(C) ENERG10C--ctn Mid-C_042010 2010GRC" xfId="3735"/>
    <cellStyle name="_Book1_04.07E Wild Horse Wind Expansion_DEM-WP(C) ENERG10C--ctn Mid-C_042010 2010GRC" xfId="3736"/>
    <cellStyle name="_Book1_16.07E Wild Horse Wind Expansionwrkingfile" xfId="125"/>
    <cellStyle name="_Book1_16.07E Wild Horse Wind Expansionwrkingfile 2" xfId="3737"/>
    <cellStyle name="_Book1_16.07E Wild Horse Wind Expansionwrkingfile 2 2" xfId="3738"/>
    <cellStyle name="_Book1_16.07E Wild Horse Wind Expansionwrkingfile 2 2 2" xfId="3739"/>
    <cellStyle name="_Book1_16.07E Wild Horse Wind Expansionwrkingfile 2 3" xfId="3740"/>
    <cellStyle name="_Book1_16.07E Wild Horse Wind Expansionwrkingfile 3" xfId="3741"/>
    <cellStyle name="_Book1_16.07E Wild Horse Wind Expansionwrkingfile 3 2" xfId="3742"/>
    <cellStyle name="_Book1_16.07E Wild Horse Wind Expansionwrkingfile 4" xfId="3743"/>
    <cellStyle name="_Book1_16.07E Wild Horse Wind Expansionwrkingfile SF" xfId="126"/>
    <cellStyle name="_Book1_16.07E Wild Horse Wind Expansionwrkingfile SF 2" xfId="3744"/>
    <cellStyle name="_Book1_16.07E Wild Horse Wind Expansionwrkingfile SF 2 2" xfId="3745"/>
    <cellStyle name="_Book1_16.07E Wild Horse Wind Expansionwrkingfile SF 2 2 2" xfId="3746"/>
    <cellStyle name="_Book1_16.07E Wild Horse Wind Expansionwrkingfile SF 2 3" xfId="3747"/>
    <cellStyle name="_Book1_16.07E Wild Horse Wind Expansionwrkingfile SF 3" xfId="3748"/>
    <cellStyle name="_Book1_16.07E Wild Horse Wind Expansionwrkingfile SF 3 2" xfId="3749"/>
    <cellStyle name="_Book1_16.07E Wild Horse Wind Expansionwrkingfile SF 4" xfId="3750"/>
    <cellStyle name="_Book1_16.07E Wild Horse Wind Expansionwrkingfile SF_DEM-WP(C) ENERG10C--ctn Mid-C_042010 2010GRC" xfId="3751"/>
    <cellStyle name="_Book1_16.07E Wild Horse Wind Expansionwrkingfile_DEM-WP(C) ENERG10C--ctn Mid-C_042010 2010GRC" xfId="3752"/>
    <cellStyle name="_Book1_16.37E Wild Horse Expansion DeferralRevwrkingfile SF" xfId="127"/>
    <cellStyle name="_Book1_16.37E Wild Horse Expansion DeferralRevwrkingfile SF 2" xfId="3753"/>
    <cellStyle name="_Book1_16.37E Wild Horse Expansion DeferralRevwrkingfile SF 2 2" xfId="3754"/>
    <cellStyle name="_Book1_16.37E Wild Horse Expansion DeferralRevwrkingfile SF 2 2 2" xfId="3755"/>
    <cellStyle name="_Book1_16.37E Wild Horse Expansion DeferralRevwrkingfile SF 2 3" xfId="3756"/>
    <cellStyle name="_Book1_16.37E Wild Horse Expansion DeferralRevwrkingfile SF 3" xfId="3757"/>
    <cellStyle name="_Book1_16.37E Wild Horse Expansion DeferralRevwrkingfile SF 3 2" xfId="3758"/>
    <cellStyle name="_Book1_16.37E Wild Horse Expansion DeferralRevwrkingfile SF 4" xfId="3759"/>
    <cellStyle name="_Book1_16.37E Wild Horse Expansion DeferralRevwrkingfile SF_DEM-WP(C) ENERG10C--ctn Mid-C_042010 2010GRC" xfId="3760"/>
    <cellStyle name="_Book1_2009 Compliance Filing PCA Exhibits for GRC" xfId="3761"/>
    <cellStyle name="_Book1_2009 Compliance Filing PCA Exhibits for GRC 2" xfId="3762"/>
    <cellStyle name="_Book1_2009 GRC Compl Filing - Exhibit D" xfId="128"/>
    <cellStyle name="_Book1_2009 GRC Compl Filing - Exhibit D 2" xfId="3763"/>
    <cellStyle name="_Book1_2009 GRC Compl Filing - Exhibit D 2 2" xfId="3764"/>
    <cellStyle name="_Book1_2009 GRC Compl Filing - Exhibit D 3" xfId="3765"/>
    <cellStyle name="_Book1_2009 GRC Compl Filing - Exhibit D_DEM-WP(C) ENERG10C--ctn Mid-C_042010 2010GRC" xfId="3766"/>
    <cellStyle name="_Book1_3.01 Income Statement" xfId="129"/>
    <cellStyle name="_Book1_4 31 Regulatory Assets and Liabilities  7 06- Exhibit D" xfId="130"/>
    <cellStyle name="_Book1_4 31 Regulatory Assets and Liabilities  7 06- Exhibit D 2" xfId="3767"/>
    <cellStyle name="_Book1_4 31 Regulatory Assets and Liabilities  7 06- Exhibit D 2 2" xfId="3768"/>
    <cellStyle name="_Book1_4 31 Regulatory Assets and Liabilities  7 06- Exhibit D 2 2 2" xfId="3769"/>
    <cellStyle name="_Book1_4 31 Regulatory Assets and Liabilities  7 06- Exhibit D 3" xfId="3770"/>
    <cellStyle name="_Book1_4 31 Regulatory Assets and Liabilities  7 06- Exhibit D 3 2" xfId="3771"/>
    <cellStyle name="_Book1_4 31 Regulatory Assets and Liabilities  7 06- Exhibit D_DEM-WP(C) ENERG10C--ctn Mid-C_042010 2010GRC" xfId="3772"/>
    <cellStyle name="_Book1_4 31 Regulatory Assets and Liabilities  7 06- Exhibit D_NIM Summary" xfId="3773"/>
    <cellStyle name="_Book1_4 31 Regulatory Assets and Liabilities  7 06- Exhibit D_NIM Summary 2" xfId="3774"/>
    <cellStyle name="_Book1_4 31 Regulatory Assets and Liabilities  7 06- Exhibit D_NIM Summary 2 2" xfId="3775"/>
    <cellStyle name="_Book1_4 31 Regulatory Assets and Liabilities  7 06- Exhibit D_NIM Summary 3" xfId="3776"/>
    <cellStyle name="_Book1_4 31 Regulatory Assets and Liabilities  7 06- Exhibit D_NIM Summary_DEM-WP(C) ENERG10C--ctn Mid-C_042010 2010GRC" xfId="3777"/>
    <cellStyle name="_Book1_4 31 Regulatory Assets and Liabilities  7 06- Exhibit D_NIM+O&amp;M" xfId="3778"/>
    <cellStyle name="_Book1_4 31 Regulatory Assets and Liabilities  7 06- Exhibit D_NIM+O&amp;M 2" xfId="3779"/>
    <cellStyle name="_Book1_4 31 Regulatory Assets and Liabilities  7 06- Exhibit D_NIM+O&amp;M Monthly" xfId="3780"/>
    <cellStyle name="_Book1_4 31 Regulatory Assets and Liabilities  7 06- Exhibit D_NIM+O&amp;M Monthly 2" xfId="3781"/>
    <cellStyle name="_Book1_4 31E Reg Asset  Liab and EXH D" xfId="3782"/>
    <cellStyle name="_Book1_4 31E Reg Asset  Liab and EXH D _ Aug 10 Filing (2)" xfId="3783"/>
    <cellStyle name="_Book1_4 31E Reg Asset  Liab and EXH D _ Aug 10 Filing (2) 2" xfId="3784"/>
    <cellStyle name="_Book1_4 31E Reg Asset  Liab and EXH D 10" xfId="3785"/>
    <cellStyle name="_Book1_4 31E Reg Asset  Liab and EXH D 11" xfId="3786"/>
    <cellStyle name="_Book1_4 31E Reg Asset  Liab and EXH D 12" xfId="3787"/>
    <cellStyle name="_Book1_4 31E Reg Asset  Liab and EXH D 13" xfId="3788"/>
    <cellStyle name="_Book1_4 31E Reg Asset  Liab and EXH D 14" xfId="3789"/>
    <cellStyle name="_Book1_4 31E Reg Asset  Liab and EXH D 15" xfId="3790"/>
    <cellStyle name="_Book1_4 31E Reg Asset  Liab and EXH D 16" xfId="3791"/>
    <cellStyle name="_Book1_4 31E Reg Asset  Liab and EXH D 17" xfId="3792"/>
    <cellStyle name="_Book1_4 31E Reg Asset  Liab and EXH D 18" xfId="3793"/>
    <cellStyle name="_Book1_4 31E Reg Asset  Liab and EXH D 19" xfId="3794"/>
    <cellStyle name="_Book1_4 31E Reg Asset  Liab and EXH D 2" xfId="3795"/>
    <cellStyle name="_Book1_4 31E Reg Asset  Liab and EXH D 20" xfId="3796"/>
    <cellStyle name="_Book1_4 31E Reg Asset  Liab and EXH D 21" xfId="3797"/>
    <cellStyle name="_Book1_4 31E Reg Asset  Liab and EXH D 22" xfId="3798"/>
    <cellStyle name="_Book1_4 31E Reg Asset  Liab and EXH D 23" xfId="3799"/>
    <cellStyle name="_Book1_4 31E Reg Asset  Liab and EXH D 24" xfId="3800"/>
    <cellStyle name="_Book1_4 31E Reg Asset  Liab and EXH D 25" xfId="3801"/>
    <cellStyle name="_Book1_4 31E Reg Asset  Liab and EXH D 26" xfId="3802"/>
    <cellStyle name="_Book1_4 31E Reg Asset  Liab and EXH D 27" xfId="3803"/>
    <cellStyle name="_Book1_4 31E Reg Asset  Liab and EXH D 28" xfId="3804"/>
    <cellStyle name="_Book1_4 31E Reg Asset  Liab and EXH D 29" xfId="3805"/>
    <cellStyle name="_Book1_4 31E Reg Asset  Liab and EXH D 3" xfId="3806"/>
    <cellStyle name="_Book1_4 31E Reg Asset  Liab and EXH D 30" xfId="3807"/>
    <cellStyle name="_Book1_4 31E Reg Asset  Liab and EXH D 31" xfId="3808"/>
    <cellStyle name="_Book1_4 31E Reg Asset  Liab and EXH D 32" xfId="3809"/>
    <cellStyle name="_Book1_4 31E Reg Asset  Liab and EXH D 33" xfId="3810"/>
    <cellStyle name="_Book1_4 31E Reg Asset  Liab and EXH D 34" xfId="3811"/>
    <cellStyle name="_Book1_4 31E Reg Asset  Liab and EXH D 35" xfId="3812"/>
    <cellStyle name="_Book1_4 31E Reg Asset  Liab and EXH D 36" xfId="3813"/>
    <cellStyle name="_Book1_4 31E Reg Asset  Liab and EXH D 4" xfId="3814"/>
    <cellStyle name="_Book1_4 31E Reg Asset  Liab and EXH D 5" xfId="3815"/>
    <cellStyle name="_Book1_4 31E Reg Asset  Liab and EXH D 6" xfId="3816"/>
    <cellStyle name="_Book1_4 31E Reg Asset  Liab and EXH D 7" xfId="3817"/>
    <cellStyle name="_Book1_4 31E Reg Asset  Liab and EXH D 8" xfId="3818"/>
    <cellStyle name="_Book1_4 31E Reg Asset  Liab and EXH D 9" xfId="3819"/>
    <cellStyle name="_Book1_4 32 Regulatory Assets and Liabilities  7 06- Exhibit D" xfId="131"/>
    <cellStyle name="_Book1_4 32 Regulatory Assets and Liabilities  7 06- Exhibit D 2" xfId="3820"/>
    <cellStyle name="_Book1_4 32 Regulatory Assets and Liabilities  7 06- Exhibit D 2 2" xfId="3821"/>
    <cellStyle name="_Book1_4 32 Regulatory Assets and Liabilities  7 06- Exhibit D 2 2 2" xfId="3822"/>
    <cellStyle name="_Book1_4 32 Regulatory Assets and Liabilities  7 06- Exhibit D 3" xfId="3823"/>
    <cellStyle name="_Book1_4 32 Regulatory Assets and Liabilities  7 06- Exhibit D 3 2" xfId="3824"/>
    <cellStyle name="_Book1_4 32 Regulatory Assets and Liabilities  7 06- Exhibit D_DEM-WP(C) ENERG10C--ctn Mid-C_042010 2010GRC" xfId="3825"/>
    <cellStyle name="_Book1_4 32 Regulatory Assets and Liabilities  7 06- Exhibit D_NIM Summary" xfId="3826"/>
    <cellStyle name="_Book1_4 32 Regulatory Assets and Liabilities  7 06- Exhibit D_NIM Summary 2" xfId="3827"/>
    <cellStyle name="_Book1_4 32 Regulatory Assets and Liabilities  7 06- Exhibit D_NIM Summary 2 2" xfId="3828"/>
    <cellStyle name="_Book1_4 32 Regulatory Assets and Liabilities  7 06- Exhibit D_NIM Summary 3" xfId="3829"/>
    <cellStyle name="_Book1_4 32 Regulatory Assets and Liabilities  7 06- Exhibit D_NIM Summary_DEM-WP(C) ENERG10C--ctn Mid-C_042010 2010GRC" xfId="3830"/>
    <cellStyle name="_Book1_4 32 Regulatory Assets and Liabilities  7 06- Exhibit D_NIM+O&amp;M" xfId="3831"/>
    <cellStyle name="_Book1_4 32 Regulatory Assets and Liabilities  7 06- Exhibit D_NIM+O&amp;M 2" xfId="3832"/>
    <cellStyle name="_Book1_4 32 Regulatory Assets and Liabilities  7 06- Exhibit D_NIM+O&amp;M Monthly" xfId="3833"/>
    <cellStyle name="_Book1_4 32 Regulatory Assets and Liabilities  7 06- Exhibit D_NIM+O&amp;M Monthly 2" xfId="3834"/>
    <cellStyle name="_Book1_AURORA Total New" xfId="3835"/>
    <cellStyle name="_Book1_AURORA Total New 2" xfId="3836"/>
    <cellStyle name="_Book1_AURORA Total New 2 2" xfId="3837"/>
    <cellStyle name="_Book1_AURORA Total New 3" xfId="3838"/>
    <cellStyle name="_Book1_Book1" xfId="3839"/>
    <cellStyle name="_Book1_Book2" xfId="132"/>
    <cellStyle name="_Book1_Book2 2" xfId="3840"/>
    <cellStyle name="_Book1_Book2 2 2" xfId="3841"/>
    <cellStyle name="_Book1_Book2 2 2 2" xfId="3842"/>
    <cellStyle name="_Book1_Book2 2 3" xfId="3843"/>
    <cellStyle name="_Book1_Book2 3" xfId="3844"/>
    <cellStyle name="_Book1_Book2 3 2" xfId="3845"/>
    <cellStyle name="_Book1_Book2 4" xfId="3846"/>
    <cellStyle name="_Book1_Book2_Adj Bench DR 3 for Initial Briefs (Electric)" xfId="133"/>
    <cellStyle name="_Book1_Book2_Adj Bench DR 3 for Initial Briefs (Electric) 2" xfId="3847"/>
    <cellStyle name="_Book1_Book2_Adj Bench DR 3 for Initial Briefs (Electric) 2 2" xfId="3848"/>
    <cellStyle name="_Book1_Book2_Adj Bench DR 3 for Initial Briefs (Electric) 2 2 2" xfId="3849"/>
    <cellStyle name="_Book1_Book2_Adj Bench DR 3 for Initial Briefs (Electric) 2 3" xfId="3850"/>
    <cellStyle name="_Book1_Book2_Adj Bench DR 3 for Initial Briefs (Electric) 3" xfId="3851"/>
    <cellStyle name="_Book1_Book2_Adj Bench DR 3 for Initial Briefs (Electric) 3 2" xfId="3852"/>
    <cellStyle name="_Book1_Book2_Adj Bench DR 3 for Initial Briefs (Electric) 4" xfId="3853"/>
    <cellStyle name="_Book1_Book2_Adj Bench DR 3 for Initial Briefs (Electric)_DEM-WP(C) ENERG10C--ctn Mid-C_042010 2010GRC" xfId="3854"/>
    <cellStyle name="_Book1_Book2_DEM-WP(C) ENERG10C--ctn Mid-C_042010 2010GRC" xfId="3855"/>
    <cellStyle name="_Book1_Book2_Electric Rev Req Model (2009 GRC) Rebuttal" xfId="134"/>
    <cellStyle name="_Book1_Book2_Electric Rev Req Model (2009 GRC) Rebuttal 2" xfId="3856"/>
    <cellStyle name="_Book1_Book2_Electric Rev Req Model (2009 GRC) Rebuttal 2 2" xfId="3857"/>
    <cellStyle name="_Book1_Book2_Electric Rev Req Model (2009 GRC) Rebuttal 2 2 2" xfId="3858"/>
    <cellStyle name="_Book1_Book2_Electric Rev Req Model (2009 GRC) Rebuttal 2 3" xfId="3859"/>
    <cellStyle name="_Book1_Book2_Electric Rev Req Model (2009 GRC) Rebuttal 3" xfId="3860"/>
    <cellStyle name="_Book1_Book2_Electric Rev Req Model (2009 GRC) Rebuttal 3 2" xfId="3861"/>
    <cellStyle name="_Book1_Book2_Electric Rev Req Model (2009 GRC) Rebuttal 4" xfId="3862"/>
    <cellStyle name="_Book1_Book2_Electric Rev Req Model (2009 GRC) Rebuttal REmoval of New  WH Solar AdjustMI" xfId="135"/>
    <cellStyle name="_Book1_Book2_Electric Rev Req Model (2009 GRC) Rebuttal REmoval of New  WH Solar AdjustMI 2" xfId="3863"/>
    <cellStyle name="_Book1_Book2_Electric Rev Req Model (2009 GRC) Rebuttal REmoval of New  WH Solar AdjustMI 2 2" xfId="3864"/>
    <cellStyle name="_Book1_Book2_Electric Rev Req Model (2009 GRC) Rebuttal REmoval of New  WH Solar AdjustMI 2 2 2" xfId="3865"/>
    <cellStyle name="_Book1_Book2_Electric Rev Req Model (2009 GRC) Rebuttal REmoval of New  WH Solar AdjustMI 2 3" xfId="3866"/>
    <cellStyle name="_Book1_Book2_Electric Rev Req Model (2009 GRC) Rebuttal REmoval of New  WH Solar AdjustMI 3" xfId="3867"/>
    <cellStyle name="_Book1_Book2_Electric Rev Req Model (2009 GRC) Rebuttal REmoval of New  WH Solar AdjustMI 3 2" xfId="3868"/>
    <cellStyle name="_Book1_Book2_Electric Rev Req Model (2009 GRC) Rebuttal REmoval of New  WH Solar AdjustMI 4" xfId="3869"/>
    <cellStyle name="_Book1_Book2_Electric Rev Req Model (2009 GRC) Rebuttal REmoval of New  WH Solar AdjustMI_DEM-WP(C) ENERG10C--ctn Mid-C_042010 2010GRC" xfId="3870"/>
    <cellStyle name="_Book1_Book2_Electric Rev Req Model (2009 GRC) Revised 01-18-2010" xfId="136"/>
    <cellStyle name="_Book1_Book2_Electric Rev Req Model (2009 GRC) Revised 01-18-2010 2" xfId="3871"/>
    <cellStyle name="_Book1_Book2_Electric Rev Req Model (2009 GRC) Revised 01-18-2010 2 2" xfId="3872"/>
    <cellStyle name="_Book1_Book2_Electric Rev Req Model (2009 GRC) Revised 01-18-2010 2 2 2" xfId="3873"/>
    <cellStyle name="_Book1_Book2_Electric Rev Req Model (2009 GRC) Revised 01-18-2010 2 3" xfId="3874"/>
    <cellStyle name="_Book1_Book2_Electric Rev Req Model (2009 GRC) Revised 01-18-2010 3" xfId="3875"/>
    <cellStyle name="_Book1_Book2_Electric Rev Req Model (2009 GRC) Revised 01-18-2010 3 2" xfId="3876"/>
    <cellStyle name="_Book1_Book2_Electric Rev Req Model (2009 GRC) Revised 01-18-2010 4" xfId="3877"/>
    <cellStyle name="_Book1_Book2_Electric Rev Req Model (2009 GRC) Revised 01-18-2010_DEM-WP(C) ENERG10C--ctn Mid-C_042010 2010GRC" xfId="3878"/>
    <cellStyle name="_Book1_Book2_Final Order Electric EXHIBIT A-1" xfId="137"/>
    <cellStyle name="_Book1_Book2_Final Order Electric EXHIBIT A-1 2" xfId="3879"/>
    <cellStyle name="_Book1_Book2_Final Order Electric EXHIBIT A-1 2 2" xfId="3880"/>
    <cellStyle name="_Book1_Book2_Final Order Electric EXHIBIT A-1 2 2 2" xfId="3881"/>
    <cellStyle name="_Book1_Book2_Final Order Electric EXHIBIT A-1 2 3" xfId="3882"/>
    <cellStyle name="_Book1_Book2_Final Order Electric EXHIBIT A-1 3" xfId="3883"/>
    <cellStyle name="_Book1_Book2_Final Order Electric EXHIBIT A-1 3 2" xfId="3884"/>
    <cellStyle name="_Book1_Book2_Final Order Electric EXHIBIT A-1 4" xfId="3885"/>
    <cellStyle name="_Book1_Book4" xfId="138"/>
    <cellStyle name="_Book1_Book4 2" xfId="3886"/>
    <cellStyle name="_Book1_Book4 2 2" xfId="3887"/>
    <cellStyle name="_Book1_Book4 2 2 2" xfId="3888"/>
    <cellStyle name="_Book1_Book4 2 3" xfId="3889"/>
    <cellStyle name="_Book1_Book4 3" xfId="3890"/>
    <cellStyle name="_Book1_Book4 3 2" xfId="3891"/>
    <cellStyle name="_Book1_Book4 4" xfId="3892"/>
    <cellStyle name="_Book1_Book4_DEM-WP(C) ENERG10C--ctn Mid-C_042010 2010GRC" xfId="3893"/>
    <cellStyle name="_Book1_Book9" xfId="139"/>
    <cellStyle name="_Book1_Book9 2" xfId="3894"/>
    <cellStyle name="_Book1_Book9 2 2" xfId="3895"/>
    <cellStyle name="_Book1_Book9 2 2 2" xfId="3896"/>
    <cellStyle name="_Book1_Book9 2 3" xfId="3897"/>
    <cellStyle name="_Book1_Book9 3" xfId="3898"/>
    <cellStyle name="_Book1_Book9 3 2" xfId="3899"/>
    <cellStyle name="_Book1_Book9 4" xfId="3900"/>
    <cellStyle name="_Book1_Book9_DEM-WP(C) ENERG10C--ctn Mid-C_042010 2010GRC" xfId="3901"/>
    <cellStyle name="_Book1_Chelan PUD Power Costs (8-10)" xfId="3902"/>
    <cellStyle name="_Book1_Chelan PUD Power Costs (8-10) 2" xfId="3903"/>
    <cellStyle name="_Book1_DEM-WP(C) Chelan Power Costs" xfId="3904"/>
    <cellStyle name="_Book1_DEM-WP(C) Chelan Power Costs 2" xfId="3905"/>
    <cellStyle name="_Book1_DEM-WP(C) ENERG10C--ctn Mid-C_042010 2010GRC" xfId="3906"/>
    <cellStyle name="_Book1_DEM-WP(C) Gas Transport 2010GRC" xfId="3907"/>
    <cellStyle name="_Book1_DEM-WP(C) Gas Transport 2010GRC 2" xfId="3908"/>
    <cellStyle name="_Book1_Electric COS Inputs" xfId="3909"/>
    <cellStyle name="_Book1_Electric COS Inputs 2" xfId="3910"/>
    <cellStyle name="_Book1_Electric COS Inputs 2 2" xfId="3911"/>
    <cellStyle name="_Book1_Electric COS Inputs 2 2 2" xfId="3912"/>
    <cellStyle name="_Book1_Electric COS Inputs 2 2 2 2" xfId="3913"/>
    <cellStyle name="_Book1_Electric COS Inputs 2 2 3" xfId="3914"/>
    <cellStyle name="_Book1_Electric COS Inputs 2 3" xfId="3915"/>
    <cellStyle name="_Book1_Electric COS Inputs 2 3 2" xfId="3916"/>
    <cellStyle name="_Book1_Electric COS Inputs 2 3 2 2" xfId="3917"/>
    <cellStyle name="_Book1_Electric COS Inputs 2 3 3" xfId="3918"/>
    <cellStyle name="_Book1_Electric COS Inputs 2 4" xfId="3919"/>
    <cellStyle name="_Book1_Electric COS Inputs 2 4 2" xfId="3920"/>
    <cellStyle name="_Book1_Electric COS Inputs 2 4 2 2" xfId="3921"/>
    <cellStyle name="_Book1_Electric COS Inputs 2 4 3" xfId="3922"/>
    <cellStyle name="_Book1_Electric COS Inputs 2 5" xfId="3923"/>
    <cellStyle name="_Book1_Electric COS Inputs 3" xfId="3924"/>
    <cellStyle name="_Book1_Electric COS Inputs 3 2" xfId="3925"/>
    <cellStyle name="_Book1_Electric COS Inputs 3 2 2" xfId="3926"/>
    <cellStyle name="_Book1_Electric COS Inputs 3 3" xfId="3927"/>
    <cellStyle name="_Book1_Electric COS Inputs 4" xfId="3928"/>
    <cellStyle name="_Book1_Electric COS Inputs 4 2" xfId="3929"/>
    <cellStyle name="_Book1_Electric COS Inputs 4 2 2" xfId="3930"/>
    <cellStyle name="_Book1_Electric COS Inputs 4 3" xfId="3931"/>
    <cellStyle name="_Book1_Electric COS Inputs 5" xfId="3932"/>
    <cellStyle name="_Book1_Electric COS Inputs 5 2" xfId="3933"/>
    <cellStyle name="_Book1_Electric COS Inputs 6" xfId="3934"/>
    <cellStyle name="_Book1_Exh A-1 resulting from UE-112050 effective Jan 1 2012" xfId="3935"/>
    <cellStyle name="_Book1_Exh G - Klamath Peaker PPA fr C Locke 2-12" xfId="3936"/>
    <cellStyle name="_Book1_Exhibit A-1 effective 4-1-11 fr S Free 12-11" xfId="3937"/>
    <cellStyle name="_Book1_LSRWEP LGIA like Acctg Petition Aug 2010" xfId="3938"/>
    <cellStyle name="_Book1_LSRWEP LGIA like Acctg Petition Aug 2010 2" xfId="3939"/>
    <cellStyle name="_Book1_Mint Farm Generation BPA" xfId="3940"/>
    <cellStyle name="_Book1_NIM Summary" xfId="3941"/>
    <cellStyle name="_Book1_NIM Summary 09GRC" xfId="3942"/>
    <cellStyle name="_Book1_NIM Summary 09GRC 2" xfId="3943"/>
    <cellStyle name="_Book1_NIM Summary 09GRC 2 2" xfId="3944"/>
    <cellStyle name="_Book1_NIM Summary 09GRC 3" xfId="3945"/>
    <cellStyle name="_Book1_NIM Summary 09GRC_DEM-WP(C) ENERG10C--ctn Mid-C_042010 2010GRC" xfId="3946"/>
    <cellStyle name="_Book1_NIM Summary 10" xfId="3947"/>
    <cellStyle name="_Book1_NIM Summary 11" xfId="3948"/>
    <cellStyle name="_Book1_NIM Summary 12" xfId="3949"/>
    <cellStyle name="_Book1_NIM Summary 13" xfId="3950"/>
    <cellStyle name="_Book1_NIM Summary 14" xfId="3951"/>
    <cellStyle name="_Book1_NIM Summary 15" xfId="3952"/>
    <cellStyle name="_Book1_NIM Summary 16" xfId="3953"/>
    <cellStyle name="_Book1_NIM Summary 17" xfId="3954"/>
    <cellStyle name="_Book1_NIM Summary 18" xfId="3955"/>
    <cellStyle name="_Book1_NIM Summary 19" xfId="3956"/>
    <cellStyle name="_Book1_NIM Summary 2" xfId="3957"/>
    <cellStyle name="_Book1_NIM Summary 2 2" xfId="3958"/>
    <cellStyle name="_Book1_NIM Summary 20" xfId="3959"/>
    <cellStyle name="_Book1_NIM Summary 21" xfId="3960"/>
    <cellStyle name="_Book1_NIM Summary 22" xfId="3961"/>
    <cellStyle name="_Book1_NIM Summary 23" xfId="3962"/>
    <cellStyle name="_Book1_NIM Summary 24" xfId="3963"/>
    <cellStyle name="_Book1_NIM Summary 25" xfId="3964"/>
    <cellStyle name="_Book1_NIM Summary 26" xfId="3965"/>
    <cellStyle name="_Book1_NIM Summary 27" xfId="3966"/>
    <cellStyle name="_Book1_NIM Summary 28" xfId="3967"/>
    <cellStyle name="_Book1_NIM Summary 29" xfId="3968"/>
    <cellStyle name="_Book1_NIM Summary 3" xfId="3969"/>
    <cellStyle name="_Book1_NIM Summary 3 2" xfId="3970"/>
    <cellStyle name="_Book1_NIM Summary 30" xfId="3971"/>
    <cellStyle name="_Book1_NIM Summary 31" xfId="3972"/>
    <cellStyle name="_Book1_NIM Summary 32" xfId="3973"/>
    <cellStyle name="_Book1_NIM Summary 33" xfId="3974"/>
    <cellStyle name="_Book1_NIM Summary 34" xfId="3975"/>
    <cellStyle name="_Book1_NIM Summary 35" xfId="3976"/>
    <cellStyle name="_Book1_NIM Summary 36" xfId="3977"/>
    <cellStyle name="_Book1_NIM Summary 37" xfId="3978"/>
    <cellStyle name="_Book1_NIM Summary 38" xfId="3979"/>
    <cellStyle name="_Book1_NIM Summary 39" xfId="3980"/>
    <cellStyle name="_Book1_NIM Summary 4" xfId="3981"/>
    <cellStyle name="_Book1_NIM Summary 4 2" xfId="3982"/>
    <cellStyle name="_Book1_NIM Summary 40" xfId="3983"/>
    <cellStyle name="_Book1_NIM Summary 41" xfId="3984"/>
    <cellStyle name="_Book1_NIM Summary 42" xfId="3985"/>
    <cellStyle name="_Book1_NIM Summary 43" xfId="3986"/>
    <cellStyle name="_Book1_NIM Summary 44" xfId="3987"/>
    <cellStyle name="_Book1_NIM Summary 45" xfId="3988"/>
    <cellStyle name="_Book1_NIM Summary 46" xfId="3989"/>
    <cellStyle name="_Book1_NIM Summary 47" xfId="3990"/>
    <cellStyle name="_Book1_NIM Summary 48" xfId="3991"/>
    <cellStyle name="_Book1_NIM Summary 49" xfId="3992"/>
    <cellStyle name="_Book1_NIM Summary 5" xfId="3993"/>
    <cellStyle name="_Book1_NIM Summary 5 2" xfId="3994"/>
    <cellStyle name="_Book1_NIM Summary 50" xfId="3995"/>
    <cellStyle name="_Book1_NIM Summary 51" xfId="3996"/>
    <cellStyle name="_Book1_NIM Summary 52" xfId="3997"/>
    <cellStyle name="_Book1_NIM Summary 6" xfId="3998"/>
    <cellStyle name="_Book1_NIM Summary 6 2" xfId="3999"/>
    <cellStyle name="_Book1_NIM Summary 7" xfId="4000"/>
    <cellStyle name="_Book1_NIM Summary 7 2" xfId="4001"/>
    <cellStyle name="_Book1_NIM Summary 8" xfId="4002"/>
    <cellStyle name="_Book1_NIM Summary 8 2" xfId="4003"/>
    <cellStyle name="_Book1_NIM Summary 9" xfId="4004"/>
    <cellStyle name="_Book1_NIM Summary 9 2" xfId="4005"/>
    <cellStyle name="_Book1_NIM Summary_DEM-WP(C) ENERG10C--ctn Mid-C_042010 2010GRC" xfId="4006"/>
    <cellStyle name="_Book1_NIM+O&amp;M" xfId="4007"/>
    <cellStyle name="_Book1_NIM+O&amp;M 2" xfId="4008"/>
    <cellStyle name="_Book1_NIM+O&amp;M 2 2" xfId="4009"/>
    <cellStyle name="_Book1_NIM+O&amp;M 3" xfId="4010"/>
    <cellStyle name="_Book1_NIM+O&amp;M Monthly" xfId="4011"/>
    <cellStyle name="_Book1_NIM+O&amp;M Monthly 2" xfId="4012"/>
    <cellStyle name="_Book1_NIM+O&amp;M Monthly 2 2" xfId="4013"/>
    <cellStyle name="_Book1_NIM+O&amp;M Monthly 3" xfId="4014"/>
    <cellStyle name="_Book1_PCA 10 -  Exhibit D Dec 2011" xfId="4015"/>
    <cellStyle name="_Book1_PCA 10 -  Exhibit D from A Kellogg Jan 2011" xfId="4016"/>
    <cellStyle name="_Book1_PCA 10 -  Exhibit D from A Kellogg July 2011" xfId="4017"/>
    <cellStyle name="_Book1_PCA 10 -  Exhibit D from S Free Rcv'd 12-11" xfId="4018"/>
    <cellStyle name="_Book1_PCA 11 -  Exhibit D Jan 2012 fr A Kellogg" xfId="4019"/>
    <cellStyle name="_Book1_PCA 11 -  Exhibit D Jan 2012 WF" xfId="4020"/>
    <cellStyle name="_Book1_PCA 9 -  Exhibit D April 2010" xfId="4021"/>
    <cellStyle name="_Book1_PCA 9 -  Exhibit D April 2010 (3)" xfId="4022"/>
    <cellStyle name="_Book1_PCA 9 -  Exhibit D April 2010 (3) 2" xfId="4023"/>
    <cellStyle name="_Book1_PCA 9 -  Exhibit D April 2010 (3) 2 2" xfId="4024"/>
    <cellStyle name="_Book1_PCA 9 -  Exhibit D April 2010 (3) 3" xfId="4025"/>
    <cellStyle name="_Book1_PCA 9 -  Exhibit D April 2010 (3)_DEM-WP(C) ENERG10C--ctn Mid-C_042010 2010GRC" xfId="4026"/>
    <cellStyle name="_Book1_PCA 9 -  Exhibit D April 2010 2" xfId="4027"/>
    <cellStyle name="_Book1_PCA 9 -  Exhibit D April 2010 3" xfId="4028"/>
    <cellStyle name="_Book1_PCA 9 -  Exhibit D April 2010 4" xfId="4029"/>
    <cellStyle name="_Book1_PCA 9 -  Exhibit D April 2010 5" xfId="4030"/>
    <cellStyle name="_Book1_PCA 9 -  Exhibit D April 2010 6" xfId="4031"/>
    <cellStyle name="_Book1_PCA 9 -  Exhibit D Nov 2010" xfId="4032"/>
    <cellStyle name="_Book1_PCA 9 -  Exhibit D Nov 2010 2" xfId="4033"/>
    <cellStyle name="_Book1_PCA 9 - Exhibit D at August 2010" xfId="4034"/>
    <cellStyle name="_Book1_PCA 9 - Exhibit D at August 2010 2" xfId="4035"/>
    <cellStyle name="_Book1_PCA 9 - Exhibit D June 2010 GRC" xfId="4036"/>
    <cellStyle name="_Book1_PCA 9 - Exhibit D June 2010 GRC 2" xfId="4037"/>
    <cellStyle name="_Book1_Power Costs - Comparison bx Rbtl-Staff-Jt-PC" xfId="140"/>
    <cellStyle name="_Book1_Power Costs - Comparison bx Rbtl-Staff-Jt-PC 2" xfId="4038"/>
    <cellStyle name="_Book1_Power Costs - Comparison bx Rbtl-Staff-Jt-PC 2 2" xfId="4039"/>
    <cellStyle name="_Book1_Power Costs - Comparison bx Rbtl-Staff-Jt-PC 2 2 2" xfId="4040"/>
    <cellStyle name="_Book1_Power Costs - Comparison bx Rbtl-Staff-Jt-PC 2 3" xfId="4041"/>
    <cellStyle name="_Book1_Power Costs - Comparison bx Rbtl-Staff-Jt-PC 3" xfId="4042"/>
    <cellStyle name="_Book1_Power Costs - Comparison bx Rbtl-Staff-Jt-PC 3 2" xfId="4043"/>
    <cellStyle name="_Book1_Power Costs - Comparison bx Rbtl-Staff-Jt-PC 4" xfId="4044"/>
    <cellStyle name="_Book1_Power Costs - Comparison bx Rbtl-Staff-Jt-PC_Adj Bench DR 3 for Initial Briefs (Electric)" xfId="141"/>
    <cellStyle name="_Book1_Power Costs - Comparison bx Rbtl-Staff-Jt-PC_Adj Bench DR 3 for Initial Briefs (Electric) 2" xfId="4045"/>
    <cellStyle name="_Book1_Power Costs - Comparison bx Rbtl-Staff-Jt-PC_Adj Bench DR 3 for Initial Briefs (Electric) 2 2" xfId="4046"/>
    <cellStyle name="_Book1_Power Costs - Comparison bx Rbtl-Staff-Jt-PC_Adj Bench DR 3 for Initial Briefs (Electric) 2 2 2" xfId="4047"/>
    <cellStyle name="_Book1_Power Costs - Comparison bx Rbtl-Staff-Jt-PC_Adj Bench DR 3 for Initial Briefs (Electric) 2 3" xfId="4048"/>
    <cellStyle name="_Book1_Power Costs - Comparison bx Rbtl-Staff-Jt-PC_Adj Bench DR 3 for Initial Briefs (Electric) 3" xfId="4049"/>
    <cellStyle name="_Book1_Power Costs - Comparison bx Rbtl-Staff-Jt-PC_Adj Bench DR 3 for Initial Briefs (Electric) 3 2" xfId="4050"/>
    <cellStyle name="_Book1_Power Costs - Comparison bx Rbtl-Staff-Jt-PC_Adj Bench DR 3 for Initial Briefs (Electric) 4" xfId="4051"/>
    <cellStyle name="_Book1_Power Costs - Comparison bx Rbtl-Staff-Jt-PC_Adj Bench DR 3 for Initial Briefs (Electric)_DEM-WP(C) ENERG10C--ctn Mid-C_042010 2010GRC" xfId="4052"/>
    <cellStyle name="_Book1_Power Costs - Comparison bx Rbtl-Staff-Jt-PC_DEM-WP(C) ENERG10C--ctn Mid-C_042010 2010GRC" xfId="4053"/>
    <cellStyle name="_Book1_Power Costs - Comparison bx Rbtl-Staff-Jt-PC_Electric Rev Req Model (2009 GRC) Rebuttal" xfId="142"/>
    <cellStyle name="_Book1_Power Costs - Comparison bx Rbtl-Staff-Jt-PC_Electric Rev Req Model (2009 GRC) Rebuttal 2" xfId="4054"/>
    <cellStyle name="_Book1_Power Costs - Comparison bx Rbtl-Staff-Jt-PC_Electric Rev Req Model (2009 GRC) Rebuttal 2 2" xfId="4055"/>
    <cellStyle name="_Book1_Power Costs - Comparison bx Rbtl-Staff-Jt-PC_Electric Rev Req Model (2009 GRC) Rebuttal 2 2 2" xfId="4056"/>
    <cellStyle name="_Book1_Power Costs - Comparison bx Rbtl-Staff-Jt-PC_Electric Rev Req Model (2009 GRC) Rebuttal 2 3" xfId="4057"/>
    <cellStyle name="_Book1_Power Costs - Comparison bx Rbtl-Staff-Jt-PC_Electric Rev Req Model (2009 GRC) Rebuttal 3" xfId="4058"/>
    <cellStyle name="_Book1_Power Costs - Comparison bx Rbtl-Staff-Jt-PC_Electric Rev Req Model (2009 GRC) Rebuttal 3 2" xfId="4059"/>
    <cellStyle name="_Book1_Power Costs - Comparison bx Rbtl-Staff-Jt-PC_Electric Rev Req Model (2009 GRC) Rebuttal 4" xfId="4060"/>
    <cellStyle name="_Book1_Power Costs - Comparison bx Rbtl-Staff-Jt-PC_Electric Rev Req Model (2009 GRC) Rebuttal REmoval of New  WH Solar AdjustMI" xfId="143"/>
    <cellStyle name="_Book1_Power Costs - Comparison bx Rbtl-Staff-Jt-PC_Electric Rev Req Model (2009 GRC) Rebuttal REmoval of New  WH Solar AdjustMI 2" xfId="4061"/>
    <cellStyle name="_Book1_Power Costs - Comparison bx Rbtl-Staff-Jt-PC_Electric Rev Req Model (2009 GRC) Rebuttal REmoval of New  WH Solar AdjustMI 2 2" xfId="4062"/>
    <cellStyle name="_Book1_Power Costs - Comparison bx Rbtl-Staff-Jt-PC_Electric Rev Req Model (2009 GRC) Rebuttal REmoval of New  WH Solar AdjustMI 2 2 2" xfId="4063"/>
    <cellStyle name="_Book1_Power Costs - Comparison bx Rbtl-Staff-Jt-PC_Electric Rev Req Model (2009 GRC) Rebuttal REmoval of New  WH Solar AdjustMI 2 3" xfId="4064"/>
    <cellStyle name="_Book1_Power Costs - Comparison bx Rbtl-Staff-Jt-PC_Electric Rev Req Model (2009 GRC) Rebuttal REmoval of New  WH Solar AdjustMI 3" xfId="4065"/>
    <cellStyle name="_Book1_Power Costs - Comparison bx Rbtl-Staff-Jt-PC_Electric Rev Req Model (2009 GRC) Rebuttal REmoval of New  WH Solar AdjustMI 3 2" xfId="4066"/>
    <cellStyle name="_Book1_Power Costs - Comparison bx Rbtl-Staff-Jt-PC_Electric Rev Req Model (2009 GRC) Rebuttal REmoval of New  WH Solar AdjustMI 4" xfId="4067"/>
    <cellStyle name="_Book1_Power Costs - Comparison bx Rbtl-Staff-Jt-PC_Electric Rev Req Model (2009 GRC) Rebuttal REmoval of New  WH Solar AdjustMI_DEM-WP(C) ENERG10C--ctn Mid-C_042010 2010GRC" xfId="4068"/>
    <cellStyle name="_Book1_Power Costs - Comparison bx Rbtl-Staff-Jt-PC_Electric Rev Req Model (2009 GRC) Revised 01-18-2010" xfId="144"/>
    <cellStyle name="_Book1_Power Costs - Comparison bx Rbtl-Staff-Jt-PC_Electric Rev Req Model (2009 GRC) Revised 01-18-2010 2" xfId="4069"/>
    <cellStyle name="_Book1_Power Costs - Comparison bx Rbtl-Staff-Jt-PC_Electric Rev Req Model (2009 GRC) Revised 01-18-2010 2 2" xfId="4070"/>
    <cellStyle name="_Book1_Power Costs - Comparison bx Rbtl-Staff-Jt-PC_Electric Rev Req Model (2009 GRC) Revised 01-18-2010 2 2 2" xfId="4071"/>
    <cellStyle name="_Book1_Power Costs - Comparison bx Rbtl-Staff-Jt-PC_Electric Rev Req Model (2009 GRC) Revised 01-18-2010 2 3" xfId="4072"/>
    <cellStyle name="_Book1_Power Costs - Comparison bx Rbtl-Staff-Jt-PC_Electric Rev Req Model (2009 GRC) Revised 01-18-2010 3" xfId="4073"/>
    <cellStyle name="_Book1_Power Costs - Comparison bx Rbtl-Staff-Jt-PC_Electric Rev Req Model (2009 GRC) Revised 01-18-2010 3 2" xfId="4074"/>
    <cellStyle name="_Book1_Power Costs - Comparison bx Rbtl-Staff-Jt-PC_Electric Rev Req Model (2009 GRC) Revised 01-18-2010 4" xfId="4075"/>
    <cellStyle name="_Book1_Power Costs - Comparison bx Rbtl-Staff-Jt-PC_Electric Rev Req Model (2009 GRC) Revised 01-18-2010_DEM-WP(C) ENERG10C--ctn Mid-C_042010 2010GRC" xfId="4076"/>
    <cellStyle name="_Book1_Power Costs - Comparison bx Rbtl-Staff-Jt-PC_Final Order Electric EXHIBIT A-1" xfId="145"/>
    <cellStyle name="_Book1_Power Costs - Comparison bx Rbtl-Staff-Jt-PC_Final Order Electric EXHIBIT A-1 2" xfId="4077"/>
    <cellStyle name="_Book1_Power Costs - Comparison bx Rbtl-Staff-Jt-PC_Final Order Electric EXHIBIT A-1 2 2" xfId="4078"/>
    <cellStyle name="_Book1_Power Costs - Comparison bx Rbtl-Staff-Jt-PC_Final Order Electric EXHIBIT A-1 2 2 2" xfId="4079"/>
    <cellStyle name="_Book1_Power Costs - Comparison bx Rbtl-Staff-Jt-PC_Final Order Electric EXHIBIT A-1 2 3" xfId="4080"/>
    <cellStyle name="_Book1_Power Costs - Comparison bx Rbtl-Staff-Jt-PC_Final Order Electric EXHIBIT A-1 3" xfId="4081"/>
    <cellStyle name="_Book1_Power Costs - Comparison bx Rbtl-Staff-Jt-PC_Final Order Electric EXHIBIT A-1 3 2" xfId="4082"/>
    <cellStyle name="_Book1_Power Costs - Comparison bx Rbtl-Staff-Jt-PC_Final Order Electric EXHIBIT A-1 4" xfId="4083"/>
    <cellStyle name="_Book1_Production Adj 4.37" xfId="4084"/>
    <cellStyle name="_Book1_Production Adj 4.37 2" xfId="4085"/>
    <cellStyle name="_Book1_Production Adj 4.37 2 2" xfId="4086"/>
    <cellStyle name="_Book1_Production Adj 4.37 2 2 2" xfId="4087"/>
    <cellStyle name="_Book1_Production Adj 4.37 2 3" xfId="4088"/>
    <cellStyle name="_Book1_Production Adj 4.37 3" xfId="4089"/>
    <cellStyle name="_Book1_Production Adj 4.37 3 2" xfId="4090"/>
    <cellStyle name="_Book1_Production Adj 4.37 4" xfId="4091"/>
    <cellStyle name="_Book1_Purchased Power Adj 4.03" xfId="4092"/>
    <cellStyle name="_Book1_Purchased Power Adj 4.03 2" xfId="4093"/>
    <cellStyle name="_Book1_Purchased Power Adj 4.03 2 2" xfId="4094"/>
    <cellStyle name="_Book1_Purchased Power Adj 4.03 2 2 2" xfId="4095"/>
    <cellStyle name="_Book1_Purchased Power Adj 4.03 2 3" xfId="4096"/>
    <cellStyle name="_Book1_Purchased Power Adj 4.03 3" xfId="4097"/>
    <cellStyle name="_Book1_Purchased Power Adj 4.03 3 2" xfId="4098"/>
    <cellStyle name="_Book1_Purchased Power Adj 4.03 4" xfId="4099"/>
    <cellStyle name="_Book1_Rebuttal Power Costs" xfId="146"/>
    <cellStyle name="_Book1_Rebuttal Power Costs 2" xfId="4100"/>
    <cellStyle name="_Book1_Rebuttal Power Costs 2 2" xfId="4101"/>
    <cellStyle name="_Book1_Rebuttal Power Costs 2 2 2" xfId="4102"/>
    <cellStyle name="_Book1_Rebuttal Power Costs 2 3" xfId="4103"/>
    <cellStyle name="_Book1_Rebuttal Power Costs 3" xfId="4104"/>
    <cellStyle name="_Book1_Rebuttal Power Costs 3 2" xfId="4105"/>
    <cellStyle name="_Book1_Rebuttal Power Costs 4" xfId="4106"/>
    <cellStyle name="_Book1_Rebuttal Power Costs_Adj Bench DR 3 for Initial Briefs (Electric)" xfId="147"/>
    <cellStyle name="_Book1_Rebuttal Power Costs_Adj Bench DR 3 for Initial Briefs (Electric) 2" xfId="4107"/>
    <cellStyle name="_Book1_Rebuttal Power Costs_Adj Bench DR 3 for Initial Briefs (Electric) 2 2" xfId="4108"/>
    <cellStyle name="_Book1_Rebuttal Power Costs_Adj Bench DR 3 for Initial Briefs (Electric) 2 2 2" xfId="4109"/>
    <cellStyle name="_Book1_Rebuttal Power Costs_Adj Bench DR 3 for Initial Briefs (Electric) 2 3" xfId="4110"/>
    <cellStyle name="_Book1_Rebuttal Power Costs_Adj Bench DR 3 for Initial Briefs (Electric) 3" xfId="4111"/>
    <cellStyle name="_Book1_Rebuttal Power Costs_Adj Bench DR 3 for Initial Briefs (Electric) 3 2" xfId="4112"/>
    <cellStyle name="_Book1_Rebuttal Power Costs_Adj Bench DR 3 for Initial Briefs (Electric) 4" xfId="4113"/>
    <cellStyle name="_Book1_Rebuttal Power Costs_Adj Bench DR 3 for Initial Briefs (Electric)_DEM-WP(C) ENERG10C--ctn Mid-C_042010 2010GRC" xfId="4114"/>
    <cellStyle name="_Book1_Rebuttal Power Costs_DEM-WP(C) ENERG10C--ctn Mid-C_042010 2010GRC" xfId="4115"/>
    <cellStyle name="_Book1_Rebuttal Power Costs_Electric Rev Req Model (2009 GRC) Rebuttal" xfId="148"/>
    <cellStyle name="_Book1_Rebuttal Power Costs_Electric Rev Req Model (2009 GRC) Rebuttal 2" xfId="4116"/>
    <cellStyle name="_Book1_Rebuttal Power Costs_Electric Rev Req Model (2009 GRC) Rebuttal 2 2" xfId="4117"/>
    <cellStyle name="_Book1_Rebuttal Power Costs_Electric Rev Req Model (2009 GRC) Rebuttal 2 2 2" xfId="4118"/>
    <cellStyle name="_Book1_Rebuttal Power Costs_Electric Rev Req Model (2009 GRC) Rebuttal 2 3" xfId="4119"/>
    <cellStyle name="_Book1_Rebuttal Power Costs_Electric Rev Req Model (2009 GRC) Rebuttal 3" xfId="4120"/>
    <cellStyle name="_Book1_Rebuttal Power Costs_Electric Rev Req Model (2009 GRC) Rebuttal 3 2" xfId="4121"/>
    <cellStyle name="_Book1_Rebuttal Power Costs_Electric Rev Req Model (2009 GRC) Rebuttal 4" xfId="4122"/>
    <cellStyle name="_Book1_Rebuttal Power Costs_Electric Rev Req Model (2009 GRC) Rebuttal REmoval of New  WH Solar AdjustMI" xfId="149"/>
    <cellStyle name="_Book1_Rebuttal Power Costs_Electric Rev Req Model (2009 GRC) Rebuttal REmoval of New  WH Solar AdjustMI 2" xfId="4123"/>
    <cellStyle name="_Book1_Rebuttal Power Costs_Electric Rev Req Model (2009 GRC) Rebuttal REmoval of New  WH Solar AdjustMI 2 2" xfId="4124"/>
    <cellStyle name="_Book1_Rebuttal Power Costs_Electric Rev Req Model (2009 GRC) Rebuttal REmoval of New  WH Solar AdjustMI 2 2 2" xfId="4125"/>
    <cellStyle name="_Book1_Rebuttal Power Costs_Electric Rev Req Model (2009 GRC) Rebuttal REmoval of New  WH Solar AdjustMI 2 3" xfId="4126"/>
    <cellStyle name="_Book1_Rebuttal Power Costs_Electric Rev Req Model (2009 GRC) Rebuttal REmoval of New  WH Solar AdjustMI 3" xfId="4127"/>
    <cellStyle name="_Book1_Rebuttal Power Costs_Electric Rev Req Model (2009 GRC) Rebuttal REmoval of New  WH Solar AdjustMI 3 2" xfId="4128"/>
    <cellStyle name="_Book1_Rebuttal Power Costs_Electric Rev Req Model (2009 GRC) Rebuttal REmoval of New  WH Solar AdjustMI 4" xfId="4129"/>
    <cellStyle name="_Book1_Rebuttal Power Costs_Electric Rev Req Model (2009 GRC) Rebuttal REmoval of New  WH Solar AdjustMI_DEM-WP(C) ENERG10C--ctn Mid-C_042010 2010GRC" xfId="4130"/>
    <cellStyle name="_Book1_Rebuttal Power Costs_Electric Rev Req Model (2009 GRC) Revised 01-18-2010" xfId="150"/>
    <cellStyle name="_Book1_Rebuttal Power Costs_Electric Rev Req Model (2009 GRC) Revised 01-18-2010 2" xfId="4131"/>
    <cellStyle name="_Book1_Rebuttal Power Costs_Electric Rev Req Model (2009 GRC) Revised 01-18-2010 2 2" xfId="4132"/>
    <cellStyle name="_Book1_Rebuttal Power Costs_Electric Rev Req Model (2009 GRC) Revised 01-18-2010 2 2 2" xfId="4133"/>
    <cellStyle name="_Book1_Rebuttal Power Costs_Electric Rev Req Model (2009 GRC) Revised 01-18-2010 2 3" xfId="4134"/>
    <cellStyle name="_Book1_Rebuttal Power Costs_Electric Rev Req Model (2009 GRC) Revised 01-18-2010 3" xfId="4135"/>
    <cellStyle name="_Book1_Rebuttal Power Costs_Electric Rev Req Model (2009 GRC) Revised 01-18-2010 3 2" xfId="4136"/>
    <cellStyle name="_Book1_Rebuttal Power Costs_Electric Rev Req Model (2009 GRC) Revised 01-18-2010 4" xfId="4137"/>
    <cellStyle name="_Book1_Rebuttal Power Costs_Electric Rev Req Model (2009 GRC) Revised 01-18-2010_DEM-WP(C) ENERG10C--ctn Mid-C_042010 2010GRC" xfId="4138"/>
    <cellStyle name="_Book1_Rebuttal Power Costs_Final Order Electric EXHIBIT A-1" xfId="151"/>
    <cellStyle name="_Book1_Rebuttal Power Costs_Final Order Electric EXHIBIT A-1 2" xfId="4139"/>
    <cellStyle name="_Book1_Rebuttal Power Costs_Final Order Electric EXHIBIT A-1 2 2" xfId="4140"/>
    <cellStyle name="_Book1_Rebuttal Power Costs_Final Order Electric EXHIBIT A-1 2 2 2" xfId="4141"/>
    <cellStyle name="_Book1_Rebuttal Power Costs_Final Order Electric EXHIBIT A-1 2 3" xfId="4142"/>
    <cellStyle name="_Book1_Rebuttal Power Costs_Final Order Electric EXHIBIT A-1 3" xfId="4143"/>
    <cellStyle name="_Book1_Rebuttal Power Costs_Final Order Electric EXHIBIT A-1 3 2" xfId="4144"/>
    <cellStyle name="_Book1_Rebuttal Power Costs_Final Order Electric EXHIBIT A-1 4" xfId="4145"/>
    <cellStyle name="_Book1_ROR 5.02" xfId="4146"/>
    <cellStyle name="_Book1_ROR 5.02 2" xfId="4147"/>
    <cellStyle name="_Book1_ROR 5.02 2 2" xfId="4148"/>
    <cellStyle name="_Book1_ROR 5.02 2 2 2" xfId="4149"/>
    <cellStyle name="_Book1_ROR 5.02 2 3" xfId="4150"/>
    <cellStyle name="_Book1_ROR 5.02 3" xfId="4151"/>
    <cellStyle name="_Book1_ROR 5.02 3 2" xfId="4152"/>
    <cellStyle name="_Book1_ROR 5.02 4" xfId="4153"/>
    <cellStyle name="_Book1_Transmission Workbook for May BOD" xfId="4154"/>
    <cellStyle name="_Book1_Transmission Workbook for May BOD 2" xfId="4155"/>
    <cellStyle name="_Book1_Transmission Workbook for May BOD 2 2" xfId="4156"/>
    <cellStyle name="_Book1_Transmission Workbook for May BOD 3" xfId="4157"/>
    <cellStyle name="_Book1_Transmission Workbook for May BOD_DEM-WP(C) ENERG10C--ctn Mid-C_042010 2010GRC" xfId="4158"/>
    <cellStyle name="_Book1_Wind Integration 10GRC" xfId="4159"/>
    <cellStyle name="_Book1_Wind Integration 10GRC 2" xfId="4160"/>
    <cellStyle name="_Book1_Wind Integration 10GRC 2 2" xfId="4161"/>
    <cellStyle name="_Book1_Wind Integration 10GRC 3" xfId="4162"/>
    <cellStyle name="_Book1_Wind Integration 10GRC_DEM-WP(C) ENERG10C--ctn Mid-C_042010 2010GRC" xfId="4163"/>
    <cellStyle name="_Book2" xfId="152"/>
    <cellStyle name="_x0013__Book2" xfId="153"/>
    <cellStyle name="_Book2 10" xfId="4164"/>
    <cellStyle name="_x0013__Book2 10" xfId="4165"/>
    <cellStyle name="_Book2 10 10" xfId="4166"/>
    <cellStyle name="_Book2 10 11" xfId="4167"/>
    <cellStyle name="_Book2 10 12" xfId="4168"/>
    <cellStyle name="_Book2 10 13" xfId="4169"/>
    <cellStyle name="_Book2 10 14" xfId="4170"/>
    <cellStyle name="_Book2 10 15" xfId="4171"/>
    <cellStyle name="_Book2 10 16" xfId="4172"/>
    <cellStyle name="_Book2 10 17" xfId="4173"/>
    <cellStyle name="_Book2 10 18" xfId="4174"/>
    <cellStyle name="_Book2 10 19" xfId="4175"/>
    <cellStyle name="_Book2 10 2" xfId="4176"/>
    <cellStyle name="_x0013__Book2 10 2" xfId="4177"/>
    <cellStyle name="_Book2 10 2 2" xfId="4178"/>
    <cellStyle name="_Book2 10 2 3" xfId="4179"/>
    <cellStyle name="_Book2 10 20" xfId="4180"/>
    <cellStyle name="_Book2 10 21" xfId="4181"/>
    <cellStyle name="_Book2 10 22" xfId="4182"/>
    <cellStyle name="_Book2 10 23" xfId="4183"/>
    <cellStyle name="_Book2 10 24" xfId="4184"/>
    <cellStyle name="_Book2 10 3" xfId="4185"/>
    <cellStyle name="_x0013__Book2 10 3" xfId="4186"/>
    <cellStyle name="_Book2 10 4" xfId="4187"/>
    <cellStyle name="_Book2 10 5" xfId="4188"/>
    <cellStyle name="_Book2 10 6" xfId="4189"/>
    <cellStyle name="_Book2 10 7" xfId="4190"/>
    <cellStyle name="_Book2 10 8" xfId="4191"/>
    <cellStyle name="_Book2 10 9" xfId="4192"/>
    <cellStyle name="_Book2 11" xfId="4193"/>
    <cellStyle name="_x0013__Book2 11" xfId="4194"/>
    <cellStyle name="_Book2 11 10" xfId="4195"/>
    <cellStyle name="_Book2 11 11" xfId="4196"/>
    <cellStyle name="_Book2 11 12" xfId="4197"/>
    <cellStyle name="_Book2 11 13" xfId="4198"/>
    <cellStyle name="_Book2 11 14" xfId="4199"/>
    <cellStyle name="_Book2 11 15" xfId="4200"/>
    <cellStyle name="_Book2 11 16" xfId="4201"/>
    <cellStyle name="_Book2 11 17" xfId="4202"/>
    <cellStyle name="_Book2 11 18" xfId="4203"/>
    <cellStyle name="_Book2 11 19" xfId="4204"/>
    <cellStyle name="_Book2 11 2" xfId="4205"/>
    <cellStyle name="_Book2 11 2 2" xfId="4206"/>
    <cellStyle name="_Book2 11 20" xfId="4207"/>
    <cellStyle name="_Book2 11 21" xfId="4208"/>
    <cellStyle name="_Book2 11 22" xfId="4209"/>
    <cellStyle name="_Book2 11 3" xfId="4210"/>
    <cellStyle name="_Book2 11 4" xfId="4211"/>
    <cellStyle name="_Book2 11 5" xfId="4212"/>
    <cellStyle name="_Book2 11 6" xfId="4213"/>
    <cellStyle name="_Book2 11 7" xfId="4214"/>
    <cellStyle name="_Book2 11 8" xfId="4215"/>
    <cellStyle name="_Book2 11 9" xfId="4216"/>
    <cellStyle name="_Book2 12" xfId="4217"/>
    <cellStyle name="_x0013__Book2 12" xfId="4218"/>
    <cellStyle name="_Book2 12 10" xfId="4219"/>
    <cellStyle name="_Book2 12 11" xfId="4220"/>
    <cellStyle name="_Book2 12 12" xfId="4221"/>
    <cellStyle name="_Book2 12 13" xfId="4222"/>
    <cellStyle name="_Book2 12 14" xfId="4223"/>
    <cellStyle name="_Book2 12 15" xfId="4224"/>
    <cellStyle name="_Book2 12 16" xfId="4225"/>
    <cellStyle name="_Book2 12 17" xfId="4226"/>
    <cellStyle name="_Book2 12 18" xfId="4227"/>
    <cellStyle name="_Book2 12 19" xfId="4228"/>
    <cellStyle name="_Book2 12 2" xfId="4229"/>
    <cellStyle name="_Book2 12 2 2" xfId="4230"/>
    <cellStyle name="_Book2 12 20" xfId="4231"/>
    <cellStyle name="_Book2 12 21" xfId="4232"/>
    <cellStyle name="_Book2 12 22" xfId="4233"/>
    <cellStyle name="_Book2 12 23" xfId="4234"/>
    <cellStyle name="_Book2 12 24" xfId="4235"/>
    <cellStyle name="_Book2 12 3" xfId="4236"/>
    <cellStyle name="_Book2 12 4" xfId="4237"/>
    <cellStyle name="_Book2 12 5" xfId="4238"/>
    <cellStyle name="_Book2 12 6" xfId="4239"/>
    <cellStyle name="_Book2 12 7" xfId="4240"/>
    <cellStyle name="_Book2 12 8" xfId="4241"/>
    <cellStyle name="_Book2 12 9" xfId="4242"/>
    <cellStyle name="_Book2 13" xfId="4243"/>
    <cellStyle name="_x0013__Book2 13" xfId="4244"/>
    <cellStyle name="_Book2 13 10" xfId="4245"/>
    <cellStyle name="_Book2 13 11" xfId="4246"/>
    <cellStyle name="_Book2 13 12" xfId="4247"/>
    <cellStyle name="_Book2 13 13" xfId="4248"/>
    <cellStyle name="_Book2 13 14" xfId="4249"/>
    <cellStyle name="_Book2 13 15" xfId="4250"/>
    <cellStyle name="_Book2 13 16" xfId="4251"/>
    <cellStyle name="_Book2 13 17" xfId="4252"/>
    <cellStyle name="_Book2 13 18" xfId="4253"/>
    <cellStyle name="_Book2 13 19" xfId="4254"/>
    <cellStyle name="_Book2 13 2" xfId="4255"/>
    <cellStyle name="_Book2 13 2 2" xfId="4256"/>
    <cellStyle name="_Book2 13 20" xfId="4257"/>
    <cellStyle name="_Book2 13 21" xfId="4258"/>
    <cellStyle name="_Book2 13 22" xfId="4259"/>
    <cellStyle name="_Book2 13 23" xfId="4260"/>
    <cellStyle name="_Book2 13 24" xfId="4261"/>
    <cellStyle name="_Book2 13 3" xfId="4262"/>
    <cellStyle name="_Book2 13 4" xfId="4263"/>
    <cellStyle name="_Book2 13 5" xfId="4264"/>
    <cellStyle name="_Book2 13 6" xfId="4265"/>
    <cellStyle name="_Book2 13 7" xfId="4266"/>
    <cellStyle name="_Book2 13 8" xfId="4267"/>
    <cellStyle name="_Book2 13 9" xfId="4268"/>
    <cellStyle name="_Book2 14" xfId="4269"/>
    <cellStyle name="_x0013__Book2 14" xfId="4270"/>
    <cellStyle name="_Book2 14 10" xfId="4271"/>
    <cellStyle name="_Book2 14 11" xfId="4272"/>
    <cellStyle name="_Book2 14 12" xfId="4273"/>
    <cellStyle name="_Book2 14 13" xfId="4274"/>
    <cellStyle name="_Book2 14 14" xfId="4275"/>
    <cellStyle name="_Book2 14 15" xfId="4276"/>
    <cellStyle name="_Book2 14 16" xfId="4277"/>
    <cellStyle name="_Book2 14 17" xfId="4278"/>
    <cellStyle name="_Book2 14 18" xfId="4279"/>
    <cellStyle name="_Book2 14 19" xfId="4280"/>
    <cellStyle name="_Book2 14 2" xfId="4281"/>
    <cellStyle name="_Book2 14 2 2" xfId="4282"/>
    <cellStyle name="_Book2 14 20" xfId="4283"/>
    <cellStyle name="_Book2 14 21" xfId="4284"/>
    <cellStyle name="_Book2 14 22" xfId="4285"/>
    <cellStyle name="_Book2 14 23" xfId="4286"/>
    <cellStyle name="_Book2 14 24" xfId="4287"/>
    <cellStyle name="_Book2 14 3" xfId="4288"/>
    <cellStyle name="_Book2 14 4" xfId="4289"/>
    <cellStyle name="_Book2 14 5" xfId="4290"/>
    <cellStyle name="_Book2 14 6" xfId="4291"/>
    <cellStyle name="_Book2 14 7" xfId="4292"/>
    <cellStyle name="_Book2 14 8" xfId="4293"/>
    <cellStyle name="_Book2 14 9" xfId="4294"/>
    <cellStyle name="_Book2 15" xfId="4295"/>
    <cellStyle name="_x0013__Book2 15" xfId="4296"/>
    <cellStyle name="_Book2 15 10" xfId="4297"/>
    <cellStyle name="_Book2 15 11" xfId="4298"/>
    <cellStyle name="_Book2 15 12" xfId="4299"/>
    <cellStyle name="_Book2 15 13" xfId="4300"/>
    <cellStyle name="_Book2 15 14" xfId="4301"/>
    <cellStyle name="_Book2 15 15" xfId="4302"/>
    <cellStyle name="_Book2 15 16" xfId="4303"/>
    <cellStyle name="_Book2 15 17" xfId="4304"/>
    <cellStyle name="_Book2 15 18" xfId="4305"/>
    <cellStyle name="_Book2 15 19" xfId="4306"/>
    <cellStyle name="_Book2 15 2" xfId="4307"/>
    <cellStyle name="_Book2 15 2 2" xfId="4308"/>
    <cellStyle name="_Book2 15 20" xfId="4309"/>
    <cellStyle name="_Book2 15 21" xfId="4310"/>
    <cellStyle name="_Book2 15 22" xfId="4311"/>
    <cellStyle name="_Book2 15 23" xfId="4312"/>
    <cellStyle name="_Book2 15 24" xfId="4313"/>
    <cellStyle name="_Book2 15 3" xfId="4314"/>
    <cellStyle name="_Book2 15 4" xfId="4315"/>
    <cellStyle name="_Book2 15 5" xfId="4316"/>
    <cellStyle name="_Book2 15 6" xfId="4317"/>
    <cellStyle name="_Book2 15 7" xfId="4318"/>
    <cellStyle name="_Book2 15 8" xfId="4319"/>
    <cellStyle name="_Book2 15 9" xfId="4320"/>
    <cellStyle name="_Book2 16" xfId="4321"/>
    <cellStyle name="_x0013__Book2 16" xfId="4322"/>
    <cellStyle name="_Book2 16 10" xfId="4323"/>
    <cellStyle name="_Book2 16 11" xfId="4324"/>
    <cellStyle name="_Book2 16 12" xfId="4325"/>
    <cellStyle name="_Book2 16 13" xfId="4326"/>
    <cellStyle name="_Book2 16 14" xfId="4327"/>
    <cellStyle name="_Book2 16 15" xfId="4328"/>
    <cellStyle name="_Book2 16 16" xfId="4329"/>
    <cellStyle name="_Book2 16 17" xfId="4330"/>
    <cellStyle name="_Book2 16 18" xfId="4331"/>
    <cellStyle name="_Book2 16 19" xfId="4332"/>
    <cellStyle name="_Book2 16 2" xfId="4333"/>
    <cellStyle name="_Book2 16 2 2" xfId="4334"/>
    <cellStyle name="_Book2 16 20" xfId="4335"/>
    <cellStyle name="_Book2 16 21" xfId="4336"/>
    <cellStyle name="_Book2 16 22" xfId="4337"/>
    <cellStyle name="_Book2 16 23" xfId="4338"/>
    <cellStyle name="_Book2 16 3" xfId="4339"/>
    <cellStyle name="_Book2 16 4" xfId="4340"/>
    <cellStyle name="_Book2 16 5" xfId="4341"/>
    <cellStyle name="_Book2 16 6" xfId="4342"/>
    <cellStyle name="_Book2 16 7" xfId="4343"/>
    <cellStyle name="_Book2 16 8" xfId="4344"/>
    <cellStyle name="_Book2 16 9" xfId="4345"/>
    <cellStyle name="_Book2 17" xfId="4346"/>
    <cellStyle name="_x0013__Book2 17" xfId="4347"/>
    <cellStyle name="_Book2 17 10" xfId="4348"/>
    <cellStyle name="_Book2 17 11" xfId="4349"/>
    <cellStyle name="_Book2 17 12" xfId="4350"/>
    <cellStyle name="_Book2 17 13" xfId="4351"/>
    <cellStyle name="_Book2 17 14" xfId="4352"/>
    <cellStyle name="_Book2 17 15" xfId="4353"/>
    <cellStyle name="_Book2 17 16" xfId="4354"/>
    <cellStyle name="_Book2 17 17" xfId="4355"/>
    <cellStyle name="_Book2 17 18" xfId="4356"/>
    <cellStyle name="_Book2 17 19" xfId="4357"/>
    <cellStyle name="_Book2 17 2" xfId="4358"/>
    <cellStyle name="_Book2 17 2 2" xfId="4359"/>
    <cellStyle name="_Book2 17 20" xfId="4360"/>
    <cellStyle name="_Book2 17 21" xfId="4361"/>
    <cellStyle name="_Book2 17 3" xfId="4362"/>
    <cellStyle name="_Book2 17 4" xfId="4363"/>
    <cellStyle name="_Book2 17 5" xfId="4364"/>
    <cellStyle name="_Book2 17 6" xfId="4365"/>
    <cellStyle name="_Book2 17 7" xfId="4366"/>
    <cellStyle name="_Book2 17 8" xfId="4367"/>
    <cellStyle name="_Book2 17 9" xfId="4368"/>
    <cellStyle name="_Book2 18" xfId="4369"/>
    <cellStyle name="_x0013__Book2 18" xfId="4370"/>
    <cellStyle name="_Book2 18 10" xfId="4371"/>
    <cellStyle name="_Book2 18 11" xfId="4372"/>
    <cellStyle name="_Book2 18 12" xfId="4373"/>
    <cellStyle name="_Book2 18 13" xfId="4374"/>
    <cellStyle name="_Book2 18 14" xfId="4375"/>
    <cellStyle name="_Book2 18 15" xfId="4376"/>
    <cellStyle name="_Book2 18 16" xfId="4377"/>
    <cellStyle name="_Book2 18 17" xfId="4378"/>
    <cellStyle name="_Book2 18 18" xfId="4379"/>
    <cellStyle name="_Book2 18 19" xfId="4380"/>
    <cellStyle name="_Book2 18 2" xfId="4381"/>
    <cellStyle name="_Book2 18 2 2" xfId="4382"/>
    <cellStyle name="_Book2 18 20" xfId="4383"/>
    <cellStyle name="_Book2 18 21" xfId="4384"/>
    <cellStyle name="_Book2 18 3" xfId="4385"/>
    <cellStyle name="_Book2 18 4" xfId="4386"/>
    <cellStyle name="_Book2 18 5" xfId="4387"/>
    <cellStyle name="_Book2 18 6" xfId="4388"/>
    <cellStyle name="_Book2 18 7" xfId="4389"/>
    <cellStyle name="_Book2 18 8" xfId="4390"/>
    <cellStyle name="_Book2 18 9" xfId="4391"/>
    <cellStyle name="_Book2 19" xfId="4392"/>
    <cellStyle name="_x0013__Book2 19" xfId="4393"/>
    <cellStyle name="_Book2 19 10" xfId="4394"/>
    <cellStyle name="_Book2 19 11" xfId="4395"/>
    <cellStyle name="_Book2 19 12" xfId="4396"/>
    <cellStyle name="_Book2 19 13" xfId="4397"/>
    <cellStyle name="_Book2 19 14" xfId="4398"/>
    <cellStyle name="_Book2 19 15" xfId="4399"/>
    <cellStyle name="_Book2 19 16" xfId="4400"/>
    <cellStyle name="_Book2 19 17" xfId="4401"/>
    <cellStyle name="_Book2 19 18" xfId="4402"/>
    <cellStyle name="_Book2 19 19" xfId="4403"/>
    <cellStyle name="_Book2 19 2" xfId="4404"/>
    <cellStyle name="_Book2 19 20" xfId="4405"/>
    <cellStyle name="_Book2 19 3" xfId="4406"/>
    <cellStyle name="_Book2 19 4" xfId="4407"/>
    <cellStyle name="_Book2 19 5" xfId="4408"/>
    <cellStyle name="_Book2 19 6" xfId="4409"/>
    <cellStyle name="_Book2 19 7" xfId="4410"/>
    <cellStyle name="_Book2 19 8" xfId="4411"/>
    <cellStyle name="_Book2 19 9" xfId="4412"/>
    <cellStyle name="_Book2 2" xfId="154"/>
    <cellStyle name="_x0013__Book2 2" xfId="4413"/>
    <cellStyle name="_Book2 2 10" xfId="4414"/>
    <cellStyle name="_x0013__Book2 2 10" xfId="4415"/>
    <cellStyle name="_Book2 2 10 2" xfId="4416"/>
    <cellStyle name="_Book2 2 11" xfId="4417"/>
    <cellStyle name="_x0013__Book2 2 11" xfId="4418"/>
    <cellStyle name="_Book2 2 12" xfId="4419"/>
    <cellStyle name="_x0013__Book2 2 12" xfId="4420"/>
    <cellStyle name="_Book2 2 13" xfId="4421"/>
    <cellStyle name="_x0013__Book2 2 13" xfId="4422"/>
    <cellStyle name="_Book2 2 14" xfId="4423"/>
    <cellStyle name="_x0013__Book2 2 14" xfId="4424"/>
    <cellStyle name="_Book2 2 15" xfId="4425"/>
    <cellStyle name="_x0013__Book2 2 15" xfId="4426"/>
    <cellStyle name="_Book2 2 16" xfId="4427"/>
    <cellStyle name="_x0013__Book2 2 16" xfId="4428"/>
    <cellStyle name="_Book2 2 17" xfId="4429"/>
    <cellStyle name="_x0013__Book2 2 17" xfId="4430"/>
    <cellStyle name="_Book2 2 18" xfId="4431"/>
    <cellStyle name="_x0013__Book2 2 18" xfId="4432"/>
    <cellStyle name="_Book2 2 19" xfId="4433"/>
    <cellStyle name="_x0013__Book2 2 19" xfId="4434"/>
    <cellStyle name="_Book2 2 2" xfId="4435"/>
    <cellStyle name="_x0013__Book2 2 2" xfId="4436"/>
    <cellStyle name="_Book2 2 2 10" xfId="4437"/>
    <cellStyle name="_Book2 2 2 11" xfId="4438"/>
    <cellStyle name="_Book2 2 2 12" xfId="4439"/>
    <cellStyle name="_Book2 2 2 13" xfId="4440"/>
    <cellStyle name="_Book2 2 2 14" xfId="4441"/>
    <cellStyle name="_Book2 2 2 15" xfId="4442"/>
    <cellStyle name="_Book2 2 2 16" xfId="4443"/>
    <cellStyle name="_Book2 2 2 17" xfId="4444"/>
    <cellStyle name="_Book2 2 2 18" xfId="4445"/>
    <cellStyle name="_Book2 2 2 19" xfId="4446"/>
    <cellStyle name="_Book2 2 2 2" xfId="4447"/>
    <cellStyle name="_x0013__Book2 2 2 2" xfId="4448"/>
    <cellStyle name="_Book2 2 2 2 2" xfId="4449"/>
    <cellStyle name="_Book2 2 2 2 3" xfId="4450"/>
    <cellStyle name="_Book2 2 2 20" xfId="4451"/>
    <cellStyle name="_Book2 2 2 21" xfId="4452"/>
    <cellStyle name="_Book2 2 2 22" xfId="4453"/>
    <cellStyle name="_Book2 2 2 23" xfId="4454"/>
    <cellStyle name="_Book2 2 2 24" xfId="4455"/>
    <cellStyle name="_Book2 2 2 3" xfId="4456"/>
    <cellStyle name="_x0013__Book2 2 2 3" xfId="4457"/>
    <cellStyle name="_Book2 2 2 4" xfId="4458"/>
    <cellStyle name="_Book2 2 2 5" xfId="4459"/>
    <cellStyle name="_Book2 2 2 6" xfId="4460"/>
    <cellStyle name="_Book2 2 2 7" xfId="4461"/>
    <cellStyle name="_Book2 2 2 8" xfId="4462"/>
    <cellStyle name="_Book2 2 2 9" xfId="4463"/>
    <cellStyle name="_Book2 2 20" xfId="4464"/>
    <cellStyle name="_x0013__Book2 2 20" xfId="4465"/>
    <cellStyle name="_Book2 2 21" xfId="4466"/>
    <cellStyle name="_x0013__Book2 2 21" xfId="4467"/>
    <cellStyle name="_Book2 2 22" xfId="4468"/>
    <cellStyle name="_x0013__Book2 2 22" xfId="4469"/>
    <cellStyle name="_Book2 2 23" xfId="4470"/>
    <cellStyle name="_x0013__Book2 2 23" xfId="4471"/>
    <cellStyle name="_Book2 2 24" xfId="4472"/>
    <cellStyle name="_x0013__Book2 2 24" xfId="4473"/>
    <cellStyle name="_Book2 2 25" xfId="4474"/>
    <cellStyle name="_Book2 2 26" xfId="4475"/>
    <cellStyle name="_Book2 2 27" xfId="4476"/>
    <cellStyle name="_Book2 2 28" xfId="4477"/>
    <cellStyle name="_Book2 2 29" xfId="4478"/>
    <cellStyle name="_Book2 2 3" xfId="4479"/>
    <cellStyle name="_x0013__Book2 2 3" xfId="4480"/>
    <cellStyle name="_Book2 2 3 2" xfId="4481"/>
    <cellStyle name="_Book2 2 3 2 2" xfId="4482"/>
    <cellStyle name="_Book2 2 3 3" xfId="4483"/>
    <cellStyle name="_Book2 2 3 4" xfId="4484"/>
    <cellStyle name="_Book2 2 3 5" xfId="4485"/>
    <cellStyle name="_Book2 2 3 6" xfId="4486"/>
    <cellStyle name="_Book2 2 30" xfId="4487"/>
    <cellStyle name="_Book2 2 31" xfId="4488"/>
    <cellStyle name="_Book2 2 32" xfId="4489"/>
    <cellStyle name="_Book2 2 33" xfId="4490"/>
    <cellStyle name="_Book2 2 34" xfId="4491"/>
    <cellStyle name="_Book2 2 35" xfId="4492"/>
    <cellStyle name="_Book2 2 36" xfId="4493"/>
    <cellStyle name="_Book2 2 37" xfId="4494"/>
    <cellStyle name="_Book2 2 38" xfId="4495"/>
    <cellStyle name="_Book2 2 39" xfId="4496"/>
    <cellStyle name="_Book2 2 4" xfId="4497"/>
    <cellStyle name="_x0013__Book2 2 4" xfId="4498"/>
    <cellStyle name="_Book2 2 4 2" xfId="4499"/>
    <cellStyle name="_Book2 2 4 2 2" xfId="4500"/>
    <cellStyle name="_Book2 2 4 3" xfId="4501"/>
    <cellStyle name="_Book2 2 4 4" xfId="4502"/>
    <cellStyle name="_Book2 2 4 5" xfId="4503"/>
    <cellStyle name="_Book2 2 40" xfId="4504"/>
    <cellStyle name="_Book2 2 41" xfId="4505"/>
    <cellStyle name="_Book2 2 42" xfId="4506"/>
    <cellStyle name="_Book2 2 43" xfId="4507"/>
    <cellStyle name="_Book2 2 44" xfId="4508"/>
    <cellStyle name="_Book2 2 45" xfId="4509"/>
    <cellStyle name="_Book2 2 46" xfId="4510"/>
    <cellStyle name="_Book2 2 47" xfId="4511"/>
    <cellStyle name="_Book2 2 48" xfId="4512"/>
    <cellStyle name="_Book2 2 49" xfId="4513"/>
    <cellStyle name="_Book2 2 5" xfId="4514"/>
    <cellStyle name="_x0013__Book2 2 5" xfId="4515"/>
    <cellStyle name="_Book2 2 5 2" xfId="4516"/>
    <cellStyle name="_Book2 2 5 2 2" xfId="4517"/>
    <cellStyle name="_Book2 2 5 3" xfId="4518"/>
    <cellStyle name="_Book2 2 5 4" xfId="4519"/>
    <cellStyle name="_Book2 2 5 5" xfId="4520"/>
    <cellStyle name="_Book2 2 50" xfId="4521"/>
    <cellStyle name="_Book2 2 51" xfId="4522"/>
    <cellStyle name="_Book2 2 52" xfId="4523"/>
    <cellStyle name="_Book2 2 53" xfId="4524"/>
    <cellStyle name="_Book2 2 6" xfId="4525"/>
    <cellStyle name="_x0013__Book2 2 6" xfId="4526"/>
    <cellStyle name="_Book2 2 6 2" xfId="4527"/>
    <cellStyle name="_Book2 2 6 2 2" xfId="4528"/>
    <cellStyle name="_Book2 2 6 3" xfId="4529"/>
    <cellStyle name="_Book2 2 6 4" xfId="4530"/>
    <cellStyle name="_Book2 2 6 5" xfId="4531"/>
    <cellStyle name="_Book2 2 7" xfId="4532"/>
    <cellStyle name="_x0013__Book2 2 7" xfId="4533"/>
    <cellStyle name="_Book2 2 7 2" xfId="4534"/>
    <cellStyle name="_Book2 2 7 2 2" xfId="4535"/>
    <cellStyle name="_Book2 2 7 3" xfId="4536"/>
    <cellStyle name="_Book2 2 7 4" xfId="4537"/>
    <cellStyle name="_Book2 2 8" xfId="4538"/>
    <cellStyle name="_x0013__Book2 2 8" xfId="4539"/>
    <cellStyle name="_Book2 2 8 2" xfId="4540"/>
    <cellStyle name="_Book2 2 8 2 2" xfId="4541"/>
    <cellStyle name="_Book2 2 8 3" xfId="4542"/>
    <cellStyle name="_Book2 2 9" xfId="4543"/>
    <cellStyle name="_x0013__Book2 2 9" xfId="4544"/>
    <cellStyle name="_Book2 2 9 2" xfId="4545"/>
    <cellStyle name="_Book2 2 9 2 2" xfId="4546"/>
    <cellStyle name="_Book2 2 9 3" xfId="4547"/>
    <cellStyle name="_Book2 20" xfId="4548"/>
    <cellStyle name="_x0013__Book2 20" xfId="4549"/>
    <cellStyle name="_Book2 20 10" xfId="4550"/>
    <cellStyle name="_Book2 20 11" xfId="4551"/>
    <cellStyle name="_Book2 20 12" xfId="4552"/>
    <cellStyle name="_Book2 20 13" xfId="4553"/>
    <cellStyle name="_Book2 20 14" xfId="4554"/>
    <cellStyle name="_Book2 20 15" xfId="4555"/>
    <cellStyle name="_Book2 20 16" xfId="4556"/>
    <cellStyle name="_Book2 20 17" xfId="4557"/>
    <cellStyle name="_Book2 20 18" xfId="4558"/>
    <cellStyle name="_Book2 20 19" xfId="4559"/>
    <cellStyle name="_Book2 20 2" xfId="4560"/>
    <cellStyle name="_Book2 20 20" xfId="4561"/>
    <cellStyle name="_Book2 20 3" xfId="4562"/>
    <cellStyle name="_Book2 20 4" xfId="4563"/>
    <cellStyle name="_Book2 20 5" xfId="4564"/>
    <cellStyle name="_Book2 20 6" xfId="4565"/>
    <cellStyle name="_Book2 20 7" xfId="4566"/>
    <cellStyle name="_Book2 20 8" xfId="4567"/>
    <cellStyle name="_Book2 20 9" xfId="4568"/>
    <cellStyle name="_Book2 21" xfId="4569"/>
    <cellStyle name="_x0013__Book2 21" xfId="4570"/>
    <cellStyle name="_Book2 21 10" xfId="4571"/>
    <cellStyle name="_Book2 21 11" xfId="4572"/>
    <cellStyle name="_Book2 21 12" xfId="4573"/>
    <cellStyle name="_Book2 21 13" xfId="4574"/>
    <cellStyle name="_Book2 21 14" xfId="4575"/>
    <cellStyle name="_Book2 21 15" xfId="4576"/>
    <cellStyle name="_Book2 21 16" xfId="4577"/>
    <cellStyle name="_Book2 21 17" xfId="4578"/>
    <cellStyle name="_Book2 21 18" xfId="4579"/>
    <cellStyle name="_Book2 21 19" xfId="4580"/>
    <cellStyle name="_Book2 21 2" xfId="4581"/>
    <cellStyle name="_Book2 21 3" xfId="4582"/>
    <cellStyle name="_Book2 21 4" xfId="4583"/>
    <cellStyle name="_Book2 21 5" xfId="4584"/>
    <cellStyle name="_Book2 21 6" xfId="4585"/>
    <cellStyle name="_Book2 21 7" xfId="4586"/>
    <cellStyle name="_Book2 21 8" xfId="4587"/>
    <cellStyle name="_Book2 21 9" xfId="4588"/>
    <cellStyle name="_Book2 22" xfId="4589"/>
    <cellStyle name="_x0013__Book2 22" xfId="4590"/>
    <cellStyle name="_Book2 22 10" xfId="4591"/>
    <cellStyle name="_Book2 22 11" xfId="4592"/>
    <cellStyle name="_Book2 22 12" xfId="4593"/>
    <cellStyle name="_Book2 22 13" xfId="4594"/>
    <cellStyle name="_Book2 22 14" xfId="4595"/>
    <cellStyle name="_Book2 22 15" xfId="4596"/>
    <cellStyle name="_Book2 22 16" xfId="4597"/>
    <cellStyle name="_Book2 22 17" xfId="4598"/>
    <cellStyle name="_Book2 22 18" xfId="4599"/>
    <cellStyle name="_Book2 22 2" xfId="4600"/>
    <cellStyle name="_Book2 22 3" xfId="4601"/>
    <cellStyle name="_Book2 22 4" xfId="4602"/>
    <cellStyle name="_Book2 22 5" xfId="4603"/>
    <cellStyle name="_Book2 22 6" xfId="4604"/>
    <cellStyle name="_Book2 22 7" xfId="4605"/>
    <cellStyle name="_Book2 22 8" xfId="4606"/>
    <cellStyle name="_Book2 22 9" xfId="4607"/>
    <cellStyle name="_Book2 23" xfId="4608"/>
    <cellStyle name="_x0013__Book2 23" xfId="4609"/>
    <cellStyle name="_Book2 23 10" xfId="4610"/>
    <cellStyle name="_Book2 23 11" xfId="4611"/>
    <cellStyle name="_Book2 23 12" xfId="4612"/>
    <cellStyle name="_Book2 23 13" xfId="4613"/>
    <cellStyle name="_Book2 23 14" xfId="4614"/>
    <cellStyle name="_Book2 23 15" xfId="4615"/>
    <cellStyle name="_Book2 23 16" xfId="4616"/>
    <cellStyle name="_Book2 23 17" xfId="4617"/>
    <cellStyle name="_Book2 23 2" xfId="4618"/>
    <cellStyle name="_Book2 23 3" xfId="4619"/>
    <cellStyle name="_Book2 23 4" xfId="4620"/>
    <cellStyle name="_Book2 23 5" xfId="4621"/>
    <cellStyle name="_Book2 23 6" xfId="4622"/>
    <cellStyle name="_Book2 23 7" xfId="4623"/>
    <cellStyle name="_Book2 23 8" xfId="4624"/>
    <cellStyle name="_Book2 23 9" xfId="4625"/>
    <cellStyle name="_Book2 24" xfId="4626"/>
    <cellStyle name="_x0013__Book2 24" xfId="4627"/>
    <cellStyle name="_Book2 24 10" xfId="4628"/>
    <cellStyle name="_Book2 24 11" xfId="4629"/>
    <cellStyle name="_Book2 24 12" xfId="4630"/>
    <cellStyle name="_Book2 24 13" xfId="4631"/>
    <cellStyle name="_Book2 24 14" xfId="4632"/>
    <cellStyle name="_Book2 24 15" xfId="4633"/>
    <cellStyle name="_Book2 24 16" xfId="4634"/>
    <cellStyle name="_Book2 24 2" xfId="4635"/>
    <cellStyle name="_Book2 24 3" xfId="4636"/>
    <cellStyle name="_Book2 24 4" xfId="4637"/>
    <cellStyle name="_Book2 24 5" xfId="4638"/>
    <cellStyle name="_Book2 24 6" xfId="4639"/>
    <cellStyle name="_Book2 24 7" xfId="4640"/>
    <cellStyle name="_Book2 24 8" xfId="4641"/>
    <cellStyle name="_Book2 24 9" xfId="4642"/>
    <cellStyle name="_Book2 25" xfId="4643"/>
    <cellStyle name="_x0013__Book2 25" xfId="4644"/>
    <cellStyle name="_Book2 25 2" xfId="4645"/>
    <cellStyle name="_Book2 25 3" xfId="4646"/>
    <cellStyle name="_Book2 26" xfId="4647"/>
    <cellStyle name="_x0013__Book2 26" xfId="4648"/>
    <cellStyle name="_Book2 26 2" xfId="4649"/>
    <cellStyle name="_Book2 26 3" xfId="4650"/>
    <cellStyle name="_Book2 27" xfId="4651"/>
    <cellStyle name="_x0013__Book2 27" xfId="4652"/>
    <cellStyle name="_Book2 27 2" xfId="4653"/>
    <cellStyle name="_Book2 27 3" xfId="4654"/>
    <cellStyle name="_Book2 28" xfId="4655"/>
    <cellStyle name="_x0013__Book2 28" xfId="4656"/>
    <cellStyle name="_Book2 28 2" xfId="4657"/>
    <cellStyle name="_Book2 28 3" xfId="4658"/>
    <cellStyle name="_Book2 29" xfId="4659"/>
    <cellStyle name="_x0013__Book2 29" xfId="4660"/>
    <cellStyle name="_Book2 29 2" xfId="4661"/>
    <cellStyle name="_Book2 29 3" xfId="4662"/>
    <cellStyle name="_Book2 3" xfId="4663"/>
    <cellStyle name="_x0013__Book2 3" xfId="4664"/>
    <cellStyle name="_Book2 3 10" xfId="4665"/>
    <cellStyle name="_Book2 3 10 2" xfId="4666"/>
    <cellStyle name="_Book2 3 10 2 2" xfId="4667"/>
    <cellStyle name="_Book2 3 10 3" xfId="4668"/>
    <cellStyle name="_Book2 3 11" xfId="4669"/>
    <cellStyle name="_Book2 3 11 2" xfId="4670"/>
    <cellStyle name="_Book2 3 11 2 2" xfId="4671"/>
    <cellStyle name="_Book2 3 11 3" xfId="4672"/>
    <cellStyle name="_Book2 3 12" xfId="4673"/>
    <cellStyle name="_Book2 3 12 2" xfId="4674"/>
    <cellStyle name="_Book2 3 12 2 2" xfId="4675"/>
    <cellStyle name="_Book2 3 12 3" xfId="4676"/>
    <cellStyle name="_Book2 3 13" xfId="4677"/>
    <cellStyle name="_Book2 3 13 2" xfId="4678"/>
    <cellStyle name="_Book2 3 13 2 2" xfId="4679"/>
    <cellStyle name="_Book2 3 13 3" xfId="4680"/>
    <cellStyle name="_Book2 3 14" xfId="4681"/>
    <cellStyle name="_Book2 3 14 2" xfId="4682"/>
    <cellStyle name="_Book2 3 14 2 2" xfId="4683"/>
    <cellStyle name="_Book2 3 14 3" xfId="4684"/>
    <cellStyle name="_Book2 3 15" xfId="4685"/>
    <cellStyle name="_Book2 3 15 2" xfId="4686"/>
    <cellStyle name="_Book2 3 15 2 2" xfId="4687"/>
    <cellStyle name="_Book2 3 15 3" xfId="4688"/>
    <cellStyle name="_Book2 3 16" xfId="4689"/>
    <cellStyle name="_Book2 3 16 2" xfId="4690"/>
    <cellStyle name="_Book2 3 16 2 2" xfId="4691"/>
    <cellStyle name="_Book2 3 16 3" xfId="4692"/>
    <cellStyle name="_Book2 3 17" xfId="4693"/>
    <cellStyle name="_Book2 3 17 2" xfId="4694"/>
    <cellStyle name="_Book2 3 17 2 2" xfId="4695"/>
    <cellStyle name="_Book2 3 17 3" xfId="4696"/>
    <cellStyle name="_Book2 3 18" xfId="4697"/>
    <cellStyle name="_Book2 3 18 2" xfId="4698"/>
    <cellStyle name="_Book2 3 18 2 2" xfId="4699"/>
    <cellStyle name="_Book2 3 18 3" xfId="4700"/>
    <cellStyle name="_Book2 3 19" xfId="4701"/>
    <cellStyle name="_Book2 3 19 2" xfId="4702"/>
    <cellStyle name="_Book2 3 19 2 2" xfId="4703"/>
    <cellStyle name="_Book2 3 19 3" xfId="4704"/>
    <cellStyle name="_Book2 3 2" xfId="4705"/>
    <cellStyle name="_x0013__Book2 3 2" xfId="4706"/>
    <cellStyle name="_Book2 3 2 2" xfId="4707"/>
    <cellStyle name="_x0013__Book2 3 2 2" xfId="4708"/>
    <cellStyle name="_Book2 3 2 2 2" xfId="4709"/>
    <cellStyle name="_Book2 3 2 2 3" xfId="4710"/>
    <cellStyle name="_Book2 3 2 3" xfId="4711"/>
    <cellStyle name="_x0013__Book2 3 2 3" xfId="4712"/>
    <cellStyle name="_Book2 3 2 4" xfId="4713"/>
    <cellStyle name="_Book2 3 20" xfId="4714"/>
    <cellStyle name="_Book2 3 20 2" xfId="4715"/>
    <cellStyle name="_Book2 3 20 2 2" xfId="4716"/>
    <cellStyle name="_Book2 3 20 3" xfId="4717"/>
    <cellStyle name="_Book2 3 21" xfId="4718"/>
    <cellStyle name="_Book2 3 21 2" xfId="4719"/>
    <cellStyle name="_Book2 3 21 2 2" xfId="4720"/>
    <cellStyle name="_Book2 3 21 3" xfId="4721"/>
    <cellStyle name="_Book2 3 22" xfId="4722"/>
    <cellStyle name="_Book2 3 22 2" xfId="4723"/>
    <cellStyle name="_Book2 3 23" xfId="4724"/>
    <cellStyle name="_Book2 3 23 2" xfId="4725"/>
    <cellStyle name="_Book2 3 24" xfId="4726"/>
    <cellStyle name="_Book2 3 24 2" xfId="4727"/>
    <cellStyle name="_Book2 3 25" xfId="4728"/>
    <cellStyle name="_Book2 3 25 2" xfId="4729"/>
    <cellStyle name="_Book2 3 26" xfId="4730"/>
    <cellStyle name="_Book2 3 26 2" xfId="4731"/>
    <cellStyle name="_Book2 3 27" xfId="4732"/>
    <cellStyle name="_Book2 3 27 2" xfId="4733"/>
    <cellStyle name="_Book2 3 28" xfId="4734"/>
    <cellStyle name="_Book2 3 28 2" xfId="4735"/>
    <cellStyle name="_Book2 3 29" xfId="4736"/>
    <cellStyle name="_Book2 3 29 2" xfId="4737"/>
    <cellStyle name="_Book2 3 3" xfId="4738"/>
    <cellStyle name="_x0013__Book2 3 3" xfId="4739"/>
    <cellStyle name="_Book2 3 3 2" xfId="4740"/>
    <cellStyle name="_Book2 3 3 2 2" xfId="4741"/>
    <cellStyle name="_Book2 3 3 3" xfId="4742"/>
    <cellStyle name="_Book2 3 3 4" xfId="4743"/>
    <cellStyle name="_Book2 3 30" xfId="4744"/>
    <cellStyle name="_Book2 3 30 2" xfId="4745"/>
    <cellStyle name="_Book2 3 31" xfId="4746"/>
    <cellStyle name="_Book2 3 31 2" xfId="4747"/>
    <cellStyle name="_Book2 3 32" xfId="4748"/>
    <cellStyle name="_Book2 3 32 2" xfId="4749"/>
    <cellStyle name="_Book2 3 33" xfId="4750"/>
    <cellStyle name="_Book2 3 33 2" xfId="4751"/>
    <cellStyle name="_Book2 3 34" xfId="4752"/>
    <cellStyle name="_Book2 3 34 2" xfId="4753"/>
    <cellStyle name="_Book2 3 35" xfId="4754"/>
    <cellStyle name="_Book2 3 35 2" xfId="4755"/>
    <cellStyle name="_Book2 3 36" xfId="4756"/>
    <cellStyle name="_Book2 3 36 2" xfId="4757"/>
    <cellStyle name="_Book2 3 37" xfId="4758"/>
    <cellStyle name="_Book2 3 37 2" xfId="4759"/>
    <cellStyle name="_Book2 3 38" xfId="4760"/>
    <cellStyle name="_Book2 3 38 2" xfId="4761"/>
    <cellStyle name="_Book2 3 39" xfId="4762"/>
    <cellStyle name="_Book2 3 39 2" xfId="4763"/>
    <cellStyle name="_Book2 3 4" xfId="4764"/>
    <cellStyle name="_x0013__Book2 3 4" xfId="4765"/>
    <cellStyle name="_Book2 3 4 2" xfId="4766"/>
    <cellStyle name="_Book2 3 4 2 2" xfId="4767"/>
    <cellStyle name="_Book2 3 4 3" xfId="4768"/>
    <cellStyle name="_Book2 3 40" xfId="4769"/>
    <cellStyle name="_Book2 3 40 2" xfId="4770"/>
    <cellStyle name="_Book2 3 41" xfId="4771"/>
    <cellStyle name="_Book2 3 41 2" xfId="4772"/>
    <cellStyle name="_Book2 3 42" xfId="4773"/>
    <cellStyle name="_Book2 3 42 2" xfId="4774"/>
    <cellStyle name="_Book2 3 43" xfId="4775"/>
    <cellStyle name="_Book2 3 43 2" xfId="4776"/>
    <cellStyle name="_Book2 3 44" xfId="4777"/>
    <cellStyle name="_Book2 3 44 2" xfId="4778"/>
    <cellStyle name="_Book2 3 45" xfId="4779"/>
    <cellStyle name="_Book2 3 45 2" xfId="4780"/>
    <cellStyle name="_Book2 3 46" xfId="4781"/>
    <cellStyle name="_Book2 3 47" xfId="4782"/>
    <cellStyle name="_Book2 3 48" xfId="4783"/>
    <cellStyle name="_Book2 3 5" xfId="4784"/>
    <cellStyle name="_x0013__Book2 3 5" xfId="4785"/>
    <cellStyle name="_Book2 3 5 2" xfId="4786"/>
    <cellStyle name="_Book2 3 5 2 2" xfId="4787"/>
    <cellStyle name="_Book2 3 5 3" xfId="4788"/>
    <cellStyle name="_Book2 3 6" xfId="4789"/>
    <cellStyle name="_x0013__Book2 3 6" xfId="4790"/>
    <cellStyle name="_Book2 3 6 2" xfId="4791"/>
    <cellStyle name="_Book2 3 6 2 2" xfId="4792"/>
    <cellStyle name="_Book2 3 6 3" xfId="4793"/>
    <cellStyle name="_Book2 3 7" xfId="4794"/>
    <cellStyle name="_x0013__Book2 3 7" xfId="4795"/>
    <cellStyle name="_Book2 3 7 2" xfId="4796"/>
    <cellStyle name="_Book2 3 7 2 2" xfId="4797"/>
    <cellStyle name="_Book2 3 7 3" xfId="4798"/>
    <cellStyle name="_Book2 3 8" xfId="4799"/>
    <cellStyle name="_Book2 3 8 2" xfId="4800"/>
    <cellStyle name="_Book2 3 8 2 2" xfId="4801"/>
    <cellStyle name="_Book2 3 8 3" xfId="4802"/>
    <cellStyle name="_Book2 3 9" xfId="4803"/>
    <cellStyle name="_Book2 3 9 2" xfId="4804"/>
    <cellStyle name="_Book2 3 9 2 2" xfId="4805"/>
    <cellStyle name="_Book2 3 9 3" xfId="4806"/>
    <cellStyle name="_Book2 30" xfId="4807"/>
    <cellStyle name="_x0013__Book2 30" xfId="4808"/>
    <cellStyle name="_Book2 30 2" xfId="4809"/>
    <cellStyle name="_Book2 30 3" xfId="4810"/>
    <cellStyle name="_Book2 31" xfId="4811"/>
    <cellStyle name="_x0013__Book2 31" xfId="4812"/>
    <cellStyle name="_Book2 31 2" xfId="4813"/>
    <cellStyle name="_Book2 31 3" xfId="4814"/>
    <cellStyle name="_Book2 32" xfId="4815"/>
    <cellStyle name="_x0013__Book2 32" xfId="4816"/>
    <cellStyle name="_Book2 32 2" xfId="4817"/>
    <cellStyle name="_Book2 32 3" xfId="4818"/>
    <cellStyle name="_Book2 33" xfId="4819"/>
    <cellStyle name="_x0013__Book2 33" xfId="4820"/>
    <cellStyle name="_Book2 33 2" xfId="4821"/>
    <cellStyle name="_Book2 33 3" xfId="4822"/>
    <cellStyle name="_Book2 34" xfId="4823"/>
    <cellStyle name="_x0013__Book2 34" xfId="4824"/>
    <cellStyle name="_Book2 35" xfId="4825"/>
    <cellStyle name="_x0013__Book2 35" xfId="4826"/>
    <cellStyle name="_Book2 36" xfId="4827"/>
    <cellStyle name="_x0013__Book2 36" xfId="4828"/>
    <cellStyle name="_Book2 37" xfId="4829"/>
    <cellStyle name="_x0013__Book2 37" xfId="4830"/>
    <cellStyle name="_Book2 38" xfId="4831"/>
    <cellStyle name="_x0013__Book2 38" xfId="4832"/>
    <cellStyle name="_Book2 39" xfId="4833"/>
    <cellStyle name="_x0013__Book2 39" xfId="4834"/>
    <cellStyle name="_Book2 4" xfId="4835"/>
    <cellStyle name="_x0013__Book2 4" xfId="4836"/>
    <cellStyle name="_Book2 4 10" xfId="4837"/>
    <cellStyle name="_Book2 4 10 2" xfId="4838"/>
    <cellStyle name="_Book2 4 10 2 2" xfId="4839"/>
    <cellStyle name="_Book2 4 10 3" xfId="4840"/>
    <cellStyle name="_Book2 4 11" xfId="4841"/>
    <cellStyle name="_Book2 4 11 2" xfId="4842"/>
    <cellStyle name="_Book2 4 11 2 2" xfId="4843"/>
    <cellStyle name="_Book2 4 11 3" xfId="4844"/>
    <cellStyle name="_Book2 4 12" xfId="4845"/>
    <cellStyle name="_Book2 4 12 2" xfId="4846"/>
    <cellStyle name="_Book2 4 12 2 2" xfId="4847"/>
    <cellStyle name="_Book2 4 12 3" xfId="4848"/>
    <cellStyle name="_Book2 4 13" xfId="4849"/>
    <cellStyle name="_Book2 4 13 2" xfId="4850"/>
    <cellStyle name="_Book2 4 13 2 2" xfId="4851"/>
    <cellStyle name="_Book2 4 13 3" xfId="4852"/>
    <cellStyle name="_Book2 4 14" xfId="4853"/>
    <cellStyle name="_Book2 4 14 2" xfId="4854"/>
    <cellStyle name="_Book2 4 14 2 2" xfId="4855"/>
    <cellStyle name="_Book2 4 14 3" xfId="4856"/>
    <cellStyle name="_Book2 4 15" xfId="4857"/>
    <cellStyle name="_Book2 4 15 2" xfId="4858"/>
    <cellStyle name="_Book2 4 15 2 2" xfId="4859"/>
    <cellStyle name="_Book2 4 15 3" xfId="4860"/>
    <cellStyle name="_Book2 4 16" xfId="4861"/>
    <cellStyle name="_Book2 4 16 2" xfId="4862"/>
    <cellStyle name="_Book2 4 16 2 2" xfId="4863"/>
    <cellStyle name="_Book2 4 16 3" xfId="4864"/>
    <cellStyle name="_Book2 4 17" xfId="4865"/>
    <cellStyle name="_Book2 4 17 2" xfId="4866"/>
    <cellStyle name="_Book2 4 17 2 2" xfId="4867"/>
    <cellStyle name="_Book2 4 17 3" xfId="4868"/>
    <cellStyle name="_Book2 4 18" xfId="4869"/>
    <cellStyle name="_Book2 4 18 2" xfId="4870"/>
    <cellStyle name="_Book2 4 18 2 2" xfId="4871"/>
    <cellStyle name="_Book2 4 18 3" xfId="4872"/>
    <cellStyle name="_Book2 4 19" xfId="4873"/>
    <cellStyle name="_Book2 4 19 2" xfId="4874"/>
    <cellStyle name="_Book2 4 19 2 2" xfId="4875"/>
    <cellStyle name="_Book2 4 19 3" xfId="4876"/>
    <cellStyle name="_Book2 4 2" xfId="4877"/>
    <cellStyle name="_x0013__Book2 4 2" xfId="4878"/>
    <cellStyle name="_Book2 4 2 2" xfId="4879"/>
    <cellStyle name="_x0013__Book2 4 2 2" xfId="4880"/>
    <cellStyle name="_Book2 4 2 2 2" xfId="4881"/>
    <cellStyle name="_Book2 4 2 2 3" xfId="4882"/>
    <cellStyle name="_Book2 4 2 3" xfId="4883"/>
    <cellStyle name="_x0013__Book2 4 2 3" xfId="4884"/>
    <cellStyle name="_Book2 4 2 4" xfId="4885"/>
    <cellStyle name="_Book2 4 2 5" xfId="4886"/>
    <cellStyle name="_Book2 4 2 6" xfId="4887"/>
    <cellStyle name="_Book2 4 2 7" xfId="4888"/>
    <cellStyle name="_Book2 4 20" xfId="4889"/>
    <cellStyle name="_Book2 4 20 2" xfId="4890"/>
    <cellStyle name="_Book2 4 20 2 2" xfId="4891"/>
    <cellStyle name="_Book2 4 20 3" xfId="4892"/>
    <cellStyle name="_Book2 4 21" xfId="4893"/>
    <cellStyle name="_Book2 4 21 2" xfId="4894"/>
    <cellStyle name="_Book2 4 22" xfId="4895"/>
    <cellStyle name="_Book2 4 22 2" xfId="4896"/>
    <cellStyle name="_Book2 4 23" xfId="4897"/>
    <cellStyle name="_Book2 4 23 2" xfId="4898"/>
    <cellStyle name="_Book2 4 24" xfId="4899"/>
    <cellStyle name="_Book2 4 24 2" xfId="4900"/>
    <cellStyle name="_Book2 4 25" xfId="4901"/>
    <cellStyle name="_Book2 4 25 2" xfId="4902"/>
    <cellStyle name="_Book2 4 26" xfId="4903"/>
    <cellStyle name="_Book2 4 26 2" xfId="4904"/>
    <cellStyle name="_Book2 4 27" xfId="4905"/>
    <cellStyle name="_Book2 4 27 2" xfId="4906"/>
    <cellStyle name="_Book2 4 28" xfId="4907"/>
    <cellStyle name="_Book2 4 28 2" xfId="4908"/>
    <cellStyle name="_Book2 4 29" xfId="4909"/>
    <cellStyle name="_Book2 4 29 2" xfId="4910"/>
    <cellStyle name="_Book2 4 3" xfId="4911"/>
    <cellStyle name="_x0013__Book2 4 3" xfId="4912"/>
    <cellStyle name="_Book2 4 3 2" xfId="4913"/>
    <cellStyle name="_Book2 4 3 2 2" xfId="4914"/>
    <cellStyle name="_Book2 4 3 3" xfId="4915"/>
    <cellStyle name="_Book2 4 3 4" xfId="4916"/>
    <cellStyle name="_Book2 4 3 5" xfId="4917"/>
    <cellStyle name="_Book2 4 3 6" xfId="4918"/>
    <cellStyle name="_Book2 4 30" xfId="4919"/>
    <cellStyle name="_Book2 4 30 2" xfId="4920"/>
    <cellStyle name="_Book2 4 31" xfId="4921"/>
    <cellStyle name="_Book2 4 31 2" xfId="4922"/>
    <cellStyle name="_Book2 4 32" xfId="4923"/>
    <cellStyle name="_Book2 4 32 2" xfId="4924"/>
    <cellStyle name="_Book2 4 33" xfId="4925"/>
    <cellStyle name="_Book2 4 33 2" xfId="4926"/>
    <cellStyle name="_Book2 4 34" xfId="4927"/>
    <cellStyle name="_Book2 4 34 2" xfId="4928"/>
    <cellStyle name="_Book2 4 35" xfId="4929"/>
    <cellStyle name="_Book2 4 35 2" xfId="4930"/>
    <cellStyle name="_Book2 4 36" xfId="4931"/>
    <cellStyle name="_Book2 4 36 2" xfId="4932"/>
    <cellStyle name="_Book2 4 37" xfId="4933"/>
    <cellStyle name="_Book2 4 37 2" xfId="4934"/>
    <cellStyle name="_Book2 4 38" xfId="4935"/>
    <cellStyle name="_Book2 4 38 2" xfId="4936"/>
    <cellStyle name="_Book2 4 39" xfId="4937"/>
    <cellStyle name="_Book2 4 39 2" xfId="4938"/>
    <cellStyle name="_Book2 4 4" xfId="4939"/>
    <cellStyle name="_x0013__Book2 4 4" xfId="4940"/>
    <cellStyle name="_Book2 4 4 2" xfId="4941"/>
    <cellStyle name="_Book2 4 4 2 2" xfId="4942"/>
    <cellStyle name="_Book2 4 4 3" xfId="4943"/>
    <cellStyle name="_Book2 4 4 4" xfId="4944"/>
    <cellStyle name="_Book2 4 4 5" xfId="4945"/>
    <cellStyle name="_Book2 4 40" xfId="4946"/>
    <cellStyle name="_Book2 4 40 2" xfId="4947"/>
    <cellStyle name="_Book2 4 41" xfId="4948"/>
    <cellStyle name="_Book2 4 41 2" xfId="4949"/>
    <cellStyle name="_Book2 4 42" xfId="4950"/>
    <cellStyle name="_Book2 4 42 2" xfId="4951"/>
    <cellStyle name="_Book2 4 43" xfId="4952"/>
    <cellStyle name="_Book2 4 43 2" xfId="4953"/>
    <cellStyle name="_Book2 4 44" xfId="4954"/>
    <cellStyle name="_Book2 4 44 2" xfId="4955"/>
    <cellStyle name="_Book2 4 45" xfId="4956"/>
    <cellStyle name="_Book2 4 45 2" xfId="4957"/>
    <cellStyle name="_Book2 4 46" xfId="4958"/>
    <cellStyle name="_Book2 4 47" xfId="4959"/>
    <cellStyle name="_Book2 4 48" xfId="4960"/>
    <cellStyle name="_Book2 4 5" xfId="4961"/>
    <cellStyle name="_x0013__Book2 4 5" xfId="4962"/>
    <cellStyle name="_Book2 4 5 2" xfId="4963"/>
    <cellStyle name="_Book2 4 5 2 2" xfId="4964"/>
    <cellStyle name="_Book2 4 5 3" xfId="4965"/>
    <cellStyle name="_Book2 4 5 4" xfId="4966"/>
    <cellStyle name="_Book2 4 6" xfId="4967"/>
    <cellStyle name="_x0013__Book2 4 6" xfId="4968"/>
    <cellStyle name="_Book2 4 6 2" xfId="4969"/>
    <cellStyle name="_Book2 4 6 2 2" xfId="4970"/>
    <cellStyle name="_Book2 4 6 3" xfId="4971"/>
    <cellStyle name="_Book2 4 6 4" xfId="4972"/>
    <cellStyle name="_Book2 4 7" xfId="4973"/>
    <cellStyle name="_x0013__Book2 4 7" xfId="4974"/>
    <cellStyle name="_Book2 4 7 2" xfId="4975"/>
    <cellStyle name="_Book2 4 7 2 2" xfId="4976"/>
    <cellStyle name="_Book2 4 7 3" xfId="4977"/>
    <cellStyle name="_Book2 4 8" xfId="4978"/>
    <cellStyle name="_Book2 4 8 2" xfId="4979"/>
    <cellStyle name="_Book2 4 8 2 2" xfId="4980"/>
    <cellStyle name="_Book2 4 8 3" xfId="4981"/>
    <cellStyle name="_Book2 4 9" xfId="4982"/>
    <cellStyle name="_Book2 4 9 2" xfId="4983"/>
    <cellStyle name="_Book2 4 9 2 2" xfId="4984"/>
    <cellStyle name="_Book2 4 9 3" xfId="4985"/>
    <cellStyle name="_Book2 40" xfId="4986"/>
    <cellStyle name="_x0013__Book2 40" xfId="4987"/>
    <cellStyle name="_Book2 41" xfId="4988"/>
    <cellStyle name="_x0013__Book2 41" xfId="4989"/>
    <cellStyle name="_Book2 42" xfId="4990"/>
    <cellStyle name="_x0013__Book2 42" xfId="4991"/>
    <cellStyle name="_Book2 43" xfId="4992"/>
    <cellStyle name="_x0013__Book2 43" xfId="4993"/>
    <cellStyle name="_x0013__Book2 44" xfId="4994"/>
    <cellStyle name="_x0013__Book2 45" xfId="4995"/>
    <cellStyle name="_x0013__Book2 46" xfId="4996"/>
    <cellStyle name="_x0013__Book2 47" xfId="4997"/>
    <cellStyle name="_x0013__Book2 48" xfId="4998"/>
    <cellStyle name="_x0013__Book2 49" xfId="4999"/>
    <cellStyle name="_Book2 5" xfId="5000"/>
    <cellStyle name="_x0013__Book2 5" xfId="5001"/>
    <cellStyle name="_Book2 5 10" xfId="5002"/>
    <cellStyle name="_Book2 5 11" xfId="5003"/>
    <cellStyle name="_Book2 5 12" xfId="5004"/>
    <cellStyle name="_Book2 5 13" xfId="5005"/>
    <cellStyle name="_Book2 5 14" xfId="5006"/>
    <cellStyle name="_Book2 5 15" xfId="5007"/>
    <cellStyle name="_Book2 5 16" xfId="5008"/>
    <cellStyle name="_Book2 5 17" xfId="5009"/>
    <cellStyle name="_Book2 5 18" xfId="5010"/>
    <cellStyle name="_Book2 5 19" xfId="5011"/>
    <cellStyle name="_Book2 5 2" xfId="5012"/>
    <cellStyle name="_x0013__Book2 5 2" xfId="5013"/>
    <cellStyle name="_Book2 5 2 2" xfId="5014"/>
    <cellStyle name="_x0013__Book2 5 2 2" xfId="5015"/>
    <cellStyle name="_Book2 5 2 2 2" xfId="5016"/>
    <cellStyle name="_Book2 5 2 2 3" xfId="5017"/>
    <cellStyle name="_Book2 5 2 3" xfId="5018"/>
    <cellStyle name="_x0013__Book2 5 2 3" xfId="5019"/>
    <cellStyle name="_Book2 5 2 4" xfId="5020"/>
    <cellStyle name="_Book2 5 20" xfId="5021"/>
    <cellStyle name="_Book2 5 21" xfId="5022"/>
    <cellStyle name="_Book2 5 22" xfId="5023"/>
    <cellStyle name="_Book2 5 23" xfId="5024"/>
    <cellStyle name="_Book2 5 24" xfId="5025"/>
    <cellStyle name="_Book2 5 25" xfId="5026"/>
    <cellStyle name="_Book2 5 26" xfId="5027"/>
    <cellStyle name="_Book2 5 27" xfId="5028"/>
    <cellStyle name="_Book2 5 28" xfId="5029"/>
    <cellStyle name="_Book2 5 29" xfId="5030"/>
    <cellStyle name="_Book2 5 3" xfId="5031"/>
    <cellStyle name="_x0013__Book2 5 3" xfId="5032"/>
    <cellStyle name="_Book2 5 3 2" xfId="5033"/>
    <cellStyle name="_Book2 5 3 2 2" xfId="5034"/>
    <cellStyle name="_Book2 5 3 3" xfId="5035"/>
    <cellStyle name="_Book2 5 3 4" xfId="5036"/>
    <cellStyle name="_Book2 5 30" xfId="5037"/>
    <cellStyle name="_Book2 5 31" xfId="5038"/>
    <cellStyle name="_Book2 5 32" xfId="5039"/>
    <cellStyle name="_Book2 5 33" xfId="5040"/>
    <cellStyle name="_Book2 5 34" xfId="5041"/>
    <cellStyle name="_Book2 5 35" xfId="5042"/>
    <cellStyle name="_Book2 5 36" xfId="5043"/>
    <cellStyle name="_Book2 5 4" xfId="5044"/>
    <cellStyle name="_x0013__Book2 5 4" xfId="5045"/>
    <cellStyle name="_Book2 5 4 2" xfId="5046"/>
    <cellStyle name="_Book2 5 4 2 2" xfId="5047"/>
    <cellStyle name="_Book2 5 4 3" xfId="5048"/>
    <cellStyle name="_Book2 5 5" xfId="5049"/>
    <cellStyle name="_Book2 5 5 2" xfId="5050"/>
    <cellStyle name="_Book2 5 5 2 2" xfId="5051"/>
    <cellStyle name="_Book2 5 5 3" xfId="5052"/>
    <cellStyle name="_Book2 5 6" xfId="5053"/>
    <cellStyle name="_Book2 5 6 2" xfId="5054"/>
    <cellStyle name="_Book2 5 6 2 2" xfId="5055"/>
    <cellStyle name="_Book2 5 6 3" xfId="5056"/>
    <cellStyle name="_Book2 5 7" xfId="5057"/>
    <cellStyle name="_Book2 5 7 2" xfId="5058"/>
    <cellStyle name="_Book2 5 8" xfId="5059"/>
    <cellStyle name="_Book2 5 9" xfId="5060"/>
    <cellStyle name="_x0013__Book2 50" xfId="5061"/>
    <cellStyle name="_x0013__Book2 51" xfId="5062"/>
    <cellStyle name="_Book2 6" xfId="5063"/>
    <cellStyle name="_x0013__Book2 6" xfId="5064"/>
    <cellStyle name="_Book2 6 10" xfId="5065"/>
    <cellStyle name="_Book2 6 11" xfId="5066"/>
    <cellStyle name="_Book2 6 12" xfId="5067"/>
    <cellStyle name="_Book2 6 13" xfId="5068"/>
    <cellStyle name="_Book2 6 14" xfId="5069"/>
    <cellStyle name="_Book2 6 15" xfId="5070"/>
    <cellStyle name="_Book2 6 16" xfId="5071"/>
    <cellStyle name="_Book2 6 17" xfId="5072"/>
    <cellStyle name="_Book2 6 18" xfId="5073"/>
    <cellStyle name="_Book2 6 19" xfId="5074"/>
    <cellStyle name="_Book2 6 2" xfId="5075"/>
    <cellStyle name="_x0013__Book2 6 2" xfId="5076"/>
    <cellStyle name="_Book2 6 2 2" xfId="5077"/>
    <cellStyle name="_x0013__Book2 6 2 2" xfId="5078"/>
    <cellStyle name="_Book2 6 2 3" xfId="5079"/>
    <cellStyle name="_x0013__Book2 6 2 3" xfId="5080"/>
    <cellStyle name="_Book2 6 20" xfId="5081"/>
    <cellStyle name="_Book2 6 21" xfId="5082"/>
    <cellStyle name="_Book2 6 22" xfId="5083"/>
    <cellStyle name="_Book2 6 23" xfId="5084"/>
    <cellStyle name="_Book2 6 24" xfId="5085"/>
    <cellStyle name="_Book2 6 25" xfId="5086"/>
    <cellStyle name="_Book2 6 26" xfId="5087"/>
    <cellStyle name="_Book2 6 27" xfId="5088"/>
    <cellStyle name="_Book2 6 28" xfId="5089"/>
    <cellStyle name="_Book2 6 29" xfId="5090"/>
    <cellStyle name="_Book2 6 3" xfId="5091"/>
    <cellStyle name="_x0013__Book2 6 3" xfId="5092"/>
    <cellStyle name="_Book2 6 30" xfId="5093"/>
    <cellStyle name="_Book2 6 31" xfId="5094"/>
    <cellStyle name="_Book2 6 32" xfId="5095"/>
    <cellStyle name="_Book2 6 33" xfId="5096"/>
    <cellStyle name="_Book2 6 34" xfId="5097"/>
    <cellStyle name="_Book2 6 35" xfId="5098"/>
    <cellStyle name="_Book2 6 4" xfId="5099"/>
    <cellStyle name="_x0013__Book2 6 4" xfId="5100"/>
    <cellStyle name="_Book2 6 5" xfId="5101"/>
    <cellStyle name="_Book2 6 6" xfId="5102"/>
    <cellStyle name="_Book2 6 7" xfId="5103"/>
    <cellStyle name="_Book2 6 8" xfId="5104"/>
    <cellStyle name="_Book2 6 9" xfId="5105"/>
    <cellStyle name="_Book2 7" xfId="5106"/>
    <cellStyle name="_x0013__Book2 7" xfId="5107"/>
    <cellStyle name="_Book2 7 10" xfId="5108"/>
    <cellStyle name="_Book2 7 11" xfId="5109"/>
    <cellStyle name="_Book2 7 12" xfId="5110"/>
    <cellStyle name="_Book2 7 13" xfId="5111"/>
    <cellStyle name="_Book2 7 14" xfId="5112"/>
    <cellStyle name="_Book2 7 15" xfId="5113"/>
    <cellStyle name="_Book2 7 16" xfId="5114"/>
    <cellStyle name="_Book2 7 17" xfId="5115"/>
    <cellStyle name="_Book2 7 18" xfId="5116"/>
    <cellStyle name="_Book2 7 19" xfId="5117"/>
    <cellStyle name="_Book2 7 2" xfId="5118"/>
    <cellStyle name="_x0013__Book2 7 2" xfId="5119"/>
    <cellStyle name="_Book2 7 2 2" xfId="5120"/>
    <cellStyle name="_x0013__Book2 7 2 2" xfId="5121"/>
    <cellStyle name="_Book2 7 2 3" xfId="5122"/>
    <cellStyle name="_x0013__Book2 7 2 3" xfId="5123"/>
    <cellStyle name="_Book2 7 20" xfId="5124"/>
    <cellStyle name="_Book2 7 21" xfId="5125"/>
    <cellStyle name="_Book2 7 22" xfId="5126"/>
    <cellStyle name="_Book2 7 23" xfId="5127"/>
    <cellStyle name="_Book2 7 24" xfId="5128"/>
    <cellStyle name="_Book2 7 25" xfId="5129"/>
    <cellStyle name="_Book2 7 26" xfId="5130"/>
    <cellStyle name="_Book2 7 27" xfId="5131"/>
    <cellStyle name="_Book2 7 28" xfId="5132"/>
    <cellStyle name="_Book2 7 29" xfId="5133"/>
    <cellStyle name="_Book2 7 3" xfId="5134"/>
    <cellStyle name="_x0013__Book2 7 3" xfId="5135"/>
    <cellStyle name="_Book2 7 30" xfId="5136"/>
    <cellStyle name="_Book2 7 31" xfId="5137"/>
    <cellStyle name="_Book2 7 32" xfId="5138"/>
    <cellStyle name="_Book2 7 33" xfId="5139"/>
    <cellStyle name="_Book2 7 34" xfId="5140"/>
    <cellStyle name="_Book2 7 4" xfId="5141"/>
    <cellStyle name="_x0013__Book2 7 4" xfId="5142"/>
    <cellStyle name="_Book2 7 5" xfId="5143"/>
    <cellStyle name="_Book2 7 6" xfId="5144"/>
    <cellStyle name="_Book2 7 7" xfId="5145"/>
    <cellStyle name="_Book2 7 8" xfId="5146"/>
    <cellStyle name="_Book2 7 9" xfId="5147"/>
    <cellStyle name="_Book2 8" xfId="5148"/>
    <cellStyle name="_x0013__Book2 8" xfId="5149"/>
    <cellStyle name="_Book2 8 10" xfId="5150"/>
    <cellStyle name="_Book2 8 11" xfId="5151"/>
    <cellStyle name="_Book2 8 12" xfId="5152"/>
    <cellStyle name="_Book2 8 13" xfId="5153"/>
    <cellStyle name="_Book2 8 14" xfId="5154"/>
    <cellStyle name="_Book2 8 15" xfId="5155"/>
    <cellStyle name="_Book2 8 16" xfId="5156"/>
    <cellStyle name="_Book2 8 17" xfId="5157"/>
    <cellStyle name="_Book2 8 18" xfId="5158"/>
    <cellStyle name="_Book2 8 19" xfId="5159"/>
    <cellStyle name="_Book2 8 2" xfId="5160"/>
    <cellStyle name="_x0013__Book2 8 2" xfId="5161"/>
    <cellStyle name="_Book2 8 2 2" xfId="5162"/>
    <cellStyle name="_x0013__Book2 8 2 2" xfId="5163"/>
    <cellStyle name="_Book2 8 2 3" xfId="5164"/>
    <cellStyle name="_x0013__Book2 8 2 3" xfId="5165"/>
    <cellStyle name="_Book2 8 20" xfId="5166"/>
    <cellStyle name="_Book2 8 21" xfId="5167"/>
    <cellStyle name="_Book2 8 22" xfId="5168"/>
    <cellStyle name="_Book2 8 23" xfId="5169"/>
    <cellStyle name="_Book2 8 24" xfId="5170"/>
    <cellStyle name="_Book2 8 25" xfId="5171"/>
    <cellStyle name="_Book2 8 26" xfId="5172"/>
    <cellStyle name="_Book2 8 27" xfId="5173"/>
    <cellStyle name="_Book2 8 28" xfId="5174"/>
    <cellStyle name="_Book2 8 29" xfId="5175"/>
    <cellStyle name="_Book2 8 3" xfId="5176"/>
    <cellStyle name="_x0013__Book2 8 3" xfId="5177"/>
    <cellStyle name="_Book2 8 30" xfId="5178"/>
    <cellStyle name="_Book2 8 31" xfId="5179"/>
    <cellStyle name="_Book2 8 32" xfId="5180"/>
    <cellStyle name="_Book2 8 33" xfId="5181"/>
    <cellStyle name="_Book2 8 4" xfId="5182"/>
    <cellStyle name="_x0013__Book2 8 4" xfId="5183"/>
    <cellStyle name="_Book2 8 5" xfId="5184"/>
    <cellStyle name="_Book2 8 6" xfId="5185"/>
    <cellStyle name="_Book2 8 7" xfId="5186"/>
    <cellStyle name="_Book2 8 8" xfId="5187"/>
    <cellStyle name="_Book2 8 9" xfId="5188"/>
    <cellStyle name="_Book2 9" xfId="5189"/>
    <cellStyle name="_x0013__Book2 9" xfId="5190"/>
    <cellStyle name="_Book2 9 10" xfId="5191"/>
    <cellStyle name="_Book2 9 11" xfId="5192"/>
    <cellStyle name="_Book2 9 12" xfId="5193"/>
    <cellStyle name="_Book2 9 13" xfId="5194"/>
    <cellStyle name="_Book2 9 14" xfId="5195"/>
    <cellStyle name="_Book2 9 15" xfId="5196"/>
    <cellStyle name="_Book2 9 16" xfId="5197"/>
    <cellStyle name="_Book2 9 17" xfId="5198"/>
    <cellStyle name="_Book2 9 18" xfId="5199"/>
    <cellStyle name="_Book2 9 19" xfId="5200"/>
    <cellStyle name="_Book2 9 2" xfId="5201"/>
    <cellStyle name="_x0013__Book2 9 2" xfId="5202"/>
    <cellStyle name="_Book2 9 2 2" xfId="5203"/>
    <cellStyle name="_x0013__Book2 9 2 2" xfId="5204"/>
    <cellStyle name="_Book2 9 2 3" xfId="5205"/>
    <cellStyle name="_x0013__Book2 9 2 3" xfId="5206"/>
    <cellStyle name="_Book2 9 20" xfId="5207"/>
    <cellStyle name="_Book2 9 21" xfId="5208"/>
    <cellStyle name="_Book2 9 22" xfId="5209"/>
    <cellStyle name="_Book2 9 23" xfId="5210"/>
    <cellStyle name="_Book2 9 24" xfId="5211"/>
    <cellStyle name="_Book2 9 3" xfId="5212"/>
    <cellStyle name="_x0013__Book2 9 3" xfId="5213"/>
    <cellStyle name="_Book2 9 4" xfId="5214"/>
    <cellStyle name="_x0013__Book2 9 4" xfId="5215"/>
    <cellStyle name="_Book2 9 5" xfId="5216"/>
    <cellStyle name="_Book2 9 6" xfId="5217"/>
    <cellStyle name="_Book2 9 7" xfId="5218"/>
    <cellStyle name="_Book2 9 8" xfId="5219"/>
    <cellStyle name="_Book2 9 9" xfId="5220"/>
    <cellStyle name="_Book2_04 07E Wild Horse Wind Expansion (C) (2)" xfId="155"/>
    <cellStyle name="_Book2_04 07E Wild Horse Wind Expansion (C) (2) 2" xfId="5221"/>
    <cellStyle name="_Book2_04 07E Wild Horse Wind Expansion (C) (2) 2 2" xfId="5222"/>
    <cellStyle name="_Book2_04 07E Wild Horse Wind Expansion (C) (2) 2 2 2" xfId="5223"/>
    <cellStyle name="_Book2_04 07E Wild Horse Wind Expansion (C) (2) 2 3" xfId="5224"/>
    <cellStyle name="_Book2_04 07E Wild Horse Wind Expansion (C) (2) 3" xfId="5225"/>
    <cellStyle name="_Book2_04 07E Wild Horse Wind Expansion (C) (2) 3 2" xfId="5226"/>
    <cellStyle name="_Book2_04 07E Wild Horse Wind Expansion (C) (2) 4" xfId="5227"/>
    <cellStyle name="_Book2_04 07E Wild Horse Wind Expansion (C) (2)_Adj Bench DR 3 for Initial Briefs (Electric)" xfId="156"/>
    <cellStyle name="_Book2_04 07E Wild Horse Wind Expansion (C) (2)_Adj Bench DR 3 for Initial Briefs (Electric) 2" xfId="5228"/>
    <cellStyle name="_Book2_04 07E Wild Horse Wind Expansion (C) (2)_Adj Bench DR 3 for Initial Briefs (Electric) 2 2" xfId="5229"/>
    <cellStyle name="_Book2_04 07E Wild Horse Wind Expansion (C) (2)_Adj Bench DR 3 for Initial Briefs (Electric) 2 2 2" xfId="5230"/>
    <cellStyle name="_Book2_04 07E Wild Horse Wind Expansion (C) (2)_Adj Bench DR 3 for Initial Briefs (Electric) 2 3" xfId="5231"/>
    <cellStyle name="_Book2_04 07E Wild Horse Wind Expansion (C) (2)_Adj Bench DR 3 for Initial Briefs (Electric) 3" xfId="5232"/>
    <cellStyle name="_Book2_04 07E Wild Horse Wind Expansion (C) (2)_Adj Bench DR 3 for Initial Briefs (Electric) 3 2" xfId="5233"/>
    <cellStyle name="_Book2_04 07E Wild Horse Wind Expansion (C) (2)_Adj Bench DR 3 for Initial Briefs (Electric) 4" xfId="5234"/>
    <cellStyle name="_Book2_04 07E Wild Horse Wind Expansion (C) (2)_Adj Bench DR 3 for Initial Briefs (Electric)_DEM-WP(C) ENERG10C--ctn Mid-C_042010 2010GRC" xfId="5235"/>
    <cellStyle name="_Book2_04 07E Wild Horse Wind Expansion (C) (2)_Book1" xfId="5236"/>
    <cellStyle name="_Book2_04 07E Wild Horse Wind Expansion (C) (2)_DEM-WP(C) ENERG10C--ctn Mid-C_042010 2010GRC" xfId="5237"/>
    <cellStyle name="_Book2_04 07E Wild Horse Wind Expansion (C) (2)_Electric Rev Req Model (2009 GRC) " xfId="157"/>
    <cellStyle name="_Book2_04 07E Wild Horse Wind Expansion (C) (2)_Electric Rev Req Model (2009 GRC)  2" xfId="5238"/>
    <cellStyle name="_Book2_04 07E Wild Horse Wind Expansion (C) (2)_Electric Rev Req Model (2009 GRC)  2 2" xfId="5239"/>
    <cellStyle name="_Book2_04 07E Wild Horse Wind Expansion (C) (2)_Electric Rev Req Model (2009 GRC)  2 2 2" xfId="5240"/>
    <cellStyle name="_Book2_04 07E Wild Horse Wind Expansion (C) (2)_Electric Rev Req Model (2009 GRC)  2 3" xfId="5241"/>
    <cellStyle name="_Book2_04 07E Wild Horse Wind Expansion (C) (2)_Electric Rev Req Model (2009 GRC)  3" xfId="5242"/>
    <cellStyle name="_Book2_04 07E Wild Horse Wind Expansion (C) (2)_Electric Rev Req Model (2009 GRC)  3 2" xfId="5243"/>
    <cellStyle name="_Book2_04 07E Wild Horse Wind Expansion (C) (2)_Electric Rev Req Model (2009 GRC)  4" xfId="5244"/>
    <cellStyle name="_Book2_04 07E Wild Horse Wind Expansion (C) (2)_Electric Rev Req Model (2009 GRC) _DEM-WP(C) ENERG10C--ctn Mid-C_042010 2010GRC" xfId="5245"/>
    <cellStyle name="_Book2_04 07E Wild Horse Wind Expansion (C) (2)_Electric Rev Req Model (2009 GRC) Rebuttal" xfId="158"/>
    <cellStyle name="_Book2_04 07E Wild Horse Wind Expansion (C) (2)_Electric Rev Req Model (2009 GRC) Rebuttal 2" xfId="5246"/>
    <cellStyle name="_Book2_04 07E Wild Horse Wind Expansion (C) (2)_Electric Rev Req Model (2009 GRC) Rebuttal 2 2" xfId="5247"/>
    <cellStyle name="_Book2_04 07E Wild Horse Wind Expansion (C) (2)_Electric Rev Req Model (2009 GRC) Rebuttal 2 2 2" xfId="5248"/>
    <cellStyle name="_Book2_04 07E Wild Horse Wind Expansion (C) (2)_Electric Rev Req Model (2009 GRC) Rebuttal 2 3" xfId="5249"/>
    <cellStyle name="_Book2_04 07E Wild Horse Wind Expansion (C) (2)_Electric Rev Req Model (2009 GRC) Rebuttal 3" xfId="5250"/>
    <cellStyle name="_Book2_04 07E Wild Horse Wind Expansion (C) (2)_Electric Rev Req Model (2009 GRC) Rebuttal 3 2" xfId="5251"/>
    <cellStyle name="_Book2_04 07E Wild Horse Wind Expansion (C) (2)_Electric Rev Req Model (2009 GRC) Rebuttal 4" xfId="5252"/>
    <cellStyle name="_Book2_04 07E Wild Horse Wind Expansion (C) (2)_Electric Rev Req Model (2009 GRC) Rebuttal REmoval of New  WH Solar AdjustMI" xfId="159"/>
    <cellStyle name="_Book2_04 07E Wild Horse Wind Expansion (C) (2)_Electric Rev Req Model (2009 GRC) Rebuttal REmoval of New  WH Solar AdjustMI 2" xfId="5253"/>
    <cellStyle name="_Book2_04 07E Wild Horse Wind Expansion (C) (2)_Electric Rev Req Model (2009 GRC) Rebuttal REmoval of New  WH Solar AdjustMI 2 2" xfId="5254"/>
    <cellStyle name="_Book2_04 07E Wild Horse Wind Expansion (C) (2)_Electric Rev Req Model (2009 GRC) Rebuttal REmoval of New  WH Solar AdjustMI 2 2 2" xfId="5255"/>
    <cellStyle name="_Book2_04 07E Wild Horse Wind Expansion (C) (2)_Electric Rev Req Model (2009 GRC) Rebuttal REmoval of New  WH Solar AdjustMI 2 3" xfId="5256"/>
    <cellStyle name="_Book2_04 07E Wild Horse Wind Expansion (C) (2)_Electric Rev Req Model (2009 GRC) Rebuttal REmoval of New  WH Solar AdjustMI 3" xfId="5257"/>
    <cellStyle name="_Book2_04 07E Wild Horse Wind Expansion (C) (2)_Electric Rev Req Model (2009 GRC) Rebuttal REmoval of New  WH Solar AdjustMI 3 2" xfId="5258"/>
    <cellStyle name="_Book2_04 07E Wild Horse Wind Expansion (C) (2)_Electric Rev Req Model (2009 GRC) Rebuttal REmoval of New  WH Solar AdjustMI 4" xfId="5259"/>
    <cellStyle name="_Book2_04 07E Wild Horse Wind Expansion (C) (2)_Electric Rev Req Model (2009 GRC) Rebuttal REmoval of New  WH Solar AdjustMI_DEM-WP(C) ENERG10C--ctn Mid-C_042010 2010GRC" xfId="5260"/>
    <cellStyle name="_Book2_04 07E Wild Horse Wind Expansion (C) (2)_Electric Rev Req Model (2009 GRC) Revised 01-18-2010" xfId="160"/>
    <cellStyle name="_Book2_04 07E Wild Horse Wind Expansion (C) (2)_Electric Rev Req Model (2009 GRC) Revised 01-18-2010 2" xfId="5261"/>
    <cellStyle name="_Book2_04 07E Wild Horse Wind Expansion (C) (2)_Electric Rev Req Model (2009 GRC) Revised 01-18-2010 2 2" xfId="5262"/>
    <cellStyle name="_Book2_04 07E Wild Horse Wind Expansion (C) (2)_Electric Rev Req Model (2009 GRC) Revised 01-18-2010 2 2 2" xfId="5263"/>
    <cellStyle name="_Book2_04 07E Wild Horse Wind Expansion (C) (2)_Electric Rev Req Model (2009 GRC) Revised 01-18-2010 2 3" xfId="5264"/>
    <cellStyle name="_Book2_04 07E Wild Horse Wind Expansion (C) (2)_Electric Rev Req Model (2009 GRC) Revised 01-18-2010 3" xfId="5265"/>
    <cellStyle name="_Book2_04 07E Wild Horse Wind Expansion (C) (2)_Electric Rev Req Model (2009 GRC) Revised 01-18-2010 3 2" xfId="5266"/>
    <cellStyle name="_Book2_04 07E Wild Horse Wind Expansion (C) (2)_Electric Rev Req Model (2009 GRC) Revised 01-18-2010 4" xfId="5267"/>
    <cellStyle name="_Book2_04 07E Wild Horse Wind Expansion (C) (2)_Electric Rev Req Model (2009 GRC) Revised 01-18-2010_DEM-WP(C) ENERG10C--ctn Mid-C_042010 2010GRC" xfId="5268"/>
    <cellStyle name="_Book2_04 07E Wild Horse Wind Expansion (C) (2)_Electric Rev Req Model (2010 GRC)" xfId="5269"/>
    <cellStyle name="_Book2_04 07E Wild Horse Wind Expansion (C) (2)_Electric Rev Req Model (2010 GRC) SF" xfId="5270"/>
    <cellStyle name="_Book2_04 07E Wild Horse Wind Expansion (C) (2)_Final Order Electric EXHIBIT A-1" xfId="161"/>
    <cellStyle name="_Book2_04 07E Wild Horse Wind Expansion (C) (2)_Final Order Electric EXHIBIT A-1 2" xfId="5271"/>
    <cellStyle name="_Book2_04 07E Wild Horse Wind Expansion (C) (2)_Final Order Electric EXHIBIT A-1 2 2" xfId="5272"/>
    <cellStyle name="_Book2_04 07E Wild Horse Wind Expansion (C) (2)_Final Order Electric EXHIBIT A-1 2 2 2" xfId="5273"/>
    <cellStyle name="_Book2_04 07E Wild Horse Wind Expansion (C) (2)_Final Order Electric EXHIBIT A-1 2 3" xfId="5274"/>
    <cellStyle name="_Book2_04 07E Wild Horse Wind Expansion (C) (2)_Final Order Electric EXHIBIT A-1 3" xfId="5275"/>
    <cellStyle name="_Book2_04 07E Wild Horse Wind Expansion (C) (2)_Final Order Electric EXHIBIT A-1 3 2" xfId="5276"/>
    <cellStyle name="_Book2_04 07E Wild Horse Wind Expansion (C) (2)_Final Order Electric EXHIBIT A-1 4" xfId="5277"/>
    <cellStyle name="_Book2_04 07E Wild Horse Wind Expansion (C) (2)_TENASKA REGULATORY ASSET" xfId="162"/>
    <cellStyle name="_Book2_04 07E Wild Horse Wind Expansion (C) (2)_TENASKA REGULATORY ASSET 2" xfId="5278"/>
    <cellStyle name="_Book2_04 07E Wild Horse Wind Expansion (C) (2)_TENASKA REGULATORY ASSET 2 2" xfId="5279"/>
    <cellStyle name="_Book2_04 07E Wild Horse Wind Expansion (C) (2)_TENASKA REGULATORY ASSET 2 2 2" xfId="5280"/>
    <cellStyle name="_Book2_04 07E Wild Horse Wind Expansion (C) (2)_TENASKA REGULATORY ASSET 2 3" xfId="5281"/>
    <cellStyle name="_Book2_04 07E Wild Horse Wind Expansion (C) (2)_TENASKA REGULATORY ASSET 3" xfId="5282"/>
    <cellStyle name="_Book2_04 07E Wild Horse Wind Expansion (C) (2)_TENASKA REGULATORY ASSET 3 2" xfId="5283"/>
    <cellStyle name="_Book2_04 07E Wild Horse Wind Expansion (C) (2)_TENASKA REGULATORY ASSET 4" xfId="5284"/>
    <cellStyle name="_Book2_16.37E Wild Horse Expansion DeferralRevwrkingfile SF" xfId="163"/>
    <cellStyle name="_Book2_16.37E Wild Horse Expansion DeferralRevwrkingfile SF 2" xfId="5285"/>
    <cellStyle name="_Book2_16.37E Wild Horse Expansion DeferralRevwrkingfile SF 2 2" xfId="5286"/>
    <cellStyle name="_Book2_16.37E Wild Horse Expansion DeferralRevwrkingfile SF 2 2 2" xfId="5287"/>
    <cellStyle name="_Book2_16.37E Wild Horse Expansion DeferralRevwrkingfile SF 2 3" xfId="5288"/>
    <cellStyle name="_Book2_16.37E Wild Horse Expansion DeferralRevwrkingfile SF 3" xfId="5289"/>
    <cellStyle name="_Book2_16.37E Wild Horse Expansion DeferralRevwrkingfile SF 3 2" xfId="5290"/>
    <cellStyle name="_Book2_16.37E Wild Horse Expansion DeferralRevwrkingfile SF 4" xfId="5291"/>
    <cellStyle name="_Book2_16.37E Wild Horse Expansion DeferralRevwrkingfile SF_DEM-WP(C) ENERG10C--ctn Mid-C_042010 2010GRC" xfId="5292"/>
    <cellStyle name="_Book2_2009 Compliance Filing PCA Exhibits for GRC" xfId="5293"/>
    <cellStyle name="_Book2_2009 Compliance Filing PCA Exhibits for GRC 2" xfId="5294"/>
    <cellStyle name="_Book2_2009 GRC Compl Filing - Exhibit D" xfId="164"/>
    <cellStyle name="_Book2_2009 GRC Compl Filing - Exhibit D 2" xfId="5295"/>
    <cellStyle name="_Book2_2009 GRC Compl Filing - Exhibit D 2 2" xfId="5296"/>
    <cellStyle name="_Book2_2009 GRC Compl Filing - Exhibit D 3" xfId="5297"/>
    <cellStyle name="_Book2_2009 GRC Compl Filing - Exhibit D_DEM-WP(C) ENERG10C--ctn Mid-C_042010 2010GRC" xfId="5298"/>
    <cellStyle name="_Book2_3.01 Income Statement" xfId="165"/>
    <cellStyle name="_Book2_4 31 Regulatory Assets and Liabilities  7 06- Exhibit D" xfId="166"/>
    <cellStyle name="_Book2_4 31 Regulatory Assets and Liabilities  7 06- Exhibit D 2" xfId="5299"/>
    <cellStyle name="_Book2_4 31 Regulatory Assets and Liabilities  7 06- Exhibit D 2 2" xfId="5300"/>
    <cellStyle name="_Book2_4 31 Regulatory Assets and Liabilities  7 06- Exhibit D 2 2 2" xfId="5301"/>
    <cellStyle name="_Book2_4 31 Regulatory Assets and Liabilities  7 06- Exhibit D 2 3" xfId="5302"/>
    <cellStyle name="_Book2_4 31 Regulatory Assets and Liabilities  7 06- Exhibit D 3" xfId="5303"/>
    <cellStyle name="_Book2_4 31 Regulatory Assets and Liabilities  7 06- Exhibit D 3 2" xfId="5304"/>
    <cellStyle name="_Book2_4 31 Regulatory Assets and Liabilities  7 06- Exhibit D 4" xfId="5305"/>
    <cellStyle name="_Book2_4 31 Regulatory Assets and Liabilities  7 06- Exhibit D_DEM-WP(C) ENERG10C--ctn Mid-C_042010 2010GRC" xfId="5306"/>
    <cellStyle name="_Book2_4 31 Regulatory Assets and Liabilities  7 06- Exhibit D_NIM Summary" xfId="5307"/>
    <cellStyle name="_Book2_4 31 Regulatory Assets and Liabilities  7 06- Exhibit D_NIM Summary 2" xfId="5308"/>
    <cellStyle name="_Book2_4 31 Regulatory Assets and Liabilities  7 06- Exhibit D_NIM Summary 2 2" xfId="5309"/>
    <cellStyle name="_Book2_4 31 Regulatory Assets and Liabilities  7 06- Exhibit D_NIM Summary 3" xfId="5310"/>
    <cellStyle name="_Book2_4 31 Regulatory Assets and Liabilities  7 06- Exhibit D_NIM Summary_DEM-WP(C) ENERG10C--ctn Mid-C_042010 2010GRC" xfId="5311"/>
    <cellStyle name="_Book2_4 31E Reg Asset  Liab and EXH D" xfId="5312"/>
    <cellStyle name="_Book2_4 31E Reg Asset  Liab and EXH D _ Aug 10 Filing (2)" xfId="5313"/>
    <cellStyle name="_Book2_4 31E Reg Asset  Liab and EXH D _ Aug 10 Filing (2) 2" xfId="5314"/>
    <cellStyle name="_Book2_4 31E Reg Asset  Liab and EXH D 10" xfId="5315"/>
    <cellStyle name="_Book2_4 31E Reg Asset  Liab and EXH D 11" xfId="5316"/>
    <cellStyle name="_Book2_4 31E Reg Asset  Liab and EXH D 12" xfId="5317"/>
    <cellStyle name="_Book2_4 31E Reg Asset  Liab and EXH D 13" xfId="5318"/>
    <cellStyle name="_Book2_4 31E Reg Asset  Liab and EXH D 14" xfId="5319"/>
    <cellStyle name="_Book2_4 31E Reg Asset  Liab and EXH D 15" xfId="5320"/>
    <cellStyle name="_Book2_4 31E Reg Asset  Liab and EXH D 16" xfId="5321"/>
    <cellStyle name="_Book2_4 31E Reg Asset  Liab and EXH D 17" xfId="5322"/>
    <cellStyle name="_Book2_4 31E Reg Asset  Liab and EXH D 18" xfId="5323"/>
    <cellStyle name="_Book2_4 31E Reg Asset  Liab and EXH D 19" xfId="5324"/>
    <cellStyle name="_Book2_4 31E Reg Asset  Liab and EXH D 2" xfId="5325"/>
    <cellStyle name="_Book2_4 31E Reg Asset  Liab and EXH D 20" xfId="5326"/>
    <cellStyle name="_Book2_4 31E Reg Asset  Liab and EXH D 21" xfId="5327"/>
    <cellStyle name="_Book2_4 31E Reg Asset  Liab and EXH D 22" xfId="5328"/>
    <cellStyle name="_Book2_4 31E Reg Asset  Liab and EXH D 23" xfId="5329"/>
    <cellStyle name="_Book2_4 31E Reg Asset  Liab and EXH D 24" xfId="5330"/>
    <cellStyle name="_Book2_4 31E Reg Asset  Liab and EXH D 25" xfId="5331"/>
    <cellStyle name="_Book2_4 31E Reg Asset  Liab and EXH D 26" xfId="5332"/>
    <cellStyle name="_Book2_4 31E Reg Asset  Liab and EXH D 27" xfId="5333"/>
    <cellStyle name="_Book2_4 31E Reg Asset  Liab and EXH D 28" xfId="5334"/>
    <cellStyle name="_Book2_4 31E Reg Asset  Liab and EXH D 29" xfId="5335"/>
    <cellStyle name="_Book2_4 31E Reg Asset  Liab and EXH D 3" xfId="5336"/>
    <cellStyle name="_Book2_4 31E Reg Asset  Liab and EXH D 30" xfId="5337"/>
    <cellStyle name="_Book2_4 31E Reg Asset  Liab and EXH D 31" xfId="5338"/>
    <cellStyle name="_Book2_4 31E Reg Asset  Liab and EXH D 32" xfId="5339"/>
    <cellStyle name="_Book2_4 31E Reg Asset  Liab and EXH D 33" xfId="5340"/>
    <cellStyle name="_Book2_4 31E Reg Asset  Liab and EXH D 34" xfId="5341"/>
    <cellStyle name="_Book2_4 31E Reg Asset  Liab and EXH D 35" xfId="5342"/>
    <cellStyle name="_Book2_4 31E Reg Asset  Liab and EXH D 36" xfId="5343"/>
    <cellStyle name="_Book2_4 31E Reg Asset  Liab and EXH D 4" xfId="5344"/>
    <cellStyle name="_Book2_4 31E Reg Asset  Liab and EXH D 5" xfId="5345"/>
    <cellStyle name="_Book2_4 31E Reg Asset  Liab and EXH D 6" xfId="5346"/>
    <cellStyle name="_Book2_4 31E Reg Asset  Liab and EXH D 7" xfId="5347"/>
    <cellStyle name="_Book2_4 31E Reg Asset  Liab and EXH D 8" xfId="5348"/>
    <cellStyle name="_Book2_4 31E Reg Asset  Liab and EXH D 9" xfId="5349"/>
    <cellStyle name="_Book2_4 32 Regulatory Assets and Liabilities  7 06- Exhibit D" xfId="167"/>
    <cellStyle name="_Book2_4 32 Regulatory Assets and Liabilities  7 06- Exhibit D 2" xfId="5350"/>
    <cellStyle name="_Book2_4 32 Regulatory Assets and Liabilities  7 06- Exhibit D 2 2" xfId="5351"/>
    <cellStyle name="_Book2_4 32 Regulatory Assets and Liabilities  7 06- Exhibit D 2 2 2" xfId="5352"/>
    <cellStyle name="_Book2_4 32 Regulatory Assets and Liabilities  7 06- Exhibit D 2 3" xfId="5353"/>
    <cellStyle name="_Book2_4 32 Regulatory Assets and Liabilities  7 06- Exhibit D 3" xfId="5354"/>
    <cellStyle name="_Book2_4 32 Regulatory Assets and Liabilities  7 06- Exhibit D 3 2" xfId="5355"/>
    <cellStyle name="_Book2_4 32 Regulatory Assets and Liabilities  7 06- Exhibit D 4" xfId="5356"/>
    <cellStyle name="_Book2_4 32 Regulatory Assets and Liabilities  7 06- Exhibit D_DEM-WP(C) ENERG10C--ctn Mid-C_042010 2010GRC" xfId="5357"/>
    <cellStyle name="_Book2_4 32 Regulatory Assets and Liabilities  7 06- Exhibit D_NIM Summary" xfId="5358"/>
    <cellStyle name="_Book2_4 32 Regulatory Assets and Liabilities  7 06- Exhibit D_NIM Summary 2" xfId="5359"/>
    <cellStyle name="_Book2_4 32 Regulatory Assets and Liabilities  7 06- Exhibit D_NIM Summary 2 2" xfId="5360"/>
    <cellStyle name="_Book2_4 32 Regulatory Assets and Liabilities  7 06- Exhibit D_NIM Summary 3" xfId="5361"/>
    <cellStyle name="_Book2_4 32 Regulatory Assets and Liabilities  7 06- Exhibit D_NIM Summary_DEM-WP(C) ENERG10C--ctn Mid-C_042010 2010GRC" xfId="5362"/>
    <cellStyle name="_x0013__Book2_Adj Bench DR 3 for Initial Briefs (Electric)" xfId="168"/>
    <cellStyle name="_x0013__Book2_Adj Bench DR 3 for Initial Briefs (Electric) 2" xfId="5363"/>
    <cellStyle name="_x0013__Book2_Adj Bench DR 3 for Initial Briefs (Electric) 2 2" xfId="5364"/>
    <cellStyle name="_x0013__Book2_Adj Bench DR 3 for Initial Briefs (Electric) 2 2 2" xfId="5365"/>
    <cellStyle name="_x0013__Book2_Adj Bench DR 3 for Initial Briefs (Electric) 2 3" xfId="5366"/>
    <cellStyle name="_x0013__Book2_Adj Bench DR 3 for Initial Briefs (Electric) 3" xfId="5367"/>
    <cellStyle name="_x0013__Book2_Adj Bench DR 3 for Initial Briefs (Electric) 3 2" xfId="5368"/>
    <cellStyle name="_x0013__Book2_Adj Bench DR 3 for Initial Briefs (Electric) 4" xfId="5369"/>
    <cellStyle name="_x0013__Book2_Adj Bench DR 3 for Initial Briefs (Electric)_DEM-WP(C) ENERG10C--ctn Mid-C_042010 2010GRC" xfId="5370"/>
    <cellStyle name="_Book2_AURORA Total New" xfId="5371"/>
    <cellStyle name="_Book2_AURORA Total New 2" xfId="5372"/>
    <cellStyle name="_Book2_AURORA Total New 2 2" xfId="5373"/>
    <cellStyle name="_Book2_AURORA Total New 3" xfId="5374"/>
    <cellStyle name="_Book2_Book2" xfId="169"/>
    <cellStyle name="_Book2_Book2 2" xfId="5375"/>
    <cellStyle name="_Book2_Book2 2 2" xfId="5376"/>
    <cellStyle name="_Book2_Book2 2 2 2" xfId="5377"/>
    <cellStyle name="_Book2_Book2 2 3" xfId="5378"/>
    <cellStyle name="_Book2_Book2 3" xfId="5379"/>
    <cellStyle name="_Book2_Book2 3 2" xfId="5380"/>
    <cellStyle name="_Book2_Book2 4" xfId="5381"/>
    <cellStyle name="_Book2_Book2_Adj Bench DR 3 for Initial Briefs (Electric)" xfId="170"/>
    <cellStyle name="_Book2_Book2_Adj Bench DR 3 for Initial Briefs (Electric) 2" xfId="5382"/>
    <cellStyle name="_Book2_Book2_Adj Bench DR 3 for Initial Briefs (Electric) 2 2" xfId="5383"/>
    <cellStyle name="_Book2_Book2_Adj Bench DR 3 for Initial Briefs (Electric) 2 2 2" xfId="5384"/>
    <cellStyle name="_Book2_Book2_Adj Bench DR 3 for Initial Briefs (Electric) 2 3" xfId="5385"/>
    <cellStyle name="_Book2_Book2_Adj Bench DR 3 for Initial Briefs (Electric) 3" xfId="5386"/>
    <cellStyle name="_Book2_Book2_Adj Bench DR 3 for Initial Briefs (Electric) 3 2" xfId="5387"/>
    <cellStyle name="_Book2_Book2_Adj Bench DR 3 for Initial Briefs (Electric) 4" xfId="5388"/>
    <cellStyle name="_Book2_Book2_Adj Bench DR 3 for Initial Briefs (Electric)_DEM-WP(C) ENERG10C--ctn Mid-C_042010 2010GRC" xfId="5389"/>
    <cellStyle name="_Book2_Book2_DEM-WP(C) ENERG10C--ctn Mid-C_042010 2010GRC" xfId="5390"/>
    <cellStyle name="_Book2_Book2_Electric Rev Req Model (2009 GRC) Rebuttal" xfId="171"/>
    <cellStyle name="_Book2_Book2_Electric Rev Req Model (2009 GRC) Rebuttal 2" xfId="5391"/>
    <cellStyle name="_Book2_Book2_Electric Rev Req Model (2009 GRC) Rebuttal 2 2" xfId="5392"/>
    <cellStyle name="_Book2_Book2_Electric Rev Req Model (2009 GRC) Rebuttal 2 2 2" xfId="5393"/>
    <cellStyle name="_Book2_Book2_Electric Rev Req Model (2009 GRC) Rebuttal 2 3" xfId="5394"/>
    <cellStyle name="_Book2_Book2_Electric Rev Req Model (2009 GRC) Rebuttal 3" xfId="5395"/>
    <cellStyle name="_Book2_Book2_Electric Rev Req Model (2009 GRC) Rebuttal 3 2" xfId="5396"/>
    <cellStyle name="_Book2_Book2_Electric Rev Req Model (2009 GRC) Rebuttal 4" xfId="5397"/>
    <cellStyle name="_Book2_Book2_Electric Rev Req Model (2009 GRC) Rebuttal REmoval of New  WH Solar AdjustMI" xfId="172"/>
    <cellStyle name="_Book2_Book2_Electric Rev Req Model (2009 GRC) Rebuttal REmoval of New  WH Solar AdjustMI 2" xfId="5398"/>
    <cellStyle name="_Book2_Book2_Electric Rev Req Model (2009 GRC) Rebuttal REmoval of New  WH Solar AdjustMI 2 2" xfId="5399"/>
    <cellStyle name="_Book2_Book2_Electric Rev Req Model (2009 GRC) Rebuttal REmoval of New  WH Solar AdjustMI 2 2 2" xfId="5400"/>
    <cellStyle name="_Book2_Book2_Electric Rev Req Model (2009 GRC) Rebuttal REmoval of New  WH Solar AdjustMI 2 3" xfId="5401"/>
    <cellStyle name="_Book2_Book2_Electric Rev Req Model (2009 GRC) Rebuttal REmoval of New  WH Solar AdjustMI 3" xfId="5402"/>
    <cellStyle name="_Book2_Book2_Electric Rev Req Model (2009 GRC) Rebuttal REmoval of New  WH Solar AdjustMI 3 2" xfId="5403"/>
    <cellStyle name="_Book2_Book2_Electric Rev Req Model (2009 GRC) Rebuttal REmoval of New  WH Solar AdjustMI 4" xfId="5404"/>
    <cellStyle name="_Book2_Book2_Electric Rev Req Model (2009 GRC) Rebuttal REmoval of New  WH Solar AdjustMI_DEM-WP(C) ENERG10C--ctn Mid-C_042010 2010GRC" xfId="5405"/>
    <cellStyle name="_Book2_Book2_Electric Rev Req Model (2009 GRC) Revised 01-18-2010" xfId="173"/>
    <cellStyle name="_Book2_Book2_Electric Rev Req Model (2009 GRC) Revised 01-18-2010 2" xfId="5406"/>
    <cellStyle name="_Book2_Book2_Electric Rev Req Model (2009 GRC) Revised 01-18-2010 2 2" xfId="5407"/>
    <cellStyle name="_Book2_Book2_Electric Rev Req Model (2009 GRC) Revised 01-18-2010 2 2 2" xfId="5408"/>
    <cellStyle name="_Book2_Book2_Electric Rev Req Model (2009 GRC) Revised 01-18-2010 2 3" xfId="5409"/>
    <cellStyle name="_Book2_Book2_Electric Rev Req Model (2009 GRC) Revised 01-18-2010 3" xfId="5410"/>
    <cellStyle name="_Book2_Book2_Electric Rev Req Model (2009 GRC) Revised 01-18-2010 3 2" xfId="5411"/>
    <cellStyle name="_Book2_Book2_Electric Rev Req Model (2009 GRC) Revised 01-18-2010 4" xfId="5412"/>
    <cellStyle name="_Book2_Book2_Electric Rev Req Model (2009 GRC) Revised 01-18-2010_DEM-WP(C) ENERG10C--ctn Mid-C_042010 2010GRC" xfId="5413"/>
    <cellStyle name="_Book2_Book2_Final Order Electric EXHIBIT A-1" xfId="174"/>
    <cellStyle name="_Book2_Book2_Final Order Electric EXHIBIT A-1 2" xfId="5414"/>
    <cellStyle name="_Book2_Book2_Final Order Electric EXHIBIT A-1 2 2" xfId="5415"/>
    <cellStyle name="_Book2_Book2_Final Order Electric EXHIBIT A-1 2 2 2" xfId="5416"/>
    <cellStyle name="_Book2_Book2_Final Order Electric EXHIBIT A-1 2 3" xfId="5417"/>
    <cellStyle name="_Book2_Book2_Final Order Electric EXHIBIT A-1 3" xfId="5418"/>
    <cellStyle name="_Book2_Book2_Final Order Electric EXHIBIT A-1 3 2" xfId="5419"/>
    <cellStyle name="_Book2_Book2_Final Order Electric EXHIBIT A-1 4" xfId="5420"/>
    <cellStyle name="_Book2_Book4" xfId="175"/>
    <cellStyle name="_Book2_Book4 2" xfId="5421"/>
    <cellStyle name="_Book2_Book4 2 2" xfId="5422"/>
    <cellStyle name="_Book2_Book4 2 2 2" xfId="5423"/>
    <cellStyle name="_Book2_Book4 2 3" xfId="5424"/>
    <cellStyle name="_Book2_Book4 3" xfId="5425"/>
    <cellStyle name="_Book2_Book4 3 2" xfId="5426"/>
    <cellStyle name="_Book2_Book4 4" xfId="5427"/>
    <cellStyle name="_Book2_Book4_DEM-WP(C) ENERG10C--ctn Mid-C_042010 2010GRC" xfId="5428"/>
    <cellStyle name="_Book2_Book9" xfId="176"/>
    <cellStyle name="_Book2_Book9 2" xfId="5429"/>
    <cellStyle name="_Book2_Book9 2 2" xfId="5430"/>
    <cellStyle name="_Book2_Book9 2 2 2" xfId="5431"/>
    <cellStyle name="_Book2_Book9 2 3" xfId="5432"/>
    <cellStyle name="_Book2_Book9 3" xfId="5433"/>
    <cellStyle name="_Book2_Book9 3 2" xfId="5434"/>
    <cellStyle name="_Book2_Book9 4" xfId="5435"/>
    <cellStyle name="_Book2_Book9_DEM-WP(C) ENERG10C--ctn Mid-C_042010 2010GRC" xfId="5436"/>
    <cellStyle name="_Book2_Check the Interest Calculation" xfId="177"/>
    <cellStyle name="_Book2_Check the Interest Calculation_Scenario 1 REC vs PTC Offset" xfId="178"/>
    <cellStyle name="_Book2_Check the Interest Calculation_Scenario 3" xfId="179"/>
    <cellStyle name="_Book2_Chelan PUD Power Costs (8-10)" xfId="5437"/>
    <cellStyle name="_Book2_Chelan PUD Power Costs (8-10) 2" xfId="5438"/>
    <cellStyle name="_Book2_DEM-WP(C) Chelan Power Costs" xfId="5439"/>
    <cellStyle name="_Book2_DEM-WP(C) Chelan Power Costs 2" xfId="5440"/>
    <cellStyle name="_Book2_DEM-WP(C) ENERG10C--ctn Mid-C_042010 2010GRC" xfId="5441"/>
    <cellStyle name="_x0013__Book2_DEM-WP(C) ENERG10C--ctn Mid-C_042010 2010GRC" xfId="5442"/>
    <cellStyle name="_Book2_DEM-WP(C) Gas Transport 2010GRC" xfId="5443"/>
    <cellStyle name="_Book2_DEM-WP(C) Gas Transport 2010GRC 2" xfId="5444"/>
    <cellStyle name="_x0013__Book2_Electric Rev Req Model (2009 GRC) Rebuttal" xfId="180"/>
    <cellStyle name="_x0013__Book2_Electric Rev Req Model (2009 GRC) Rebuttal 2" xfId="5445"/>
    <cellStyle name="_x0013__Book2_Electric Rev Req Model (2009 GRC) Rebuttal 2 2" xfId="5446"/>
    <cellStyle name="_x0013__Book2_Electric Rev Req Model (2009 GRC) Rebuttal 2 2 2" xfId="5447"/>
    <cellStyle name="_x0013__Book2_Electric Rev Req Model (2009 GRC) Rebuttal 2 3" xfId="5448"/>
    <cellStyle name="_x0013__Book2_Electric Rev Req Model (2009 GRC) Rebuttal 3" xfId="5449"/>
    <cellStyle name="_x0013__Book2_Electric Rev Req Model (2009 GRC) Rebuttal 3 2" xfId="5450"/>
    <cellStyle name="_x0013__Book2_Electric Rev Req Model (2009 GRC) Rebuttal 4" xfId="5451"/>
    <cellStyle name="_x0013__Book2_Electric Rev Req Model (2009 GRC) Rebuttal REmoval of New  WH Solar AdjustMI" xfId="181"/>
    <cellStyle name="_x0013__Book2_Electric Rev Req Model (2009 GRC) Rebuttal REmoval of New  WH Solar AdjustMI 2" xfId="5452"/>
    <cellStyle name="_x0013__Book2_Electric Rev Req Model (2009 GRC) Rebuttal REmoval of New  WH Solar AdjustMI 2 2" xfId="5453"/>
    <cellStyle name="_x0013__Book2_Electric Rev Req Model (2009 GRC) Rebuttal REmoval of New  WH Solar AdjustMI 2 2 2" xfId="5454"/>
    <cellStyle name="_x0013__Book2_Electric Rev Req Model (2009 GRC) Rebuttal REmoval of New  WH Solar AdjustMI 2 3" xfId="5455"/>
    <cellStyle name="_x0013__Book2_Electric Rev Req Model (2009 GRC) Rebuttal REmoval of New  WH Solar AdjustMI 3" xfId="5456"/>
    <cellStyle name="_x0013__Book2_Electric Rev Req Model (2009 GRC) Rebuttal REmoval of New  WH Solar AdjustMI 3 2" xfId="5457"/>
    <cellStyle name="_x0013__Book2_Electric Rev Req Model (2009 GRC) Rebuttal REmoval of New  WH Solar AdjustMI 4" xfId="5458"/>
    <cellStyle name="_x0013__Book2_Electric Rev Req Model (2009 GRC) Rebuttal REmoval of New  WH Solar AdjustMI_DEM-WP(C) ENERG10C--ctn Mid-C_042010 2010GRC" xfId="5459"/>
    <cellStyle name="_x0013__Book2_Electric Rev Req Model (2009 GRC) Revised 01-18-2010" xfId="182"/>
    <cellStyle name="_x0013__Book2_Electric Rev Req Model (2009 GRC) Revised 01-18-2010 2" xfId="5460"/>
    <cellStyle name="_x0013__Book2_Electric Rev Req Model (2009 GRC) Revised 01-18-2010 2 2" xfId="5461"/>
    <cellStyle name="_x0013__Book2_Electric Rev Req Model (2009 GRC) Revised 01-18-2010 2 2 2" xfId="5462"/>
    <cellStyle name="_x0013__Book2_Electric Rev Req Model (2009 GRC) Revised 01-18-2010 2 3" xfId="5463"/>
    <cellStyle name="_x0013__Book2_Electric Rev Req Model (2009 GRC) Revised 01-18-2010 3" xfId="5464"/>
    <cellStyle name="_x0013__Book2_Electric Rev Req Model (2009 GRC) Revised 01-18-2010 3 2" xfId="5465"/>
    <cellStyle name="_x0013__Book2_Electric Rev Req Model (2009 GRC) Revised 01-18-2010 4" xfId="5466"/>
    <cellStyle name="_x0013__Book2_Electric Rev Req Model (2009 GRC) Revised 01-18-2010_DEM-WP(C) ENERG10C--ctn Mid-C_042010 2010GRC" xfId="5467"/>
    <cellStyle name="_Book2_Exh A-1 resulting from UE-112050 effective Jan 1 2012" xfId="5468"/>
    <cellStyle name="_Book2_Exh G - Klamath Peaker PPA fr C Locke 2-12" xfId="5469"/>
    <cellStyle name="_Book2_Exhibit A-1 effective 4-1-11 fr S Free 12-11" xfId="5470"/>
    <cellStyle name="_x0013__Book2_Final Order Electric EXHIBIT A-1" xfId="183"/>
    <cellStyle name="_x0013__Book2_Final Order Electric EXHIBIT A-1 2" xfId="5471"/>
    <cellStyle name="_x0013__Book2_Final Order Electric EXHIBIT A-1 2 2" xfId="5472"/>
    <cellStyle name="_x0013__Book2_Final Order Electric EXHIBIT A-1 2 2 2" xfId="5473"/>
    <cellStyle name="_x0013__Book2_Final Order Electric EXHIBIT A-1 2 3" xfId="5474"/>
    <cellStyle name="_x0013__Book2_Final Order Electric EXHIBIT A-1 3" xfId="5475"/>
    <cellStyle name="_x0013__Book2_Final Order Electric EXHIBIT A-1 3 2" xfId="5476"/>
    <cellStyle name="_x0013__Book2_Final Order Electric EXHIBIT A-1 4" xfId="5477"/>
    <cellStyle name="_Book2_INPUTS" xfId="5478"/>
    <cellStyle name="_Book2_INPUTS 2" xfId="5479"/>
    <cellStyle name="_Book2_INPUTS 2 2" xfId="5480"/>
    <cellStyle name="_Book2_INPUTS 2 2 2" xfId="5481"/>
    <cellStyle name="_Book2_INPUTS 2 3" xfId="5482"/>
    <cellStyle name="_Book2_INPUTS 3" xfId="5483"/>
    <cellStyle name="_Book2_INPUTS 3 2" xfId="5484"/>
    <cellStyle name="_Book2_INPUTS 4" xfId="5485"/>
    <cellStyle name="_Book2_Mint Farm Generation BPA" xfId="5486"/>
    <cellStyle name="_Book2_NIM Summary" xfId="5487"/>
    <cellStyle name="_Book2_NIM Summary 09GRC" xfId="5488"/>
    <cellStyle name="_Book2_NIM Summary 09GRC 2" xfId="5489"/>
    <cellStyle name="_Book2_NIM Summary 09GRC 2 2" xfId="5490"/>
    <cellStyle name="_Book2_NIM Summary 09GRC 3" xfId="5491"/>
    <cellStyle name="_Book2_NIM Summary 09GRC_DEM-WP(C) ENERG10C--ctn Mid-C_042010 2010GRC" xfId="5492"/>
    <cellStyle name="_Book2_NIM Summary 10" xfId="5493"/>
    <cellStyle name="_Book2_NIM Summary 11" xfId="5494"/>
    <cellStyle name="_Book2_NIM Summary 12" xfId="5495"/>
    <cellStyle name="_Book2_NIM Summary 13" xfId="5496"/>
    <cellStyle name="_Book2_NIM Summary 14" xfId="5497"/>
    <cellStyle name="_Book2_NIM Summary 15" xfId="5498"/>
    <cellStyle name="_Book2_NIM Summary 16" xfId="5499"/>
    <cellStyle name="_Book2_NIM Summary 17" xfId="5500"/>
    <cellStyle name="_Book2_NIM Summary 18" xfId="5501"/>
    <cellStyle name="_Book2_NIM Summary 19" xfId="5502"/>
    <cellStyle name="_Book2_NIM Summary 2" xfId="5503"/>
    <cellStyle name="_Book2_NIM Summary 2 2" xfId="5504"/>
    <cellStyle name="_Book2_NIM Summary 20" xfId="5505"/>
    <cellStyle name="_Book2_NIM Summary 21" xfId="5506"/>
    <cellStyle name="_Book2_NIM Summary 22" xfId="5507"/>
    <cellStyle name="_Book2_NIM Summary 23" xfId="5508"/>
    <cellStyle name="_Book2_NIM Summary 24" xfId="5509"/>
    <cellStyle name="_Book2_NIM Summary 25" xfId="5510"/>
    <cellStyle name="_Book2_NIM Summary 26" xfId="5511"/>
    <cellStyle name="_Book2_NIM Summary 27" xfId="5512"/>
    <cellStyle name="_Book2_NIM Summary 28" xfId="5513"/>
    <cellStyle name="_Book2_NIM Summary 29" xfId="5514"/>
    <cellStyle name="_Book2_NIM Summary 3" xfId="5515"/>
    <cellStyle name="_Book2_NIM Summary 3 2" xfId="5516"/>
    <cellStyle name="_Book2_NIM Summary 30" xfId="5517"/>
    <cellStyle name="_Book2_NIM Summary 31" xfId="5518"/>
    <cellStyle name="_Book2_NIM Summary 32" xfId="5519"/>
    <cellStyle name="_Book2_NIM Summary 33" xfId="5520"/>
    <cellStyle name="_Book2_NIM Summary 34" xfId="5521"/>
    <cellStyle name="_Book2_NIM Summary 35" xfId="5522"/>
    <cellStyle name="_Book2_NIM Summary 36" xfId="5523"/>
    <cellStyle name="_Book2_NIM Summary 37" xfId="5524"/>
    <cellStyle name="_Book2_NIM Summary 38" xfId="5525"/>
    <cellStyle name="_Book2_NIM Summary 39" xfId="5526"/>
    <cellStyle name="_Book2_NIM Summary 4" xfId="5527"/>
    <cellStyle name="_Book2_NIM Summary 4 2" xfId="5528"/>
    <cellStyle name="_Book2_NIM Summary 40" xfId="5529"/>
    <cellStyle name="_Book2_NIM Summary 41" xfId="5530"/>
    <cellStyle name="_Book2_NIM Summary 42" xfId="5531"/>
    <cellStyle name="_Book2_NIM Summary 43" xfId="5532"/>
    <cellStyle name="_Book2_NIM Summary 44" xfId="5533"/>
    <cellStyle name="_Book2_NIM Summary 45" xfId="5534"/>
    <cellStyle name="_Book2_NIM Summary 46" xfId="5535"/>
    <cellStyle name="_Book2_NIM Summary 47" xfId="5536"/>
    <cellStyle name="_Book2_NIM Summary 48" xfId="5537"/>
    <cellStyle name="_Book2_NIM Summary 49" xfId="5538"/>
    <cellStyle name="_Book2_NIM Summary 5" xfId="5539"/>
    <cellStyle name="_Book2_NIM Summary 5 2" xfId="5540"/>
    <cellStyle name="_Book2_NIM Summary 50" xfId="5541"/>
    <cellStyle name="_Book2_NIM Summary 51" xfId="5542"/>
    <cellStyle name="_Book2_NIM Summary 52" xfId="5543"/>
    <cellStyle name="_Book2_NIM Summary 6" xfId="5544"/>
    <cellStyle name="_Book2_NIM Summary 6 2" xfId="5545"/>
    <cellStyle name="_Book2_NIM Summary 7" xfId="5546"/>
    <cellStyle name="_Book2_NIM Summary 7 2" xfId="5547"/>
    <cellStyle name="_Book2_NIM Summary 8" xfId="5548"/>
    <cellStyle name="_Book2_NIM Summary 8 2" xfId="5549"/>
    <cellStyle name="_Book2_NIM Summary 9" xfId="5550"/>
    <cellStyle name="_Book2_NIM Summary 9 2" xfId="5551"/>
    <cellStyle name="_Book2_NIM Summary_DEM-WP(C) ENERG10C--ctn Mid-C_042010 2010GRC" xfId="5552"/>
    <cellStyle name="_Book2_PCA 10 -  Exhibit D Dec 2011" xfId="5553"/>
    <cellStyle name="_Book2_PCA 10 -  Exhibit D from A Kellogg Jan 2011" xfId="5554"/>
    <cellStyle name="_Book2_PCA 10 -  Exhibit D from A Kellogg July 2011" xfId="5555"/>
    <cellStyle name="_Book2_PCA 10 -  Exhibit D from S Free Rcv'd 12-11" xfId="5556"/>
    <cellStyle name="_Book2_PCA 11 -  Exhibit D Jan 2012 fr A Kellogg" xfId="5557"/>
    <cellStyle name="_Book2_PCA 11 -  Exhibit D Jan 2012 WF" xfId="5558"/>
    <cellStyle name="_Book2_PCA 9 -  Exhibit D April 2010" xfId="5559"/>
    <cellStyle name="_Book2_PCA 9 -  Exhibit D April 2010 (3)" xfId="5560"/>
    <cellStyle name="_Book2_PCA 9 -  Exhibit D April 2010 (3) 2" xfId="5561"/>
    <cellStyle name="_Book2_PCA 9 -  Exhibit D April 2010 (3) 2 2" xfId="5562"/>
    <cellStyle name="_Book2_PCA 9 -  Exhibit D April 2010 (3) 3" xfId="5563"/>
    <cellStyle name="_Book2_PCA 9 -  Exhibit D April 2010 (3)_DEM-WP(C) ENERG10C--ctn Mid-C_042010 2010GRC" xfId="5564"/>
    <cellStyle name="_Book2_PCA 9 -  Exhibit D April 2010 2" xfId="5565"/>
    <cellStyle name="_Book2_PCA 9 -  Exhibit D April 2010 3" xfId="5566"/>
    <cellStyle name="_Book2_PCA 9 -  Exhibit D April 2010 4" xfId="5567"/>
    <cellStyle name="_Book2_PCA 9 -  Exhibit D April 2010 5" xfId="5568"/>
    <cellStyle name="_Book2_PCA 9 -  Exhibit D April 2010 6" xfId="5569"/>
    <cellStyle name="_Book2_PCA 9 -  Exhibit D Nov 2010" xfId="5570"/>
    <cellStyle name="_Book2_PCA 9 -  Exhibit D Nov 2010 2" xfId="5571"/>
    <cellStyle name="_Book2_PCA 9 - Exhibit D at August 2010" xfId="5572"/>
    <cellStyle name="_Book2_PCA 9 - Exhibit D at August 2010 2" xfId="5573"/>
    <cellStyle name="_Book2_PCA 9 - Exhibit D June 2010 GRC" xfId="5574"/>
    <cellStyle name="_Book2_PCA 9 - Exhibit D June 2010 GRC 2" xfId="5575"/>
    <cellStyle name="_Book2_Power Costs - Comparison bx Rbtl-Staff-Jt-PC" xfId="184"/>
    <cellStyle name="_Book2_Power Costs - Comparison bx Rbtl-Staff-Jt-PC 2" xfId="5576"/>
    <cellStyle name="_Book2_Power Costs - Comparison bx Rbtl-Staff-Jt-PC 2 2" xfId="5577"/>
    <cellStyle name="_Book2_Power Costs - Comparison bx Rbtl-Staff-Jt-PC 2 2 2" xfId="5578"/>
    <cellStyle name="_Book2_Power Costs - Comparison bx Rbtl-Staff-Jt-PC 2 3" xfId="5579"/>
    <cellStyle name="_Book2_Power Costs - Comparison bx Rbtl-Staff-Jt-PC 3" xfId="5580"/>
    <cellStyle name="_Book2_Power Costs - Comparison bx Rbtl-Staff-Jt-PC 3 2" xfId="5581"/>
    <cellStyle name="_Book2_Power Costs - Comparison bx Rbtl-Staff-Jt-PC 4" xfId="5582"/>
    <cellStyle name="_Book2_Power Costs - Comparison bx Rbtl-Staff-Jt-PC_Adj Bench DR 3 for Initial Briefs (Electric)" xfId="185"/>
    <cellStyle name="_Book2_Power Costs - Comparison bx Rbtl-Staff-Jt-PC_Adj Bench DR 3 for Initial Briefs (Electric) 2" xfId="5583"/>
    <cellStyle name="_Book2_Power Costs - Comparison bx Rbtl-Staff-Jt-PC_Adj Bench DR 3 for Initial Briefs (Electric) 2 2" xfId="5584"/>
    <cellStyle name="_Book2_Power Costs - Comparison bx Rbtl-Staff-Jt-PC_Adj Bench DR 3 for Initial Briefs (Electric) 2 2 2" xfId="5585"/>
    <cellStyle name="_Book2_Power Costs - Comparison bx Rbtl-Staff-Jt-PC_Adj Bench DR 3 for Initial Briefs (Electric) 2 3" xfId="5586"/>
    <cellStyle name="_Book2_Power Costs - Comparison bx Rbtl-Staff-Jt-PC_Adj Bench DR 3 for Initial Briefs (Electric) 3" xfId="5587"/>
    <cellStyle name="_Book2_Power Costs - Comparison bx Rbtl-Staff-Jt-PC_Adj Bench DR 3 for Initial Briefs (Electric) 3 2" xfId="5588"/>
    <cellStyle name="_Book2_Power Costs - Comparison bx Rbtl-Staff-Jt-PC_Adj Bench DR 3 for Initial Briefs (Electric) 4" xfId="5589"/>
    <cellStyle name="_Book2_Power Costs - Comparison bx Rbtl-Staff-Jt-PC_Adj Bench DR 3 for Initial Briefs (Electric)_DEM-WP(C) ENERG10C--ctn Mid-C_042010 2010GRC" xfId="5590"/>
    <cellStyle name="_Book2_Power Costs - Comparison bx Rbtl-Staff-Jt-PC_DEM-WP(C) ENERG10C--ctn Mid-C_042010 2010GRC" xfId="5591"/>
    <cellStyle name="_Book2_Power Costs - Comparison bx Rbtl-Staff-Jt-PC_Electric Rev Req Model (2009 GRC) Rebuttal" xfId="186"/>
    <cellStyle name="_Book2_Power Costs - Comparison bx Rbtl-Staff-Jt-PC_Electric Rev Req Model (2009 GRC) Rebuttal 2" xfId="5592"/>
    <cellStyle name="_Book2_Power Costs - Comparison bx Rbtl-Staff-Jt-PC_Electric Rev Req Model (2009 GRC) Rebuttal 2 2" xfId="5593"/>
    <cellStyle name="_Book2_Power Costs - Comparison bx Rbtl-Staff-Jt-PC_Electric Rev Req Model (2009 GRC) Rebuttal 2 2 2" xfId="5594"/>
    <cellStyle name="_Book2_Power Costs - Comparison bx Rbtl-Staff-Jt-PC_Electric Rev Req Model (2009 GRC) Rebuttal 2 3" xfId="5595"/>
    <cellStyle name="_Book2_Power Costs - Comparison bx Rbtl-Staff-Jt-PC_Electric Rev Req Model (2009 GRC) Rebuttal 3" xfId="5596"/>
    <cellStyle name="_Book2_Power Costs - Comparison bx Rbtl-Staff-Jt-PC_Electric Rev Req Model (2009 GRC) Rebuttal 3 2" xfId="5597"/>
    <cellStyle name="_Book2_Power Costs - Comparison bx Rbtl-Staff-Jt-PC_Electric Rev Req Model (2009 GRC) Rebuttal 4" xfId="5598"/>
    <cellStyle name="_Book2_Power Costs - Comparison bx Rbtl-Staff-Jt-PC_Electric Rev Req Model (2009 GRC) Rebuttal REmoval of New  WH Solar AdjustMI" xfId="187"/>
    <cellStyle name="_Book2_Power Costs - Comparison bx Rbtl-Staff-Jt-PC_Electric Rev Req Model (2009 GRC) Rebuttal REmoval of New  WH Solar AdjustMI 2" xfId="5599"/>
    <cellStyle name="_Book2_Power Costs - Comparison bx Rbtl-Staff-Jt-PC_Electric Rev Req Model (2009 GRC) Rebuttal REmoval of New  WH Solar AdjustMI 2 2" xfId="5600"/>
    <cellStyle name="_Book2_Power Costs - Comparison bx Rbtl-Staff-Jt-PC_Electric Rev Req Model (2009 GRC) Rebuttal REmoval of New  WH Solar AdjustMI 2 2 2" xfId="5601"/>
    <cellStyle name="_Book2_Power Costs - Comparison bx Rbtl-Staff-Jt-PC_Electric Rev Req Model (2009 GRC) Rebuttal REmoval of New  WH Solar AdjustMI 2 3" xfId="5602"/>
    <cellStyle name="_Book2_Power Costs - Comparison bx Rbtl-Staff-Jt-PC_Electric Rev Req Model (2009 GRC) Rebuttal REmoval of New  WH Solar AdjustMI 3" xfId="5603"/>
    <cellStyle name="_Book2_Power Costs - Comparison bx Rbtl-Staff-Jt-PC_Electric Rev Req Model (2009 GRC) Rebuttal REmoval of New  WH Solar AdjustMI 3 2" xfId="5604"/>
    <cellStyle name="_Book2_Power Costs - Comparison bx Rbtl-Staff-Jt-PC_Electric Rev Req Model (2009 GRC) Rebuttal REmoval of New  WH Solar AdjustMI 4" xfId="5605"/>
    <cellStyle name="_Book2_Power Costs - Comparison bx Rbtl-Staff-Jt-PC_Electric Rev Req Model (2009 GRC) Rebuttal REmoval of New  WH Solar AdjustMI_DEM-WP(C) ENERG10C--ctn Mid-C_042010 2010GRC" xfId="5606"/>
    <cellStyle name="_Book2_Power Costs - Comparison bx Rbtl-Staff-Jt-PC_Electric Rev Req Model (2009 GRC) Revised 01-18-2010" xfId="188"/>
    <cellStyle name="_Book2_Power Costs - Comparison bx Rbtl-Staff-Jt-PC_Electric Rev Req Model (2009 GRC) Revised 01-18-2010 2" xfId="5607"/>
    <cellStyle name="_Book2_Power Costs - Comparison bx Rbtl-Staff-Jt-PC_Electric Rev Req Model (2009 GRC) Revised 01-18-2010 2 2" xfId="5608"/>
    <cellStyle name="_Book2_Power Costs - Comparison bx Rbtl-Staff-Jt-PC_Electric Rev Req Model (2009 GRC) Revised 01-18-2010 2 2 2" xfId="5609"/>
    <cellStyle name="_Book2_Power Costs - Comparison bx Rbtl-Staff-Jt-PC_Electric Rev Req Model (2009 GRC) Revised 01-18-2010 2 3" xfId="5610"/>
    <cellStyle name="_Book2_Power Costs - Comparison bx Rbtl-Staff-Jt-PC_Electric Rev Req Model (2009 GRC) Revised 01-18-2010 3" xfId="5611"/>
    <cellStyle name="_Book2_Power Costs - Comparison bx Rbtl-Staff-Jt-PC_Electric Rev Req Model (2009 GRC) Revised 01-18-2010 3 2" xfId="5612"/>
    <cellStyle name="_Book2_Power Costs - Comparison bx Rbtl-Staff-Jt-PC_Electric Rev Req Model (2009 GRC) Revised 01-18-2010 4" xfId="5613"/>
    <cellStyle name="_Book2_Power Costs - Comparison bx Rbtl-Staff-Jt-PC_Electric Rev Req Model (2009 GRC) Revised 01-18-2010_DEM-WP(C) ENERG10C--ctn Mid-C_042010 2010GRC" xfId="5614"/>
    <cellStyle name="_Book2_Power Costs - Comparison bx Rbtl-Staff-Jt-PC_Final Order Electric EXHIBIT A-1" xfId="189"/>
    <cellStyle name="_Book2_Power Costs - Comparison bx Rbtl-Staff-Jt-PC_Final Order Electric EXHIBIT A-1 2" xfId="5615"/>
    <cellStyle name="_Book2_Power Costs - Comparison bx Rbtl-Staff-Jt-PC_Final Order Electric EXHIBIT A-1 2 2" xfId="5616"/>
    <cellStyle name="_Book2_Power Costs - Comparison bx Rbtl-Staff-Jt-PC_Final Order Electric EXHIBIT A-1 2 2 2" xfId="5617"/>
    <cellStyle name="_Book2_Power Costs - Comparison bx Rbtl-Staff-Jt-PC_Final Order Electric EXHIBIT A-1 2 3" xfId="5618"/>
    <cellStyle name="_Book2_Power Costs - Comparison bx Rbtl-Staff-Jt-PC_Final Order Electric EXHIBIT A-1 3" xfId="5619"/>
    <cellStyle name="_Book2_Power Costs - Comparison bx Rbtl-Staff-Jt-PC_Final Order Electric EXHIBIT A-1 3 2" xfId="5620"/>
    <cellStyle name="_Book2_Power Costs - Comparison bx Rbtl-Staff-Jt-PC_Final Order Electric EXHIBIT A-1 4" xfId="5621"/>
    <cellStyle name="_Book2_Production Adj 4.37" xfId="5622"/>
    <cellStyle name="_Book2_Production Adj 4.37 2" xfId="5623"/>
    <cellStyle name="_Book2_Production Adj 4.37 2 2" xfId="5624"/>
    <cellStyle name="_Book2_Production Adj 4.37 2 2 2" xfId="5625"/>
    <cellStyle name="_Book2_Production Adj 4.37 2 3" xfId="5626"/>
    <cellStyle name="_Book2_Production Adj 4.37 3" xfId="5627"/>
    <cellStyle name="_Book2_Production Adj 4.37 3 2" xfId="5628"/>
    <cellStyle name="_Book2_Production Adj 4.37 4" xfId="5629"/>
    <cellStyle name="_Book2_Purchased Power Adj 4.03" xfId="5630"/>
    <cellStyle name="_Book2_Purchased Power Adj 4.03 2" xfId="5631"/>
    <cellStyle name="_Book2_Purchased Power Adj 4.03 2 2" xfId="5632"/>
    <cellStyle name="_Book2_Purchased Power Adj 4.03 2 2 2" xfId="5633"/>
    <cellStyle name="_Book2_Purchased Power Adj 4.03 2 3" xfId="5634"/>
    <cellStyle name="_Book2_Purchased Power Adj 4.03 3" xfId="5635"/>
    <cellStyle name="_Book2_Purchased Power Adj 4.03 3 2" xfId="5636"/>
    <cellStyle name="_Book2_Purchased Power Adj 4.03 4" xfId="5637"/>
    <cellStyle name="_Book2_Rebuttal Power Costs" xfId="190"/>
    <cellStyle name="_Book2_Rebuttal Power Costs 2" xfId="5638"/>
    <cellStyle name="_Book2_Rebuttal Power Costs 2 2" xfId="5639"/>
    <cellStyle name="_Book2_Rebuttal Power Costs 2 2 2" xfId="5640"/>
    <cellStyle name="_Book2_Rebuttal Power Costs 2 3" xfId="5641"/>
    <cellStyle name="_Book2_Rebuttal Power Costs 3" xfId="5642"/>
    <cellStyle name="_Book2_Rebuttal Power Costs 3 2" xfId="5643"/>
    <cellStyle name="_Book2_Rebuttal Power Costs 4" xfId="5644"/>
    <cellStyle name="_Book2_Rebuttal Power Costs_Adj Bench DR 3 for Initial Briefs (Electric)" xfId="191"/>
    <cellStyle name="_Book2_Rebuttal Power Costs_Adj Bench DR 3 for Initial Briefs (Electric) 2" xfId="5645"/>
    <cellStyle name="_Book2_Rebuttal Power Costs_Adj Bench DR 3 for Initial Briefs (Electric) 2 2" xfId="5646"/>
    <cellStyle name="_Book2_Rebuttal Power Costs_Adj Bench DR 3 for Initial Briefs (Electric) 2 2 2" xfId="5647"/>
    <cellStyle name="_Book2_Rebuttal Power Costs_Adj Bench DR 3 for Initial Briefs (Electric) 2 3" xfId="5648"/>
    <cellStyle name="_Book2_Rebuttal Power Costs_Adj Bench DR 3 for Initial Briefs (Electric) 3" xfId="5649"/>
    <cellStyle name="_Book2_Rebuttal Power Costs_Adj Bench DR 3 for Initial Briefs (Electric) 3 2" xfId="5650"/>
    <cellStyle name="_Book2_Rebuttal Power Costs_Adj Bench DR 3 for Initial Briefs (Electric) 4" xfId="5651"/>
    <cellStyle name="_Book2_Rebuttal Power Costs_Adj Bench DR 3 for Initial Briefs (Electric)_DEM-WP(C) ENERG10C--ctn Mid-C_042010 2010GRC" xfId="5652"/>
    <cellStyle name="_Book2_Rebuttal Power Costs_DEM-WP(C) ENERG10C--ctn Mid-C_042010 2010GRC" xfId="5653"/>
    <cellStyle name="_Book2_Rebuttal Power Costs_Electric Rev Req Model (2009 GRC) Rebuttal" xfId="192"/>
    <cellStyle name="_Book2_Rebuttal Power Costs_Electric Rev Req Model (2009 GRC) Rebuttal 2" xfId="5654"/>
    <cellStyle name="_Book2_Rebuttal Power Costs_Electric Rev Req Model (2009 GRC) Rebuttal 2 2" xfId="5655"/>
    <cellStyle name="_Book2_Rebuttal Power Costs_Electric Rev Req Model (2009 GRC) Rebuttal 2 2 2" xfId="5656"/>
    <cellStyle name="_Book2_Rebuttal Power Costs_Electric Rev Req Model (2009 GRC) Rebuttal 2 3" xfId="5657"/>
    <cellStyle name="_Book2_Rebuttal Power Costs_Electric Rev Req Model (2009 GRC) Rebuttal 3" xfId="5658"/>
    <cellStyle name="_Book2_Rebuttal Power Costs_Electric Rev Req Model (2009 GRC) Rebuttal 3 2" xfId="5659"/>
    <cellStyle name="_Book2_Rebuttal Power Costs_Electric Rev Req Model (2009 GRC) Rebuttal 4" xfId="5660"/>
    <cellStyle name="_Book2_Rebuttal Power Costs_Electric Rev Req Model (2009 GRC) Rebuttal REmoval of New  WH Solar AdjustMI" xfId="193"/>
    <cellStyle name="_Book2_Rebuttal Power Costs_Electric Rev Req Model (2009 GRC) Rebuttal REmoval of New  WH Solar AdjustMI 2" xfId="5661"/>
    <cellStyle name="_Book2_Rebuttal Power Costs_Electric Rev Req Model (2009 GRC) Rebuttal REmoval of New  WH Solar AdjustMI 2 2" xfId="5662"/>
    <cellStyle name="_Book2_Rebuttal Power Costs_Electric Rev Req Model (2009 GRC) Rebuttal REmoval of New  WH Solar AdjustMI 2 2 2" xfId="5663"/>
    <cellStyle name="_Book2_Rebuttal Power Costs_Electric Rev Req Model (2009 GRC) Rebuttal REmoval of New  WH Solar AdjustMI 2 3" xfId="5664"/>
    <cellStyle name="_Book2_Rebuttal Power Costs_Electric Rev Req Model (2009 GRC) Rebuttal REmoval of New  WH Solar AdjustMI 3" xfId="5665"/>
    <cellStyle name="_Book2_Rebuttal Power Costs_Electric Rev Req Model (2009 GRC) Rebuttal REmoval of New  WH Solar AdjustMI 3 2" xfId="5666"/>
    <cellStyle name="_Book2_Rebuttal Power Costs_Electric Rev Req Model (2009 GRC) Rebuttal REmoval of New  WH Solar AdjustMI 4" xfId="5667"/>
    <cellStyle name="_Book2_Rebuttal Power Costs_Electric Rev Req Model (2009 GRC) Rebuttal REmoval of New  WH Solar AdjustMI_DEM-WP(C) ENERG10C--ctn Mid-C_042010 2010GRC" xfId="5668"/>
    <cellStyle name="_Book2_Rebuttal Power Costs_Electric Rev Req Model (2009 GRC) Revised 01-18-2010" xfId="194"/>
    <cellStyle name="_Book2_Rebuttal Power Costs_Electric Rev Req Model (2009 GRC) Revised 01-18-2010 2" xfId="5669"/>
    <cellStyle name="_Book2_Rebuttal Power Costs_Electric Rev Req Model (2009 GRC) Revised 01-18-2010 2 2" xfId="5670"/>
    <cellStyle name="_Book2_Rebuttal Power Costs_Electric Rev Req Model (2009 GRC) Revised 01-18-2010 2 2 2" xfId="5671"/>
    <cellStyle name="_Book2_Rebuttal Power Costs_Electric Rev Req Model (2009 GRC) Revised 01-18-2010 2 3" xfId="5672"/>
    <cellStyle name="_Book2_Rebuttal Power Costs_Electric Rev Req Model (2009 GRC) Revised 01-18-2010 3" xfId="5673"/>
    <cellStyle name="_Book2_Rebuttal Power Costs_Electric Rev Req Model (2009 GRC) Revised 01-18-2010 3 2" xfId="5674"/>
    <cellStyle name="_Book2_Rebuttal Power Costs_Electric Rev Req Model (2009 GRC) Revised 01-18-2010 4" xfId="5675"/>
    <cellStyle name="_Book2_Rebuttal Power Costs_Electric Rev Req Model (2009 GRC) Revised 01-18-2010_DEM-WP(C) ENERG10C--ctn Mid-C_042010 2010GRC" xfId="5676"/>
    <cellStyle name="_Book2_Rebuttal Power Costs_Final Order Electric EXHIBIT A-1" xfId="195"/>
    <cellStyle name="_Book2_Rebuttal Power Costs_Final Order Electric EXHIBIT A-1 2" xfId="5677"/>
    <cellStyle name="_Book2_Rebuttal Power Costs_Final Order Electric EXHIBIT A-1 2 2" xfId="5678"/>
    <cellStyle name="_Book2_Rebuttal Power Costs_Final Order Electric EXHIBIT A-1 2 2 2" xfId="5679"/>
    <cellStyle name="_Book2_Rebuttal Power Costs_Final Order Electric EXHIBIT A-1 2 3" xfId="5680"/>
    <cellStyle name="_Book2_Rebuttal Power Costs_Final Order Electric EXHIBIT A-1 3" xfId="5681"/>
    <cellStyle name="_Book2_Rebuttal Power Costs_Final Order Electric EXHIBIT A-1 3 2" xfId="5682"/>
    <cellStyle name="_Book2_Rebuttal Power Costs_Final Order Electric EXHIBIT A-1 4" xfId="5683"/>
    <cellStyle name="_Book2_ROR &amp; CONV FACTOR" xfId="5684"/>
    <cellStyle name="_Book2_ROR &amp; CONV FACTOR 2" xfId="5685"/>
    <cellStyle name="_Book2_ROR &amp; CONV FACTOR 2 2" xfId="5686"/>
    <cellStyle name="_Book2_ROR &amp; CONV FACTOR 2 2 2" xfId="5687"/>
    <cellStyle name="_Book2_ROR &amp; CONV FACTOR 2 3" xfId="5688"/>
    <cellStyle name="_Book2_ROR &amp; CONV FACTOR 3" xfId="5689"/>
    <cellStyle name="_Book2_ROR &amp; CONV FACTOR 3 2" xfId="5690"/>
    <cellStyle name="_Book2_ROR &amp; CONV FACTOR 4" xfId="5691"/>
    <cellStyle name="_Book2_ROR 5.02" xfId="5692"/>
    <cellStyle name="_Book2_ROR 5.02 2" xfId="5693"/>
    <cellStyle name="_Book2_ROR 5.02 2 2" xfId="5694"/>
    <cellStyle name="_Book2_ROR 5.02 2 2 2" xfId="5695"/>
    <cellStyle name="_Book2_ROR 5.02 2 3" xfId="5696"/>
    <cellStyle name="_Book2_ROR 5.02 3" xfId="5697"/>
    <cellStyle name="_Book2_ROR 5.02 3 2" xfId="5698"/>
    <cellStyle name="_Book2_ROR 5.02 4" xfId="5699"/>
    <cellStyle name="_Book2_Wind Integration 10GRC" xfId="5700"/>
    <cellStyle name="_Book2_Wind Integration 10GRC 2" xfId="5701"/>
    <cellStyle name="_Book2_Wind Integration 10GRC 2 2" xfId="5702"/>
    <cellStyle name="_Book2_Wind Integration 10GRC 3" xfId="5703"/>
    <cellStyle name="_Book2_Wind Integration 10GRC_DEM-WP(C) ENERG10C--ctn Mid-C_042010 2010GRC" xfId="5704"/>
    <cellStyle name="_Book3" xfId="196"/>
    <cellStyle name="_Book5" xfId="197"/>
    <cellStyle name="_Book5 2" xfId="5705"/>
    <cellStyle name="_Book5 2 2" xfId="5706"/>
    <cellStyle name="_Book5 2 2 2" xfId="5707"/>
    <cellStyle name="_Book5 2 3" xfId="5708"/>
    <cellStyle name="_Book5 3" xfId="5709"/>
    <cellStyle name="_Book5 3 2" xfId="5710"/>
    <cellStyle name="_Book5 4" xfId="5711"/>
    <cellStyle name="_Book5 4 2" xfId="5712"/>
    <cellStyle name="_Book5 5" xfId="5713"/>
    <cellStyle name="_Book5 5 2" xfId="5714"/>
    <cellStyle name="_Book5 6" xfId="5715"/>
    <cellStyle name="_Book5 6 2" xfId="5716"/>
    <cellStyle name="_Book5 7" xfId="5717"/>
    <cellStyle name="_Book5_4 31E Reg Asset  Liab and EXH D" xfId="5718"/>
    <cellStyle name="_Book5_4 31E Reg Asset  Liab and EXH D _ Aug 10 Filing (2)" xfId="5719"/>
    <cellStyle name="_Book5_Chelan PUD Power Costs (8-10)" xfId="5720"/>
    <cellStyle name="_Book5_Chelan PUD Power Costs (8-10) 2" xfId="5721"/>
    <cellStyle name="_Book5_compare wind integration" xfId="5722"/>
    <cellStyle name="_Book5_DEM-WP(C) Chelan Power Costs" xfId="5723"/>
    <cellStyle name="_Book5_DEM-WP(C) Chelan Power Costs 2" xfId="5724"/>
    <cellStyle name="_Book5_DEM-WP(C) Costs Not In AURORA 2010GRC As Filed" xfId="5725"/>
    <cellStyle name="_Book5_DEM-WP(C) Costs Not In AURORA 2010GRC As Filed 2" xfId="5726"/>
    <cellStyle name="_Book5_DEM-WP(C) Costs Not In AURORA 2010GRC As Filed 2 2" xfId="5727"/>
    <cellStyle name="_Book5_DEM-WP(C) Costs Not In AURORA 2010GRC As Filed 3" xfId="5728"/>
    <cellStyle name="_Book5_DEM-WP(C) Costs Not In AURORA 2010GRC As Filed 3 2" xfId="5729"/>
    <cellStyle name="_Book5_DEM-WP(C) Costs Not In AURORA 2010GRC As Filed 4" xfId="5730"/>
    <cellStyle name="_Book5_DEM-WP(C) Costs Not In AURORA 2010GRC As Filed 4 2" xfId="5731"/>
    <cellStyle name="_Book5_DEM-WP(C) Costs Not In AURORA 2010GRC As Filed 5" xfId="5732"/>
    <cellStyle name="_Book5_DEM-WP(C) Costs Not In AURORA 2010GRC As Filed 5 2" xfId="5733"/>
    <cellStyle name="_Book5_DEM-WP(C) Costs Not In AURORA 2010GRC As Filed 6" xfId="5734"/>
    <cellStyle name="_Book5_DEM-WP(C) Costs Not In AURORA 2010GRC As Filed 6 2" xfId="5735"/>
    <cellStyle name="_Book5_DEM-WP(C) Costs Not In AURORA 2010GRC As Filed_DEM-WP(C) ENERG10C--ctn Mid-C_042010 2010GRC" xfId="5736"/>
    <cellStyle name="_Book5_DEM-WP(C) Gas Transport 2010GRC" xfId="5737"/>
    <cellStyle name="_Book5_DEM-WP(C) Gas Transport 2010GRC 2" xfId="5738"/>
    <cellStyle name="_Book5_NIM Summary" xfId="5739"/>
    <cellStyle name="_Book5_NIM Summary 09GRC" xfId="5740"/>
    <cellStyle name="_Book5_NIM Summary 10" xfId="5741"/>
    <cellStyle name="_Book5_NIM Summary 11" xfId="5742"/>
    <cellStyle name="_Book5_NIM Summary 12" xfId="5743"/>
    <cellStyle name="_Book5_NIM Summary 13" xfId="5744"/>
    <cellStyle name="_Book5_NIM Summary 14" xfId="5745"/>
    <cellStyle name="_Book5_NIM Summary 15" xfId="5746"/>
    <cellStyle name="_Book5_NIM Summary 16" xfId="5747"/>
    <cellStyle name="_Book5_NIM Summary 17" xfId="5748"/>
    <cellStyle name="_Book5_NIM Summary 18" xfId="5749"/>
    <cellStyle name="_Book5_NIM Summary 19" xfId="5750"/>
    <cellStyle name="_Book5_NIM Summary 2" xfId="5751"/>
    <cellStyle name="_Book5_NIM Summary 2 2" xfId="5752"/>
    <cellStyle name="_Book5_NIM Summary 20" xfId="5753"/>
    <cellStyle name="_Book5_NIM Summary 21" xfId="5754"/>
    <cellStyle name="_Book5_NIM Summary 22" xfId="5755"/>
    <cellStyle name="_Book5_NIM Summary 23" xfId="5756"/>
    <cellStyle name="_Book5_NIM Summary 24" xfId="5757"/>
    <cellStyle name="_Book5_NIM Summary 25" xfId="5758"/>
    <cellStyle name="_Book5_NIM Summary 26" xfId="5759"/>
    <cellStyle name="_Book5_NIM Summary 27" xfId="5760"/>
    <cellStyle name="_Book5_NIM Summary 28" xfId="5761"/>
    <cellStyle name="_Book5_NIM Summary 29" xfId="5762"/>
    <cellStyle name="_Book5_NIM Summary 3" xfId="5763"/>
    <cellStyle name="_Book5_NIM Summary 3 2" xfId="5764"/>
    <cellStyle name="_Book5_NIM Summary 30" xfId="5765"/>
    <cellStyle name="_Book5_NIM Summary 31" xfId="5766"/>
    <cellStyle name="_Book5_NIM Summary 32" xfId="5767"/>
    <cellStyle name="_Book5_NIM Summary 33" xfId="5768"/>
    <cellStyle name="_Book5_NIM Summary 34" xfId="5769"/>
    <cellStyle name="_Book5_NIM Summary 35" xfId="5770"/>
    <cellStyle name="_Book5_NIM Summary 36" xfId="5771"/>
    <cellStyle name="_Book5_NIM Summary 37" xfId="5772"/>
    <cellStyle name="_Book5_NIM Summary 38" xfId="5773"/>
    <cellStyle name="_Book5_NIM Summary 39" xfId="5774"/>
    <cellStyle name="_Book5_NIM Summary 4" xfId="5775"/>
    <cellStyle name="_Book5_NIM Summary 4 2" xfId="5776"/>
    <cellStyle name="_Book5_NIM Summary 40" xfId="5777"/>
    <cellStyle name="_Book5_NIM Summary 41" xfId="5778"/>
    <cellStyle name="_Book5_NIM Summary 42" xfId="5779"/>
    <cellStyle name="_Book5_NIM Summary 43" xfId="5780"/>
    <cellStyle name="_Book5_NIM Summary 44" xfId="5781"/>
    <cellStyle name="_Book5_NIM Summary 45" xfId="5782"/>
    <cellStyle name="_Book5_NIM Summary 46" xfId="5783"/>
    <cellStyle name="_Book5_NIM Summary 47" xfId="5784"/>
    <cellStyle name="_Book5_NIM Summary 48" xfId="5785"/>
    <cellStyle name="_Book5_NIM Summary 49" xfId="5786"/>
    <cellStyle name="_Book5_NIM Summary 5" xfId="5787"/>
    <cellStyle name="_Book5_NIM Summary 5 2" xfId="5788"/>
    <cellStyle name="_Book5_NIM Summary 50" xfId="5789"/>
    <cellStyle name="_Book5_NIM Summary 51" xfId="5790"/>
    <cellStyle name="_Book5_NIM Summary 52" xfId="5791"/>
    <cellStyle name="_Book5_NIM Summary 6" xfId="5792"/>
    <cellStyle name="_Book5_NIM Summary 6 2" xfId="5793"/>
    <cellStyle name="_Book5_NIM Summary 7" xfId="5794"/>
    <cellStyle name="_Book5_NIM Summary 7 2" xfId="5795"/>
    <cellStyle name="_Book5_NIM Summary 8" xfId="5796"/>
    <cellStyle name="_Book5_NIM Summary 8 2" xfId="5797"/>
    <cellStyle name="_Book5_NIM Summary 9" xfId="5798"/>
    <cellStyle name="_Book5_NIM Summary 9 2" xfId="5799"/>
    <cellStyle name="_Book5_NIM Summary_DEM-WP(C) ENERG10C--ctn Mid-C_042010 2010GRC" xfId="5800"/>
    <cellStyle name="_Book5_PCA 9 -  Exhibit D April 2010 (3)" xfId="5801"/>
    <cellStyle name="_Book5_Reconciliation" xfId="5802"/>
    <cellStyle name="_Book5_Reconciliation 2" xfId="5803"/>
    <cellStyle name="_Book5_Reconciliation 2 2" xfId="5804"/>
    <cellStyle name="_Book5_Reconciliation 3" xfId="5805"/>
    <cellStyle name="_Book5_Reconciliation 3 2" xfId="5806"/>
    <cellStyle name="_Book5_Reconciliation 4" xfId="5807"/>
    <cellStyle name="_Book5_Reconciliation 4 2" xfId="5808"/>
    <cellStyle name="_Book5_Reconciliation 5" xfId="5809"/>
    <cellStyle name="_Book5_Reconciliation 5 2" xfId="5810"/>
    <cellStyle name="_Book5_Reconciliation 6" xfId="5811"/>
    <cellStyle name="_Book5_Reconciliation 6 2" xfId="5812"/>
    <cellStyle name="_Book5_Reconciliation_DEM-WP(C) ENERG10C--ctn Mid-C_042010 2010GRC" xfId="5813"/>
    <cellStyle name="_Book5_Wind Integration 10GRC" xfId="5814"/>
    <cellStyle name="_Book5_Wind Integration 10GRC 2" xfId="5815"/>
    <cellStyle name="_Book5_Wind Integration 10GRC 2 2" xfId="5816"/>
    <cellStyle name="_Book5_Wind Integration 10GRC 3" xfId="5817"/>
    <cellStyle name="_Book5_Wind Integration 10GRC_DEM-WP(C) ENERG10C--ctn Mid-C_042010 2010GRC" xfId="5818"/>
    <cellStyle name="_BPA NOS" xfId="5819"/>
    <cellStyle name="_BPA NOS 2" xfId="5820"/>
    <cellStyle name="_BPA NOS 2 2" xfId="5821"/>
    <cellStyle name="_BPA NOS 2 2 2" xfId="5822"/>
    <cellStyle name="_BPA NOS 2 3" xfId="5823"/>
    <cellStyle name="_BPA NOS 3" xfId="5824"/>
    <cellStyle name="_BPA NOS 3 2" xfId="5825"/>
    <cellStyle name="_BPA NOS 4" xfId="5826"/>
    <cellStyle name="_BPA NOS 4 2" xfId="5827"/>
    <cellStyle name="_BPA NOS 5" xfId="5828"/>
    <cellStyle name="_BPA NOS 5 2" xfId="5829"/>
    <cellStyle name="_BPA NOS 6" xfId="5830"/>
    <cellStyle name="_BPA NOS 6 2" xfId="5831"/>
    <cellStyle name="_BPA NOS_DEM-WP(C) Chelan Power Costs" xfId="5832"/>
    <cellStyle name="_BPA NOS_DEM-WP(C) Chelan Power Costs 2" xfId="5833"/>
    <cellStyle name="_BPA NOS_DEM-WP(C) ENERG10C--ctn Mid-C_042010 2010GRC" xfId="5834"/>
    <cellStyle name="_BPA NOS_DEM-WP(C) Gas Transport 2010GRC" xfId="5835"/>
    <cellStyle name="_BPA NOS_DEM-WP(C) Gas Transport 2010GRC 2" xfId="5836"/>
    <cellStyle name="_BPA NOS_DEM-WP(C) Wind Integration Summary 2010GRC" xfId="5837"/>
    <cellStyle name="_BPA NOS_DEM-WP(C) Wind Integration Summary 2010GRC 2" xfId="5838"/>
    <cellStyle name="_BPA NOS_DEM-WP(C) Wind Integration Summary 2010GRC 2 2" xfId="5839"/>
    <cellStyle name="_BPA NOS_DEM-WP(C) Wind Integration Summary 2010GRC 3" xfId="5840"/>
    <cellStyle name="_BPA NOS_DEM-WP(C) Wind Integration Summary 2010GRC_DEM-WP(C) ENERG10C--ctn Mid-C_042010 2010GRC" xfId="5841"/>
    <cellStyle name="_BPA NOS_NIM Summary" xfId="5842"/>
    <cellStyle name="_BPA NOS_NIM Summary 2" xfId="5843"/>
    <cellStyle name="_BPA NOS_NIM Summary 2 2" xfId="5844"/>
    <cellStyle name="_BPA NOS_NIM Summary 3" xfId="5845"/>
    <cellStyle name="_BPA NOS_NIM Summary_DEM-WP(C) ENERG10C--ctn Mid-C_042010 2010GRC" xfId="5846"/>
    <cellStyle name="_Chelan Debt Forecast 12.19.05" xfId="198"/>
    <cellStyle name="_Chelan Debt Forecast 12.19.05 10" xfId="5847"/>
    <cellStyle name="_Chelan Debt Forecast 12.19.05 10 2" xfId="5848"/>
    <cellStyle name="_Chelan Debt Forecast 12.19.05 2" xfId="199"/>
    <cellStyle name="_Chelan Debt Forecast 12.19.05 2 2" xfId="5849"/>
    <cellStyle name="_Chelan Debt Forecast 12.19.05 2 2 2" xfId="5850"/>
    <cellStyle name="_Chelan Debt Forecast 12.19.05 2 2 2 2" xfId="5851"/>
    <cellStyle name="_Chelan Debt Forecast 12.19.05 2 2 3" xfId="5852"/>
    <cellStyle name="_Chelan Debt Forecast 12.19.05 2 3" xfId="5853"/>
    <cellStyle name="_Chelan Debt Forecast 12.19.05 2 3 2" xfId="5854"/>
    <cellStyle name="_Chelan Debt Forecast 12.19.05 2 4" xfId="5855"/>
    <cellStyle name="_Chelan Debt Forecast 12.19.05 3" xfId="5856"/>
    <cellStyle name="_Chelan Debt Forecast 12.19.05 3 2" xfId="5857"/>
    <cellStyle name="_Chelan Debt Forecast 12.19.05 3 2 2" xfId="5858"/>
    <cellStyle name="_Chelan Debt Forecast 12.19.05 3 2 2 2" xfId="5859"/>
    <cellStyle name="_Chelan Debt Forecast 12.19.05 3 2 3" xfId="5860"/>
    <cellStyle name="_Chelan Debt Forecast 12.19.05 3 3" xfId="5861"/>
    <cellStyle name="_Chelan Debt Forecast 12.19.05 3 3 2" xfId="5862"/>
    <cellStyle name="_Chelan Debt Forecast 12.19.05 3 3 2 2" xfId="5863"/>
    <cellStyle name="_Chelan Debt Forecast 12.19.05 3 3 3" xfId="5864"/>
    <cellStyle name="_Chelan Debt Forecast 12.19.05 3 4" xfId="5865"/>
    <cellStyle name="_Chelan Debt Forecast 12.19.05 3 4 2" xfId="5866"/>
    <cellStyle name="_Chelan Debt Forecast 12.19.05 3 4 2 2" xfId="5867"/>
    <cellStyle name="_Chelan Debt Forecast 12.19.05 3 4 3" xfId="5868"/>
    <cellStyle name="_Chelan Debt Forecast 12.19.05 3 5" xfId="5869"/>
    <cellStyle name="_Chelan Debt Forecast 12.19.05 4" xfId="5870"/>
    <cellStyle name="_Chelan Debt Forecast 12.19.05 4 2" xfId="5871"/>
    <cellStyle name="_Chelan Debt Forecast 12.19.05 4 2 2" xfId="5872"/>
    <cellStyle name="_Chelan Debt Forecast 12.19.05 4 3" xfId="5873"/>
    <cellStyle name="_Chelan Debt Forecast 12.19.05 5" xfId="5874"/>
    <cellStyle name="_Chelan Debt Forecast 12.19.05 5 2" xfId="5875"/>
    <cellStyle name="_Chelan Debt Forecast 12.19.05 5 2 2" xfId="5876"/>
    <cellStyle name="_Chelan Debt Forecast 12.19.05 5 2 3" xfId="5877"/>
    <cellStyle name="_Chelan Debt Forecast 12.19.05 5 3" xfId="5878"/>
    <cellStyle name="_Chelan Debt Forecast 12.19.05 5 3 2" xfId="5879"/>
    <cellStyle name="_Chelan Debt Forecast 12.19.05 6" xfId="5880"/>
    <cellStyle name="_Chelan Debt Forecast 12.19.05 6 2" xfId="5881"/>
    <cellStyle name="_Chelan Debt Forecast 12.19.05 6 2 2" xfId="5882"/>
    <cellStyle name="_Chelan Debt Forecast 12.19.05 6 3" xfId="5883"/>
    <cellStyle name="_Chelan Debt Forecast 12.19.05 7" xfId="5884"/>
    <cellStyle name="_Chelan Debt Forecast 12.19.05 7 2" xfId="5885"/>
    <cellStyle name="_Chelan Debt Forecast 12.19.05 8" xfId="5886"/>
    <cellStyle name="_Chelan Debt Forecast 12.19.05 8 2" xfId="5887"/>
    <cellStyle name="_Chelan Debt Forecast 12.19.05 9" xfId="5888"/>
    <cellStyle name="_Chelan Debt Forecast 12.19.05 9 2" xfId="5889"/>
    <cellStyle name="_Chelan Debt Forecast 12.19.05_(C) WHE Proforma with ITC cash grant 10 Yr Amort_for deferral_102809" xfId="200"/>
    <cellStyle name="_Chelan Debt Forecast 12.19.05_(C) WHE Proforma with ITC cash grant 10 Yr Amort_for deferral_102809 2" xfId="5890"/>
    <cellStyle name="_Chelan Debt Forecast 12.19.05_(C) WHE Proforma with ITC cash grant 10 Yr Amort_for deferral_102809 2 2" xfId="5891"/>
    <cellStyle name="_Chelan Debt Forecast 12.19.05_(C) WHE Proforma with ITC cash grant 10 Yr Amort_for deferral_102809 2 2 2" xfId="5892"/>
    <cellStyle name="_Chelan Debt Forecast 12.19.05_(C) WHE Proforma with ITC cash grant 10 Yr Amort_for deferral_102809 2 3" xfId="5893"/>
    <cellStyle name="_Chelan Debt Forecast 12.19.05_(C) WHE Proforma with ITC cash grant 10 Yr Amort_for deferral_102809 3" xfId="5894"/>
    <cellStyle name="_Chelan Debt Forecast 12.19.05_(C) WHE Proforma with ITC cash grant 10 Yr Amort_for deferral_102809 3 2" xfId="5895"/>
    <cellStyle name="_Chelan Debt Forecast 12.19.05_(C) WHE Proforma with ITC cash grant 10 Yr Amort_for deferral_102809 4" xfId="5896"/>
    <cellStyle name="_Chelan Debt Forecast 12.19.05_(C) WHE Proforma with ITC cash grant 10 Yr Amort_for deferral_102809_16.07E Wild Horse Wind Expansionwrkingfile" xfId="201"/>
    <cellStyle name="_Chelan Debt Forecast 12.19.05_(C) WHE Proforma with ITC cash grant 10 Yr Amort_for deferral_102809_16.07E Wild Horse Wind Expansionwrkingfile 2" xfId="5897"/>
    <cellStyle name="_Chelan Debt Forecast 12.19.05_(C) WHE Proforma with ITC cash grant 10 Yr Amort_for deferral_102809_16.07E Wild Horse Wind Expansionwrkingfile 2 2" xfId="5898"/>
    <cellStyle name="_Chelan Debt Forecast 12.19.05_(C) WHE Proforma with ITC cash grant 10 Yr Amort_for deferral_102809_16.07E Wild Horse Wind Expansionwrkingfile 2 2 2" xfId="5899"/>
    <cellStyle name="_Chelan Debt Forecast 12.19.05_(C) WHE Proforma with ITC cash grant 10 Yr Amort_for deferral_102809_16.07E Wild Horse Wind Expansionwrkingfile 2 3" xfId="5900"/>
    <cellStyle name="_Chelan Debt Forecast 12.19.05_(C) WHE Proforma with ITC cash grant 10 Yr Amort_for deferral_102809_16.07E Wild Horse Wind Expansionwrkingfile 3" xfId="5901"/>
    <cellStyle name="_Chelan Debt Forecast 12.19.05_(C) WHE Proforma with ITC cash grant 10 Yr Amort_for deferral_102809_16.07E Wild Horse Wind Expansionwrkingfile 3 2" xfId="5902"/>
    <cellStyle name="_Chelan Debt Forecast 12.19.05_(C) WHE Proforma with ITC cash grant 10 Yr Amort_for deferral_102809_16.07E Wild Horse Wind Expansionwrkingfile 4" xfId="5903"/>
    <cellStyle name="_Chelan Debt Forecast 12.19.05_(C) WHE Proforma with ITC cash grant 10 Yr Amort_for deferral_102809_16.07E Wild Horse Wind Expansionwrkingfile SF" xfId="202"/>
    <cellStyle name="_Chelan Debt Forecast 12.19.05_(C) WHE Proforma with ITC cash grant 10 Yr Amort_for deferral_102809_16.07E Wild Horse Wind Expansionwrkingfile SF 2" xfId="5904"/>
    <cellStyle name="_Chelan Debt Forecast 12.19.05_(C) WHE Proforma with ITC cash grant 10 Yr Amort_for deferral_102809_16.07E Wild Horse Wind Expansionwrkingfile SF 2 2" xfId="5905"/>
    <cellStyle name="_Chelan Debt Forecast 12.19.05_(C) WHE Proforma with ITC cash grant 10 Yr Amort_for deferral_102809_16.07E Wild Horse Wind Expansionwrkingfile SF 2 2 2" xfId="5906"/>
    <cellStyle name="_Chelan Debt Forecast 12.19.05_(C) WHE Proforma with ITC cash grant 10 Yr Amort_for deferral_102809_16.07E Wild Horse Wind Expansionwrkingfile SF 2 3" xfId="5907"/>
    <cellStyle name="_Chelan Debt Forecast 12.19.05_(C) WHE Proforma with ITC cash grant 10 Yr Amort_for deferral_102809_16.07E Wild Horse Wind Expansionwrkingfile SF 3" xfId="5908"/>
    <cellStyle name="_Chelan Debt Forecast 12.19.05_(C) WHE Proforma with ITC cash grant 10 Yr Amort_for deferral_102809_16.07E Wild Horse Wind Expansionwrkingfile SF 3 2" xfId="5909"/>
    <cellStyle name="_Chelan Debt Forecast 12.19.05_(C) WHE Proforma with ITC cash grant 10 Yr Amort_for deferral_102809_16.07E Wild Horse Wind Expansionwrkingfile SF 4" xfId="5910"/>
    <cellStyle name="_Chelan Debt Forecast 12.19.05_(C) WHE Proforma with ITC cash grant 10 Yr Amort_for deferral_102809_16.07E Wild Horse Wind Expansionwrkingfile SF_DEM-WP(C) ENERG10C--ctn Mid-C_042010 2010GRC" xfId="5911"/>
    <cellStyle name="_Chelan Debt Forecast 12.19.05_(C) WHE Proforma with ITC cash grant 10 Yr Amort_for deferral_102809_16.07E Wild Horse Wind Expansionwrkingfile_DEM-WP(C) ENERG10C--ctn Mid-C_042010 2010GRC" xfId="5912"/>
    <cellStyle name="_Chelan Debt Forecast 12.19.05_(C) WHE Proforma with ITC cash grant 10 Yr Amort_for deferral_102809_16.37E Wild Horse Expansion DeferralRevwrkingfile SF" xfId="203"/>
    <cellStyle name="_Chelan Debt Forecast 12.19.05_(C) WHE Proforma with ITC cash grant 10 Yr Amort_for deferral_102809_16.37E Wild Horse Expansion DeferralRevwrkingfile SF 2" xfId="5913"/>
    <cellStyle name="_Chelan Debt Forecast 12.19.05_(C) WHE Proforma with ITC cash grant 10 Yr Amort_for deferral_102809_16.37E Wild Horse Expansion DeferralRevwrkingfile SF 2 2" xfId="5914"/>
    <cellStyle name="_Chelan Debt Forecast 12.19.05_(C) WHE Proforma with ITC cash grant 10 Yr Amort_for deferral_102809_16.37E Wild Horse Expansion DeferralRevwrkingfile SF 2 2 2" xfId="5915"/>
    <cellStyle name="_Chelan Debt Forecast 12.19.05_(C) WHE Proforma with ITC cash grant 10 Yr Amort_for deferral_102809_16.37E Wild Horse Expansion DeferralRevwrkingfile SF 2 3" xfId="5916"/>
    <cellStyle name="_Chelan Debt Forecast 12.19.05_(C) WHE Proforma with ITC cash grant 10 Yr Amort_for deferral_102809_16.37E Wild Horse Expansion DeferralRevwrkingfile SF 3" xfId="5917"/>
    <cellStyle name="_Chelan Debt Forecast 12.19.05_(C) WHE Proforma with ITC cash grant 10 Yr Amort_for deferral_102809_16.37E Wild Horse Expansion DeferralRevwrkingfile SF 3 2" xfId="5918"/>
    <cellStyle name="_Chelan Debt Forecast 12.19.05_(C) WHE Proforma with ITC cash grant 10 Yr Amort_for deferral_102809_16.37E Wild Horse Expansion DeferralRevwrkingfile SF 4" xfId="5919"/>
    <cellStyle name="_Chelan Debt Forecast 12.19.05_(C) WHE Proforma with ITC cash grant 10 Yr Amort_for deferral_102809_16.37E Wild Horse Expansion DeferralRevwrkingfile SF_DEM-WP(C) ENERG10C--ctn Mid-C_042010 2010GRC" xfId="5920"/>
    <cellStyle name="_Chelan Debt Forecast 12.19.05_(C) WHE Proforma with ITC cash grant 10 Yr Amort_for deferral_102809_DEM-WP(C) ENERG10C--ctn Mid-C_042010 2010GRC" xfId="5921"/>
    <cellStyle name="_Chelan Debt Forecast 12.19.05_(C) WHE Proforma with ITC cash grant 10 Yr Amort_for rebuttal_120709" xfId="204"/>
    <cellStyle name="_Chelan Debt Forecast 12.19.05_(C) WHE Proforma with ITC cash grant 10 Yr Amort_for rebuttal_120709 2" xfId="5922"/>
    <cellStyle name="_Chelan Debt Forecast 12.19.05_(C) WHE Proforma with ITC cash grant 10 Yr Amort_for rebuttal_120709 2 2" xfId="5923"/>
    <cellStyle name="_Chelan Debt Forecast 12.19.05_(C) WHE Proforma with ITC cash grant 10 Yr Amort_for rebuttal_120709 2 2 2" xfId="5924"/>
    <cellStyle name="_Chelan Debt Forecast 12.19.05_(C) WHE Proforma with ITC cash grant 10 Yr Amort_for rebuttal_120709 2 3" xfId="5925"/>
    <cellStyle name="_Chelan Debt Forecast 12.19.05_(C) WHE Proforma with ITC cash grant 10 Yr Amort_for rebuttal_120709 3" xfId="5926"/>
    <cellStyle name="_Chelan Debt Forecast 12.19.05_(C) WHE Proforma with ITC cash grant 10 Yr Amort_for rebuttal_120709 3 2" xfId="5927"/>
    <cellStyle name="_Chelan Debt Forecast 12.19.05_(C) WHE Proforma with ITC cash grant 10 Yr Amort_for rebuttal_120709 4" xfId="5928"/>
    <cellStyle name="_Chelan Debt Forecast 12.19.05_(C) WHE Proforma with ITC cash grant 10 Yr Amort_for rebuttal_120709_DEM-WP(C) ENERG10C--ctn Mid-C_042010 2010GRC" xfId="5929"/>
    <cellStyle name="_Chelan Debt Forecast 12.19.05_04.07E Wild Horse Wind Expansion" xfId="205"/>
    <cellStyle name="_Chelan Debt Forecast 12.19.05_04.07E Wild Horse Wind Expansion 2" xfId="5930"/>
    <cellStyle name="_Chelan Debt Forecast 12.19.05_04.07E Wild Horse Wind Expansion 2 2" xfId="5931"/>
    <cellStyle name="_Chelan Debt Forecast 12.19.05_04.07E Wild Horse Wind Expansion 2 2 2" xfId="5932"/>
    <cellStyle name="_Chelan Debt Forecast 12.19.05_04.07E Wild Horse Wind Expansion 2 3" xfId="5933"/>
    <cellStyle name="_Chelan Debt Forecast 12.19.05_04.07E Wild Horse Wind Expansion 3" xfId="5934"/>
    <cellStyle name="_Chelan Debt Forecast 12.19.05_04.07E Wild Horse Wind Expansion 3 2" xfId="5935"/>
    <cellStyle name="_Chelan Debt Forecast 12.19.05_04.07E Wild Horse Wind Expansion 4" xfId="5936"/>
    <cellStyle name="_Chelan Debt Forecast 12.19.05_04.07E Wild Horse Wind Expansion_16.07E Wild Horse Wind Expansionwrkingfile" xfId="206"/>
    <cellStyle name="_Chelan Debt Forecast 12.19.05_04.07E Wild Horse Wind Expansion_16.07E Wild Horse Wind Expansionwrkingfile 2" xfId="5937"/>
    <cellStyle name="_Chelan Debt Forecast 12.19.05_04.07E Wild Horse Wind Expansion_16.07E Wild Horse Wind Expansionwrkingfile 2 2" xfId="5938"/>
    <cellStyle name="_Chelan Debt Forecast 12.19.05_04.07E Wild Horse Wind Expansion_16.07E Wild Horse Wind Expansionwrkingfile 2 2 2" xfId="5939"/>
    <cellStyle name="_Chelan Debt Forecast 12.19.05_04.07E Wild Horse Wind Expansion_16.07E Wild Horse Wind Expansionwrkingfile 2 3" xfId="5940"/>
    <cellStyle name="_Chelan Debt Forecast 12.19.05_04.07E Wild Horse Wind Expansion_16.07E Wild Horse Wind Expansionwrkingfile 3" xfId="5941"/>
    <cellStyle name="_Chelan Debt Forecast 12.19.05_04.07E Wild Horse Wind Expansion_16.07E Wild Horse Wind Expansionwrkingfile 3 2" xfId="5942"/>
    <cellStyle name="_Chelan Debt Forecast 12.19.05_04.07E Wild Horse Wind Expansion_16.07E Wild Horse Wind Expansionwrkingfile 4" xfId="5943"/>
    <cellStyle name="_Chelan Debt Forecast 12.19.05_04.07E Wild Horse Wind Expansion_16.07E Wild Horse Wind Expansionwrkingfile SF" xfId="207"/>
    <cellStyle name="_Chelan Debt Forecast 12.19.05_04.07E Wild Horse Wind Expansion_16.07E Wild Horse Wind Expansionwrkingfile SF 2" xfId="5944"/>
    <cellStyle name="_Chelan Debt Forecast 12.19.05_04.07E Wild Horse Wind Expansion_16.07E Wild Horse Wind Expansionwrkingfile SF 2 2" xfId="5945"/>
    <cellStyle name="_Chelan Debt Forecast 12.19.05_04.07E Wild Horse Wind Expansion_16.07E Wild Horse Wind Expansionwrkingfile SF 2 2 2" xfId="5946"/>
    <cellStyle name="_Chelan Debt Forecast 12.19.05_04.07E Wild Horse Wind Expansion_16.07E Wild Horse Wind Expansionwrkingfile SF 2 3" xfId="5947"/>
    <cellStyle name="_Chelan Debt Forecast 12.19.05_04.07E Wild Horse Wind Expansion_16.07E Wild Horse Wind Expansionwrkingfile SF 3" xfId="5948"/>
    <cellStyle name="_Chelan Debt Forecast 12.19.05_04.07E Wild Horse Wind Expansion_16.07E Wild Horse Wind Expansionwrkingfile SF 3 2" xfId="5949"/>
    <cellStyle name="_Chelan Debt Forecast 12.19.05_04.07E Wild Horse Wind Expansion_16.07E Wild Horse Wind Expansionwrkingfile SF 4" xfId="5950"/>
    <cellStyle name="_Chelan Debt Forecast 12.19.05_04.07E Wild Horse Wind Expansion_16.07E Wild Horse Wind Expansionwrkingfile SF_DEM-WP(C) ENERG10C--ctn Mid-C_042010 2010GRC" xfId="5951"/>
    <cellStyle name="_Chelan Debt Forecast 12.19.05_04.07E Wild Horse Wind Expansion_16.07E Wild Horse Wind Expansionwrkingfile_DEM-WP(C) ENERG10C--ctn Mid-C_042010 2010GRC" xfId="5952"/>
    <cellStyle name="_Chelan Debt Forecast 12.19.05_04.07E Wild Horse Wind Expansion_16.37E Wild Horse Expansion DeferralRevwrkingfile SF" xfId="208"/>
    <cellStyle name="_Chelan Debt Forecast 12.19.05_04.07E Wild Horse Wind Expansion_16.37E Wild Horse Expansion DeferralRevwrkingfile SF 2" xfId="5953"/>
    <cellStyle name="_Chelan Debt Forecast 12.19.05_04.07E Wild Horse Wind Expansion_16.37E Wild Horse Expansion DeferralRevwrkingfile SF 2 2" xfId="5954"/>
    <cellStyle name="_Chelan Debt Forecast 12.19.05_04.07E Wild Horse Wind Expansion_16.37E Wild Horse Expansion DeferralRevwrkingfile SF 2 2 2" xfId="5955"/>
    <cellStyle name="_Chelan Debt Forecast 12.19.05_04.07E Wild Horse Wind Expansion_16.37E Wild Horse Expansion DeferralRevwrkingfile SF 2 3" xfId="5956"/>
    <cellStyle name="_Chelan Debt Forecast 12.19.05_04.07E Wild Horse Wind Expansion_16.37E Wild Horse Expansion DeferralRevwrkingfile SF 3" xfId="5957"/>
    <cellStyle name="_Chelan Debt Forecast 12.19.05_04.07E Wild Horse Wind Expansion_16.37E Wild Horse Expansion DeferralRevwrkingfile SF 3 2" xfId="5958"/>
    <cellStyle name="_Chelan Debt Forecast 12.19.05_04.07E Wild Horse Wind Expansion_16.37E Wild Horse Expansion DeferralRevwrkingfile SF 4" xfId="5959"/>
    <cellStyle name="_Chelan Debt Forecast 12.19.05_04.07E Wild Horse Wind Expansion_16.37E Wild Horse Expansion DeferralRevwrkingfile SF_DEM-WP(C) ENERG10C--ctn Mid-C_042010 2010GRC" xfId="5960"/>
    <cellStyle name="_Chelan Debt Forecast 12.19.05_04.07E Wild Horse Wind Expansion_DEM-WP(C) ENERG10C--ctn Mid-C_042010 2010GRC" xfId="5961"/>
    <cellStyle name="_Chelan Debt Forecast 12.19.05_16.07E Wild Horse Wind Expansionwrkingfile" xfId="209"/>
    <cellStyle name="_Chelan Debt Forecast 12.19.05_16.07E Wild Horse Wind Expansionwrkingfile 2" xfId="5962"/>
    <cellStyle name="_Chelan Debt Forecast 12.19.05_16.07E Wild Horse Wind Expansionwrkingfile 2 2" xfId="5963"/>
    <cellStyle name="_Chelan Debt Forecast 12.19.05_16.07E Wild Horse Wind Expansionwrkingfile 2 2 2" xfId="5964"/>
    <cellStyle name="_Chelan Debt Forecast 12.19.05_16.07E Wild Horse Wind Expansionwrkingfile 2 3" xfId="5965"/>
    <cellStyle name="_Chelan Debt Forecast 12.19.05_16.07E Wild Horse Wind Expansionwrkingfile 3" xfId="5966"/>
    <cellStyle name="_Chelan Debt Forecast 12.19.05_16.07E Wild Horse Wind Expansionwrkingfile 3 2" xfId="5967"/>
    <cellStyle name="_Chelan Debt Forecast 12.19.05_16.07E Wild Horse Wind Expansionwrkingfile 4" xfId="5968"/>
    <cellStyle name="_Chelan Debt Forecast 12.19.05_16.07E Wild Horse Wind Expansionwrkingfile SF" xfId="210"/>
    <cellStyle name="_Chelan Debt Forecast 12.19.05_16.07E Wild Horse Wind Expansionwrkingfile SF 2" xfId="5969"/>
    <cellStyle name="_Chelan Debt Forecast 12.19.05_16.07E Wild Horse Wind Expansionwrkingfile SF 2 2" xfId="5970"/>
    <cellStyle name="_Chelan Debt Forecast 12.19.05_16.07E Wild Horse Wind Expansionwrkingfile SF 2 2 2" xfId="5971"/>
    <cellStyle name="_Chelan Debt Forecast 12.19.05_16.07E Wild Horse Wind Expansionwrkingfile SF 2 3" xfId="5972"/>
    <cellStyle name="_Chelan Debt Forecast 12.19.05_16.07E Wild Horse Wind Expansionwrkingfile SF 3" xfId="5973"/>
    <cellStyle name="_Chelan Debt Forecast 12.19.05_16.07E Wild Horse Wind Expansionwrkingfile SF 3 2" xfId="5974"/>
    <cellStyle name="_Chelan Debt Forecast 12.19.05_16.07E Wild Horse Wind Expansionwrkingfile SF 4" xfId="5975"/>
    <cellStyle name="_Chelan Debt Forecast 12.19.05_16.07E Wild Horse Wind Expansionwrkingfile SF_DEM-WP(C) ENERG10C--ctn Mid-C_042010 2010GRC" xfId="5976"/>
    <cellStyle name="_Chelan Debt Forecast 12.19.05_16.07E Wild Horse Wind Expansionwrkingfile_DEM-WP(C) ENERG10C--ctn Mid-C_042010 2010GRC" xfId="5977"/>
    <cellStyle name="_Chelan Debt Forecast 12.19.05_16.37E Wild Horse Expansion DeferralRevwrkingfile SF" xfId="211"/>
    <cellStyle name="_Chelan Debt Forecast 12.19.05_16.37E Wild Horse Expansion DeferralRevwrkingfile SF 2" xfId="5978"/>
    <cellStyle name="_Chelan Debt Forecast 12.19.05_16.37E Wild Horse Expansion DeferralRevwrkingfile SF 2 2" xfId="5979"/>
    <cellStyle name="_Chelan Debt Forecast 12.19.05_16.37E Wild Horse Expansion DeferralRevwrkingfile SF 2 2 2" xfId="5980"/>
    <cellStyle name="_Chelan Debt Forecast 12.19.05_16.37E Wild Horse Expansion DeferralRevwrkingfile SF 2 3" xfId="5981"/>
    <cellStyle name="_Chelan Debt Forecast 12.19.05_16.37E Wild Horse Expansion DeferralRevwrkingfile SF 3" xfId="5982"/>
    <cellStyle name="_Chelan Debt Forecast 12.19.05_16.37E Wild Horse Expansion DeferralRevwrkingfile SF 3 2" xfId="5983"/>
    <cellStyle name="_Chelan Debt Forecast 12.19.05_16.37E Wild Horse Expansion DeferralRevwrkingfile SF 4" xfId="5984"/>
    <cellStyle name="_Chelan Debt Forecast 12.19.05_16.37E Wild Horse Expansion DeferralRevwrkingfile SF_DEM-WP(C) ENERG10C--ctn Mid-C_042010 2010GRC" xfId="5985"/>
    <cellStyle name="_Chelan Debt Forecast 12.19.05_2009 Compliance Filing PCA Exhibits for GRC" xfId="5986"/>
    <cellStyle name="_Chelan Debt Forecast 12.19.05_2009 Compliance Filing PCA Exhibits for GRC 2" xfId="5987"/>
    <cellStyle name="_Chelan Debt Forecast 12.19.05_2009 GRC Compl Filing - Exhibit D" xfId="5988"/>
    <cellStyle name="_Chelan Debt Forecast 12.19.05_2009 GRC Compl Filing - Exhibit D 2" xfId="5989"/>
    <cellStyle name="_Chelan Debt Forecast 12.19.05_2009 GRC Compl Filing - Exhibit D 2 2" xfId="5990"/>
    <cellStyle name="_Chelan Debt Forecast 12.19.05_2009 GRC Compl Filing - Exhibit D 3" xfId="5991"/>
    <cellStyle name="_Chelan Debt Forecast 12.19.05_2009 GRC Compl Filing - Exhibit D_DEM-WP(C) ENERG10C--ctn Mid-C_042010 2010GRC" xfId="5992"/>
    <cellStyle name="_Chelan Debt Forecast 12.19.05_3.01 Income Statement" xfId="212"/>
    <cellStyle name="_Chelan Debt Forecast 12.19.05_4 31 Regulatory Assets and Liabilities  7 06- Exhibit D" xfId="213"/>
    <cellStyle name="_Chelan Debt Forecast 12.19.05_4 31 Regulatory Assets and Liabilities  7 06- Exhibit D 2" xfId="5993"/>
    <cellStyle name="_Chelan Debt Forecast 12.19.05_4 31 Regulatory Assets and Liabilities  7 06- Exhibit D 2 2" xfId="5994"/>
    <cellStyle name="_Chelan Debt Forecast 12.19.05_4 31 Regulatory Assets and Liabilities  7 06- Exhibit D 2 2 2" xfId="5995"/>
    <cellStyle name="_Chelan Debt Forecast 12.19.05_4 31 Regulatory Assets and Liabilities  7 06- Exhibit D 3" xfId="5996"/>
    <cellStyle name="_Chelan Debt Forecast 12.19.05_4 31 Regulatory Assets and Liabilities  7 06- Exhibit D 3 2" xfId="5997"/>
    <cellStyle name="_Chelan Debt Forecast 12.19.05_4 31 Regulatory Assets and Liabilities  7 06- Exhibit D_DEM-WP(C) ENERG10C--ctn Mid-C_042010 2010GRC" xfId="5998"/>
    <cellStyle name="_Chelan Debt Forecast 12.19.05_4 31 Regulatory Assets and Liabilities  7 06- Exhibit D_NIM Summary" xfId="5999"/>
    <cellStyle name="_Chelan Debt Forecast 12.19.05_4 31 Regulatory Assets and Liabilities  7 06- Exhibit D_NIM Summary 2" xfId="6000"/>
    <cellStyle name="_Chelan Debt Forecast 12.19.05_4 31 Regulatory Assets and Liabilities  7 06- Exhibit D_NIM Summary 2 2" xfId="6001"/>
    <cellStyle name="_Chelan Debt Forecast 12.19.05_4 31 Regulatory Assets and Liabilities  7 06- Exhibit D_NIM Summary 3" xfId="6002"/>
    <cellStyle name="_Chelan Debt Forecast 12.19.05_4 31 Regulatory Assets and Liabilities  7 06- Exhibit D_NIM Summary_DEM-WP(C) ENERG10C--ctn Mid-C_042010 2010GRC" xfId="6003"/>
    <cellStyle name="_Chelan Debt Forecast 12.19.05_4 31 Regulatory Assets and Liabilities  7 06- Exhibit D_NIM+O&amp;M" xfId="6004"/>
    <cellStyle name="_Chelan Debt Forecast 12.19.05_4 31 Regulatory Assets and Liabilities  7 06- Exhibit D_NIM+O&amp;M 2" xfId="6005"/>
    <cellStyle name="_Chelan Debt Forecast 12.19.05_4 31 Regulatory Assets and Liabilities  7 06- Exhibit D_NIM+O&amp;M Monthly" xfId="6006"/>
    <cellStyle name="_Chelan Debt Forecast 12.19.05_4 31 Regulatory Assets and Liabilities  7 06- Exhibit D_NIM+O&amp;M Monthly 2" xfId="6007"/>
    <cellStyle name="_Chelan Debt Forecast 12.19.05_4 31E Reg Asset  Liab and EXH D" xfId="6008"/>
    <cellStyle name="_Chelan Debt Forecast 12.19.05_4 31E Reg Asset  Liab and EXH D _ Aug 10 Filing (2)" xfId="6009"/>
    <cellStyle name="_Chelan Debt Forecast 12.19.05_4 31E Reg Asset  Liab and EXH D _ Aug 10 Filing (2) 2" xfId="6010"/>
    <cellStyle name="_Chelan Debt Forecast 12.19.05_4 31E Reg Asset  Liab and EXH D 10" xfId="6011"/>
    <cellStyle name="_Chelan Debt Forecast 12.19.05_4 31E Reg Asset  Liab and EXH D 11" xfId="6012"/>
    <cellStyle name="_Chelan Debt Forecast 12.19.05_4 31E Reg Asset  Liab and EXH D 12" xfId="6013"/>
    <cellStyle name="_Chelan Debt Forecast 12.19.05_4 31E Reg Asset  Liab and EXH D 13" xfId="6014"/>
    <cellStyle name="_Chelan Debt Forecast 12.19.05_4 31E Reg Asset  Liab and EXH D 14" xfId="6015"/>
    <cellStyle name="_Chelan Debt Forecast 12.19.05_4 31E Reg Asset  Liab and EXH D 15" xfId="6016"/>
    <cellStyle name="_Chelan Debt Forecast 12.19.05_4 31E Reg Asset  Liab and EXH D 16" xfId="6017"/>
    <cellStyle name="_Chelan Debt Forecast 12.19.05_4 31E Reg Asset  Liab and EXH D 17" xfId="6018"/>
    <cellStyle name="_Chelan Debt Forecast 12.19.05_4 31E Reg Asset  Liab and EXH D 18" xfId="6019"/>
    <cellStyle name="_Chelan Debt Forecast 12.19.05_4 31E Reg Asset  Liab and EXH D 19" xfId="6020"/>
    <cellStyle name="_Chelan Debt Forecast 12.19.05_4 31E Reg Asset  Liab and EXH D 2" xfId="6021"/>
    <cellStyle name="_Chelan Debt Forecast 12.19.05_4 31E Reg Asset  Liab and EXH D 20" xfId="6022"/>
    <cellStyle name="_Chelan Debt Forecast 12.19.05_4 31E Reg Asset  Liab and EXH D 21" xfId="6023"/>
    <cellStyle name="_Chelan Debt Forecast 12.19.05_4 31E Reg Asset  Liab and EXH D 22" xfId="6024"/>
    <cellStyle name="_Chelan Debt Forecast 12.19.05_4 31E Reg Asset  Liab and EXH D 23" xfId="6025"/>
    <cellStyle name="_Chelan Debt Forecast 12.19.05_4 31E Reg Asset  Liab and EXH D 24" xfId="6026"/>
    <cellStyle name="_Chelan Debt Forecast 12.19.05_4 31E Reg Asset  Liab and EXH D 25" xfId="6027"/>
    <cellStyle name="_Chelan Debt Forecast 12.19.05_4 31E Reg Asset  Liab and EXH D 26" xfId="6028"/>
    <cellStyle name="_Chelan Debt Forecast 12.19.05_4 31E Reg Asset  Liab and EXH D 27" xfId="6029"/>
    <cellStyle name="_Chelan Debt Forecast 12.19.05_4 31E Reg Asset  Liab and EXH D 28" xfId="6030"/>
    <cellStyle name="_Chelan Debt Forecast 12.19.05_4 31E Reg Asset  Liab and EXH D 29" xfId="6031"/>
    <cellStyle name="_Chelan Debt Forecast 12.19.05_4 31E Reg Asset  Liab and EXH D 3" xfId="6032"/>
    <cellStyle name="_Chelan Debt Forecast 12.19.05_4 31E Reg Asset  Liab and EXH D 30" xfId="6033"/>
    <cellStyle name="_Chelan Debt Forecast 12.19.05_4 31E Reg Asset  Liab and EXH D 31" xfId="6034"/>
    <cellStyle name="_Chelan Debt Forecast 12.19.05_4 31E Reg Asset  Liab and EXH D 32" xfId="6035"/>
    <cellStyle name="_Chelan Debt Forecast 12.19.05_4 31E Reg Asset  Liab and EXH D 33" xfId="6036"/>
    <cellStyle name="_Chelan Debt Forecast 12.19.05_4 31E Reg Asset  Liab and EXH D 34" xfId="6037"/>
    <cellStyle name="_Chelan Debt Forecast 12.19.05_4 31E Reg Asset  Liab and EXH D 35" xfId="6038"/>
    <cellStyle name="_Chelan Debt Forecast 12.19.05_4 31E Reg Asset  Liab and EXH D 36" xfId="6039"/>
    <cellStyle name="_Chelan Debt Forecast 12.19.05_4 31E Reg Asset  Liab and EXH D 4" xfId="6040"/>
    <cellStyle name="_Chelan Debt Forecast 12.19.05_4 31E Reg Asset  Liab and EXH D 5" xfId="6041"/>
    <cellStyle name="_Chelan Debt Forecast 12.19.05_4 31E Reg Asset  Liab and EXH D 6" xfId="6042"/>
    <cellStyle name="_Chelan Debt Forecast 12.19.05_4 31E Reg Asset  Liab and EXH D 7" xfId="6043"/>
    <cellStyle name="_Chelan Debt Forecast 12.19.05_4 31E Reg Asset  Liab and EXH D 8" xfId="6044"/>
    <cellStyle name="_Chelan Debt Forecast 12.19.05_4 31E Reg Asset  Liab and EXH D 9" xfId="6045"/>
    <cellStyle name="_Chelan Debt Forecast 12.19.05_4 32 Regulatory Assets and Liabilities  7 06- Exhibit D" xfId="214"/>
    <cellStyle name="_Chelan Debt Forecast 12.19.05_4 32 Regulatory Assets and Liabilities  7 06- Exhibit D 2" xfId="6046"/>
    <cellStyle name="_Chelan Debt Forecast 12.19.05_4 32 Regulatory Assets and Liabilities  7 06- Exhibit D 2 2" xfId="6047"/>
    <cellStyle name="_Chelan Debt Forecast 12.19.05_4 32 Regulatory Assets and Liabilities  7 06- Exhibit D 2 2 2" xfId="6048"/>
    <cellStyle name="_Chelan Debt Forecast 12.19.05_4 32 Regulatory Assets and Liabilities  7 06- Exhibit D 3" xfId="6049"/>
    <cellStyle name="_Chelan Debt Forecast 12.19.05_4 32 Regulatory Assets and Liabilities  7 06- Exhibit D 3 2" xfId="6050"/>
    <cellStyle name="_Chelan Debt Forecast 12.19.05_4 32 Regulatory Assets and Liabilities  7 06- Exhibit D_DEM-WP(C) ENERG10C--ctn Mid-C_042010 2010GRC" xfId="6051"/>
    <cellStyle name="_Chelan Debt Forecast 12.19.05_4 32 Regulatory Assets and Liabilities  7 06- Exhibit D_NIM Summary" xfId="6052"/>
    <cellStyle name="_Chelan Debt Forecast 12.19.05_4 32 Regulatory Assets and Liabilities  7 06- Exhibit D_NIM Summary 2" xfId="6053"/>
    <cellStyle name="_Chelan Debt Forecast 12.19.05_4 32 Regulatory Assets and Liabilities  7 06- Exhibit D_NIM Summary 2 2" xfId="6054"/>
    <cellStyle name="_Chelan Debt Forecast 12.19.05_4 32 Regulatory Assets and Liabilities  7 06- Exhibit D_NIM Summary 3" xfId="6055"/>
    <cellStyle name="_Chelan Debt Forecast 12.19.05_4 32 Regulatory Assets and Liabilities  7 06- Exhibit D_NIM Summary_DEM-WP(C) ENERG10C--ctn Mid-C_042010 2010GRC" xfId="6056"/>
    <cellStyle name="_Chelan Debt Forecast 12.19.05_4 32 Regulatory Assets and Liabilities  7 06- Exhibit D_NIM+O&amp;M" xfId="6057"/>
    <cellStyle name="_Chelan Debt Forecast 12.19.05_4 32 Regulatory Assets and Liabilities  7 06- Exhibit D_NIM+O&amp;M 2" xfId="6058"/>
    <cellStyle name="_Chelan Debt Forecast 12.19.05_4 32 Regulatory Assets and Liabilities  7 06- Exhibit D_NIM+O&amp;M Monthly" xfId="6059"/>
    <cellStyle name="_Chelan Debt Forecast 12.19.05_4 32 Regulatory Assets and Liabilities  7 06- Exhibit D_NIM+O&amp;M Monthly 2" xfId="6060"/>
    <cellStyle name="_Chelan Debt Forecast 12.19.05_AURORA Total New" xfId="6061"/>
    <cellStyle name="_Chelan Debt Forecast 12.19.05_AURORA Total New 2" xfId="6062"/>
    <cellStyle name="_Chelan Debt Forecast 12.19.05_AURORA Total New 2 2" xfId="6063"/>
    <cellStyle name="_Chelan Debt Forecast 12.19.05_AURORA Total New 3" xfId="6064"/>
    <cellStyle name="_Chelan Debt Forecast 12.19.05_Book1" xfId="6065"/>
    <cellStyle name="_Chelan Debt Forecast 12.19.05_Book2" xfId="215"/>
    <cellStyle name="_Chelan Debt Forecast 12.19.05_Book2 2" xfId="6066"/>
    <cellStyle name="_Chelan Debt Forecast 12.19.05_Book2 2 2" xfId="6067"/>
    <cellStyle name="_Chelan Debt Forecast 12.19.05_Book2 2 2 2" xfId="6068"/>
    <cellStyle name="_Chelan Debt Forecast 12.19.05_Book2 2 3" xfId="6069"/>
    <cellStyle name="_Chelan Debt Forecast 12.19.05_Book2 3" xfId="6070"/>
    <cellStyle name="_Chelan Debt Forecast 12.19.05_Book2 3 2" xfId="6071"/>
    <cellStyle name="_Chelan Debt Forecast 12.19.05_Book2 4" xfId="6072"/>
    <cellStyle name="_Chelan Debt Forecast 12.19.05_Book2_Adj Bench DR 3 for Initial Briefs (Electric)" xfId="216"/>
    <cellStyle name="_Chelan Debt Forecast 12.19.05_Book2_Adj Bench DR 3 for Initial Briefs (Electric) 2" xfId="6073"/>
    <cellStyle name="_Chelan Debt Forecast 12.19.05_Book2_Adj Bench DR 3 for Initial Briefs (Electric) 2 2" xfId="6074"/>
    <cellStyle name="_Chelan Debt Forecast 12.19.05_Book2_Adj Bench DR 3 for Initial Briefs (Electric) 2 2 2" xfId="6075"/>
    <cellStyle name="_Chelan Debt Forecast 12.19.05_Book2_Adj Bench DR 3 for Initial Briefs (Electric) 2 3" xfId="6076"/>
    <cellStyle name="_Chelan Debt Forecast 12.19.05_Book2_Adj Bench DR 3 for Initial Briefs (Electric) 3" xfId="6077"/>
    <cellStyle name="_Chelan Debt Forecast 12.19.05_Book2_Adj Bench DR 3 for Initial Briefs (Electric) 3 2" xfId="6078"/>
    <cellStyle name="_Chelan Debt Forecast 12.19.05_Book2_Adj Bench DR 3 for Initial Briefs (Electric) 4" xfId="6079"/>
    <cellStyle name="_Chelan Debt Forecast 12.19.05_Book2_Adj Bench DR 3 for Initial Briefs (Electric)_DEM-WP(C) ENERG10C--ctn Mid-C_042010 2010GRC" xfId="6080"/>
    <cellStyle name="_Chelan Debt Forecast 12.19.05_Book2_DEM-WP(C) ENERG10C--ctn Mid-C_042010 2010GRC" xfId="6081"/>
    <cellStyle name="_Chelan Debt Forecast 12.19.05_Book2_Electric Rev Req Model (2009 GRC) Rebuttal" xfId="217"/>
    <cellStyle name="_Chelan Debt Forecast 12.19.05_Book2_Electric Rev Req Model (2009 GRC) Rebuttal 2" xfId="6082"/>
    <cellStyle name="_Chelan Debt Forecast 12.19.05_Book2_Electric Rev Req Model (2009 GRC) Rebuttal 2 2" xfId="6083"/>
    <cellStyle name="_Chelan Debt Forecast 12.19.05_Book2_Electric Rev Req Model (2009 GRC) Rebuttal 2 2 2" xfId="6084"/>
    <cellStyle name="_Chelan Debt Forecast 12.19.05_Book2_Electric Rev Req Model (2009 GRC) Rebuttal 2 3" xfId="6085"/>
    <cellStyle name="_Chelan Debt Forecast 12.19.05_Book2_Electric Rev Req Model (2009 GRC) Rebuttal 3" xfId="6086"/>
    <cellStyle name="_Chelan Debt Forecast 12.19.05_Book2_Electric Rev Req Model (2009 GRC) Rebuttal 3 2" xfId="6087"/>
    <cellStyle name="_Chelan Debt Forecast 12.19.05_Book2_Electric Rev Req Model (2009 GRC) Rebuttal 4" xfId="6088"/>
    <cellStyle name="_Chelan Debt Forecast 12.19.05_Book2_Electric Rev Req Model (2009 GRC) Rebuttal REmoval of New  WH Solar AdjustMI" xfId="218"/>
    <cellStyle name="_Chelan Debt Forecast 12.19.05_Book2_Electric Rev Req Model (2009 GRC) Rebuttal REmoval of New  WH Solar AdjustMI 2" xfId="6089"/>
    <cellStyle name="_Chelan Debt Forecast 12.19.05_Book2_Electric Rev Req Model (2009 GRC) Rebuttal REmoval of New  WH Solar AdjustMI 2 2" xfId="6090"/>
    <cellStyle name="_Chelan Debt Forecast 12.19.05_Book2_Electric Rev Req Model (2009 GRC) Rebuttal REmoval of New  WH Solar AdjustMI 2 2 2" xfId="6091"/>
    <cellStyle name="_Chelan Debt Forecast 12.19.05_Book2_Electric Rev Req Model (2009 GRC) Rebuttal REmoval of New  WH Solar AdjustMI 2 3" xfId="6092"/>
    <cellStyle name="_Chelan Debt Forecast 12.19.05_Book2_Electric Rev Req Model (2009 GRC) Rebuttal REmoval of New  WH Solar AdjustMI 3" xfId="6093"/>
    <cellStyle name="_Chelan Debt Forecast 12.19.05_Book2_Electric Rev Req Model (2009 GRC) Rebuttal REmoval of New  WH Solar AdjustMI 3 2" xfId="6094"/>
    <cellStyle name="_Chelan Debt Forecast 12.19.05_Book2_Electric Rev Req Model (2009 GRC) Rebuttal REmoval of New  WH Solar AdjustMI 4" xfId="6095"/>
    <cellStyle name="_Chelan Debt Forecast 12.19.05_Book2_Electric Rev Req Model (2009 GRC) Rebuttal REmoval of New  WH Solar AdjustMI_DEM-WP(C) ENERG10C--ctn Mid-C_042010 2010GRC" xfId="6096"/>
    <cellStyle name="_Chelan Debt Forecast 12.19.05_Book2_Electric Rev Req Model (2009 GRC) Revised 01-18-2010" xfId="219"/>
    <cellStyle name="_Chelan Debt Forecast 12.19.05_Book2_Electric Rev Req Model (2009 GRC) Revised 01-18-2010 2" xfId="6097"/>
    <cellStyle name="_Chelan Debt Forecast 12.19.05_Book2_Electric Rev Req Model (2009 GRC) Revised 01-18-2010 2 2" xfId="6098"/>
    <cellStyle name="_Chelan Debt Forecast 12.19.05_Book2_Electric Rev Req Model (2009 GRC) Revised 01-18-2010 2 2 2" xfId="6099"/>
    <cellStyle name="_Chelan Debt Forecast 12.19.05_Book2_Electric Rev Req Model (2009 GRC) Revised 01-18-2010 2 3" xfId="6100"/>
    <cellStyle name="_Chelan Debt Forecast 12.19.05_Book2_Electric Rev Req Model (2009 GRC) Revised 01-18-2010 3" xfId="6101"/>
    <cellStyle name="_Chelan Debt Forecast 12.19.05_Book2_Electric Rev Req Model (2009 GRC) Revised 01-18-2010 3 2" xfId="6102"/>
    <cellStyle name="_Chelan Debt Forecast 12.19.05_Book2_Electric Rev Req Model (2009 GRC) Revised 01-18-2010 4" xfId="6103"/>
    <cellStyle name="_Chelan Debt Forecast 12.19.05_Book2_Electric Rev Req Model (2009 GRC) Revised 01-18-2010_DEM-WP(C) ENERG10C--ctn Mid-C_042010 2010GRC" xfId="6104"/>
    <cellStyle name="_Chelan Debt Forecast 12.19.05_Book2_Final Order Electric EXHIBIT A-1" xfId="220"/>
    <cellStyle name="_Chelan Debt Forecast 12.19.05_Book2_Final Order Electric EXHIBIT A-1 2" xfId="6105"/>
    <cellStyle name="_Chelan Debt Forecast 12.19.05_Book2_Final Order Electric EXHIBIT A-1 2 2" xfId="6106"/>
    <cellStyle name="_Chelan Debt Forecast 12.19.05_Book2_Final Order Electric EXHIBIT A-1 2 2 2" xfId="6107"/>
    <cellStyle name="_Chelan Debt Forecast 12.19.05_Book2_Final Order Electric EXHIBIT A-1 2 3" xfId="6108"/>
    <cellStyle name="_Chelan Debt Forecast 12.19.05_Book2_Final Order Electric EXHIBIT A-1 3" xfId="6109"/>
    <cellStyle name="_Chelan Debt Forecast 12.19.05_Book2_Final Order Electric EXHIBIT A-1 3 2" xfId="6110"/>
    <cellStyle name="_Chelan Debt Forecast 12.19.05_Book2_Final Order Electric EXHIBIT A-1 4" xfId="6111"/>
    <cellStyle name="_Chelan Debt Forecast 12.19.05_Book4" xfId="221"/>
    <cellStyle name="_Chelan Debt Forecast 12.19.05_Book4 2" xfId="6112"/>
    <cellStyle name="_Chelan Debt Forecast 12.19.05_Book4 2 2" xfId="6113"/>
    <cellStyle name="_Chelan Debt Forecast 12.19.05_Book4 2 2 2" xfId="6114"/>
    <cellStyle name="_Chelan Debt Forecast 12.19.05_Book4 2 3" xfId="6115"/>
    <cellStyle name="_Chelan Debt Forecast 12.19.05_Book4 3" xfId="6116"/>
    <cellStyle name="_Chelan Debt Forecast 12.19.05_Book4 3 2" xfId="6117"/>
    <cellStyle name="_Chelan Debt Forecast 12.19.05_Book4 4" xfId="6118"/>
    <cellStyle name="_Chelan Debt Forecast 12.19.05_Book4_DEM-WP(C) ENERG10C--ctn Mid-C_042010 2010GRC" xfId="6119"/>
    <cellStyle name="_Chelan Debt Forecast 12.19.05_Book9" xfId="222"/>
    <cellStyle name="_Chelan Debt Forecast 12.19.05_Book9 2" xfId="6120"/>
    <cellStyle name="_Chelan Debt Forecast 12.19.05_Book9 2 2" xfId="6121"/>
    <cellStyle name="_Chelan Debt Forecast 12.19.05_Book9 2 2 2" xfId="6122"/>
    <cellStyle name="_Chelan Debt Forecast 12.19.05_Book9 2 3" xfId="6123"/>
    <cellStyle name="_Chelan Debt Forecast 12.19.05_Book9 3" xfId="6124"/>
    <cellStyle name="_Chelan Debt Forecast 12.19.05_Book9 3 2" xfId="6125"/>
    <cellStyle name="_Chelan Debt Forecast 12.19.05_Book9 4" xfId="6126"/>
    <cellStyle name="_Chelan Debt Forecast 12.19.05_Book9_DEM-WP(C) ENERG10C--ctn Mid-C_042010 2010GRC" xfId="6127"/>
    <cellStyle name="_Chelan Debt Forecast 12.19.05_Check the Interest Calculation" xfId="223"/>
    <cellStyle name="_Chelan Debt Forecast 12.19.05_Check the Interest Calculation_Scenario 1 REC vs PTC Offset" xfId="224"/>
    <cellStyle name="_Chelan Debt Forecast 12.19.05_Check the Interest Calculation_Scenario 3" xfId="225"/>
    <cellStyle name="_Chelan Debt Forecast 12.19.05_Chelan PUD Power Costs (8-10)" xfId="6128"/>
    <cellStyle name="_Chelan Debt Forecast 12.19.05_Chelan PUD Power Costs (8-10) 2" xfId="6129"/>
    <cellStyle name="_Chelan Debt Forecast 12.19.05_DEM-WP(C) Chelan Power Costs" xfId="6130"/>
    <cellStyle name="_Chelan Debt Forecast 12.19.05_DEM-WP(C) Chelan Power Costs 2" xfId="6131"/>
    <cellStyle name="_Chelan Debt Forecast 12.19.05_DEM-WP(C) ENERG10C--ctn Mid-C_042010 2010GRC" xfId="6132"/>
    <cellStyle name="_Chelan Debt Forecast 12.19.05_DEM-WP(C) Gas Transport 2010GRC" xfId="6133"/>
    <cellStyle name="_Chelan Debt Forecast 12.19.05_DEM-WP(C) Gas Transport 2010GRC 2" xfId="6134"/>
    <cellStyle name="_Chelan Debt Forecast 12.19.05_Exh A-1 resulting from UE-112050 effective Jan 1 2012" xfId="6135"/>
    <cellStyle name="_Chelan Debt Forecast 12.19.05_Exh G - Klamath Peaker PPA fr C Locke 2-12" xfId="6136"/>
    <cellStyle name="_Chelan Debt Forecast 12.19.05_Exhibit A-1 effective 4-1-11 fr S Free 12-11" xfId="6137"/>
    <cellStyle name="_Chelan Debt Forecast 12.19.05_Exhibit D fr R Gho 12-31-08" xfId="6138"/>
    <cellStyle name="_Chelan Debt Forecast 12.19.05_Exhibit D fr R Gho 12-31-08 2" xfId="6139"/>
    <cellStyle name="_Chelan Debt Forecast 12.19.05_Exhibit D fr R Gho 12-31-08 2 2" xfId="6140"/>
    <cellStyle name="_Chelan Debt Forecast 12.19.05_Exhibit D fr R Gho 12-31-08 3" xfId="6141"/>
    <cellStyle name="_Chelan Debt Forecast 12.19.05_Exhibit D fr R Gho 12-31-08 v2" xfId="6142"/>
    <cellStyle name="_Chelan Debt Forecast 12.19.05_Exhibit D fr R Gho 12-31-08 v2 2" xfId="6143"/>
    <cellStyle name="_Chelan Debt Forecast 12.19.05_Exhibit D fr R Gho 12-31-08 v2 2 2" xfId="6144"/>
    <cellStyle name="_Chelan Debt Forecast 12.19.05_Exhibit D fr R Gho 12-31-08 v2 3" xfId="6145"/>
    <cellStyle name="_Chelan Debt Forecast 12.19.05_Exhibit D fr R Gho 12-31-08 v2_DEM-WP(C) ENERG10C--ctn Mid-C_042010 2010GRC" xfId="6146"/>
    <cellStyle name="_Chelan Debt Forecast 12.19.05_Exhibit D fr R Gho 12-31-08 v2_NIM Summary" xfId="6147"/>
    <cellStyle name="_Chelan Debt Forecast 12.19.05_Exhibit D fr R Gho 12-31-08 v2_NIM Summary 2" xfId="6148"/>
    <cellStyle name="_Chelan Debt Forecast 12.19.05_Exhibit D fr R Gho 12-31-08 v2_NIM Summary 2 2" xfId="6149"/>
    <cellStyle name="_Chelan Debt Forecast 12.19.05_Exhibit D fr R Gho 12-31-08 v2_NIM Summary 3" xfId="6150"/>
    <cellStyle name="_Chelan Debt Forecast 12.19.05_Exhibit D fr R Gho 12-31-08 v2_NIM Summary_DEM-WP(C) ENERG10C--ctn Mid-C_042010 2010GRC" xfId="6151"/>
    <cellStyle name="_Chelan Debt Forecast 12.19.05_Exhibit D fr R Gho 12-31-08_DEM-WP(C) ENERG10C--ctn Mid-C_042010 2010GRC" xfId="6152"/>
    <cellStyle name="_Chelan Debt Forecast 12.19.05_Exhibit D fr R Gho 12-31-08_NIM Summary" xfId="6153"/>
    <cellStyle name="_Chelan Debt Forecast 12.19.05_Exhibit D fr R Gho 12-31-08_NIM Summary 2" xfId="6154"/>
    <cellStyle name="_Chelan Debt Forecast 12.19.05_Exhibit D fr R Gho 12-31-08_NIM Summary 2 2" xfId="6155"/>
    <cellStyle name="_Chelan Debt Forecast 12.19.05_Exhibit D fr R Gho 12-31-08_NIM Summary 3" xfId="6156"/>
    <cellStyle name="_Chelan Debt Forecast 12.19.05_Exhibit D fr R Gho 12-31-08_NIM Summary_DEM-WP(C) ENERG10C--ctn Mid-C_042010 2010GRC" xfId="6157"/>
    <cellStyle name="_Chelan Debt Forecast 12.19.05_Hopkins Ridge Prepaid Tran - Interest Earned RY 12ME Feb  '11" xfId="6158"/>
    <cellStyle name="_Chelan Debt Forecast 12.19.05_Hopkins Ridge Prepaid Tran - Interest Earned RY 12ME Feb  '11 2" xfId="6159"/>
    <cellStyle name="_Chelan Debt Forecast 12.19.05_Hopkins Ridge Prepaid Tran - Interest Earned RY 12ME Feb  '11 2 2" xfId="6160"/>
    <cellStyle name="_Chelan Debt Forecast 12.19.05_Hopkins Ridge Prepaid Tran - Interest Earned RY 12ME Feb  '11 3" xfId="6161"/>
    <cellStyle name="_Chelan Debt Forecast 12.19.05_Hopkins Ridge Prepaid Tran - Interest Earned RY 12ME Feb  '11_DEM-WP(C) ENERG10C--ctn Mid-C_042010 2010GRC" xfId="6162"/>
    <cellStyle name="_Chelan Debt Forecast 12.19.05_Hopkins Ridge Prepaid Tran - Interest Earned RY 12ME Feb  '11_NIM Summary" xfId="6163"/>
    <cellStyle name="_Chelan Debt Forecast 12.19.05_Hopkins Ridge Prepaid Tran - Interest Earned RY 12ME Feb  '11_NIM Summary 2" xfId="6164"/>
    <cellStyle name="_Chelan Debt Forecast 12.19.05_Hopkins Ridge Prepaid Tran - Interest Earned RY 12ME Feb  '11_NIM Summary 2 2" xfId="6165"/>
    <cellStyle name="_Chelan Debt Forecast 12.19.05_Hopkins Ridge Prepaid Tran - Interest Earned RY 12ME Feb  '11_NIM Summary 3" xfId="6166"/>
    <cellStyle name="_Chelan Debt Forecast 12.19.05_Hopkins Ridge Prepaid Tran - Interest Earned RY 12ME Feb  '11_NIM Summary_DEM-WP(C) ENERG10C--ctn Mid-C_042010 2010GRC" xfId="6167"/>
    <cellStyle name="_Chelan Debt Forecast 12.19.05_Hopkins Ridge Prepaid Tran - Interest Earned RY 12ME Feb  '11_Transmission Workbook for May BOD" xfId="6168"/>
    <cellStyle name="_Chelan Debt Forecast 12.19.05_Hopkins Ridge Prepaid Tran - Interest Earned RY 12ME Feb  '11_Transmission Workbook for May BOD 2" xfId="6169"/>
    <cellStyle name="_Chelan Debt Forecast 12.19.05_Hopkins Ridge Prepaid Tran - Interest Earned RY 12ME Feb  '11_Transmission Workbook for May BOD 2 2" xfId="6170"/>
    <cellStyle name="_Chelan Debt Forecast 12.19.05_Hopkins Ridge Prepaid Tran - Interest Earned RY 12ME Feb  '11_Transmission Workbook for May BOD 3" xfId="6171"/>
    <cellStyle name="_Chelan Debt Forecast 12.19.05_Hopkins Ridge Prepaid Tran - Interest Earned RY 12ME Feb  '11_Transmission Workbook for May BOD_DEM-WP(C) ENERG10C--ctn Mid-C_042010 2010GRC" xfId="6172"/>
    <cellStyle name="_Chelan Debt Forecast 12.19.05_INPUTS" xfId="6173"/>
    <cellStyle name="_Chelan Debt Forecast 12.19.05_INPUTS 2" xfId="6174"/>
    <cellStyle name="_Chelan Debt Forecast 12.19.05_INPUTS 2 2" xfId="6175"/>
    <cellStyle name="_Chelan Debt Forecast 12.19.05_INPUTS 2 2 2" xfId="6176"/>
    <cellStyle name="_Chelan Debt Forecast 12.19.05_INPUTS 2 3" xfId="6177"/>
    <cellStyle name="_Chelan Debt Forecast 12.19.05_INPUTS 3" xfId="6178"/>
    <cellStyle name="_Chelan Debt Forecast 12.19.05_INPUTS 3 2" xfId="6179"/>
    <cellStyle name="_Chelan Debt Forecast 12.19.05_INPUTS 4" xfId="6180"/>
    <cellStyle name="_Chelan Debt Forecast 12.19.05_LSRWEP LGIA like Acctg Petition Aug 2010" xfId="6181"/>
    <cellStyle name="_Chelan Debt Forecast 12.19.05_LSRWEP LGIA like Acctg Petition Aug 2010 2" xfId="6182"/>
    <cellStyle name="_Chelan Debt Forecast 12.19.05_Mint Farm Generation BPA" xfId="6183"/>
    <cellStyle name="_Chelan Debt Forecast 12.19.05_NIM Summary" xfId="6184"/>
    <cellStyle name="_Chelan Debt Forecast 12.19.05_NIM Summary 09GRC" xfId="6185"/>
    <cellStyle name="_Chelan Debt Forecast 12.19.05_NIM Summary 09GRC 2" xfId="6186"/>
    <cellStyle name="_Chelan Debt Forecast 12.19.05_NIM Summary 09GRC 2 2" xfId="6187"/>
    <cellStyle name="_Chelan Debt Forecast 12.19.05_NIM Summary 09GRC 3" xfId="6188"/>
    <cellStyle name="_Chelan Debt Forecast 12.19.05_NIM Summary 09GRC_DEM-WP(C) ENERG10C--ctn Mid-C_042010 2010GRC" xfId="6189"/>
    <cellStyle name="_Chelan Debt Forecast 12.19.05_NIM Summary 10" xfId="6190"/>
    <cellStyle name="_Chelan Debt Forecast 12.19.05_NIM Summary 11" xfId="6191"/>
    <cellStyle name="_Chelan Debt Forecast 12.19.05_NIM Summary 12" xfId="6192"/>
    <cellStyle name="_Chelan Debt Forecast 12.19.05_NIM Summary 13" xfId="6193"/>
    <cellStyle name="_Chelan Debt Forecast 12.19.05_NIM Summary 14" xfId="6194"/>
    <cellStyle name="_Chelan Debt Forecast 12.19.05_NIM Summary 15" xfId="6195"/>
    <cellStyle name="_Chelan Debt Forecast 12.19.05_NIM Summary 16" xfId="6196"/>
    <cellStyle name="_Chelan Debt Forecast 12.19.05_NIM Summary 17" xfId="6197"/>
    <cellStyle name="_Chelan Debt Forecast 12.19.05_NIM Summary 18" xfId="6198"/>
    <cellStyle name="_Chelan Debt Forecast 12.19.05_NIM Summary 19" xfId="6199"/>
    <cellStyle name="_Chelan Debt Forecast 12.19.05_NIM Summary 2" xfId="6200"/>
    <cellStyle name="_Chelan Debt Forecast 12.19.05_NIM Summary 2 2" xfId="6201"/>
    <cellStyle name="_Chelan Debt Forecast 12.19.05_NIM Summary 20" xfId="6202"/>
    <cellStyle name="_Chelan Debt Forecast 12.19.05_NIM Summary 21" xfId="6203"/>
    <cellStyle name="_Chelan Debt Forecast 12.19.05_NIM Summary 22" xfId="6204"/>
    <cellStyle name="_Chelan Debt Forecast 12.19.05_NIM Summary 23" xfId="6205"/>
    <cellStyle name="_Chelan Debt Forecast 12.19.05_NIM Summary 24" xfId="6206"/>
    <cellStyle name="_Chelan Debt Forecast 12.19.05_NIM Summary 25" xfId="6207"/>
    <cellStyle name="_Chelan Debt Forecast 12.19.05_NIM Summary 26" xfId="6208"/>
    <cellStyle name="_Chelan Debt Forecast 12.19.05_NIM Summary 27" xfId="6209"/>
    <cellStyle name="_Chelan Debt Forecast 12.19.05_NIM Summary 28" xfId="6210"/>
    <cellStyle name="_Chelan Debt Forecast 12.19.05_NIM Summary 29" xfId="6211"/>
    <cellStyle name="_Chelan Debt Forecast 12.19.05_NIM Summary 3" xfId="6212"/>
    <cellStyle name="_Chelan Debt Forecast 12.19.05_NIM Summary 3 2" xfId="6213"/>
    <cellStyle name="_Chelan Debt Forecast 12.19.05_NIM Summary 30" xfId="6214"/>
    <cellStyle name="_Chelan Debt Forecast 12.19.05_NIM Summary 31" xfId="6215"/>
    <cellStyle name="_Chelan Debt Forecast 12.19.05_NIM Summary 32" xfId="6216"/>
    <cellStyle name="_Chelan Debt Forecast 12.19.05_NIM Summary 33" xfId="6217"/>
    <cellStyle name="_Chelan Debt Forecast 12.19.05_NIM Summary 34" xfId="6218"/>
    <cellStyle name="_Chelan Debt Forecast 12.19.05_NIM Summary 35" xfId="6219"/>
    <cellStyle name="_Chelan Debt Forecast 12.19.05_NIM Summary 36" xfId="6220"/>
    <cellStyle name="_Chelan Debt Forecast 12.19.05_NIM Summary 37" xfId="6221"/>
    <cellStyle name="_Chelan Debt Forecast 12.19.05_NIM Summary 38" xfId="6222"/>
    <cellStyle name="_Chelan Debt Forecast 12.19.05_NIM Summary 39" xfId="6223"/>
    <cellStyle name="_Chelan Debt Forecast 12.19.05_NIM Summary 4" xfId="6224"/>
    <cellStyle name="_Chelan Debt Forecast 12.19.05_NIM Summary 4 2" xfId="6225"/>
    <cellStyle name="_Chelan Debt Forecast 12.19.05_NIM Summary 40" xfId="6226"/>
    <cellStyle name="_Chelan Debt Forecast 12.19.05_NIM Summary 41" xfId="6227"/>
    <cellStyle name="_Chelan Debt Forecast 12.19.05_NIM Summary 42" xfId="6228"/>
    <cellStyle name="_Chelan Debt Forecast 12.19.05_NIM Summary 43" xfId="6229"/>
    <cellStyle name="_Chelan Debt Forecast 12.19.05_NIM Summary 44" xfId="6230"/>
    <cellStyle name="_Chelan Debt Forecast 12.19.05_NIM Summary 45" xfId="6231"/>
    <cellStyle name="_Chelan Debt Forecast 12.19.05_NIM Summary 46" xfId="6232"/>
    <cellStyle name="_Chelan Debt Forecast 12.19.05_NIM Summary 47" xfId="6233"/>
    <cellStyle name="_Chelan Debt Forecast 12.19.05_NIM Summary 48" xfId="6234"/>
    <cellStyle name="_Chelan Debt Forecast 12.19.05_NIM Summary 49" xfId="6235"/>
    <cellStyle name="_Chelan Debt Forecast 12.19.05_NIM Summary 5" xfId="6236"/>
    <cellStyle name="_Chelan Debt Forecast 12.19.05_NIM Summary 5 2" xfId="6237"/>
    <cellStyle name="_Chelan Debt Forecast 12.19.05_NIM Summary 50" xfId="6238"/>
    <cellStyle name="_Chelan Debt Forecast 12.19.05_NIM Summary 51" xfId="6239"/>
    <cellStyle name="_Chelan Debt Forecast 12.19.05_NIM Summary 52" xfId="6240"/>
    <cellStyle name="_Chelan Debt Forecast 12.19.05_NIM Summary 6" xfId="6241"/>
    <cellStyle name="_Chelan Debt Forecast 12.19.05_NIM Summary 6 2" xfId="6242"/>
    <cellStyle name="_Chelan Debt Forecast 12.19.05_NIM Summary 7" xfId="6243"/>
    <cellStyle name="_Chelan Debt Forecast 12.19.05_NIM Summary 7 2" xfId="6244"/>
    <cellStyle name="_Chelan Debt Forecast 12.19.05_NIM Summary 8" xfId="6245"/>
    <cellStyle name="_Chelan Debt Forecast 12.19.05_NIM Summary 8 2" xfId="6246"/>
    <cellStyle name="_Chelan Debt Forecast 12.19.05_NIM Summary 9" xfId="6247"/>
    <cellStyle name="_Chelan Debt Forecast 12.19.05_NIM Summary 9 2" xfId="6248"/>
    <cellStyle name="_Chelan Debt Forecast 12.19.05_NIM Summary_DEM-WP(C) ENERG10C--ctn Mid-C_042010 2010GRC" xfId="6249"/>
    <cellStyle name="_Chelan Debt Forecast 12.19.05_NIM+O&amp;M" xfId="6250"/>
    <cellStyle name="_Chelan Debt Forecast 12.19.05_NIM+O&amp;M 2" xfId="6251"/>
    <cellStyle name="_Chelan Debt Forecast 12.19.05_NIM+O&amp;M 2 2" xfId="6252"/>
    <cellStyle name="_Chelan Debt Forecast 12.19.05_NIM+O&amp;M 3" xfId="6253"/>
    <cellStyle name="_Chelan Debt Forecast 12.19.05_NIM+O&amp;M Monthly" xfId="6254"/>
    <cellStyle name="_Chelan Debt Forecast 12.19.05_NIM+O&amp;M Monthly 2" xfId="6255"/>
    <cellStyle name="_Chelan Debt Forecast 12.19.05_NIM+O&amp;M Monthly 2 2" xfId="6256"/>
    <cellStyle name="_Chelan Debt Forecast 12.19.05_NIM+O&amp;M Monthly 3" xfId="6257"/>
    <cellStyle name="_Chelan Debt Forecast 12.19.05_PCA 10 -  Exhibit D Dec 2011" xfId="6258"/>
    <cellStyle name="_Chelan Debt Forecast 12.19.05_PCA 10 -  Exhibit D from A Kellogg Jan 2011" xfId="6259"/>
    <cellStyle name="_Chelan Debt Forecast 12.19.05_PCA 10 -  Exhibit D from A Kellogg July 2011" xfId="6260"/>
    <cellStyle name="_Chelan Debt Forecast 12.19.05_PCA 10 -  Exhibit D from S Free Rcv'd 12-11" xfId="6261"/>
    <cellStyle name="_Chelan Debt Forecast 12.19.05_PCA 11 -  Exhibit D Jan 2012 fr A Kellogg" xfId="6262"/>
    <cellStyle name="_Chelan Debt Forecast 12.19.05_PCA 11 -  Exhibit D Jan 2012 WF" xfId="6263"/>
    <cellStyle name="_Chelan Debt Forecast 12.19.05_PCA 7 - Exhibit D update 11_30_08 (2)" xfId="6264"/>
    <cellStyle name="_Chelan Debt Forecast 12.19.05_PCA 7 - Exhibit D update 11_30_08 (2) 2" xfId="6265"/>
    <cellStyle name="_Chelan Debt Forecast 12.19.05_PCA 7 - Exhibit D update 11_30_08 (2) 2 2" xfId="6266"/>
    <cellStyle name="_Chelan Debt Forecast 12.19.05_PCA 7 - Exhibit D update 11_30_08 (2) 2 2 2" xfId="6267"/>
    <cellStyle name="_Chelan Debt Forecast 12.19.05_PCA 7 - Exhibit D update 11_30_08 (2) 2 3" xfId="6268"/>
    <cellStyle name="_Chelan Debt Forecast 12.19.05_PCA 7 - Exhibit D update 11_30_08 (2) 3" xfId="6269"/>
    <cellStyle name="_Chelan Debt Forecast 12.19.05_PCA 7 - Exhibit D update 11_30_08 (2) 3 2" xfId="6270"/>
    <cellStyle name="_Chelan Debt Forecast 12.19.05_PCA 7 - Exhibit D update 11_30_08 (2) 4" xfId="6271"/>
    <cellStyle name="_Chelan Debt Forecast 12.19.05_PCA 7 - Exhibit D update 11_30_08 (2)_DEM-WP(C) ENERG10C--ctn Mid-C_042010 2010GRC" xfId="6272"/>
    <cellStyle name="_Chelan Debt Forecast 12.19.05_PCA 7 - Exhibit D update 11_30_08 (2)_NIM Summary" xfId="6273"/>
    <cellStyle name="_Chelan Debt Forecast 12.19.05_PCA 7 - Exhibit D update 11_30_08 (2)_NIM Summary 2" xfId="6274"/>
    <cellStyle name="_Chelan Debt Forecast 12.19.05_PCA 7 - Exhibit D update 11_30_08 (2)_NIM Summary 2 2" xfId="6275"/>
    <cellStyle name="_Chelan Debt Forecast 12.19.05_PCA 7 - Exhibit D update 11_30_08 (2)_NIM Summary 3" xfId="6276"/>
    <cellStyle name="_Chelan Debt Forecast 12.19.05_PCA 7 - Exhibit D update 11_30_08 (2)_NIM Summary_DEM-WP(C) ENERG10C--ctn Mid-C_042010 2010GRC" xfId="6277"/>
    <cellStyle name="_Chelan Debt Forecast 12.19.05_PCA 8 - Exhibit D update 12_31_09" xfId="6278"/>
    <cellStyle name="_Chelan Debt Forecast 12.19.05_PCA 8 - Exhibit D update 12_31_09 2" xfId="6279"/>
    <cellStyle name="_Chelan Debt Forecast 12.19.05_PCA 9 -  Exhibit D April 2010" xfId="6280"/>
    <cellStyle name="_Chelan Debt Forecast 12.19.05_PCA 9 -  Exhibit D April 2010 (3)" xfId="6281"/>
    <cellStyle name="_Chelan Debt Forecast 12.19.05_PCA 9 -  Exhibit D April 2010 (3) 2" xfId="6282"/>
    <cellStyle name="_Chelan Debt Forecast 12.19.05_PCA 9 -  Exhibit D April 2010 (3) 2 2" xfId="6283"/>
    <cellStyle name="_Chelan Debt Forecast 12.19.05_PCA 9 -  Exhibit D April 2010 (3) 3" xfId="6284"/>
    <cellStyle name="_Chelan Debt Forecast 12.19.05_PCA 9 -  Exhibit D April 2010 (3)_DEM-WP(C) ENERG10C--ctn Mid-C_042010 2010GRC" xfId="6285"/>
    <cellStyle name="_Chelan Debt Forecast 12.19.05_PCA 9 -  Exhibit D April 2010 2" xfId="6286"/>
    <cellStyle name="_Chelan Debt Forecast 12.19.05_PCA 9 -  Exhibit D April 2010 3" xfId="6287"/>
    <cellStyle name="_Chelan Debt Forecast 12.19.05_PCA 9 -  Exhibit D April 2010 4" xfId="6288"/>
    <cellStyle name="_Chelan Debt Forecast 12.19.05_PCA 9 -  Exhibit D April 2010 5" xfId="6289"/>
    <cellStyle name="_Chelan Debt Forecast 12.19.05_PCA 9 -  Exhibit D April 2010 6" xfId="6290"/>
    <cellStyle name="_Chelan Debt Forecast 12.19.05_PCA 9 -  Exhibit D Feb 2010" xfId="6291"/>
    <cellStyle name="_Chelan Debt Forecast 12.19.05_PCA 9 -  Exhibit D Feb 2010 2" xfId="6292"/>
    <cellStyle name="_Chelan Debt Forecast 12.19.05_PCA 9 -  Exhibit D Feb 2010 v2" xfId="6293"/>
    <cellStyle name="_Chelan Debt Forecast 12.19.05_PCA 9 -  Exhibit D Feb 2010 v2 2" xfId="6294"/>
    <cellStyle name="_Chelan Debt Forecast 12.19.05_PCA 9 -  Exhibit D Feb 2010 WF" xfId="6295"/>
    <cellStyle name="_Chelan Debt Forecast 12.19.05_PCA 9 -  Exhibit D Feb 2010 WF 2" xfId="6296"/>
    <cellStyle name="_Chelan Debt Forecast 12.19.05_PCA 9 -  Exhibit D Jan 2010" xfId="6297"/>
    <cellStyle name="_Chelan Debt Forecast 12.19.05_PCA 9 -  Exhibit D Jan 2010 2" xfId="6298"/>
    <cellStyle name="_Chelan Debt Forecast 12.19.05_PCA 9 -  Exhibit D March 2010 (2)" xfId="6299"/>
    <cellStyle name="_Chelan Debt Forecast 12.19.05_PCA 9 -  Exhibit D March 2010 (2) 2" xfId="6300"/>
    <cellStyle name="_Chelan Debt Forecast 12.19.05_PCA 9 -  Exhibit D Nov 2010" xfId="6301"/>
    <cellStyle name="_Chelan Debt Forecast 12.19.05_PCA 9 -  Exhibit D Nov 2010 2" xfId="6302"/>
    <cellStyle name="_Chelan Debt Forecast 12.19.05_PCA 9 - Exhibit D at August 2010" xfId="6303"/>
    <cellStyle name="_Chelan Debt Forecast 12.19.05_PCA 9 - Exhibit D at August 2010 2" xfId="6304"/>
    <cellStyle name="_Chelan Debt Forecast 12.19.05_PCA 9 - Exhibit D June 2010 GRC" xfId="6305"/>
    <cellStyle name="_Chelan Debt Forecast 12.19.05_PCA 9 - Exhibit D June 2010 GRC 2" xfId="6306"/>
    <cellStyle name="_Chelan Debt Forecast 12.19.05_Power Costs - Comparison bx Rbtl-Staff-Jt-PC" xfId="226"/>
    <cellStyle name="_Chelan Debt Forecast 12.19.05_Power Costs - Comparison bx Rbtl-Staff-Jt-PC 2" xfId="6307"/>
    <cellStyle name="_Chelan Debt Forecast 12.19.05_Power Costs - Comparison bx Rbtl-Staff-Jt-PC 2 2" xfId="6308"/>
    <cellStyle name="_Chelan Debt Forecast 12.19.05_Power Costs - Comparison bx Rbtl-Staff-Jt-PC 2 2 2" xfId="6309"/>
    <cellStyle name="_Chelan Debt Forecast 12.19.05_Power Costs - Comparison bx Rbtl-Staff-Jt-PC 2 3" xfId="6310"/>
    <cellStyle name="_Chelan Debt Forecast 12.19.05_Power Costs - Comparison bx Rbtl-Staff-Jt-PC 3" xfId="6311"/>
    <cellStyle name="_Chelan Debt Forecast 12.19.05_Power Costs - Comparison bx Rbtl-Staff-Jt-PC 3 2" xfId="6312"/>
    <cellStyle name="_Chelan Debt Forecast 12.19.05_Power Costs - Comparison bx Rbtl-Staff-Jt-PC 4" xfId="6313"/>
    <cellStyle name="_Chelan Debt Forecast 12.19.05_Power Costs - Comparison bx Rbtl-Staff-Jt-PC_Adj Bench DR 3 for Initial Briefs (Electric)" xfId="227"/>
    <cellStyle name="_Chelan Debt Forecast 12.19.05_Power Costs - Comparison bx Rbtl-Staff-Jt-PC_Adj Bench DR 3 for Initial Briefs (Electric) 2" xfId="6314"/>
    <cellStyle name="_Chelan Debt Forecast 12.19.05_Power Costs - Comparison bx Rbtl-Staff-Jt-PC_Adj Bench DR 3 for Initial Briefs (Electric) 2 2" xfId="6315"/>
    <cellStyle name="_Chelan Debt Forecast 12.19.05_Power Costs - Comparison bx Rbtl-Staff-Jt-PC_Adj Bench DR 3 for Initial Briefs (Electric) 2 2 2" xfId="6316"/>
    <cellStyle name="_Chelan Debt Forecast 12.19.05_Power Costs - Comparison bx Rbtl-Staff-Jt-PC_Adj Bench DR 3 for Initial Briefs (Electric) 2 3" xfId="6317"/>
    <cellStyle name="_Chelan Debt Forecast 12.19.05_Power Costs - Comparison bx Rbtl-Staff-Jt-PC_Adj Bench DR 3 for Initial Briefs (Electric) 3" xfId="6318"/>
    <cellStyle name="_Chelan Debt Forecast 12.19.05_Power Costs - Comparison bx Rbtl-Staff-Jt-PC_Adj Bench DR 3 for Initial Briefs (Electric) 3 2" xfId="6319"/>
    <cellStyle name="_Chelan Debt Forecast 12.19.05_Power Costs - Comparison bx Rbtl-Staff-Jt-PC_Adj Bench DR 3 for Initial Briefs (Electric) 4" xfId="6320"/>
    <cellStyle name="_Chelan Debt Forecast 12.19.05_Power Costs - Comparison bx Rbtl-Staff-Jt-PC_Adj Bench DR 3 for Initial Briefs (Electric)_DEM-WP(C) ENERG10C--ctn Mid-C_042010 2010GRC" xfId="6321"/>
    <cellStyle name="_Chelan Debt Forecast 12.19.05_Power Costs - Comparison bx Rbtl-Staff-Jt-PC_DEM-WP(C) ENERG10C--ctn Mid-C_042010 2010GRC" xfId="6322"/>
    <cellStyle name="_Chelan Debt Forecast 12.19.05_Power Costs - Comparison bx Rbtl-Staff-Jt-PC_Electric Rev Req Model (2009 GRC) Rebuttal" xfId="228"/>
    <cellStyle name="_Chelan Debt Forecast 12.19.05_Power Costs - Comparison bx Rbtl-Staff-Jt-PC_Electric Rev Req Model (2009 GRC) Rebuttal 2" xfId="6323"/>
    <cellStyle name="_Chelan Debt Forecast 12.19.05_Power Costs - Comparison bx Rbtl-Staff-Jt-PC_Electric Rev Req Model (2009 GRC) Rebuttal 2 2" xfId="6324"/>
    <cellStyle name="_Chelan Debt Forecast 12.19.05_Power Costs - Comparison bx Rbtl-Staff-Jt-PC_Electric Rev Req Model (2009 GRC) Rebuttal 2 2 2" xfId="6325"/>
    <cellStyle name="_Chelan Debt Forecast 12.19.05_Power Costs - Comparison bx Rbtl-Staff-Jt-PC_Electric Rev Req Model (2009 GRC) Rebuttal 2 3" xfId="6326"/>
    <cellStyle name="_Chelan Debt Forecast 12.19.05_Power Costs - Comparison bx Rbtl-Staff-Jt-PC_Electric Rev Req Model (2009 GRC) Rebuttal 3" xfId="6327"/>
    <cellStyle name="_Chelan Debt Forecast 12.19.05_Power Costs - Comparison bx Rbtl-Staff-Jt-PC_Electric Rev Req Model (2009 GRC) Rebuttal 3 2" xfId="6328"/>
    <cellStyle name="_Chelan Debt Forecast 12.19.05_Power Costs - Comparison bx Rbtl-Staff-Jt-PC_Electric Rev Req Model (2009 GRC) Rebuttal 4" xfId="6329"/>
    <cellStyle name="_Chelan Debt Forecast 12.19.05_Power Costs - Comparison bx Rbtl-Staff-Jt-PC_Electric Rev Req Model (2009 GRC) Rebuttal REmoval of New  WH Solar AdjustMI" xfId="229"/>
    <cellStyle name="_Chelan Debt Forecast 12.19.05_Power Costs - Comparison bx Rbtl-Staff-Jt-PC_Electric Rev Req Model (2009 GRC) Rebuttal REmoval of New  WH Solar AdjustMI 2" xfId="6330"/>
    <cellStyle name="_Chelan Debt Forecast 12.19.05_Power Costs - Comparison bx Rbtl-Staff-Jt-PC_Electric Rev Req Model (2009 GRC) Rebuttal REmoval of New  WH Solar AdjustMI 2 2" xfId="6331"/>
    <cellStyle name="_Chelan Debt Forecast 12.19.05_Power Costs - Comparison bx Rbtl-Staff-Jt-PC_Electric Rev Req Model (2009 GRC) Rebuttal REmoval of New  WH Solar AdjustMI 2 2 2" xfId="6332"/>
    <cellStyle name="_Chelan Debt Forecast 12.19.05_Power Costs - Comparison bx Rbtl-Staff-Jt-PC_Electric Rev Req Model (2009 GRC) Rebuttal REmoval of New  WH Solar AdjustMI 2 3" xfId="6333"/>
    <cellStyle name="_Chelan Debt Forecast 12.19.05_Power Costs - Comparison bx Rbtl-Staff-Jt-PC_Electric Rev Req Model (2009 GRC) Rebuttal REmoval of New  WH Solar AdjustMI 3" xfId="6334"/>
    <cellStyle name="_Chelan Debt Forecast 12.19.05_Power Costs - Comparison bx Rbtl-Staff-Jt-PC_Electric Rev Req Model (2009 GRC) Rebuttal REmoval of New  WH Solar AdjustMI 3 2" xfId="6335"/>
    <cellStyle name="_Chelan Debt Forecast 12.19.05_Power Costs - Comparison bx Rbtl-Staff-Jt-PC_Electric Rev Req Model (2009 GRC) Rebuttal REmoval of New  WH Solar AdjustMI 4" xfId="6336"/>
    <cellStyle name="_Chelan Debt Forecast 12.19.05_Power Costs - Comparison bx Rbtl-Staff-Jt-PC_Electric Rev Req Model (2009 GRC) Rebuttal REmoval of New  WH Solar AdjustMI_DEM-WP(C) ENERG10C--ctn Mid-C_042010 2010GRC" xfId="6337"/>
    <cellStyle name="_Chelan Debt Forecast 12.19.05_Power Costs - Comparison bx Rbtl-Staff-Jt-PC_Electric Rev Req Model (2009 GRC) Revised 01-18-2010" xfId="230"/>
    <cellStyle name="_Chelan Debt Forecast 12.19.05_Power Costs - Comparison bx Rbtl-Staff-Jt-PC_Electric Rev Req Model (2009 GRC) Revised 01-18-2010 2" xfId="6338"/>
    <cellStyle name="_Chelan Debt Forecast 12.19.05_Power Costs - Comparison bx Rbtl-Staff-Jt-PC_Electric Rev Req Model (2009 GRC) Revised 01-18-2010 2 2" xfId="6339"/>
    <cellStyle name="_Chelan Debt Forecast 12.19.05_Power Costs - Comparison bx Rbtl-Staff-Jt-PC_Electric Rev Req Model (2009 GRC) Revised 01-18-2010 2 2 2" xfId="6340"/>
    <cellStyle name="_Chelan Debt Forecast 12.19.05_Power Costs - Comparison bx Rbtl-Staff-Jt-PC_Electric Rev Req Model (2009 GRC) Revised 01-18-2010 2 3" xfId="6341"/>
    <cellStyle name="_Chelan Debt Forecast 12.19.05_Power Costs - Comparison bx Rbtl-Staff-Jt-PC_Electric Rev Req Model (2009 GRC) Revised 01-18-2010 3" xfId="6342"/>
    <cellStyle name="_Chelan Debt Forecast 12.19.05_Power Costs - Comparison bx Rbtl-Staff-Jt-PC_Electric Rev Req Model (2009 GRC) Revised 01-18-2010 3 2" xfId="6343"/>
    <cellStyle name="_Chelan Debt Forecast 12.19.05_Power Costs - Comparison bx Rbtl-Staff-Jt-PC_Electric Rev Req Model (2009 GRC) Revised 01-18-2010 4" xfId="6344"/>
    <cellStyle name="_Chelan Debt Forecast 12.19.05_Power Costs - Comparison bx Rbtl-Staff-Jt-PC_Electric Rev Req Model (2009 GRC) Revised 01-18-2010_DEM-WP(C) ENERG10C--ctn Mid-C_042010 2010GRC" xfId="6345"/>
    <cellStyle name="_Chelan Debt Forecast 12.19.05_Power Costs - Comparison bx Rbtl-Staff-Jt-PC_Final Order Electric EXHIBIT A-1" xfId="231"/>
    <cellStyle name="_Chelan Debt Forecast 12.19.05_Power Costs - Comparison bx Rbtl-Staff-Jt-PC_Final Order Electric EXHIBIT A-1 2" xfId="6346"/>
    <cellStyle name="_Chelan Debt Forecast 12.19.05_Power Costs - Comparison bx Rbtl-Staff-Jt-PC_Final Order Electric EXHIBIT A-1 2 2" xfId="6347"/>
    <cellStyle name="_Chelan Debt Forecast 12.19.05_Power Costs - Comparison bx Rbtl-Staff-Jt-PC_Final Order Electric EXHIBIT A-1 2 2 2" xfId="6348"/>
    <cellStyle name="_Chelan Debt Forecast 12.19.05_Power Costs - Comparison bx Rbtl-Staff-Jt-PC_Final Order Electric EXHIBIT A-1 2 3" xfId="6349"/>
    <cellStyle name="_Chelan Debt Forecast 12.19.05_Power Costs - Comparison bx Rbtl-Staff-Jt-PC_Final Order Electric EXHIBIT A-1 3" xfId="6350"/>
    <cellStyle name="_Chelan Debt Forecast 12.19.05_Power Costs - Comparison bx Rbtl-Staff-Jt-PC_Final Order Electric EXHIBIT A-1 3 2" xfId="6351"/>
    <cellStyle name="_Chelan Debt Forecast 12.19.05_Power Costs - Comparison bx Rbtl-Staff-Jt-PC_Final Order Electric EXHIBIT A-1 4" xfId="6352"/>
    <cellStyle name="_Chelan Debt Forecast 12.19.05_Production Adj 4.37" xfId="6353"/>
    <cellStyle name="_Chelan Debt Forecast 12.19.05_Production Adj 4.37 2" xfId="6354"/>
    <cellStyle name="_Chelan Debt Forecast 12.19.05_Production Adj 4.37 2 2" xfId="6355"/>
    <cellStyle name="_Chelan Debt Forecast 12.19.05_Production Adj 4.37 2 2 2" xfId="6356"/>
    <cellStyle name="_Chelan Debt Forecast 12.19.05_Production Adj 4.37 2 3" xfId="6357"/>
    <cellStyle name="_Chelan Debt Forecast 12.19.05_Production Adj 4.37 3" xfId="6358"/>
    <cellStyle name="_Chelan Debt Forecast 12.19.05_Production Adj 4.37 3 2" xfId="6359"/>
    <cellStyle name="_Chelan Debt Forecast 12.19.05_Production Adj 4.37 4" xfId="6360"/>
    <cellStyle name="_Chelan Debt Forecast 12.19.05_Purchased Power Adj 4.03" xfId="6361"/>
    <cellStyle name="_Chelan Debt Forecast 12.19.05_Purchased Power Adj 4.03 2" xfId="6362"/>
    <cellStyle name="_Chelan Debt Forecast 12.19.05_Purchased Power Adj 4.03 2 2" xfId="6363"/>
    <cellStyle name="_Chelan Debt Forecast 12.19.05_Purchased Power Adj 4.03 2 2 2" xfId="6364"/>
    <cellStyle name="_Chelan Debt Forecast 12.19.05_Purchased Power Adj 4.03 2 3" xfId="6365"/>
    <cellStyle name="_Chelan Debt Forecast 12.19.05_Purchased Power Adj 4.03 3" xfId="6366"/>
    <cellStyle name="_Chelan Debt Forecast 12.19.05_Purchased Power Adj 4.03 3 2" xfId="6367"/>
    <cellStyle name="_Chelan Debt Forecast 12.19.05_Purchased Power Adj 4.03 4" xfId="6368"/>
    <cellStyle name="_Chelan Debt Forecast 12.19.05_Rebuttal Power Costs" xfId="232"/>
    <cellStyle name="_Chelan Debt Forecast 12.19.05_Rebuttal Power Costs 2" xfId="6369"/>
    <cellStyle name="_Chelan Debt Forecast 12.19.05_Rebuttal Power Costs 2 2" xfId="6370"/>
    <cellStyle name="_Chelan Debt Forecast 12.19.05_Rebuttal Power Costs 2 2 2" xfId="6371"/>
    <cellStyle name="_Chelan Debt Forecast 12.19.05_Rebuttal Power Costs 2 3" xfId="6372"/>
    <cellStyle name="_Chelan Debt Forecast 12.19.05_Rebuttal Power Costs 3" xfId="6373"/>
    <cellStyle name="_Chelan Debt Forecast 12.19.05_Rebuttal Power Costs 3 2" xfId="6374"/>
    <cellStyle name="_Chelan Debt Forecast 12.19.05_Rebuttal Power Costs 4" xfId="6375"/>
    <cellStyle name="_Chelan Debt Forecast 12.19.05_Rebuttal Power Costs_Adj Bench DR 3 for Initial Briefs (Electric)" xfId="233"/>
    <cellStyle name="_Chelan Debt Forecast 12.19.05_Rebuttal Power Costs_Adj Bench DR 3 for Initial Briefs (Electric) 2" xfId="6376"/>
    <cellStyle name="_Chelan Debt Forecast 12.19.05_Rebuttal Power Costs_Adj Bench DR 3 for Initial Briefs (Electric) 2 2" xfId="6377"/>
    <cellStyle name="_Chelan Debt Forecast 12.19.05_Rebuttal Power Costs_Adj Bench DR 3 for Initial Briefs (Electric) 2 2 2" xfId="6378"/>
    <cellStyle name="_Chelan Debt Forecast 12.19.05_Rebuttal Power Costs_Adj Bench DR 3 for Initial Briefs (Electric) 2 3" xfId="6379"/>
    <cellStyle name="_Chelan Debt Forecast 12.19.05_Rebuttal Power Costs_Adj Bench DR 3 for Initial Briefs (Electric) 3" xfId="6380"/>
    <cellStyle name="_Chelan Debt Forecast 12.19.05_Rebuttal Power Costs_Adj Bench DR 3 for Initial Briefs (Electric) 3 2" xfId="6381"/>
    <cellStyle name="_Chelan Debt Forecast 12.19.05_Rebuttal Power Costs_Adj Bench DR 3 for Initial Briefs (Electric) 4" xfId="6382"/>
    <cellStyle name="_Chelan Debt Forecast 12.19.05_Rebuttal Power Costs_Adj Bench DR 3 for Initial Briefs (Electric)_DEM-WP(C) ENERG10C--ctn Mid-C_042010 2010GRC" xfId="6383"/>
    <cellStyle name="_Chelan Debt Forecast 12.19.05_Rebuttal Power Costs_DEM-WP(C) ENERG10C--ctn Mid-C_042010 2010GRC" xfId="6384"/>
    <cellStyle name="_Chelan Debt Forecast 12.19.05_Rebuttal Power Costs_Electric Rev Req Model (2009 GRC) Rebuttal" xfId="234"/>
    <cellStyle name="_Chelan Debt Forecast 12.19.05_Rebuttal Power Costs_Electric Rev Req Model (2009 GRC) Rebuttal 2" xfId="6385"/>
    <cellStyle name="_Chelan Debt Forecast 12.19.05_Rebuttal Power Costs_Electric Rev Req Model (2009 GRC) Rebuttal 2 2" xfId="6386"/>
    <cellStyle name="_Chelan Debt Forecast 12.19.05_Rebuttal Power Costs_Electric Rev Req Model (2009 GRC) Rebuttal 2 2 2" xfId="6387"/>
    <cellStyle name="_Chelan Debt Forecast 12.19.05_Rebuttal Power Costs_Electric Rev Req Model (2009 GRC) Rebuttal 2 3" xfId="6388"/>
    <cellStyle name="_Chelan Debt Forecast 12.19.05_Rebuttal Power Costs_Electric Rev Req Model (2009 GRC) Rebuttal 3" xfId="6389"/>
    <cellStyle name="_Chelan Debt Forecast 12.19.05_Rebuttal Power Costs_Electric Rev Req Model (2009 GRC) Rebuttal 3 2" xfId="6390"/>
    <cellStyle name="_Chelan Debt Forecast 12.19.05_Rebuttal Power Costs_Electric Rev Req Model (2009 GRC) Rebuttal 4" xfId="6391"/>
    <cellStyle name="_Chelan Debt Forecast 12.19.05_Rebuttal Power Costs_Electric Rev Req Model (2009 GRC) Rebuttal REmoval of New  WH Solar AdjustMI" xfId="235"/>
    <cellStyle name="_Chelan Debt Forecast 12.19.05_Rebuttal Power Costs_Electric Rev Req Model (2009 GRC) Rebuttal REmoval of New  WH Solar AdjustMI 2" xfId="6392"/>
    <cellStyle name="_Chelan Debt Forecast 12.19.05_Rebuttal Power Costs_Electric Rev Req Model (2009 GRC) Rebuttal REmoval of New  WH Solar AdjustMI 2 2" xfId="6393"/>
    <cellStyle name="_Chelan Debt Forecast 12.19.05_Rebuttal Power Costs_Electric Rev Req Model (2009 GRC) Rebuttal REmoval of New  WH Solar AdjustMI 2 2 2" xfId="6394"/>
    <cellStyle name="_Chelan Debt Forecast 12.19.05_Rebuttal Power Costs_Electric Rev Req Model (2009 GRC) Rebuttal REmoval of New  WH Solar AdjustMI 2 3" xfId="6395"/>
    <cellStyle name="_Chelan Debt Forecast 12.19.05_Rebuttal Power Costs_Electric Rev Req Model (2009 GRC) Rebuttal REmoval of New  WH Solar AdjustMI 3" xfId="6396"/>
    <cellStyle name="_Chelan Debt Forecast 12.19.05_Rebuttal Power Costs_Electric Rev Req Model (2009 GRC) Rebuttal REmoval of New  WH Solar AdjustMI 3 2" xfId="6397"/>
    <cellStyle name="_Chelan Debt Forecast 12.19.05_Rebuttal Power Costs_Electric Rev Req Model (2009 GRC) Rebuttal REmoval of New  WH Solar AdjustMI 4" xfId="6398"/>
    <cellStyle name="_Chelan Debt Forecast 12.19.05_Rebuttal Power Costs_Electric Rev Req Model (2009 GRC) Rebuttal REmoval of New  WH Solar AdjustMI_DEM-WP(C) ENERG10C--ctn Mid-C_042010 2010GRC" xfId="6399"/>
    <cellStyle name="_Chelan Debt Forecast 12.19.05_Rebuttal Power Costs_Electric Rev Req Model (2009 GRC) Revised 01-18-2010" xfId="236"/>
    <cellStyle name="_Chelan Debt Forecast 12.19.05_Rebuttal Power Costs_Electric Rev Req Model (2009 GRC) Revised 01-18-2010 2" xfId="6400"/>
    <cellStyle name="_Chelan Debt Forecast 12.19.05_Rebuttal Power Costs_Electric Rev Req Model (2009 GRC) Revised 01-18-2010 2 2" xfId="6401"/>
    <cellStyle name="_Chelan Debt Forecast 12.19.05_Rebuttal Power Costs_Electric Rev Req Model (2009 GRC) Revised 01-18-2010 2 2 2" xfId="6402"/>
    <cellStyle name="_Chelan Debt Forecast 12.19.05_Rebuttal Power Costs_Electric Rev Req Model (2009 GRC) Revised 01-18-2010 2 3" xfId="6403"/>
    <cellStyle name="_Chelan Debt Forecast 12.19.05_Rebuttal Power Costs_Electric Rev Req Model (2009 GRC) Revised 01-18-2010 3" xfId="6404"/>
    <cellStyle name="_Chelan Debt Forecast 12.19.05_Rebuttal Power Costs_Electric Rev Req Model (2009 GRC) Revised 01-18-2010 3 2" xfId="6405"/>
    <cellStyle name="_Chelan Debt Forecast 12.19.05_Rebuttal Power Costs_Electric Rev Req Model (2009 GRC) Revised 01-18-2010 4" xfId="6406"/>
    <cellStyle name="_Chelan Debt Forecast 12.19.05_Rebuttal Power Costs_Electric Rev Req Model (2009 GRC) Revised 01-18-2010_DEM-WP(C) ENERG10C--ctn Mid-C_042010 2010GRC" xfId="6407"/>
    <cellStyle name="_Chelan Debt Forecast 12.19.05_Rebuttal Power Costs_Final Order Electric EXHIBIT A-1" xfId="237"/>
    <cellStyle name="_Chelan Debt Forecast 12.19.05_Rebuttal Power Costs_Final Order Electric EXHIBIT A-1 2" xfId="6408"/>
    <cellStyle name="_Chelan Debt Forecast 12.19.05_Rebuttal Power Costs_Final Order Electric EXHIBIT A-1 2 2" xfId="6409"/>
    <cellStyle name="_Chelan Debt Forecast 12.19.05_Rebuttal Power Costs_Final Order Electric EXHIBIT A-1 2 2 2" xfId="6410"/>
    <cellStyle name="_Chelan Debt Forecast 12.19.05_Rebuttal Power Costs_Final Order Electric EXHIBIT A-1 2 3" xfId="6411"/>
    <cellStyle name="_Chelan Debt Forecast 12.19.05_Rebuttal Power Costs_Final Order Electric EXHIBIT A-1 3" xfId="6412"/>
    <cellStyle name="_Chelan Debt Forecast 12.19.05_Rebuttal Power Costs_Final Order Electric EXHIBIT A-1 3 2" xfId="6413"/>
    <cellStyle name="_Chelan Debt Forecast 12.19.05_Rebuttal Power Costs_Final Order Electric EXHIBIT A-1 4" xfId="6414"/>
    <cellStyle name="_Chelan Debt Forecast 12.19.05_ROR &amp; CONV FACTOR" xfId="6415"/>
    <cellStyle name="_Chelan Debt Forecast 12.19.05_ROR &amp; CONV FACTOR 2" xfId="6416"/>
    <cellStyle name="_Chelan Debt Forecast 12.19.05_ROR &amp; CONV FACTOR 2 2" xfId="6417"/>
    <cellStyle name="_Chelan Debt Forecast 12.19.05_ROR &amp; CONV FACTOR 2 2 2" xfId="6418"/>
    <cellStyle name="_Chelan Debt Forecast 12.19.05_ROR &amp; CONV FACTOR 2 3" xfId="6419"/>
    <cellStyle name="_Chelan Debt Forecast 12.19.05_ROR &amp; CONV FACTOR 3" xfId="6420"/>
    <cellStyle name="_Chelan Debt Forecast 12.19.05_ROR &amp; CONV FACTOR 3 2" xfId="6421"/>
    <cellStyle name="_Chelan Debt Forecast 12.19.05_ROR &amp; CONV FACTOR 4" xfId="6422"/>
    <cellStyle name="_Chelan Debt Forecast 12.19.05_ROR 5.02" xfId="6423"/>
    <cellStyle name="_Chelan Debt Forecast 12.19.05_ROR 5.02 2" xfId="6424"/>
    <cellStyle name="_Chelan Debt Forecast 12.19.05_ROR 5.02 2 2" xfId="6425"/>
    <cellStyle name="_Chelan Debt Forecast 12.19.05_ROR 5.02 2 2 2" xfId="6426"/>
    <cellStyle name="_Chelan Debt Forecast 12.19.05_ROR 5.02 2 3" xfId="6427"/>
    <cellStyle name="_Chelan Debt Forecast 12.19.05_ROR 5.02 3" xfId="6428"/>
    <cellStyle name="_Chelan Debt Forecast 12.19.05_ROR 5.02 3 2" xfId="6429"/>
    <cellStyle name="_Chelan Debt Forecast 12.19.05_ROR 5.02 4" xfId="6430"/>
    <cellStyle name="_Chelan Debt Forecast 12.19.05_Transmission Workbook for May BOD" xfId="6431"/>
    <cellStyle name="_Chelan Debt Forecast 12.19.05_Transmission Workbook for May BOD 2" xfId="6432"/>
    <cellStyle name="_Chelan Debt Forecast 12.19.05_Transmission Workbook for May BOD 2 2" xfId="6433"/>
    <cellStyle name="_Chelan Debt Forecast 12.19.05_Transmission Workbook for May BOD 3" xfId="6434"/>
    <cellStyle name="_Chelan Debt Forecast 12.19.05_Transmission Workbook for May BOD_DEM-WP(C) ENERG10C--ctn Mid-C_042010 2010GRC" xfId="6435"/>
    <cellStyle name="_Chelan Debt Forecast 12.19.05_Wind Integration 10GRC" xfId="6436"/>
    <cellStyle name="_Chelan Debt Forecast 12.19.05_Wind Integration 10GRC 2" xfId="6437"/>
    <cellStyle name="_Chelan Debt Forecast 12.19.05_Wind Integration 10GRC 2 2" xfId="6438"/>
    <cellStyle name="_Chelan Debt Forecast 12.19.05_Wind Integration 10GRC 3" xfId="6439"/>
    <cellStyle name="_Chelan Debt Forecast 12.19.05_Wind Integration 10GRC_DEM-WP(C) ENERG10C--ctn Mid-C_042010 2010GRC" xfId="6440"/>
    <cellStyle name="_x0013__Colstrip 1&amp;2 Annual O&amp;M Budgets" xfId="6441"/>
    <cellStyle name="_Colstrip FOR - GADS 1990-2009" xfId="6442"/>
    <cellStyle name="_Colstrip FOR - GADS 1990-2009 2" xfId="6443"/>
    <cellStyle name="_Colstrip FOR - GADS 1990-2009 2 2" xfId="6444"/>
    <cellStyle name="_Colstrip FOR - GADS 1990-2009 3" xfId="6445"/>
    <cellStyle name="_Colstrip FOR - GADS 1990-2009 3 2" xfId="6446"/>
    <cellStyle name="_Colstrip FOR - GADS 1990-2009 4" xfId="6447"/>
    <cellStyle name="_Colstrip FOR - GADS 1990-2009 4 2" xfId="6448"/>
    <cellStyle name="_Colstrip FOR - GADS 1990-2009 5" xfId="6449"/>
    <cellStyle name="_Colstrip FOR - GADS 1990-2009 5 2" xfId="6450"/>
    <cellStyle name="_Colstrip FOR - GADS 1990-2009 6" xfId="6451"/>
    <cellStyle name="_Colstrip FOR - GADS 1990-2009 6 2" xfId="6452"/>
    <cellStyle name="_compare wind integration" xfId="6453"/>
    <cellStyle name="_x0013__Confidential Material" xfId="6454"/>
    <cellStyle name="_x0013__Confidential Material 2" xfId="6455"/>
    <cellStyle name="_Copy 11-9 Sumas Proforma - Current" xfId="238"/>
    <cellStyle name="_Costs not in AURORA 06GRC" xfId="239"/>
    <cellStyle name="_Costs not in AURORA 06GRC 2" xfId="240"/>
    <cellStyle name="_Costs not in AURORA 06GRC 2 2" xfId="6456"/>
    <cellStyle name="_Costs not in AURORA 06GRC 2 2 2" xfId="6457"/>
    <cellStyle name="_Costs not in AURORA 06GRC 2 2 2 2" xfId="6458"/>
    <cellStyle name="_Costs not in AURORA 06GRC 2 2 3" xfId="6459"/>
    <cellStyle name="_Costs not in AURORA 06GRC 2 3" xfId="6460"/>
    <cellStyle name="_Costs not in AURORA 06GRC 2 3 2" xfId="6461"/>
    <cellStyle name="_Costs not in AURORA 06GRC 2 4" xfId="6462"/>
    <cellStyle name="_Costs not in AURORA 06GRC 3" xfId="6463"/>
    <cellStyle name="_Costs not in AURORA 06GRC 3 2" xfId="6464"/>
    <cellStyle name="_Costs not in AURORA 06GRC 3 2 2" xfId="6465"/>
    <cellStyle name="_Costs not in AURORA 06GRC 3 2 2 2" xfId="6466"/>
    <cellStyle name="_Costs not in AURORA 06GRC 3 2 3" xfId="6467"/>
    <cellStyle name="_Costs not in AURORA 06GRC 3 3" xfId="6468"/>
    <cellStyle name="_Costs not in AURORA 06GRC 3 3 2" xfId="6469"/>
    <cellStyle name="_Costs not in AURORA 06GRC 3 3 2 2" xfId="6470"/>
    <cellStyle name="_Costs not in AURORA 06GRC 3 3 3" xfId="6471"/>
    <cellStyle name="_Costs not in AURORA 06GRC 3 4" xfId="6472"/>
    <cellStyle name="_Costs not in AURORA 06GRC 3 4 2" xfId="6473"/>
    <cellStyle name="_Costs not in AURORA 06GRC 3 4 2 2" xfId="6474"/>
    <cellStyle name="_Costs not in AURORA 06GRC 3 4 3" xfId="6475"/>
    <cellStyle name="_Costs not in AURORA 06GRC 3 5" xfId="6476"/>
    <cellStyle name="_Costs not in AURORA 06GRC 4" xfId="6477"/>
    <cellStyle name="_Costs not in AURORA 06GRC 4 2" xfId="6478"/>
    <cellStyle name="_Costs not in AURORA 06GRC 4 2 2" xfId="6479"/>
    <cellStyle name="_Costs not in AURORA 06GRC 4 3" xfId="6480"/>
    <cellStyle name="_Costs not in AURORA 06GRC 5" xfId="6481"/>
    <cellStyle name="_Costs not in AURORA 06GRC 5 2" xfId="6482"/>
    <cellStyle name="_Costs not in AURORA 06GRC 5 2 2" xfId="6483"/>
    <cellStyle name="_Costs not in AURORA 06GRC 5 3" xfId="6484"/>
    <cellStyle name="_Costs not in AURORA 06GRC 6" xfId="6485"/>
    <cellStyle name="_Costs not in AURORA 06GRC 6 2" xfId="6486"/>
    <cellStyle name="_Costs not in AURORA 06GRC 7" xfId="6487"/>
    <cellStyle name="_Costs not in AURORA 06GRC 7 2" xfId="6488"/>
    <cellStyle name="_Costs not in AURORA 06GRC 8" xfId="6489"/>
    <cellStyle name="_Costs not in AURORA 06GRC 8 2" xfId="6490"/>
    <cellStyle name="_Costs not in AURORA 06GRC 9" xfId="6491"/>
    <cellStyle name="_Costs not in AURORA 06GRC 9 2" xfId="6492"/>
    <cellStyle name="_Costs not in AURORA 06GRC_04 07E Wild Horse Wind Expansion (C) (2)" xfId="241"/>
    <cellStyle name="_Costs not in AURORA 06GRC_04 07E Wild Horse Wind Expansion (C) (2) 2" xfId="6493"/>
    <cellStyle name="_Costs not in AURORA 06GRC_04 07E Wild Horse Wind Expansion (C) (2) 2 2" xfId="6494"/>
    <cellStyle name="_Costs not in AURORA 06GRC_04 07E Wild Horse Wind Expansion (C) (2) 2 2 2" xfId="6495"/>
    <cellStyle name="_Costs not in AURORA 06GRC_04 07E Wild Horse Wind Expansion (C) (2) 2 3" xfId="6496"/>
    <cellStyle name="_Costs not in AURORA 06GRC_04 07E Wild Horse Wind Expansion (C) (2) 3" xfId="6497"/>
    <cellStyle name="_Costs not in AURORA 06GRC_04 07E Wild Horse Wind Expansion (C) (2) 3 2" xfId="6498"/>
    <cellStyle name="_Costs not in AURORA 06GRC_04 07E Wild Horse Wind Expansion (C) (2) 4" xfId="6499"/>
    <cellStyle name="_Costs not in AURORA 06GRC_04 07E Wild Horse Wind Expansion (C) (2)_Adj Bench DR 3 for Initial Briefs (Electric)" xfId="242"/>
    <cellStyle name="_Costs not in AURORA 06GRC_04 07E Wild Horse Wind Expansion (C) (2)_Adj Bench DR 3 for Initial Briefs (Electric) 2" xfId="6500"/>
    <cellStyle name="_Costs not in AURORA 06GRC_04 07E Wild Horse Wind Expansion (C) (2)_Adj Bench DR 3 for Initial Briefs (Electric) 2 2" xfId="6501"/>
    <cellStyle name="_Costs not in AURORA 06GRC_04 07E Wild Horse Wind Expansion (C) (2)_Adj Bench DR 3 for Initial Briefs (Electric) 2 2 2" xfId="6502"/>
    <cellStyle name="_Costs not in AURORA 06GRC_04 07E Wild Horse Wind Expansion (C) (2)_Adj Bench DR 3 for Initial Briefs (Electric) 2 3" xfId="6503"/>
    <cellStyle name="_Costs not in AURORA 06GRC_04 07E Wild Horse Wind Expansion (C) (2)_Adj Bench DR 3 for Initial Briefs (Electric) 3" xfId="6504"/>
    <cellStyle name="_Costs not in AURORA 06GRC_04 07E Wild Horse Wind Expansion (C) (2)_Adj Bench DR 3 for Initial Briefs (Electric) 3 2" xfId="6505"/>
    <cellStyle name="_Costs not in AURORA 06GRC_04 07E Wild Horse Wind Expansion (C) (2)_Adj Bench DR 3 for Initial Briefs (Electric) 4" xfId="6506"/>
    <cellStyle name="_Costs not in AURORA 06GRC_04 07E Wild Horse Wind Expansion (C) (2)_Adj Bench DR 3 for Initial Briefs (Electric)_DEM-WP(C) ENERG10C--ctn Mid-C_042010 2010GRC" xfId="6507"/>
    <cellStyle name="_Costs not in AURORA 06GRC_04 07E Wild Horse Wind Expansion (C) (2)_Book1" xfId="6508"/>
    <cellStyle name="_Costs not in AURORA 06GRC_04 07E Wild Horse Wind Expansion (C) (2)_DEM-WP(C) ENERG10C--ctn Mid-C_042010 2010GRC" xfId="6509"/>
    <cellStyle name="_Costs not in AURORA 06GRC_04 07E Wild Horse Wind Expansion (C) (2)_Electric Rev Req Model (2009 GRC) " xfId="243"/>
    <cellStyle name="_Costs not in AURORA 06GRC_04 07E Wild Horse Wind Expansion (C) (2)_Electric Rev Req Model (2009 GRC)  2" xfId="6510"/>
    <cellStyle name="_Costs not in AURORA 06GRC_04 07E Wild Horse Wind Expansion (C) (2)_Electric Rev Req Model (2009 GRC)  2 2" xfId="6511"/>
    <cellStyle name="_Costs not in AURORA 06GRC_04 07E Wild Horse Wind Expansion (C) (2)_Electric Rev Req Model (2009 GRC)  2 2 2" xfId="6512"/>
    <cellStyle name="_Costs not in AURORA 06GRC_04 07E Wild Horse Wind Expansion (C) (2)_Electric Rev Req Model (2009 GRC)  2 3" xfId="6513"/>
    <cellStyle name="_Costs not in AURORA 06GRC_04 07E Wild Horse Wind Expansion (C) (2)_Electric Rev Req Model (2009 GRC)  3" xfId="6514"/>
    <cellStyle name="_Costs not in AURORA 06GRC_04 07E Wild Horse Wind Expansion (C) (2)_Electric Rev Req Model (2009 GRC)  3 2" xfId="6515"/>
    <cellStyle name="_Costs not in AURORA 06GRC_04 07E Wild Horse Wind Expansion (C) (2)_Electric Rev Req Model (2009 GRC)  4" xfId="6516"/>
    <cellStyle name="_Costs not in AURORA 06GRC_04 07E Wild Horse Wind Expansion (C) (2)_Electric Rev Req Model (2009 GRC) _DEM-WP(C) ENERG10C--ctn Mid-C_042010 2010GRC" xfId="6517"/>
    <cellStyle name="_Costs not in AURORA 06GRC_04 07E Wild Horse Wind Expansion (C) (2)_Electric Rev Req Model (2009 GRC) Rebuttal" xfId="244"/>
    <cellStyle name="_Costs not in AURORA 06GRC_04 07E Wild Horse Wind Expansion (C) (2)_Electric Rev Req Model (2009 GRC) Rebuttal 2" xfId="6518"/>
    <cellStyle name="_Costs not in AURORA 06GRC_04 07E Wild Horse Wind Expansion (C) (2)_Electric Rev Req Model (2009 GRC) Rebuttal 2 2" xfId="6519"/>
    <cellStyle name="_Costs not in AURORA 06GRC_04 07E Wild Horse Wind Expansion (C) (2)_Electric Rev Req Model (2009 GRC) Rebuttal 2 2 2" xfId="6520"/>
    <cellStyle name="_Costs not in AURORA 06GRC_04 07E Wild Horse Wind Expansion (C) (2)_Electric Rev Req Model (2009 GRC) Rebuttal 2 3" xfId="6521"/>
    <cellStyle name="_Costs not in AURORA 06GRC_04 07E Wild Horse Wind Expansion (C) (2)_Electric Rev Req Model (2009 GRC) Rebuttal 3" xfId="6522"/>
    <cellStyle name="_Costs not in AURORA 06GRC_04 07E Wild Horse Wind Expansion (C) (2)_Electric Rev Req Model (2009 GRC) Rebuttal 3 2" xfId="6523"/>
    <cellStyle name="_Costs not in AURORA 06GRC_04 07E Wild Horse Wind Expansion (C) (2)_Electric Rev Req Model (2009 GRC) Rebuttal 4" xfId="6524"/>
    <cellStyle name="_Costs not in AURORA 06GRC_04 07E Wild Horse Wind Expansion (C) (2)_Electric Rev Req Model (2009 GRC) Rebuttal REmoval of New  WH Solar AdjustMI" xfId="245"/>
    <cellStyle name="_Costs not in AURORA 06GRC_04 07E Wild Horse Wind Expansion (C) (2)_Electric Rev Req Model (2009 GRC) Rebuttal REmoval of New  WH Solar AdjustMI 2" xfId="6525"/>
    <cellStyle name="_Costs not in AURORA 06GRC_04 07E Wild Horse Wind Expansion (C) (2)_Electric Rev Req Model (2009 GRC) Rebuttal REmoval of New  WH Solar AdjustMI 2 2" xfId="6526"/>
    <cellStyle name="_Costs not in AURORA 06GRC_04 07E Wild Horse Wind Expansion (C) (2)_Electric Rev Req Model (2009 GRC) Rebuttal REmoval of New  WH Solar AdjustMI 2 2 2" xfId="6527"/>
    <cellStyle name="_Costs not in AURORA 06GRC_04 07E Wild Horse Wind Expansion (C) (2)_Electric Rev Req Model (2009 GRC) Rebuttal REmoval of New  WH Solar AdjustMI 2 3" xfId="6528"/>
    <cellStyle name="_Costs not in AURORA 06GRC_04 07E Wild Horse Wind Expansion (C) (2)_Electric Rev Req Model (2009 GRC) Rebuttal REmoval of New  WH Solar AdjustMI 3" xfId="6529"/>
    <cellStyle name="_Costs not in AURORA 06GRC_04 07E Wild Horse Wind Expansion (C) (2)_Electric Rev Req Model (2009 GRC) Rebuttal REmoval of New  WH Solar AdjustMI 3 2" xfId="6530"/>
    <cellStyle name="_Costs not in AURORA 06GRC_04 07E Wild Horse Wind Expansion (C) (2)_Electric Rev Req Model (2009 GRC) Rebuttal REmoval of New  WH Solar AdjustMI 4" xfId="6531"/>
    <cellStyle name="_Costs not in AURORA 06GRC_04 07E Wild Horse Wind Expansion (C) (2)_Electric Rev Req Model (2009 GRC) Rebuttal REmoval of New  WH Solar AdjustMI_DEM-WP(C) ENERG10C--ctn Mid-C_042010 2010GRC" xfId="6532"/>
    <cellStyle name="_Costs not in AURORA 06GRC_04 07E Wild Horse Wind Expansion (C) (2)_Electric Rev Req Model (2009 GRC) Revised 01-18-2010" xfId="246"/>
    <cellStyle name="_Costs not in AURORA 06GRC_04 07E Wild Horse Wind Expansion (C) (2)_Electric Rev Req Model (2009 GRC) Revised 01-18-2010 2" xfId="6533"/>
    <cellStyle name="_Costs not in AURORA 06GRC_04 07E Wild Horse Wind Expansion (C) (2)_Electric Rev Req Model (2009 GRC) Revised 01-18-2010 2 2" xfId="6534"/>
    <cellStyle name="_Costs not in AURORA 06GRC_04 07E Wild Horse Wind Expansion (C) (2)_Electric Rev Req Model (2009 GRC) Revised 01-18-2010 2 2 2" xfId="6535"/>
    <cellStyle name="_Costs not in AURORA 06GRC_04 07E Wild Horse Wind Expansion (C) (2)_Electric Rev Req Model (2009 GRC) Revised 01-18-2010 2 3" xfId="6536"/>
    <cellStyle name="_Costs not in AURORA 06GRC_04 07E Wild Horse Wind Expansion (C) (2)_Electric Rev Req Model (2009 GRC) Revised 01-18-2010 3" xfId="6537"/>
    <cellStyle name="_Costs not in AURORA 06GRC_04 07E Wild Horse Wind Expansion (C) (2)_Electric Rev Req Model (2009 GRC) Revised 01-18-2010 3 2" xfId="6538"/>
    <cellStyle name="_Costs not in AURORA 06GRC_04 07E Wild Horse Wind Expansion (C) (2)_Electric Rev Req Model (2009 GRC) Revised 01-18-2010 4" xfId="6539"/>
    <cellStyle name="_Costs not in AURORA 06GRC_04 07E Wild Horse Wind Expansion (C) (2)_Electric Rev Req Model (2009 GRC) Revised 01-18-2010_DEM-WP(C) ENERG10C--ctn Mid-C_042010 2010GRC" xfId="6540"/>
    <cellStyle name="_Costs not in AURORA 06GRC_04 07E Wild Horse Wind Expansion (C) (2)_Electric Rev Req Model (2010 GRC)" xfId="6541"/>
    <cellStyle name="_Costs not in AURORA 06GRC_04 07E Wild Horse Wind Expansion (C) (2)_Electric Rev Req Model (2010 GRC) SF" xfId="6542"/>
    <cellStyle name="_Costs not in AURORA 06GRC_04 07E Wild Horse Wind Expansion (C) (2)_Final Order Electric EXHIBIT A-1" xfId="247"/>
    <cellStyle name="_Costs not in AURORA 06GRC_04 07E Wild Horse Wind Expansion (C) (2)_Final Order Electric EXHIBIT A-1 2" xfId="6543"/>
    <cellStyle name="_Costs not in AURORA 06GRC_04 07E Wild Horse Wind Expansion (C) (2)_Final Order Electric EXHIBIT A-1 2 2" xfId="6544"/>
    <cellStyle name="_Costs not in AURORA 06GRC_04 07E Wild Horse Wind Expansion (C) (2)_Final Order Electric EXHIBIT A-1 2 2 2" xfId="6545"/>
    <cellStyle name="_Costs not in AURORA 06GRC_04 07E Wild Horse Wind Expansion (C) (2)_Final Order Electric EXHIBIT A-1 2 3" xfId="6546"/>
    <cellStyle name="_Costs not in AURORA 06GRC_04 07E Wild Horse Wind Expansion (C) (2)_Final Order Electric EXHIBIT A-1 3" xfId="6547"/>
    <cellStyle name="_Costs not in AURORA 06GRC_04 07E Wild Horse Wind Expansion (C) (2)_Final Order Electric EXHIBIT A-1 3 2" xfId="6548"/>
    <cellStyle name="_Costs not in AURORA 06GRC_04 07E Wild Horse Wind Expansion (C) (2)_Final Order Electric EXHIBIT A-1 4" xfId="6549"/>
    <cellStyle name="_Costs not in AURORA 06GRC_04 07E Wild Horse Wind Expansion (C) (2)_TENASKA REGULATORY ASSET" xfId="248"/>
    <cellStyle name="_Costs not in AURORA 06GRC_04 07E Wild Horse Wind Expansion (C) (2)_TENASKA REGULATORY ASSET 2" xfId="6550"/>
    <cellStyle name="_Costs not in AURORA 06GRC_04 07E Wild Horse Wind Expansion (C) (2)_TENASKA REGULATORY ASSET 2 2" xfId="6551"/>
    <cellStyle name="_Costs not in AURORA 06GRC_04 07E Wild Horse Wind Expansion (C) (2)_TENASKA REGULATORY ASSET 2 2 2" xfId="6552"/>
    <cellStyle name="_Costs not in AURORA 06GRC_04 07E Wild Horse Wind Expansion (C) (2)_TENASKA REGULATORY ASSET 2 3" xfId="6553"/>
    <cellStyle name="_Costs not in AURORA 06GRC_04 07E Wild Horse Wind Expansion (C) (2)_TENASKA REGULATORY ASSET 3" xfId="6554"/>
    <cellStyle name="_Costs not in AURORA 06GRC_04 07E Wild Horse Wind Expansion (C) (2)_TENASKA REGULATORY ASSET 3 2" xfId="6555"/>
    <cellStyle name="_Costs not in AURORA 06GRC_04 07E Wild Horse Wind Expansion (C) (2)_TENASKA REGULATORY ASSET 4" xfId="6556"/>
    <cellStyle name="_Costs not in AURORA 06GRC_16.37E Wild Horse Expansion DeferralRevwrkingfile SF" xfId="249"/>
    <cellStyle name="_Costs not in AURORA 06GRC_16.37E Wild Horse Expansion DeferralRevwrkingfile SF 2" xfId="6557"/>
    <cellStyle name="_Costs not in AURORA 06GRC_16.37E Wild Horse Expansion DeferralRevwrkingfile SF 2 2" xfId="6558"/>
    <cellStyle name="_Costs not in AURORA 06GRC_16.37E Wild Horse Expansion DeferralRevwrkingfile SF 2 2 2" xfId="6559"/>
    <cellStyle name="_Costs not in AURORA 06GRC_16.37E Wild Horse Expansion DeferralRevwrkingfile SF 2 3" xfId="6560"/>
    <cellStyle name="_Costs not in AURORA 06GRC_16.37E Wild Horse Expansion DeferralRevwrkingfile SF 3" xfId="6561"/>
    <cellStyle name="_Costs not in AURORA 06GRC_16.37E Wild Horse Expansion DeferralRevwrkingfile SF 3 2" xfId="6562"/>
    <cellStyle name="_Costs not in AURORA 06GRC_16.37E Wild Horse Expansion DeferralRevwrkingfile SF 4" xfId="6563"/>
    <cellStyle name="_Costs not in AURORA 06GRC_16.37E Wild Horse Expansion DeferralRevwrkingfile SF_DEM-WP(C) ENERG10C--ctn Mid-C_042010 2010GRC" xfId="6564"/>
    <cellStyle name="_Costs not in AURORA 06GRC_2009 Compliance Filing PCA Exhibits for GRC" xfId="6565"/>
    <cellStyle name="_Costs not in AURORA 06GRC_2009 Compliance Filing PCA Exhibits for GRC 2" xfId="6566"/>
    <cellStyle name="_Costs not in AURORA 06GRC_2009 GRC Compl Filing - Exhibit D" xfId="6567"/>
    <cellStyle name="_Costs not in AURORA 06GRC_2009 GRC Compl Filing - Exhibit D 2" xfId="6568"/>
    <cellStyle name="_Costs not in AURORA 06GRC_2009 GRC Compl Filing - Exhibit D 2 2" xfId="6569"/>
    <cellStyle name="_Costs not in AURORA 06GRC_2009 GRC Compl Filing - Exhibit D 3" xfId="6570"/>
    <cellStyle name="_Costs not in AURORA 06GRC_2009 GRC Compl Filing - Exhibit D_DEM-WP(C) ENERG10C--ctn Mid-C_042010 2010GRC" xfId="6571"/>
    <cellStyle name="_Costs not in AURORA 06GRC_3.01 Income Statement" xfId="250"/>
    <cellStyle name="_Costs not in AURORA 06GRC_4 31 Regulatory Assets and Liabilities  7 06- Exhibit D" xfId="251"/>
    <cellStyle name="_Costs not in AURORA 06GRC_4 31 Regulatory Assets and Liabilities  7 06- Exhibit D 2" xfId="6572"/>
    <cellStyle name="_Costs not in AURORA 06GRC_4 31 Regulatory Assets and Liabilities  7 06- Exhibit D 2 2" xfId="6573"/>
    <cellStyle name="_Costs not in AURORA 06GRC_4 31 Regulatory Assets and Liabilities  7 06- Exhibit D 2 2 2" xfId="6574"/>
    <cellStyle name="_Costs not in AURORA 06GRC_4 31 Regulatory Assets and Liabilities  7 06- Exhibit D 2 3" xfId="6575"/>
    <cellStyle name="_Costs not in AURORA 06GRC_4 31 Regulatory Assets and Liabilities  7 06- Exhibit D 3" xfId="6576"/>
    <cellStyle name="_Costs not in AURORA 06GRC_4 31 Regulatory Assets and Liabilities  7 06- Exhibit D 3 2" xfId="6577"/>
    <cellStyle name="_Costs not in AURORA 06GRC_4 31 Regulatory Assets and Liabilities  7 06- Exhibit D 4" xfId="6578"/>
    <cellStyle name="_Costs not in AURORA 06GRC_4 31 Regulatory Assets and Liabilities  7 06- Exhibit D_DEM-WP(C) ENERG10C--ctn Mid-C_042010 2010GRC" xfId="6579"/>
    <cellStyle name="_Costs not in AURORA 06GRC_4 31 Regulatory Assets and Liabilities  7 06- Exhibit D_NIM Summary" xfId="6580"/>
    <cellStyle name="_Costs not in AURORA 06GRC_4 31 Regulatory Assets and Liabilities  7 06- Exhibit D_NIM Summary 2" xfId="6581"/>
    <cellStyle name="_Costs not in AURORA 06GRC_4 31 Regulatory Assets and Liabilities  7 06- Exhibit D_NIM Summary 2 2" xfId="6582"/>
    <cellStyle name="_Costs not in AURORA 06GRC_4 31 Regulatory Assets and Liabilities  7 06- Exhibit D_NIM Summary 3" xfId="6583"/>
    <cellStyle name="_Costs not in AURORA 06GRC_4 31 Regulatory Assets and Liabilities  7 06- Exhibit D_NIM Summary_DEM-WP(C) ENERG10C--ctn Mid-C_042010 2010GRC" xfId="6584"/>
    <cellStyle name="_Costs not in AURORA 06GRC_4 31E Reg Asset  Liab and EXH D" xfId="6585"/>
    <cellStyle name="_Costs not in AURORA 06GRC_4 31E Reg Asset  Liab and EXH D _ Aug 10 Filing (2)" xfId="6586"/>
    <cellStyle name="_Costs not in AURORA 06GRC_4 31E Reg Asset  Liab and EXH D _ Aug 10 Filing (2) 2" xfId="6587"/>
    <cellStyle name="_Costs not in AURORA 06GRC_4 31E Reg Asset  Liab and EXH D 10" xfId="6588"/>
    <cellStyle name="_Costs not in AURORA 06GRC_4 31E Reg Asset  Liab and EXH D 11" xfId="6589"/>
    <cellStyle name="_Costs not in AURORA 06GRC_4 31E Reg Asset  Liab and EXH D 12" xfId="6590"/>
    <cellStyle name="_Costs not in AURORA 06GRC_4 31E Reg Asset  Liab and EXH D 13" xfId="6591"/>
    <cellStyle name="_Costs not in AURORA 06GRC_4 31E Reg Asset  Liab and EXH D 14" xfId="6592"/>
    <cellStyle name="_Costs not in AURORA 06GRC_4 31E Reg Asset  Liab and EXH D 15" xfId="6593"/>
    <cellStyle name="_Costs not in AURORA 06GRC_4 31E Reg Asset  Liab and EXH D 16" xfId="6594"/>
    <cellStyle name="_Costs not in AURORA 06GRC_4 31E Reg Asset  Liab and EXH D 17" xfId="6595"/>
    <cellStyle name="_Costs not in AURORA 06GRC_4 31E Reg Asset  Liab and EXH D 18" xfId="6596"/>
    <cellStyle name="_Costs not in AURORA 06GRC_4 31E Reg Asset  Liab and EXH D 19" xfId="6597"/>
    <cellStyle name="_Costs not in AURORA 06GRC_4 31E Reg Asset  Liab and EXH D 2" xfId="6598"/>
    <cellStyle name="_Costs not in AURORA 06GRC_4 31E Reg Asset  Liab and EXH D 20" xfId="6599"/>
    <cellStyle name="_Costs not in AURORA 06GRC_4 31E Reg Asset  Liab and EXH D 21" xfId="6600"/>
    <cellStyle name="_Costs not in AURORA 06GRC_4 31E Reg Asset  Liab and EXH D 22" xfId="6601"/>
    <cellStyle name="_Costs not in AURORA 06GRC_4 31E Reg Asset  Liab and EXH D 23" xfId="6602"/>
    <cellStyle name="_Costs not in AURORA 06GRC_4 31E Reg Asset  Liab and EXH D 24" xfId="6603"/>
    <cellStyle name="_Costs not in AURORA 06GRC_4 31E Reg Asset  Liab and EXH D 25" xfId="6604"/>
    <cellStyle name="_Costs not in AURORA 06GRC_4 31E Reg Asset  Liab and EXH D 26" xfId="6605"/>
    <cellStyle name="_Costs not in AURORA 06GRC_4 31E Reg Asset  Liab and EXH D 27" xfId="6606"/>
    <cellStyle name="_Costs not in AURORA 06GRC_4 31E Reg Asset  Liab and EXH D 28" xfId="6607"/>
    <cellStyle name="_Costs not in AURORA 06GRC_4 31E Reg Asset  Liab and EXH D 29" xfId="6608"/>
    <cellStyle name="_Costs not in AURORA 06GRC_4 31E Reg Asset  Liab and EXH D 3" xfId="6609"/>
    <cellStyle name="_Costs not in AURORA 06GRC_4 31E Reg Asset  Liab and EXH D 30" xfId="6610"/>
    <cellStyle name="_Costs not in AURORA 06GRC_4 31E Reg Asset  Liab and EXH D 31" xfId="6611"/>
    <cellStyle name="_Costs not in AURORA 06GRC_4 31E Reg Asset  Liab and EXH D 32" xfId="6612"/>
    <cellStyle name="_Costs not in AURORA 06GRC_4 31E Reg Asset  Liab and EXH D 33" xfId="6613"/>
    <cellStyle name="_Costs not in AURORA 06GRC_4 31E Reg Asset  Liab and EXH D 34" xfId="6614"/>
    <cellStyle name="_Costs not in AURORA 06GRC_4 31E Reg Asset  Liab and EXH D 35" xfId="6615"/>
    <cellStyle name="_Costs not in AURORA 06GRC_4 31E Reg Asset  Liab and EXH D 36" xfId="6616"/>
    <cellStyle name="_Costs not in AURORA 06GRC_4 31E Reg Asset  Liab and EXH D 4" xfId="6617"/>
    <cellStyle name="_Costs not in AURORA 06GRC_4 31E Reg Asset  Liab and EXH D 5" xfId="6618"/>
    <cellStyle name="_Costs not in AURORA 06GRC_4 31E Reg Asset  Liab and EXH D 6" xfId="6619"/>
    <cellStyle name="_Costs not in AURORA 06GRC_4 31E Reg Asset  Liab and EXH D 7" xfId="6620"/>
    <cellStyle name="_Costs not in AURORA 06GRC_4 31E Reg Asset  Liab and EXH D 8" xfId="6621"/>
    <cellStyle name="_Costs not in AURORA 06GRC_4 31E Reg Asset  Liab and EXH D 9" xfId="6622"/>
    <cellStyle name="_Costs not in AURORA 06GRC_4 32 Regulatory Assets and Liabilities  7 06- Exhibit D" xfId="252"/>
    <cellStyle name="_Costs not in AURORA 06GRC_4 32 Regulatory Assets and Liabilities  7 06- Exhibit D 2" xfId="6623"/>
    <cellStyle name="_Costs not in AURORA 06GRC_4 32 Regulatory Assets and Liabilities  7 06- Exhibit D 2 2" xfId="6624"/>
    <cellStyle name="_Costs not in AURORA 06GRC_4 32 Regulatory Assets and Liabilities  7 06- Exhibit D 2 2 2" xfId="6625"/>
    <cellStyle name="_Costs not in AURORA 06GRC_4 32 Regulatory Assets and Liabilities  7 06- Exhibit D 2 3" xfId="6626"/>
    <cellStyle name="_Costs not in AURORA 06GRC_4 32 Regulatory Assets and Liabilities  7 06- Exhibit D 3" xfId="6627"/>
    <cellStyle name="_Costs not in AURORA 06GRC_4 32 Regulatory Assets and Liabilities  7 06- Exhibit D 3 2" xfId="6628"/>
    <cellStyle name="_Costs not in AURORA 06GRC_4 32 Regulatory Assets and Liabilities  7 06- Exhibit D 4" xfId="6629"/>
    <cellStyle name="_Costs not in AURORA 06GRC_4 32 Regulatory Assets and Liabilities  7 06- Exhibit D_DEM-WP(C) ENERG10C--ctn Mid-C_042010 2010GRC" xfId="6630"/>
    <cellStyle name="_Costs not in AURORA 06GRC_4 32 Regulatory Assets and Liabilities  7 06- Exhibit D_NIM Summary" xfId="6631"/>
    <cellStyle name="_Costs not in AURORA 06GRC_4 32 Regulatory Assets and Liabilities  7 06- Exhibit D_NIM Summary 2" xfId="6632"/>
    <cellStyle name="_Costs not in AURORA 06GRC_4 32 Regulatory Assets and Liabilities  7 06- Exhibit D_NIM Summary 2 2" xfId="6633"/>
    <cellStyle name="_Costs not in AURORA 06GRC_4 32 Regulatory Assets and Liabilities  7 06- Exhibit D_NIM Summary 3" xfId="6634"/>
    <cellStyle name="_Costs not in AURORA 06GRC_4 32 Regulatory Assets and Liabilities  7 06- Exhibit D_NIM Summary_DEM-WP(C) ENERG10C--ctn Mid-C_042010 2010GRC" xfId="6635"/>
    <cellStyle name="_Costs not in AURORA 06GRC_AURORA Total New" xfId="6636"/>
    <cellStyle name="_Costs not in AURORA 06GRC_AURORA Total New 2" xfId="6637"/>
    <cellStyle name="_Costs not in AURORA 06GRC_AURORA Total New 2 2" xfId="6638"/>
    <cellStyle name="_Costs not in AURORA 06GRC_AURORA Total New 3" xfId="6639"/>
    <cellStyle name="_Costs not in AURORA 06GRC_Book2" xfId="253"/>
    <cellStyle name="_Costs not in AURORA 06GRC_Book2 2" xfId="6640"/>
    <cellStyle name="_Costs not in AURORA 06GRC_Book2 2 2" xfId="6641"/>
    <cellStyle name="_Costs not in AURORA 06GRC_Book2 2 2 2" xfId="6642"/>
    <cellStyle name="_Costs not in AURORA 06GRC_Book2 2 3" xfId="6643"/>
    <cellStyle name="_Costs not in AURORA 06GRC_Book2 3" xfId="6644"/>
    <cellStyle name="_Costs not in AURORA 06GRC_Book2 3 2" xfId="6645"/>
    <cellStyle name="_Costs not in AURORA 06GRC_Book2 4" xfId="6646"/>
    <cellStyle name="_Costs not in AURORA 06GRC_Book2_Adj Bench DR 3 for Initial Briefs (Electric)" xfId="254"/>
    <cellStyle name="_Costs not in AURORA 06GRC_Book2_Adj Bench DR 3 for Initial Briefs (Electric) 2" xfId="6647"/>
    <cellStyle name="_Costs not in AURORA 06GRC_Book2_Adj Bench DR 3 for Initial Briefs (Electric) 2 2" xfId="6648"/>
    <cellStyle name="_Costs not in AURORA 06GRC_Book2_Adj Bench DR 3 for Initial Briefs (Electric) 2 2 2" xfId="6649"/>
    <cellStyle name="_Costs not in AURORA 06GRC_Book2_Adj Bench DR 3 for Initial Briefs (Electric) 2 3" xfId="6650"/>
    <cellStyle name="_Costs not in AURORA 06GRC_Book2_Adj Bench DR 3 for Initial Briefs (Electric) 3" xfId="6651"/>
    <cellStyle name="_Costs not in AURORA 06GRC_Book2_Adj Bench DR 3 for Initial Briefs (Electric) 3 2" xfId="6652"/>
    <cellStyle name="_Costs not in AURORA 06GRC_Book2_Adj Bench DR 3 for Initial Briefs (Electric) 4" xfId="6653"/>
    <cellStyle name="_Costs not in AURORA 06GRC_Book2_Adj Bench DR 3 for Initial Briefs (Electric)_DEM-WP(C) ENERG10C--ctn Mid-C_042010 2010GRC" xfId="6654"/>
    <cellStyle name="_Costs not in AURORA 06GRC_Book2_DEM-WP(C) ENERG10C--ctn Mid-C_042010 2010GRC" xfId="6655"/>
    <cellStyle name="_Costs not in AURORA 06GRC_Book2_Electric Rev Req Model (2009 GRC) Rebuttal" xfId="255"/>
    <cellStyle name="_Costs not in AURORA 06GRC_Book2_Electric Rev Req Model (2009 GRC) Rebuttal 2" xfId="6656"/>
    <cellStyle name="_Costs not in AURORA 06GRC_Book2_Electric Rev Req Model (2009 GRC) Rebuttal 2 2" xfId="6657"/>
    <cellStyle name="_Costs not in AURORA 06GRC_Book2_Electric Rev Req Model (2009 GRC) Rebuttal 2 2 2" xfId="6658"/>
    <cellStyle name="_Costs not in AURORA 06GRC_Book2_Electric Rev Req Model (2009 GRC) Rebuttal 2 3" xfId="6659"/>
    <cellStyle name="_Costs not in AURORA 06GRC_Book2_Electric Rev Req Model (2009 GRC) Rebuttal 3" xfId="6660"/>
    <cellStyle name="_Costs not in AURORA 06GRC_Book2_Electric Rev Req Model (2009 GRC) Rebuttal 3 2" xfId="6661"/>
    <cellStyle name="_Costs not in AURORA 06GRC_Book2_Electric Rev Req Model (2009 GRC) Rebuttal 4" xfId="6662"/>
    <cellStyle name="_Costs not in AURORA 06GRC_Book2_Electric Rev Req Model (2009 GRC) Rebuttal REmoval of New  WH Solar AdjustMI" xfId="256"/>
    <cellStyle name="_Costs not in AURORA 06GRC_Book2_Electric Rev Req Model (2009 GRC) Rebuttal REmoval of New  WH Solar AdjustMI 2" xfId="6663"/>
    <cellStyle name="_Costs not in AURORA 06GRC_Book2_Electric Rev Req Model (2009 GRC) Rebuttal REmoval of New  WH Solar AdjustMI 2 2" xfId="6664"/>
    <cellStyle name="_Costs not in AURORA 06GRC_Book2_Electric Rev Req Model (2009 GRC) Rebuttal REmoval of New  WH Solar AdjustMI 2 2 2" xfId="6665"/>
    <cellStyle name="_Costs not in AURORA 06GRC_Book2_Electric Rev Req Model (2009 GRC) Rebuttal REmoval of New  WH Solar AdjustMI 2 3" xfId="6666"/>
    <cellStyle name="_Costs not in AURORA 06GRC_Book2_Electric Rev Req Model (2009 GRC) Rebuttal REmoval of New  WH Solar AdjustMI 3" xfId="6667"/>
    <cellStyle name="_Costs not in AURORA 06GRC_Book2_Electric Rev Req Model (2009 GRC) Rebuttal REmoval of New  WH Solar AdjustMI 3 2" xfId="6668"/>
    <cellStyle name="_Costs not in AURORA 06GRC_Book2_Electric Rev Req Model (2009 GRC) Rebuttal REmoval of New  WH Solar AdjustMI 4" xfId="6669"/>
    <cellStyle name="_Costs not in AURORA 06GRC_Book2_Electric Rev Req Model (2009 GRC) Rebuttal REmoval of New  WH Solar AdjustMI_DEM-WP(C) ENERG10C--ctn Mid-C_042010 2010GRC" xfId="6670"/>
    <cellStyle name="_Costs not in AURORA 06GRC_Book2_Electric Rev Req Model (2009 GRC) Revised 01-18-2010" xfId="257"/>
    <cellStyle name="_Costs not in AURORA 06GRC_Book2_Electric Rev Req Model (2009 GRC) Revised 01-18-2010 2" xfId="6671"/>
    <cellStyle name="_Costs not in AURORA 06GRC_Book2_Electric Rev Req Model (2009 GRC) Revised 01-18-2010 2 2" xfId="6672"/>
    <cellStyle name="_Costs not in AURORA 06GRC_Book2_Electric Rev Req Model (2009 GRC) Revised 01-18-2010 2 2 2" xfId="6673"/>
    <cellStyle name="_Costs not in AURORA 06GRC_Book2_Electric Rev Req Model (2009 GRC) Revised 01-18-2010 2 3" xfId="6674"/>
    <cellStyle name="_Costs not in AURORA 06GRC_Book2_Electric Rev Req Model (2009 GRC) Revised 01-18-2010 3" xfId="6675"/>
    <cellStyle name="_Costs not in AURORA 06GRC_Book2_Electric Rev Req Model (2009 GRC) Revised 01-18-2010 3 2" xfId="6676"/>
    <cellStyle name="_Costs not in AURORA 06GRC_Book2_Electric Rev Req Model (2009 GRC) Revised 01-18-2010 4" xfId="6677"/>
    <cellStyle name="_Costs not in AURORA 06GRC_Book2_Electric Rev Req Model (2009 GRC) Revised 01-18-2010_DEM-WP(C) ENERG10C--ctn Mid-C_042010 2010GRC" xfId="6678"/>
    <cellStyle name="_Costs not in AURORA 06GRC_Book2_Final Order Electric EXHIBIT A-1" xfId="258"/>
    <cellStyle name="_Costs not in AURORA 06GRC_Book2_Final Order Electric EXHIBIT A-1 2" xfId="6679"/>
    <cellStyle name="_Costs not in AURORA 06GRC_Book2_Final Order Electric EXHIBIT A-1 2 2" xfId="6680"/>
    <cellStyle name="_Costs not in AURORA 06GRC_Book2_Final Order Electric EXHIBIT A-1 2 2 2" xfId="6681"/>
    <cellStyle name="_Costs not in AURORA 06GRC_Book2_Final Order Electric EXHIBIT A-1 2 3" xfId="6682"/>
    <cellStyle name="_Costs not in AURORA 06GRC_Book2_Final Order Electric EXHIBIT A-1 3" xfId="6683"/>
    <cellStyle name="_Costs not in AURORA 06GRC_Book2_Final Order Electric EXHIBIT A-1 3 2" xfId="6684"/>
    <cellStyle name="_Costs not in AURORA 06GRC_Book2_Final Order Electric EXHIBIT A-1 4" xfId="6685"/>
    <cellStyle name="_Costs not in AURORA 06GRC_Book4" xfId="259"/>
    <cellStyle name="_Costs not in AURORA 06GRC_Book4 2" xfId="6686"/>
    <cellStyle name="_Costs not in AURORA 06GRC_Book4 2 2" xfId="6687"/>
    <cellStyle name="_Costs not in AURORA 06GRC_Book4 2 2 2" xfId="6688"/>
    <cellStyle name="_Costs not in AURORA 06GRC_Book4 2 3" xfId="6689"/>
    <cellStyle name="_Costs not in AURORA 06GRC_Book4 3" xfId="6690"/>
    <cellStyle name="_Costs not in AURORA 06GRC_Book4 3 2" xfId="6691"/>
    <cellStyle name="_Costs not in AURORA 06GRC_Book4 4" xfId="6692"/>
    <cellStyle name="_Costs not in AURORA 06GRC_Book4_DEM-WP(C) ENERG10C--ctn Mid-C_042010 2010GRC" xfId="6693"/>
    <cellStyle name="_Costs not in AURORA 06GRC_Book9" xfId="260"/>
    <cellStyle name="_Costs not in AURORA 06GRC_Book9 2" xfId="6694"/>
    <cellStyle name="_Costs not in AURORA 06GRC_Book9 2 2" xfId="6695"/>
    <cellStyle name="_Costs not in AURORA 06GRC_Book9 2 2 2" xfId="6696"/>
    <cellStyle name="_Costs not in AURORA 06GRC_Book9 2 3" xfId="6697"/>
    <cellStyle name="_Costs not in AURORA 06GRC_Book9 3" xfId="6698"/>
    <cellStyle name="_Costs not in AURORA 06GRC_Book9 3 2" xfId="6699"/>
    <cellStyle name="_Costs not in AURORA 06GRC_Book9 4" xfId="6700"/>
    <cellStyle name="_Costs not in AURORA 06GRC_Book9_DEM-WP(C) ENERG10C--ctn Mid-C_042010 2010GRC" xfId="6701"/>
    <cellStyle name="_Costs not in AURORA 06GRC_Check the Interest Calculation" xfId="261"/>
    <cellStyle name="_Costs not in AURORA 06GRC_Check the Interest Calculation_Scenario 1 REC vs PTC Offset" xfId="262"/>
    <cellStyle name="_Costs not in AURORA 06GRC_Check the Interest Calculation_Scenario 3" xfId="263"/>
    <cellStyle name="_Costs not in AURORA 06GRC_Chelan PUD Power Costs (8-10)" xfId="6702"/>
    <cellStyle name="_Costs not in AURORA 06GRC_Chelan PUD Power Costs (8-10) 2" xfId="6703"/>
    <cellStyle name="_Costs not in AURORA 06GRC_DEM-WP(C) Chelan Power Costs" xfId="6704"/>
    <cellStyle name="_Costs not in AURORA 06GRC_DEM-WP(C) Chelan Power Costs 2" xfId="6705"/>
    <cellStyle name="_Costs not in AURORA 06GRC_DEM-WP(C) ENERG10C--ctn Mid-C_042010 2010GRC" xfId="6706"/>
    <cellStyle name="_Costs not in AURORA 06GRC_DEM-WP(C) Gas Transport 2010GRC" xfId="6707"/>
    <cellStyle name="_Costs not in AURORA 06GRC_DEM-WP(C) Gas Transport 2010GRC 2" xfId="6708"/>
    <cellStyle name="_Costs not in AURORA 06GRC_Exh A-1 resulting from UE-112050 effective Jan 1 2012" xfId="6709"/>
    <cellStyle name="_Costs not in AURORA 06GRC_Exh G - Klamath Peaker PPA fr C Locke 2-12" xfId="6710"/>
    <cellStyle name="_Costs not in AURORA 06GRC_Exhibit A-1 effective 4-1-11 fr S Free 12-11" xfId="6711"/>
    <cellStyle name="_Costs not in AURORA 06GRC_Exhibit D fr R Gho 12-31-08" xfId="6712"/>
    <cellStyle name="_Costs not in AURORA 06GRC_Exhibit D fr R Gho 12-31-08 2" xfId="6713"/>
    <cellStyle name="_Costs not in AURORA 06GRC_Exhibit D fr R Gho 12-31-08 2 2" xfId="6714"/>
    <cellStyle name="_Costs not in AURORA 06GRC_Exhibit D fr R Gho 12-31-08 3" xfId="6715"/>
    <cellStyle name="_Costs not in AURORA 06GRC_Exhibit D fr R Gho 12-31-08 v2" xfId="6716"/>
    <cellStyle name="_Costs not in AURORA 06GRC_Exhibit D fr R Gho 12-31-08 v2 2" xfId="6717"/>
    <cellStyle name="_Costs not in AURORA 06GRC_Exhibit D fr R Gho 12-31-08 v2 2 2" xfId="6718"/>
    <cellStyle name="_Costs not in AURORA 06GRC_Exhibit D fr R Gho 12-31-08 v2 3" xfId="6719"/>
    <cellStyle name="_Costs not in AURORA 06GRC_Exhibit D fr R Gho 12-31-08 v2_DEM-WP(C) ENERG10C--ctn Mid-C_042010 2010GRC" xfId="6720"/>
    <cellStyle name="_Costs not in AURORA 06GRC_Exhibit D fr R Gho 12-31-08 v2_NIM Summary" xfId="6721"/>
    <cellStyle name="_Costs not in AURORA 06GRC_Exhibit D fr R Gho 12-31-08 v2_NIM Summary 2" xfId="6722"/>
    <cellStyle name="_Costs not in AURORA 06GRC_Exhibit D fr R Gho 12-31-08 v2_NIM Summary 2 2" xfId="6723"/>
    <cellStyle name="_Costs not in AURORA 06GRC_Exhibit D fr R Gho 12-31-08 v2_NIM Summary 3" xfId="6724"/>
    <cellStyle name="_Costs not in AURORA 06GRC_Exhibit D fr R Gho 12-31-08 v2_NIM Summary_DEM-WP(C) ENERG10C--ctn Mid-C_042010 2010GRC" xfId="6725"/>
    <cellStyle name="_Costs not in AURORA 06GRC_Exhibit D fr R Gho 12-31-08_DEM-WP(C) ENERG10C--ctn Mid-C_042010 2010GRC" xfId="6726"/>
    <cellStyle name="_Costs not in AURORA 06GRC_Exhibit D fr R Gho 12-31-08_NIM Summary" xfId="6727"/>
    <cellStyle name="_Costs not in AURORA 06GRC_Exhibit D fr R Gho 12-31-08_NIM Summary 2" xfId="6728"/>
    <cellStyle name="_Costs not in AURORA 06GRC_Exhibit D fr R Gho 12-31-08_NIM Summary 2 2" xfId="6729"/>
    <cellStyle name="_Costs not in AURORA 06GRC_Exhibit D fr R Gho 12-31-08_NIM Summary 3" xfId="6730"/>
    <cellStyle name="_Costs not in AURORA 06GRC_Exhibit D fr R Gho 12-31-08_NIM Summary_DEM-WP(C) ENERG10C--ctn Mid-C_042010 2010GRC" xfId="6731"/>
    <cellStyle name="_Costs not in AURORA 06GRC_Hopkins Ridge Prepaid Tran - Interest Earned RY 12ME Feb  '11" xfId="6732"/>
    <cellStyle name="_Costs not in AURORA 06GRC_Hopkins Ridge Prepaid Tran - Interest Earned RY 12ME Feb  '11 2" xfId="6733"/>
    <cellStyle name="_Costs not in AURORA 06GRC_Hopkins Ridge Prepaid Tran - Interest Earned RY 12ME Feb  '11 2 2" xfId="6734"/>
    <cellStyle name="_Costs not in AURORA 06GRC_Hopkins Ridge Prepaid Tran - Interest Earned RY 12ME Feb  '11 3" xfId="6735"/>
    <cellStyle name="_Costs not in AURORA 06GRC_Hopkins Ridge Prepaid Tran - Interest Earned RY 12ME Feb  '11_DEM-WP(C) ENERG10C--ctn Mid-C_042010 2010GRC" xfId="6736"/>
    <cellStyle name="_Costs not in AURORA 06GRC_Hopkins Ridge Prepaid Tran - Interest Earned RY 12ME Feb  '11_NIM Summary" xfId="6737"/>
    <cellStyle name="_Costs not in AURORA 06GRC_Hopkins Ridge Prepaid Tran - Interest Earned RY 12ME Feb  '11_NIM Summary 2" xfId="6738"/>
    <cellStyle name="_Costs not in AURORA 06GRC_Hopkins Ridge Prepaid Tran - Interest Earned RY 12ME Feb  '11_NIM Summary 2 2" xfId="6739"/>
    <cellStyle name="_Costs not in AURORA 06GRC_Hopkins Ridge Prepaid Tran - Interest Earned RY 12ME Feb  '11_NIM Summary 3" xfId="6740"/>
    <cellStyle name="_Costs not in AURORA 06GRC_Hopkins Ridge Prepaid Tran - Interest Earned RY 12ME Feb  '11_NIM Summary_DEM-WP(C) ENERG10C--ctn Mid-C_042010 2010GRC" xfId="6741"/>
    <cellStyle name="_Costs not in AURORA 06GRC_Hopkins Ridge Prepaid Tran - Interest Earned RY 12ME Feb  '11_Transmission Workbook for May BOD" xfId="6742"/>
    <cellStyle name="_Costs not in AURORA 06GRC_Hopkins Ridge Prepaid Tran - Interest Earned RY 12ME Feb  '11_Transmission Workbook for May BOD 2" xfId="6743"/>
    <cellStyle name="_Costs not in AURORA 06GRC_Hopkins Ridge Prepaid Tran - Interest Earned RY 12ME Feb  '11_Transmission Workbook for May BOD 2 2" xfId="6744"/>
    <cellStyle name="_Costs not in AURORA 06GRC_Hopkins Ridge Prepaid Tran - Interest Earned RY 12ME Feb  '11_Transmission Workbook for May BOD 3" xfId="6745"/>
    <cellStyle name="_Costs not in AURORA 06GRC_Hopkins Ridge Prepaid Tran - Interest Earned RY 12ME Feb  '11_Transmission Workbook for May BOD_DEM-WP(C) ENERG10C--ctn Mid-C_042010 2010GRC" xfId="6746"/>
    <cellStyle name="_Costs not in AURORA 06GRC_INPUTS" xfId="6747"/>
    <cellStyle name="_Costs not in AURORA 06GRC_INPUTS 2" xfId="6748"/>
    <cellStyle name="_Costs not in AURORA 06GRC_INPUTS 2 2" xfId="6749"/>
    <cellStyle name="_Costs not in AURORA 06GRC_INPUTS 2 2 2" xfId="6750"/>
    <cellStyle name="_Costs not in AURORA 06GRC_INPUTS 2 3" xfId="6751"/>
    <cellStyle name="_Costs not in AURORA 06GRC_INPUTS 3" xfId="6752"/>
    <cellStyle name="_Costs not in AURORA 06GRC_INPUTS 3 2" xfId="6753"/>
    <cellStyle name="_Costs not in AURORA 06GRC_INPUTS 4" xfId="6754"/>
    <cellStyle name="_Costs not in AURORA 06GRC_Mint Farm Generation BPA" xfId="6755"/>
    <cellStyle name="_Costs not in AURORA 06GRC_NIM Summary" xfId="6756"/>
    <cellStyle name="_Costs not in AURORA 06GRC_NIM Summary 09GRC" xfId="6757"/>
    <cellStyle name="_Costs not in AURORA 06GRC_NIM Summary 09GRC 2" xfId="6758"/>
    <cellStyle name="_Costs not in AURORA 06GRC_NIM Summary 09GRC 2 2" xfId="6759"/>
    <cellStyle name="_Costs not in AURORA 06GRC_NIM Summary 09GRC 3" xfId="6760"/>
    <cellStyle name="_Costs not in AURORA 06GRC_NIM Summary 09GRC_DEM-WP(C) ENERG10C--ctn Mid-C_042010 2010GRC" xfId="6761"/>
    <cellStyle name="_Costs not in AURORA 06GRC_NIM Summary 10" xfId="6762"/>
    <cellStyle name="_Costs not in AURORA 06GRC_NIM Summary 11" xfId="6763"/>
    <cellStyle name="_Costs not in AURORA 06GRC_NIM Summary 12" xfId="6764"/>
    <cellStyle name="_Costs not in AURORA 06GRC_NIM Summary 13" xfId="6765"/>
    <cellStyle name="_Costs not in AURORA 06GRC_NIM Summary 14" xfId="6766"/>
    <cellStyle name="_Costs not in AURORA 06GRC_NIM Summary 15" xfId="6767"/>
    <cellStyle name="_Costs not in AURORA 06GRC_NIM Summary 16" xfId="6768"/>
    <cellStyle name="_Costs not in AURORA 06GRC_NIM Summary 17" xfId="6769"/>
    <cellStyle name="_Costs not in AURORA 06GRC_NIM Summary 18" xfId="6770"/>
    <cellStyle name="_Costs not in AURORA 06GRC_NIM Summary 19" xfId="6771"/>
    <cellStyle name="_Costs not in AURORA 06GRC_NIM Summary 2" xfId="6772"/>
    <cellStyle name="_Costs not in AURORA 06GRC_NIM Summary 2 2" xfId="6773"/>
    <cellStyle name="_Costs not in AURORA 06GRC_NIM Summary 20" xfId="6774"/>
    <cellStyle name="_Costs not in AURORA 06GRC_NIM Summary 21" xfId="6775"/>
    <cellStyle name="_Costs not in AURORA 06GRC_NIM Summary 22" xfId="6776"/>
    <cellStyle name="_Costs not in AURORA 06GRC_NIM Summary 23" xfId="6777"/>
    <cellStyle name="_Costs not in AURORA 06GRC_NIM Summary 24" xfId="6778"/>
    <cellStyle name="_Costs not in AURORA 06GRC_NIM Summary 25" xfId="6779"/>
    <cellStyle name="_Costs not in AURORA 06GRC_NIM Summary 26" xfId="6780"/>
    <cellStyle name="_Costs not in AURORA 06GRC_NIM Summary 27" xfId="6781"/>
    <cellStyle name="_Costs not in AURORA 06GRC_NIM Summary 28" xfId="6782"/>
    <cellStyle name="_Costs not in AURORA 06GRC_NIM Summary 29" xfId="6783"/>
    <cellStyle name="_Costs not in AURORA 06GRC_NIM Summary 3" xfId="6784"/>
    <cellStyle name="_Costs not in AURORA 06GRC_NIM Summary 3 2" xfId="6785"/>
    <cellStyle name="_Costs not in AURORA 06GRC_NIM Summary 30" xfId="6786"/>
    <cellStyle name="_Costs not in AURORA 06GRC_NIM Summary 31" xfId="6787"/>
    <cellStyle name="_Costs not in AURORA 06GRC_NIM Summary 32" xfId="6788"/>
    <cellStyle name="_Costs not in AURORA 06GRC_NIM Summary 33" xfId="6789"/>
    <cellStyle name="_Costs not in AURORA 06GRC_NIM Summary 34" xfId="6790"/>
    <cellStyle name="_Costs not in AURORA 06GRC_NIM Summary 35" xfId="6791"/>
    <cellStyle name="_Costs not in AURORA 06GRC_NIM Summary 36" xfId="6792"/>
    <cellStyle name="_Costs not in AURORA 06GRC_NIM Summary 37" xfId="6793"/>
    <cellStyle name="_Costs not in AURORA 06GRC_NIM Summary 38" xfId="6794"/>
    <cellStyle name="_Costs not in AURORA 06GRC_NIM Summary 39" xfId="6795"/>
    <cellStyle name="_Costs not in AURORA 06GRC_NIM Summary 4" xfId="6796"/>
    <cellStyle name="_Costs not in AURORA 06GRC_NIM Summary 4 2" xfId="6797"/>
    <cellStyle name="_Costs not in AURORA 06GRC_NIM Summary 40" xfId="6798"/>
    <cellStyle name="_Costs not in AURORA 06GRC_NIM Summary 41" xfId="6799"/>
    <cellStyle name="_Costs not in AURORA 06GRC_NIM Summary 42" xfId="6800"/>
    <cellStyle name="_Costs not in AURORA 06GRC_NIM Summary 43" xfId="6801"/>
    <cellStyle name="_Costs not in AURORA 06GRC_NIM Summary 44" xfId="6802"/>
    <cellStyle name="_Costs not in AURORA 06GRC_NIM Summary 45" xfId="6803"/>
    <cellStyle name="_Costs not in AURORA 06GRC_NIM Summary 46" xfId="6804"/>
    <cellStyle name="_Costs not in AURORA 06GRC_NIM Summary 47" xfId="6805"/>
    <cellStyle name="_Costs not in AURORA 06GRC_NIM Summary 48" xfId="6806"/>
    <cellStyle name="_Costs not in AURORA 06GRC_NIM Summary 49" xfId="6807"/>
    <cellStyle name="_Costs not in AURORA 06GRC_NIM Summary 5" xfId="6808"/>
    <cellStyle name="_Costs not in AURORA 06GRC_NIM Summary 5 2" xfId="6809"/>
    <cellStyle name="_Costs not in AURORA 06GRC_NIM Summary 50" xfId="6810"/>
    <cellStyle name="_Costs not in AURORA 06GRC_NIM Summary 51" xfId="6811"/>
    <cellStyle name="_Costs not in AURORA 06GRC_NIM Summary 52" xfId="6812"/>
    <cellStyle name="_Costs not in AURORA 06GRC_NIM Summary 6" xfId="6813"/>
    <cellStyle name="_Costs not in AURORA 06GRC_NIM Summary 6 2" xfId="6814"/>
    <cellStyle name="_Costs not in AURORA 06GRC_NIM Summary 7" xfId="6815"/>
    <cellStyle name="_Costs not in AURORA 06GRC_NIM Summary 7 2" xfId="6816"/>
    <cellStyle name="_Costs not in AURORA 06GRC_NIM Summary 8" xfId="6817"/>
    <cellStyle name="_Costs not in AURORA 06GRC_NIM Summary 8 2" xfId="6818"/>
    <cellStyle name="_Costs not in AURORA 06GRC_NIM Summary 9" xfId="6819"/>
    <cellStyle name="_Costs not in AURORA 06GRC_NIM Summary 9 2" xfId="6820"/>
    <cellStyle name="_Costs not in AURORA 06GRC_NIM Summary_DEM-WP(C) ENERG10C--ctn Mid-C_042010 2010GRC" xfId="6821"/>
    <cellStyle name="_Costs not in AURORA 06GRC_PCA 10 -  Exhibit D Dec 2011" xfId="6822"/>
    <cellStyle name="_Costs not in AURORA 06GRC_PCA 10 -  Exhibit D from A Kellogg Jan 2011" xfId="6823"/>
    <cellStyle name="_Costs not in AURORA 06GRC_PCA 10 -  Exhibit D from A Kellogg July 2011" xfId="6824"/>
    <cellStyle name="_Costs not in AURORA 06GRC_PCA 10 -  Exhibit D from S Free Rcv'd 12-11" xfId="6825"/>
    <cellStyle name="_Costs not in AURORA 06GRC_PCA 11 -  Exhibit D Jan 2012 fr A Kellogg" xfId="6826"/>
    <cellStyle name="_Costs not in AURORA 06GRC_PCA 11 -  Exhibit D Jan 2012 WF" xfId="6827"/>
    <cellStyle name="_Costs not in AURORA 06GRC_PCA 7 - Exhibit D update 11_30_08 (2)" xfId="6828"/>
    <cellStyle name="_Costs not in AURORA 06GRC_PCA 7 - Exhibit D update 11_30_08 (2) 2" xfId="6829"/>
    <cellStyle name="_Costs not in AURORA 06GRC_PCA 7 - Exhibit D update 11_30_08 (2) 2 2" xfId="6830"/>
    <cellStyle name="_Costs not in AURORA 06GRC_PCA 7 - Exhibit D update 11_30_08 (2) 2 2 2" xfId="6831"/>
    <cellStyle name="_Costs not in AURORA 06GRC_PCA 7 - Exhibit D update 11_30_08 (2) 2 3" xfId="6832"/>
    <cellStyle name="_Costs not in AURORA 06GRC_PCA 7 - Exhibit D update 11_30_08 (2) 3" xfId="6833"/>
    <cellStyle name="_Costs not in AURORA 06GRC_PCA 7 - Exhibit D update 11_30_08 (2) 3 2" xfId="6834"/>
    <cellStyle name="_Costs not in AURORA 06GRC_PCA 7 - Exhibit D update 11_30_08 (2) 4" xfId="6835"/>
    <cellStyle name="_Costs not in AURORA 06GRC_PCA 7 - Exhibit D update 11_30_08 (2)_DEM-WP(C) ENERG10C--ctn Mid-C_042010 2010GRC" xfId="6836"/>
    <cellStyle name="_Costs not in AURORA 06GRC_PCA 7 - Exhibit D update 11_30_08 (2)_NIM Summary" xfId="6837"/>
    <cellStyle name="_Costs not in AURORA 06GRC_PCA 7 - Exhibit D update 11_30_08 (2)_NIM Summary 2" xfId="6838"/>
    <cellStyle name="_Costs not in AURORA 06GRC_PCA 7 - Exhibit D update 11_30_08 (2)_NIM Summary 2 2" xfId="6839"/>
    <cellStyle name="_Costs not in AURORA 06GRC_PCA 7 - Exhibit D update 11_30_08 (2)_NIM Summary 3" xfId="6840"/>
    <cellStyle name="_Costs not in AURORA 06GRC_PCA 7 - Exhibit D update 11_30_08 (2)_NIM Summary_DEM-WP(C) ENERG10C--ctn Mid-C_042010 2010GRC" xfId="6841"/>
    <cellStyle name="_Costs not in AURORA 06GRC_PCA 8 - Exhibit D update 12_31_09" xfId="6842"/>
    <cellStyle name="_Costs not in AURORA 06GRC_PCA 8 - Exhibit D update 12_31_09 2" xfId="6843"/>
    <cellStyle name="_Costs not in AURORA 06GRC_PCA 9 -  Exhibit D April 2010" xfId="6844"/>
    <cellStyle name="_Costs not in AURORA 06GRC_PCA 9 -  Exhibit D April 2010 (3)" xfId="6845"/>
    <cellStyle name="_Costs not in AURORA 06GRC_PCA 9 -  Exhibit D April 2010 (3) 2" xfId="6846"/>
    <cellStyle name="_Costs not in AURORA 06GRC_PCA 9 -  Exhibit D April 2010 (3) 2 2" xfId="6847"/>
    <cellStyle name="_Costs not in AURORA 06GRC_PCA 9 -  Exhibit D April 2010 (3) 3" xfId="6848"/>
    <cellStyle name="_Costs not in AURORA 06GRC_PCA 9 -  Exhibit D April 2010 (3)_DEM-WP(C) ENERG10C--ctn Mid-C_042010 2010GRC" xfId="6849"/>
    <cellStyle name="_Costs not in AURORA 06GRC_PCA 9 -  Exhibit D April 2010 2" xfId="6850"/>
    <cellStyle name="_Costs not in AURORA 06GRC_PCA 9 -  Exhibit D April 2010 3" xfId="6851"/>
    <cellStyle name="_Costs not in AURORA 06GRC_PCA 9 -  Exhibit D April 2010 4" xfId="6852"/>
    <cellStyle name="_Costs not in AURORA 06GRC_PCA 9 -  Exhibit D April 2010 5" xfId="6853"/>
    <cellStyle name="_Costs not in AURORA 06GRC_PCA 9 -  Exhibit D April 2010 6" xfId="6854"/>
    <cellStyle name="_Costs not in AURORA 06GRC_PCA 9 -  Exhibit D Feb 2010" xfId="6855"/>
    <cellStyle name="_Costs not in AURORA 06GRC_PCA 9 -  Exhibit D Feb 2010 2" xfId="6856"/>
    <cellStyle name="_Costs not in AURORA 06GRC_PCA 9 -  Exhibit D Feb 2010 v2" xfId="6857"/>
    <cellStyle name="_Costs not in AURORA 06GRC_PCA 9 -  Exhibit D Feb 2010 v2 2" xfId="6858"/>
    <cellStyle name="_Costs not in AURORA 06GRC_PCA 9 -  Exhibit D Feb 2010 WF" xfId="6859"/>
    <cellStyle name="_Costs not in AURORA 06GRC_PCA 9 -  Exhibit D Feb 2010 WF 2" xfId="6860"/>
    <cellStyle name="_Costs not in AURORA 06GRC_PCA 9 -  Exhibit D Jan 2010" xfId="6861"/>
    <cellStyle name="_Costs not in AURORA 06GRC_PCA 9 -  Exhibit D Jan 2010 2" xfId="6862"/>
    <cellStyle name="_Costs not in AURORA 06GRC_PCA 9 -  Exhibit D March 2010 (2)" xfId="6863"/>
    <cellStyle name="_Costs not in AURORA 06GRC_PCA 9 -  Exhibit D March 2010 (2) 2" xfId="6864"/>
    <cellStyle name="_Costs not in AURORA 06GRC_PCA 9 -  Exhibit D Nov 2010" xfId="6865"/>
    <cellStyle name="_Costs not in AURORA 06GRC_PCA 9 -  Exhibit D Nov 2010 2" xfId="6866"/>
    <cellStyle name="_Costs not in AURORA 06GRC_PCA 9 - Exhibit D at August 2010" xfId="6867"/>
    <cellStyle name="_Costs not in AURORA 06GRC_PCA 9 - Exhibit D at August 2010 2" xfId="6868"/>
    <cellStyle name="_Costs not in AURORA 06GRC_PCA 9 - Exhibit D June 2010 GRC" xfId="6869"/>
    <cellStyle name="_Costs not in AURORA 06GRC_PCA 9 - Exhibit D June 2010 GRC 2" xfId="6870"/>
    <cellStyle name="_Costs not in AURORA 06GRC_Power Costs - Comparison bx Rbtl-Staff-Jt-PC" xfId="264"/>
    <cellStyle name="_Costs not in AURORA 06GRC_Power Costs - Comparison bx Rbtl-Staff-Jt-PC 2" xfId="6871"/>
    <cellStyle name="_Costs not in AURORA 06GRC_Power Costs - Comparison bx Rbtl-Staff-Jt-PC 2 2" xfId="6872"/>
    <cellStyle name="_Costs not in AURORA 06GRC_Power Costs - Comparison bx Rbtl-Staff-Jt-PC 2 2 2" xfId="6873"/>
    <cellStyle name="_Costs not in AURORA 06GRC_Power Costs - Comparison bx Rbtl-Staff-Jt-PC 2 3" xfId="6874"/>
    <cellStyle name="_Costs not in AURORA 06GRC_Power Costs - Comparison bx Rbtl-Staff-Jt-PC 3" xfId="6875"/>
    <cellStyle name="_Costs not in AURORA 06GRC_Power Costs - Comparison bx Rbtl-Staff-Jt-PC 3 2" xfId="6876"/>
    <cellStyle name="_Costs not in AURORA 06GRC_Power Costs - Comparison bx Rbtl-Staff-Jt-PC 4" xfId="6877"/>
    <cellStyle name="_Costs not in AURORA 06GRC_Power Costs - Comparison bx Rbtl-Staff-Jt-PC_Adj Bench DR 3 for Initial Briefs (Electric)" xfId="265"/>
    <cellStyle name="_Costs not in AURORA 06GRC_Power Costs - Comparison bx Rbtl-Staff-Jt-PC_Adj Bench DR 3 for Initial Briefs (Electric) 2" xfId="6878"/>
    <cellStyle name="_Costs not in AURORA 06GRC_Power Costs - Comparison bx Rbtl-Staff-Jt-PC_Adj Bench DR 3 for Initial Briefs (Electric) 2 2" xfId="6879"/>
    <cellStyle name="_Costs not in AURORA 06GRC_Power Costs - Comparison bx Rbtl-Staff-Jt-PC_Adj Bench DR 3 for Initial Briefs (Electric) 2 2 2" xfId="6880"/>
    <cellStyle name="_Costs not in AURORA 06GRC_Power Costs - Comparison bx Rbtl-Staff-Jt-PC_Adj Bench DR 3 for Initial Briefs (Electric) 2 3" xfId="6881"/>
    <cellStyle name="_Costs not in AURORA 06GRC_Power Costs - Comparison bx Rbtl-Staff-Jt-PC_Adj Bench DR 3 for Initial Briefs (Electric) 3" xfId="6882"/>
    <cellStyle name="_Costs not in AURORA 06GRC_Power Costs - Comparison bx Rbtl-Staff-Jt-PC_Adj Bench DR 3 for Initial Briefs (Electric) 3 2" xfId="6883"/>
    <cellStyle name="_Costs not in AURORA 06GRC_Power Costs - Comparison bx Rbtl-Staff-Jt-PC_Adj Bench DR 3 for Initial Briefs (Electric) 4" xfId="6884"/>
    <cellStyle name="_Costs not in AURORA 06GRC_Power Costs - Comparison bx Rbtl-Staff-Jt-PC_Adj Bench DR 3 for Initial Briefs (Electric)_DEM-WP(C) ENERG10C--ctn Mid-C_042010 2010GRC" xfId="6885"/>
    <cellStyle name="_Costs not in AURORA 06GRC_Power Costs - Comparison bx Rbtl-Staff-Jt-PC_DEM-WP(C) ENERG10C--ctn Mid-C_042010 2010GRC" xfId="6886"/>
    <cellStyle name="_Costs not in AURORA 06GRC_Power Costs - Comparison bx Rbtl-Staff-Jt-PC_Electric Rev Req Model (2009 GRC) Rebuttal" xfId="266"/>
    <cellStyle name="_Costs not in AURORA 06GRC_Power Costs - Comparison bx Rbtl-Staff-Jt-PC_Electric Rev Req Model (2009 GRC) Rebuttal 2" xfId="6887"/>
    <cellStyle name="_Costs not in AURORA 06GRC_Power Costs - Comparison bx Rbtl-Staff-Jt-PC_Electric Rev Req Model (2009 GRC) Rebuttal 2 2" xfId="6888"/>
    <cellStyle name="_Costs not in AURORA 06GRC_Power Costs - Comparison bx Rbtl-Staff-Jt-PC_Electric Rev Req Model (2009 GRC) Rebuttal 2 2 2" xfId="6889"/>
    <cellStyle name="_Costs not in AURORA 06GRC_Power Costs - Comparison bx Rbtl-Staff-Jt-PC_Electric Rev Req Model (2009 GRC) Rebuttal 2 3" xfId="6890"/>
    <cellStyle name="_Costs not in AURORA 06GRC_Power Costs - Comparison bx Rbtl-Staff-Jt-PC_Electric Rev Req Model (2009 GRC) Rebuttal 3" xfId="6891"/>
    <cellStyle name="_Costs not in AURORA 06GRC_Power Costs - Comparison bx Rbtl-Staff-Jt-PC_Electric Rev Req Model (2009 GRC) Rebuttal 3 2" xfId="6892"/>
    <cellStyle name="_Costs not in AURORA 06GRC_Power Costs - Comparison bx Rbtl-Staff-Jt-PC_Electric Rev Req Model (2009 GRC) Rebuttal 4" xfId="6893"/>
    <cellStyle name="_Costs not in AURORA 06GRC_Power Costs - Comparison bx Rbtl-Staff-Jt-PC_Electric Rev Req Model (2009 GRC) Rebuttal REmoval of New  WH Solar AdjustMI" xfId="267"/>
    <cellStyle name="_Costs not in AURORA 06GRC_Power Costs - Comparison bx Rbtl-Staff-Jt-PC_Electric Rev Req Model (2009 GRC) Rebuttal REmoval of New  WH Solar AdjustMI 2" xfId="6894"/>
    <cellStyle name="_Costs not in AURORA 06GRC_Power Costs - Comparison bx Rbtl-Staff-Jt-PC_Electric Rev Req Model (2009 GRC) Rebuttal REmoval of New  WH Solar AdjustMI 2 2" xfId="6895"/>
    <cellStyle name="_Costs not in AURORA 06GRC_Power Costs - Comparison bx Rbtl-Staff-Jt-PC_Electric Rev Req Model (2009 GRC) Rebuttal REmoval of New  WH Solar AdjustMI 2 2 2" xfId="6896"/>
    <cellStyle name="_Costs not in AURORA 06GRC_Power Costs - Comparison bx Rbtl-Staff-Jt-PC_Electric Rev Req Model (2009 GRC) Rebuttal REmoval of New  WH Solar AdjustMI 2 3" xfId="6897"/>
    <cellStyle name="_Costs not in AURORA 06GRC_Power Costs - Comparison bx Rbtl-Staff-Jt-PC_Electric Rev Req Model (2009 GRC) Rebuttal REmoval of New  WH Solar AdjustMI 3" xfId="6898"/>
    <cellStyle name="_Costs not in AURORA 06GRC_Power Costs - Comparison bx Rbtl-Staff-Jt-PC_Electric Rev Req Model (2009 GRC) Rebuttal REmoval of New  WH Solar AdjustMI 3 2" xfId="6899"/>
    <cellStyle name="_Costs not in AURORA 06GRC_Power Costs - Comparison bx Rbtl-Staff-Jt-PC_Electric Rev Req Model (2009 GRC) Rebuttal REmoval of New  WH Solar AdjustMI 4" xfId="6900"/>
    <cellStyle name="_Costs not in AURORA 06GRC_Power Costs - Comparison bx Rbtl-Staff-Jt-PC_Electric Rev Req Model (2009 GRC) Rebuttal REmoval of New  WH Solar AdjustMI_DEM-WP(C) ENERG10C--ctn Mid-C_042010 2010GRC" xfId="6901"/>
    <cellStyle name="_Costs not in AURORA 06GRC_Power Costs - Comparison bx Rbtl-Staff-Jt-PC_Electric Rev Req Model (2009 GRC) Revised 01-18-2010" xfId="268"/>
    <cellStyle name="_Costs not in AURORA 06GRC_Power Costs - Comparison bx Rbtl-Staff-Jt-PC_Electric Rev Req Model (2009 GRC) Revised 01-18-2010 2" xfId="6902"/>
    <cellStyle name="_Costs not in AURORA 06GRC_Power Costs - Comparison bx Rbtl-Staff-Jt-PC_Electric Rev Req Model (2009 GRC) Revised 01-18-2010 2 2" xfId="6903"/>
    <cellStyle name="_Costs not in AURORA 06GRC_Power Costs - Comparison bx Rbtl-Staff-Jt-PC_Electric Rev Req Model (2009 GRC) Revised 01-18-2010 2 2 2" xfId="6904"/>
    <cellStyle name="_Costs not in AURORA 06GRC_Power Costs - Comparison bx Rbtl-Staff-Jt-PC_Electric Rev Req Model (2009 GRC) Revised 01-18-2010 2 3" xfId="6905"/>
    <cellStyle name="_Costs not in AURORA 06GRC_Power Costs - Comparison bx Rbtl-Staff-Jt-PC_Electric Rev Req Model (2009 GRC) Revised 01-18-2010 3" xfId="6906"/>
    <cellStyle name="_Costs not in AURORA 06GRC_Power Costs - Comparison bx Rbtl-Staff-Jt-PC_Electric Rev Req Model (2009 GRC) Revised 01-18-2010 3 2" xfId="6907"/>
    <cellStyle name="_Costs not in AURORA 06GRC_Power Costs - Comparison bx Rbtl-Staff-Jt-PC_Electric Rev Req Model (2009 GRC) Revised 01-18-2010 4" xfId="6908"/>
    <cellStyle name="_Costs not in AURORA 06GRC_Power Costs - Comparison bx Rbtl-Staff-Jt-PC_Electric Rev Req Model (2009 GRC) Revised 01-18-2010_DEM-WP(C) ENERG10C--ctn Mid-C_042010 2010GRC" xfId="6909"/>
    <cellStyle name="_Costs not in AURORA 06GRC_Power Costs - Comparison bx Rbtl-Staff-Jt-PC_Final Order Electric EXHIBIT A-1" xfId="269"/>
    <cellStyle name="_Costs not in AURORA 06GRC_Power Costs - Comparison bx Rbtl-Staff-Jt-PC_Final Order Electric EXHIBIT A-1 2" xfId="6910"/>
    <cellStyle name="_Costs not in AURORA 06GRC_Power Costs - Comparison bx Rbtl-Staff-Jt-PC_Final Order Electric EXHIBIT A-1 2 2" xfId="6911"/>
    <cellStyle name="_Costs not in AURORA 06GRC_Power Costs - Comparison bx Rbtl-Staff-Jt-PC_Final Order Electric EXHIBIT A-1 2 2 2" xfId="6912"/>
    <cellStyle name="_Costs not in AURORA 06GRC_Power Costs - Comparison bx Rbtl-Staff-Jt-PC_Final Order Electric EXHIBIT A-1 2 3" xfId="6913"/>
    <cellStyle name="_Costs not in AURORA 06GRC_Power Costs - Comparison bx Rbtl-Staff-Jt-PC_Final Order Electric EXHIBIT A-1 3" xfId="6914"/>
    <cellStyle name="_Costs not in AURORA 06GRC_Power Costs - Comparison bx Rbtl-Staff-Jt-PC_Final Order Electric EXHIBIT A-1 3 2" xfId="6915"/>
    <cellStyle name="_Costs not in AURORA 06GRC_Power Costs - Comparison bx Rbtl-Staff-Jt-PC_Final Order Electric EXHIBIT A-1 4" xfId="6916"/>
    <cellStyle name="_Costs not in AURORA 06GRC_Production Adj 4.37" xfId="6917"/>
    <cellStyle name="_Costs not in AURORA 06GRC_Production Adj 4.37 2" xfId="6918"/>
    <cellStyle name="_Costs not in AURORA 06GRC_Production Adj 4.37 2 2" xfId="6919"/>
    <cellStyle name="_Costs not in AURORA 06GRC_Production Adj 4.37 2 2 2" xfId="6920"/>
    <cellStyle name="_Costs not in AURORA 06GRC_Production Adj 4.37 2 3" xfId="6921"/>
    <cellStyle name="_Costs not in AURORA 06GRC_Production Adj 4.37 3" xfId="6922"/>
    <cellStyle name="_Costs not in AURORA 06GRC_Production Adj 4.37 3 2" xfId="6923"/>
    <cellStyle name="_Costs not in AURORA 06GRC_Production Adj 4.37 4" xfId="6924"/>
    <cellStyle name="_Costs not in AURORA 06GRC_Purchased Power Adj 4.03" xfId="6925"/>
    <cellStyle name="_Costs not in AURORA 06GRC_Purchased Power Adj 4.03 2" xfId="6926"/>
    <cellStyle name="_Costs not in AURORA 06GRC_Purchased Power Adj 4.03 2 2" xfId="6927"/>
    <cellStyle name="_Costs not in AURORA 06GRC_Purchased Power Adj 4.03 2 2 2" xfId="6928"/>
    <cellStyle name="_Costs not in AURORA 06GRC_Purchased Power Adj 4.03 2 3" xfId="6929"/>
    <cellStyle name="_Costs not in AURORA 06GRC_Purchased Power Adj 4.03 3" xfId="6930"/>
    <cellStyle name="_Costs not in AURORA 06GRC_Purchased Power Adj 4.03 3 2" xfId="6931"/>
    <cellStyle name="_Costs not in AURORA 06GRC_Purchased Power Adj 4.03 4" xfId="6932"/>
    <cellStyle name="_Costs not in AURORA 06GRC_Rebuttal Power Costs" xfId="270"/>
    <cellStyle name="_Costs not in AURORA 06GRC_Rebuttal Power Costs 2" xfId="6933"/>
    <cellStyle name="_Costs not in AURORA 06GRC_Rebuttal Power Costs 2 2" xfId="6934"/>
    <cellStyle name="_Costs not in AURORA 06GRC_Rebuttal Power Costs 2 2 2" xfId="6935"/>
    <cellStyle name="_Costs not in AURORA 06GRC_Rebuttal Power Costs 2 3" xfId="6936"/>
    <cellStyle name="_Costs not in AURORA 06GRC_Rebuttal Power Costs 3" xfId="6937"/>
    <cellStyle name="_Costs not in AURORA 06GRC_Rebuttal Power Costs 3 2" xfId="6938"/>
    <cellStyle name="_Costs not in AURORA 06GRC_Rebuttal Power Costs 4" xfId="6939"/>
    <cellStyle name="_Costs not in AURORA 06GRC_Rebuttal Power Costs_Adj Bench DR 3 for Initial Briefs (Electric)" xfId="271"/>
    <cellStyle name="_Costs not in AURORA 06GRC_Rebuttal Power Costs_Adj Bench DR 3 for Initial Briefs (Electric) 2" xfId="6940"/>
    <cellStyle name="_Costs not in AURORA 06GRC_Rebuttal Power Costs_Adj Bench DR 3 for Initial Briefs (Electric) 2 2" xfId="6941"/>
    <cellStyle name="_Costs not in AURORA 06GRC_Rebuttal Power Costs_Adj Bench DR 3 for Initial Briefs (Electric) 2 2 2" xfId="6942"/>
    <cellStyle name="_Costs not in AURORA 06GRC_Rebuttal Power Costs_Adj Bench DR 3 for Initial Briefs (Electric) 2 3" xfId="6943"/>
    <cellStyle name="_Costs not in AURORA 06GRC_Rebuttal Power Costs_Adj Bench DR 3 for Initial Briefs (Electric) 3" xfId="6944"/>
    <cellStyle name="_Costs not in AURORA 06GRC_Rebuttal Power Costs_Adj Bench DR 3 for Initial Briefs (Electric) 3 2" xfId="6945"/>
    <cellStyle name="_Costs not in AURORA 06GRC_Rebuttal Power Costs_Adj Bench DR 3 for Initial Briefs (Electric) 4" xfId="6946"/>
    <cellStyle name="_Costs not in AURORA 06GRC_Rebuttal Power Costs_Adj Bench DR 3 for Initial Briefs (Electric)_DEM-WP(C) ENERG10C--ctn Mid-C_042010 2010GRC" xfId="6947"/>
    <cellStyle name="_Costs not in AURORA 06GRC_Rebuttal Power Costs_DEM-WP(C) ENERG10C--ctn Mid-C_042010 2010GRC" xfId="6948"/>
    <cellStyle name="_Costs not in AURORA 06GRC_Rebuttal Power Costs_Electric Rev Req Model (2009 GRC) Rebuttal" xfId="272"/>
    <cellStyle name="_Costs not in AURORA 06GRC_Rebuttal Power Costs_Electric Rev Req Model (2009 GRC) Rebuttal 2" xfId="6949"/>
    <cellStyle name="_Costs not in AURORA 06GRC_Rebuttal Power Costs_Electric Rev Req Model (2009 GRC) Rebuttal 2 2" xfId="6950"/>
    <cellStyle name="_Costs not in AURORA 06GRC_Rebuttal Power Costs_Electric Rev Req Model (2009 GRC) Rebuttal 2 2 2" xfId="6951"/>
    <cellStyle name="_Costs not in AURORA 06GRC_Rebuttal Power Costs_Electric Rev Req Model (2009 GRC) Rebuttal 2 3" xfId="6952"/>
    <cellStyle name="_Costs not in AURORA 06GRC_Rebuttal Power Costs_Electric Rev Req Model (2009 GRC) Rebuttal 3" xfId="6953"/>
    <cellStyle name="_Costs not in AURORA 06GRC_Rebuttal Power Costs_Electric Rev Req Model (2009 GRC) Rebuttal 3 2" xfId="6954"/>
    <cellStyle name="_Costs not in AURORA 06GRC_Rebuttal Power Costs_Electric Rev Req Model (2009 GRC) Rebuttal 4" xfId="6955"/>
    <cellStyle name="_Costs not in AURORA 06GRC_Rebuttal Power Costs_Electric Rev Req Model (2009 GRC) Rebuttal REmoval of New  WH Solar AdjustMI" xfId="273"/>
    <cellStyle name="_Costs not in AURORA 06GRC_Rebuttal Power Costs_Electric Rev Req Model (2009 GRC) Rebuttal REmoval of New  WH Solar AdjustMI 2" xfId="6956"/>
    <cellStyle name="_Costs not in AURORA 06GRC_Rebuttal Power Costs_Electric Rev Req Model (2009 GRC) Rebuttal REmoval of New  WH Solar AdjustMI 2 2" xfId="6957"/>
    <cellStyle name="_Costs not in AURORA 06GRC_Rebuttal Power Costs_Electric Rev Req Model (2009 GRC) Rebuttal REmoval of New  WH Solar AdjustMI 2 2 2" xfId="6958"/>
    <cellStyle name="_Costs not in AURORA 06GRC_Rebuttal Power Costs_Electric Rev Req Model (2009 GRC) Rebuttal REmoval of New  WH Solar AdjustMI 2 3" xfId="6959"/>
    <cellStyle name="_Costs not in AURORA 06GRC_Rebuttal Power Costs_Electric Rev Req Model (2009 GRC) Rebuttal REmoval of New  WH Solar AdjustMI 3" xfId="6960"/>
    <cellStyle name="_Costs not in AURORA 06GRC_Rebuttal Power Costs_Electric Rev Req Model (2009 GRC) Rebuttal REmoval of New  WH Solar AdjustMI 3 2" xfId="6961"/>
    <cellStyle name="_Costs not in AURORA 06GRC_Rebuttal Power Costs_Electric Rev Req Model (2009 GRC) Rebuttal REmoval of New  WH Solar AdjustMI 4" xfId="6962"/>
    <cellStyle name="_Costs not in AURORA 06GRC_Rebuttal Power Costs_Electric Rev Req Model (2009 GRC) Rebuttal REmoval of New  WH Solar AdjustMI_DEM-WP(C) ENERG10C--ctn Mid-C_042010 2010GRC" xfId="6963"/>
    <cellStyle name="_Costs not in AURORA 06GRC_Rebuttal Power Costs_Electric Rev Req Model (2009 GRC) Revised 01-18-2010" xfId="274"/>
    <cellStyle name="_Costs not in AURORA 06GRC_Rebuttal Power Costs_Electric Rev Req Model (2009 GRC) Revised 01-18-2010 2" xfId="6964"/>
    <cellStyle name="_Costs not in AURORA 06GRC_Rebuttal Power Costs_Electric Rev Req Model (2009 GRC) Revised 01-18-2010 2 2" xfId="6965"/>
    <cellStyle name="_Costs not in AURORA 06GRC_Rebuttal Power Costs_Electric Rev Req Model (2009 GRC) Revised 01-18-2010 2 2 2" xfId="6966"/>
    <cellStyle name="_Costs not in AURORA 06GRC_Rebuttal Power Costs_Electric Rev Req Model (2009 GRC) Revised 01-18-2010 2 3" xfId="6967"/>
    <cellStyle name="_Costs not in AURORA 06GRC_Rebuttal Power Costs_Electric Rev Req Model (2009 GRC) Revised 01-18-2010 3" xfId="6968"/>
    <cellStyle name="_Costs not in AURORA 06GRC_Rebuttal Power Costs_Electric Rev Req Model (2009 GRC) Revised 01-18-2010 3 2" xfId="6969"/>
    <cellStyle name="_Costs not in AURORA 06GRC_Rebuttal Power Costs_Electric Rev Req Model (2009 GRC) Revised 01-18-2010 4" xfId="6970"/>
    <cellStyle name="_Costs not in AURORA 06GRC_Rebuttal Power Costs_Electric Rev Req Model (2009 GRC) Revised 01-18-2010_DEM-WP(C) ENERG10C--ctn Mid-C_042010 2010GRC" xfId="6971"/>
    <cellStyle name="_Costs not in AURORA 06GRC_Rebuttal Power Costs_Final Order Electric EXHIBIT A-1" xfId="275"/>
    <cellStyle name="_Costs not in AURORA 06GRC_Rebuttal Power Costs_Final Order Electric EXHIBIT A-1 2" xfId="6972"/>
    <cellStyle name="_Costs not in AURORA 06GRC_Rebuttal Power Costs_Final Order Electric EXHIBIT A-1 2 2" xfId="6973"/>
    <cellStyle name="_Costs not in AURORA 06GRC_Rebuttal Power Costs_Final Order Electric EXHIBIT A-1 2 2 2" xfId="6974"/>
    <cellStyle name="_Costs not in AURORA 06GRC_Rebuttal Power Costs_Final Order Electric EXHIBIT A-1 2 3" xfId="6975"/>
    <cellStyle name="_Costs not in AURORA 06GRC_Rebuttal Power Costs_Final Order Electric EXHIBIT A-1 3" xfId="6976"/>
    <cellStyle name="_Costs not in AURORA 06GRC_Rebuttal Power Costs_Final Order Electric EXHIBIT A-1 3 2" xfId="6977"/>
    <cellStyle name="_Costs not in AURORA 06GRC_Rebuttal Power Costs_Final Order Electric EXHIBIT A-1 4" xfId="6978"/>
    <cellStyle name="_Costs not in AURORA 06GRC_ROR &amp; CONV FACTOR" xfId="6979"/>
    <cellStyle name="_Costs not in AURORA 06GRC_ROR &amp; CONV FACTOR 2" xfId="6980"/>
    <cellStyle name="_Costs not in AURORA 06GRC_ROR &amp; CONV FACTOR 2 2" xfId="6981"/>
    <cellStyle name="_Costs not in AURORA 06GRC_ROR &amp; CONV FACTOR 2 2 2" xfId="6982"/>
    <cellStyle name="_Costs not in AURORA 06GRC_ROR &amp; CONV FACTOR 2 3" xfId="6983"/>
    <cellStyle name="_Costs not in AURORA 06GRC_ROR &amp; CONV FACTOR 3" xfId="6984"/>
    <cellStyle name="_Costs not in AURORA 06GRC_ROR &amp; CONV FACTOR 3 2" xfId="6985"/>
    <cellStyle name="_Costs not in AURORA 06GRC_ROR &amp; CONV FACTOR 4" xfId="6986"/>
    <cellStyle name="_Costs not in AURORA 06GRC_ROR 5.02" xfId="6987"/>
    <cellStyle name="_Costs not in AURORA 06GRC_ROR 5.02 2" xfId="6988"/>
    <cellStyle name="_Costs not in AURORA 06GRC_ROR 5.02 2 2" xfId="6989"/>
    <cellStyle name="_Costs not in AURORA 06GRC_ROR 5.02 2 2 2" xfId="6990"/>
    <cellStyle name="_Costs not in AURORA 06GRC_ROR 5.02 2 3" xfId="6991"/>
    <cellStyle name="_Costs not in AURORA 06GRC_ROR 5.02 3" xfId="6992"/>
    <cellStyle name="_Costs not in AURORA 06GRC_ROR 5.02 3 2" xfId="6993"/>
    <cellStyle name="_Costs not in AURORA 06GRC_ROR 5.02 4" xfId="6994"/>
    <cellStyle name="_Costs not in AURORA 06GRC_Transmission Workbook for May BOD" xfId="6995"/>
    <cellStyle name="_Costs not in AURORA 06GRC_Transmission Workbook for May BOD 2" xfId="6996"/>
    <cellStyle name="_Costs not in AURORA 06GRC_Transmission Workbook for May BOD 2 2" xfId="6997"/>
    <cellStyle name="_Costs not in AURORA 06GRC_Transmission Workbook for May BOD 3" xfId="6998"/>
    <cellStyle name="_Costs not in AURORA 06GRC_Transmission Workbook for May BOD_DEM-WP(C) ENERG10C--ctn Mid-C_042010 2010GRC" xfId="6999"/>
    <cellStyle name="_Costs not in AURORA 06GRC_Wind Integration 10GRC" xfId="7000"/>
    <cellStyle name="_Costs not in AURORA 06GRC_Wind Integration 10GRC 2" xfId="7001"/>
    <cellStyle name="_Costs not in AURORA 06GRC_Wind Integration 10GRC 2 2" xfId="7002"/>
    <cellStyle name="_Costs not in AURORA 06GRC_Wind Integration 10GRC 3" xfId="7003"/>
    <cellStyle name="_Costs not in AURORA 06GRC_Wind Integration 10GRC_DEM-WP(C) ENERG10C--ctn Mid-C_042010 2010GRC" xfId="7004"/>
    <cellStyle name="_Costs not in AURORA 2006GRC 6.15.06" xfId="276"/>
    <cellStyle name="_Costs not in AURORA 2006GRC 6.15.06 2" xfId="277"/>
    <cellStyle name="_Costs not in AURORA 2006GRC 6.15.06 2 2" xfId="7005"/>
    <cellStyle name="_Costs not in AURORA 2006GRC 6.15.06 2 2 2" xfId="7006"/>
    <cellStyle name="_Costs not in AURORA 2006GRC 6.15.06 2 2 2 2" xfId="7007"/>
    <cellStyle name="_Costs not in AURORA 2006GRC 6.15.06 2 2 3" xfId="7008"/>
    <cellStyle name="_Costs not in AURORA 2006GRC 6.15.06 2 3" xfId="7009"/>
    <cellStyle name="_Costs not in AURORA 2006GRC 6.15.06 2 3 2" xfId="7010"/>
    <cellStyle name="_Costs not in AURORA 2006GRC 6.15.06 2 4" xfId="7011"/>
    <cellStyle name="_Costs not in AURORA 2006GRC 6.15.06 3" xfId="7012"/>
    <cellStyle name="_Costs not in AURORA 2006GRC 6.15.06 3 2" xfId="7013"/>
    <cellStyle name="_Costs not in AURORA 2006GRC 6.15.06 3 2 2" xfId="7014"/>
    <cellStyle name="_Costs not in AURORA 2006GRC 6.15.06 3 2 2 2" xfId="7015"/>
    <cellStyle name="_Costs not in AURORA 2006GRC 6.15.06 3 2 3" xfId="7016"/>
    <cellStyle name="_Costs not in AURORA 2006GRC 6.15.06 3 3" xfId="7017"/>
    <cellStyle name="_Costs not in AURORA 2006GRC 6.15.06 3 3 2" xfId="7018"/>
    <cellStyle name="_Costs not in AURORA 2006GRC 6.15.06 3 3 2 2" xfId="7019"/>
    <cellStyle name="_Costs not in AURORA 2006GRC 6.15.06 3 3 3" xfId="7020"/>
    <cellStyle name="_Costs not in AURORA 2006GRC 6.15.06 3 4" xfId="7021"/>
    <cellStyle name="_Costs not in AURORA 2006GRC 6.15.06 3 4 2" xfId="7022"/>
    <cellStyle name="_Costs not in AURORA 2006GRC 6.15.06 3 4 2 2" xfId="7023"/>
    <cellStyle name="_Costs not in AURORA 2006GRC 6.15.06 3 4 3" xfId="7024"/>
    <cellStyle name="_Costs not in AURORA 2006GRC 6.15.06 3 5" xfId="7025"/>
    <cellStyle name="_Costs not in AURORA 2006GRC 6.15.06 4" xfId="7026"/>
    <cellStyle name="_Costs not in AURORA 2006GRC 6.15.06 4 2" xfId="7027"/>
    <cellStyle name="_Costs not in AURORA 2006GRC 6.15.06 4 2 2" xfId="7028"/>
    <cellStyle name="_Costs not in AURORA 2006GRC 6.15.06 4 3" xfId="7029"/>
    <cellStyle name="_Costs not in AURORA 2006GRC 6.15.06 5" xfId="7030"/>
    <cellStyle name="_Costs not in AURORA 2006GRC 6.15.06 5 2" xfId="7031"/>
    <cellStyle name="_Costs not in AURORA 2006GRC 6.15.06 5 2 2" xfId="7032"/>
    <cellStyle name="_Costs not in AURORA 2006GRC 6.15.06 5 3" xfId="7033"/>
    <cellStyle name="_Costs not in AURORA 2006GRC 6.15.06 6" xfId="7034"/>
    <cellStyle name="_Costs not in AURORA 2006GRC 6.15.06 6 2" xfId="7035"/>
    <cellStyle name="_Costs not in AURORA 2006GRC 6.15.06 7" xfId="7036"/>
    <cellStyle name="_Costs not in AURORA 2006GRC 6.15.06 7 2" xfId="7037"/>
    <cellStyle name="_Costs not in AURORA 2006GRC 6.15.06 8" xfId="7038"/>
    <cellStyle name="_Costs not in AURORA 2006GRC 6.15.06 8 2" xfId="7039"/>
    <cellStyle name="_Costs not in AURORA 2006GRC 6.15.06 9" xfId="7040"/>
    <cellStyle name="_Costs not in AURORA 2006GRC 6.15.06 9 2" xfId="7041"/>
    <cellStyle name="_Costs not in AURORA 2006GRC 6.15.06_04 07E Wild Horse Wind Expansion (C) (2)" xfId="278"/>
    <cellStyle name="_Costs not in AURORA 2006GRC 6.15.06_04 07E Wild Horse Wind Expansion (C) (2) 2" xfId="7042"/>
    <cellStyle name="_Costs not in AURORA 2006GRC 6.15.06_04 07E Wild Horse Wind Expansion (C) (2) 2 2" xfId="7043"/>
    <cellStyle name="_Costs not in AURORA 2006GRC 6.15.06_04 07E Wild Horse Wind Expansion (C) (2) 2 2 2" xfId="7044"/>
    <cellStyle name="_Costs not in AURORA 2006GRC 6.15.06_04 07E Wild Horse Wind Expansion (C) (2) 2 3" xfId="7045"/>
    <cellStyle name="_Costs not in AURORA 2006GRC 6.15.06_04 07E Wild Horse Wind Expansion (C) (2) 3" xfId="7046"/>
    <cellStyle name="_Costs not in AURORA 2006GRC 6.15.06_04 07E Wild Horse Wind Expansion (C) (2) 3 2" xfId="7047"/>
    <cellStyle name="_Costs not in AURORA 2006GRC 6.15.06_04 07E Wild Horse Wind Expansion (C) (2) 4" xfId="7048"/>
    <cellStyle name="_Costs not in AURORA 2006GRC 6.15.06_04 07E Wild Horse Wind Expansion (C) (2)_Adj Bench DR 3 for Initial Briefs (Electric)" xfId="279"/>
    <cellStyle name="_Costs not in AURORA 2006GRC 6.15.06_04 07E Wild Horse Wind Expansion (C) (2)_Adj Bench DR 3 for Initial Briefs (Electric) 2" xfId="7049"/>
    <cellStyle name="_Costs not in AURORA 2006GRC 6.15.06_04 07E Wild Horse Wind Expansion (C) (2)_Adj Bench DR 3 for Initial Briefs (Electric) 2 2" xfId="7050"/>
    <cellStyle name="_Costs not in AURORA 2006GRC 6.15.06_04 07E Wild Horse Wind Expansion (C) (2)_Adj Bench DR 3 for Initial Briefs (Electric) 2 2 2" xfId="7051"/>
    <cellStyle name="_Costs not in AURORA 2006GRC 6.15.06_04 07E Wild Horse Wind Expansion (C) (2)_Adj Bench DR 3 for Initial Briefs (Electric) 2 3" xfId="7052"/>
    <cellStyle name="_Costs not in AURORA 2006GRC 6.15.06_04 07E Wild Horse Wind Expansion (C) (2)_Adj Bench DR 3 for Initial Briefs (Electric) 3" xfId="7053"/>
    <cellStyle name="_Costs not in AURORA 2006GRC 6.15.06_04 07E Wild Horse Wind Expansion (C) (2)_Adj Bench DR 3 for Initial Briefs (Electric) 3 2" xfId="7054"/>
    <cellStyle name="_Costs not in AURORA 2006GRC 6.15.06_04 07E Wild Horse Wind Expansion (C) (2)_Adj Bench DR 3 for Initial Briefs (Electric) 4" xfId="7055"/>
    <cellStyle name="_Costs not in AURORA 2006GRC 6.15.06_04 07E Wild Horse Wind Expansion (C) (2)_Adj Bench DR 3 for Initial Briefs (Electric)_DEM-WP(C) ENERG10C--ctn Mid-C_042010 2010GRC" xfId="7056"/>
    <cellStyle name="_Costs not in AURORA 2006GRC 6.15.06_04 07E Wild Horse Wind Expansion (C) (2)_Book1" xfId="7057"/>
    <cellStyle name="_Costs not in AURORA 2006GRC 6.15.06_04 07E Wild Horse Wind Expansion (C) (2)_DEM-WP(C) ENERG10C--ctn Mid-C_042010 2010GRC" xfId="7058"/>
    <cellStyle name="_Costs not in AURORA 2006GRC 6.15.06_04 07E Wild Horse Wind Expansion (C) (2)_Electric Rev Req Model (2009 GRC) " xfId="280"/>
    <cellStyle name="_Costs not in AURORA 2006GRC 6.15.06_04 07E Wild Horse Wind Expansion (C) (2)_Electric Rev Req Model (2009 GRC)  2" xfId="7059"/>
    <cellStyle name="_Costs not in AURORA 2006GRC 6.15.06_04 07E Wild Horse Wind Expansion (C) (2)_Electric Rev Req Model (2009 GRC)  2 2" xfId="7060"/>
    <cellStyle name="_Costs not in AURORA 2006GRC 6.15.06_04 07E Wild Horse Wind Expansion (C) (2)_Electric Rev Req Model (2009 GRC)  2 2 2" xfId="7061"/>
    <cellStyle name="_Costs not in AURORA 2006GRC 6.15.06_04 07E Wild Horse Wind Expansion (C) (2)_Electric Rev Req Model (2009 GRC)  2 3" xfId="7062"/>
    <cellStyle name="_Costs not in AURORA 2006GRC 6.15.06_04 07E Wild Horse Wind Expansion (C) (2)_Electric Rev Req Model (2009 GRC)  3" xfId="7063"/>
    <cellStyle name="_Costs not in AURORA 2006GRC 6.15.06_04 07E Wild Horse Wind Expansion (C) (2)_Electric Rev Req Model (2009 GRC)  3 2" xfId="7064"/>
    <cellStyle name="_Costs not in AURORA 2006GRC 6.15.06_04 07E Wild Horse Wind Expansion (C) (2)_Electric Rev Req Model (2009 GRC)  4" xfId="7065"/>
    <cellStyle name="_Costs not in AURORA 2006GRC 6.15.06_04 07E Wild Horse Wind Expansion (C) (2)_Electric Rev Req Model (2009 GRC) _DEM-WP(C) ENERG10C--ctn Mid-C_042010 2010GRC" xfId="7066"/>
    <cellStyle name="_Costs not in AURORA 2006GRC 6.15.06_04 07E Wild Horse Wind Expansion (C) (2)_Electric Rev Req Model (2009 GRC) Rebuttal" xfId="281"/>
    <cellStyle name="_Costs not in AURORA 2006GRC 6.15.06_04 07E Wild Horse Wind Expansion (C) (2)_Electric Rev Req Model (2009 GRC) Rebuttal 2" xfId="7067"/>
    <cellStyle name="_Costs not in AURORA 2006GRC 6.15.06_04 07E Wild Horse Wind Expansion (C) (2)_Electric Rev Req Model (2009 GRC) Rebuttal 2 2" xfId="7068"/>
    <cellStyle name="_Costs not in AURORA 2006GRC 6.15.06_04 07E Wild Horse Wind Expansion (C) (2)_Electric Rev Req Model (2009 GRC) Rebuttal 2 2 2" xfId="7069"/>
    <cellStyle name="_Costs not in AURORA 2006GRC 6.15.06_04 07E Wild Horse Wind Expansion (C) (2)_Electric Rev Req Model (2009 GRC) Rebuttal 2 3" xfId="7070"/>
    <cellStyle name="_Costs not in AURORA 2006GRC 6.15.06_04 07E Wild Horse Wind Expansion (C) (2)_Electric Rev Req Model (2009 GRC) Rebuttal 3" xfId="7071"/>
    <cellStyle name="_Costs not in AURORA 2006GRC 6.15.06_04 07E Wild Horse Wind Expansion (C) (2)_Electric Rev Req Model (2009 GRC) Rebuttal 3 2" xfId="7072"/>
    <cellStyle name="_Costs not in AURORA 2006GRC 6.15.06_04 07E Wild Horse Wind Expansion (C) (2)_Electric Rev Req Model (2009 GRC) Rebuttal 4" xfId="7073"/>
    <cellStyle name="_Costs not in AURORA 2006GRC 6.15.06_04 07E Wild Horse Wind Expansion (C) (2)_Electric Rev Req Model (2009 GRC) Rebuttal REmoval of New  WH Solar AdjustMI" xfId="282"/>
    <cellStyle name="_Costs not in AURORA 2006GRC 6.15.06_04 07E Wild Horse Wind Expansion (C) (2)_Electric Rev Req Model (2009 GRC) Rebuttal REmoval of New  WH Solar AdjustMI 2" xfId="7074"/>
    <cellStyle name="_Costs not in AURORA 2006GRC 6.15.06_04 07E Wild Horse Wind Expansion (C) (2)_Electric Rev Req Model (2009 GRC) Rebuttal REmoval of New  WH Solar AdjustMI 2 2" xfId="7075"/>
    <cellStyle name="_Costs not in AURORA 2006GRC 6.15.06_04 07E Wild Horse Wind Expansion (C) (2)_Electric Rev Req Model (2009 GRC) Rebuttal REmoval of New  WH Solar AdjustMI 2 2 2" xfId="7076"/>
    <cellStyle name="_Costs not in AURORA 2006GRC 6.15.06_04 07E Wild Horse Wind Expansion (C) (2)_Electric Rev Req Model (2009 GRC) Rebuttal REmoval of New  WH Solar AdjustMI 2 3" xfId="7077"/>
    <cellStyle name="_Costs not in AURORA 2006GRC 6.15.06_04 07E Wild Horse Wind Expansion (C) (2)_Electric Rev Req Model (2009 GRC) Rebuttal REmoval of New  WH Solar AdjustMI 3" xfId="7078"/>
    <cellStyle name="_Costs not in AURORA 2006GRC 6.15.06_04 07E Wild Horse Wind Expansion (C) (2)_Electric Rev Req Model (2009 GRC) Rebuttal REmoval of New  WH Solar AdjustMI 3 2" xfId="7079"/>
    <cellStyle name="_Costs not in AURORA 2006GRC 6.15.06_04 07E Wild Horse Wind Expansion (C) (2)_Electric Rev Req Model (2009 GRC) Rebuttal REmoval of New  WH Solar AdjustMI 4" xfId="7080"/>
    <cellStyle name="_Costs not in AURORA 2006GRC 6.15.06_04 07E Wild Horse Wind Expansion (C) (2)_Electric Rev Req Model (2009 GRC) Rebuttal REmoval of New  WH Solar AdjustMI_DEM-WP(C) ENERG10C--ctn Mid-C_042010 2010GRC" xfId="7081"/>
    <cellStyle name="_Costs not in AURORA 2006GRC 6.15.06_04 07E Wild Horse Wind Expansion (C) (2)_Electric Rev Req Model (2009 GRC) Revised 01-18-2010" xfId="283"/>
    <cellStyle name="_Costs not in AURORA 2006GRC 6.15.06_04 07E Wild Horse Wind Expansion (C) (2)_Electric Rev Req Model (2009 GRC) Revised 01-18-2010 2" xfId="7082"/>
    <cellStyle name="_Costs not in AURORA 2006GRC 6.15.06_04 07E Wild Horse Wind Expansion (C) (2)_Electric Rev Req Model (2009 GRC) Revised 01-18-2010 2 2" xfId="7083"/>
    <cellStyle name="_Costs not in AURORA 2006GRC 6.15.06_04 07E Wild Horse Wind Expansion (C) (2)_Electric Rev Req Model (2009 GRC) Revised 01-18-2010 2 2 2" xfId="7084"/>
    <cellStyle name="_Costs not in AURORA 2006GRC 6.15.06_04 07E Wild Horse Wind Expansion (C) (2)_Electric Rev Req Model (2009 GRC) Revised 01-18-2010 2 3" xfId="7085"/>
    <cellStyle name="_Costs not in AURORA 2006GRC 6.15.06_04 07E Wild Horse Wind Expansion (C) (2)_Electric Rev Req Model (2009 GRC) Revised 01-18-2010 3" xfId="7086"/>
    <cellStyle name="_Costs not in AURORA 2006GRC 6.15.06_04 07E Wild Horse Wind Expansion (C) (2)_Electric Rev Req Model (2009 GRC) Revised 01-18-2010 3 2" xfId="7087"/>
    <cellStyle name="_Costs not in AURORA 2006GRC 6.15.06_04 07E Wild Horse Wind Expansion (C) (2)_Electric Rev Req Model (2009 GRC) Revised 01-18-2010 4" xfId="7088"/>
    <cellStyle name="_Costs not in AURORA 2006GRC 6.15.06_04 07E Wild Horse Wind Expansion (C) (2)_Electric Rev Req Model (2009 GRC) Revised 01-18-2010_DEM-WP(C) ENERG10C--ctn Mid-C_042010 2010GRC" xfId="7089"/>
    <cellStyle name="_Costs not in AURORA 2006GRC 6.15.06_04 07E Wild Horse Wind Expansion (C) (2)_Electric Rev Req Model (2010 GRC)" xfId="7090"/>
    <cellStyle name="_Costs not in AURORA 2006GRC 6.15.06_04 07E Wild Horse Wind Expansion (C) (2)_Electric Rev Req Model (2010 GRC) SF" xfId="7091"/>
    <cellStyle name="_Costs not in AURORA 2006GRC 6.15.06_04 07E Wild Horse Wind Expansion (C) (2)_Final Order Electric EXHIBIT A-1" xfId="284"/>
    <cellStyle name="_Costs not in AURORA 2006GRC 6.15.06_04 07E Wild Horse Wind Expansion (C) (2)_Final Order Electric EXHIBIT A-1 2" xfId="7092"/>
    <cellStyle name="_Costs not in AURORA 2006GRC 6.15.06_04 07E Wild Horse Wind Expansion (C) (2)_Final Order Electric EXHIBIT A-1 2 2" xfId="7093"/>
    <cellStyle name="_Costs not in AURORA 2006GRC 6.15.06_04 07E Wild Horse Wind Expansion (C) (2)_Final Order Electric EXHIBIT A-1 2 2 2" xfId="7094"/>
    <cellStyle name="_Costs not in AURORA 2006GRC 6.15.06_04 07E Wild Horse Wind Expansion (C) (2)_Final Order Electric EXHIBIT A-1 2 3" xfId="7095"/>
    <cellStyle name="_Costs not in AURORA 2006GRC 6.15.06_04 07E Wild Horse Wind Expansion (C) (2)_Final Order Electric EXHIBIT A-1 3" xfId="7096"/>
    <cellStyle name="_Costs not in AURORA 2006GRC 6.15.06_04 07E Wild Horse Wind Expansion (C) (2)_Final Order Electric EXHIBIT A-1 3 2" xfId="7097"/>
    <cellStyle name="_Costs not in AURORA 2006GRC 6.15.06_04 07E Wild Horse Wind Expansion (C) (2)_Final Order Electric EXHIBIT A-1 4" xfId="7098"/>
    <cellStyle name="_Costs not in AURORA 2006GRC 6.15.06_04 07E Wild Horse Wind Expansion (C) (2)_TENASKA REGULATORY ASSET" xfId="285"/>
    <cellStyle name="_Costs not in AURORA 2006GRC 6.15.06_04 07E Wild Horse Wind Expansion (C) (2)_TENASKA REGULATORY ASSET 2" xfId="7099"/>
    <cellStyle name="_Costs not in AURORA 2006GRC 6.15.06_04 07E Wild Horse Wind Expansion (C) (2)_TENASKA REGULATORY ASSET 2 2" xfId="7100"/>
    <cellStyle name="_Costs not in AURORA 2006GRC 6.15.06_04 07E Wild Horse Wind Expansion (C) (2)_TENASKA REGULATORY ASSET 2 2 2" xfId="7101"/>
    <cellStyle name="_Costs not in AURORA 2006GRC 6.15.06_04 07E Wild Horse Wind Expansion (C) (2)_TENASKA REGULATORY ASSET 2 3" xfId="7102"/>
    <cellStyle name="_Costs not in AURORA 2006GRC 6.15.06_04 07E Wild Horse Wind Expansion (C) (2)_TENASKA REGULATORY ASSET 3" xfId="7103"/>
    <cellStyle name="_Costs not in AURORA 2006GRC 6.15.06_04 07E Wild Horse Wind Expansion (C) (2)_TENASKA REGULATORY ASSET 3 2" xfId="7104"/>
    <cellStyle name="_Costs not in AURORA 2006GRC 6.15.06_04 07E Wild Horse Wind Expansion (C) (2)_TENASKA REGULATORY ASSET 4" xfId="7105"/>
    <cellStyle name="_Costs not in AURORA 2006GRC 6.15.06_16.37E Wild Horse Expansion DeferralRevwrkingfile SF" xfId="286"/>
    <cellStyle name="_Costs not in AURORA 2006GRC 6.15.06_16.37E Wild Horse Expansion DeferralRevwrkingfile SF 2" xfId="7106"/>
    <cellStyle name="_Costs not in AURORA 2006GRC 6.15.06_16.37E Wild Horse Expansion DeferralRevwrkingfile SF 2 2" xfId="7107"/>
    <cellStyle name="_Costs not in AURORA 2006GRC 6.15.06_16.37E Wild Horse Expansion DeferralRevwrkingfile SF 2 2 2" xfId="7108"/>
    <cellStyle name="_Costs not in AURORA 2006GRC 6.15.06_16.37E Wild Horse Expansion DeferralRevwrkingfile SF 2 3" xfId="7109"/>
    <cellStyle name="_Costs not in AURORA 2006GRC 6.15.06_16.37E Wild Horse Expansion DeferralRevwrkingfile SF 3" xfId="7110"/>
    <cellStyle name="_Costs not in AURORA 2006GRC 6.15.06_16.37E Wild Horse Expansion DeferralRevwrkingfile SF 3 2" xfId="7111"/>
    <cellStyle name="_Costs not in AURORA 2006GRC 6.15.06_16.37E Wild Horse Expansion DeferralRevwrkingfile SF 4" xfId="7112"/>
    <cellStyle name="_Costs not in AURORA 2006GRC 6.15.06_16.37E Wild Horse Expansion DeferralRevwrkingfile SF_DEM-WP(C) ENERG10C--ctn Mid-C_042010 2010GRC" xfId="7113"/>
    <cellStyle name="_Costs not in AURORA 2006GRC 6.15.06_2009 Compliance Filing PCA Exhibits for GRC" xfId="7114"/>
    <cellStyle name="_Costs not in AURORA 2006GRC 6.15.06_2009 Compliance Filing PCA Exhibits for GRC 2" xfId="7115"/>
    <cellStyle name="_Costs not in AURORA 2006GRC 6.15.06_2009 GRC Compl Filing - Exhibit D" xfId="287"/>
    <cellStyle name="_Costs not in AURORA 2006GRC 6.15.06_2009 GRC Compl Filing - Exhibit D 2" xfId="7116"/>
    <cellStyle name="_Costs not in AURORA 2006GRC 6.15.06_2009 GRC Compl Filing - Exhibit D 2 2" xfId="7117"/>
    <cellStyle name="_Costs not in AURORA 2006GRC 6.15.06_2009 GRC Compl Filing - Exhibit D 3" xfId="7118"/>
    <cellStyle name="_Costs not in AURORA 2006GRC 6.15.06_2009 GRC Compl Filing - Exhibit D_DEM-WP(C) ENERG10C--ctn Mid-C_042010 2010GRC" xfId="7119"/>
    <cellStyle name="_Costs not in AURORA 2006GRC 6.15.06_3.01 Income Statement" xfId="288"/>
    <cellStyle name="_Costs not in AURORA 2006GRC 6.15.06_4 31 Regulatory Assets and Liabilities  7 06- Exhibit D" xfId="289"/>
    <cellStyle name="_Costs not in AURORA 2006GRC 6.15.06_4 31 Regulatory Assets and Liabilities  7 06- Exhibit D 2" xfId="7120"/>
    <cellStyle name="_Costs not in AURORA 2006GRC 6.15.06_4 31 Regulatory Assets and Liabilities  7 06- Exhibit D 2 2" xfId="7121"/>
    <cellStyle name="_Costs not in AURORA 2006GRC 6.15.06_4 31 Regulatory Assets and Liabilities  7 06- Exhibit D 2 2 2" xfId="7122"/>
    <cellStyle name="_Costs not in AURORA 2006GRC 6.15.06_4 31 Regulatory Assets and Liabilities  7 06- Exhibit D 2 3" xfId="7123"/>
    <cellStyle name="_Costs not in AURORA 2006GRC 6.15.06_4 31 Regulatory Assets and Liabilities  7 06- Exhibit D 3" xfId="7124"/>
    <cellStyle name="_Costs not in AURORA 2006GRC 6.15.06_4 31 Regulatory Assets and Liabilities  7 06- Exhibit D 3 2" xfId="7125"/>
    <cellStyle name="_Costs not in AURORA 2006GRC 6.15.06_4 31 Regulatory Assets and Liabilities  7 06- Exhibit D 4" xfId="7126"/>
    <cellStyle name="_Costs not in AURORA 2006GRC 6.15.06_4 31 Regulatory Assets and Liabilities  7 06- Exhibit D_DEM-WP(C) ENERG10C--ctn Mid-C_042010 2010GRC" xfId="7127"/>
    <cellStyle name="_Costs not in AURORA 2006GRC 6.15.06_4 31 Regulatory Assets and Liabilities  7 06- Exhibit D_NIM Summary" xfId="7128"/>
    <cellStyle name="_Costs not in AURORA 2006GRC 6.15.06_4 31 Regulatory Assets and Liabilities  7 06- Exhibit D_NIM Summary 2" xfId="7129"/>
    <cellStyle name="_Costs not in AURORA 2006GRC 6.15.06_4 31 Regulatory Assets and Liabilities  7 06- Exhibit D_NIM Summary 2 2" xfId="7130"/>
    <cellStyle name="_Costs not in AURORA 2006GRC 6.15.06_4 31 Regulatory Assets and Liabilities  7 06- Exhibit D_NIM Summary 3" xfId="7131"/>
    <cellStyle name="_Costs not in AURORA 2006GRC 6.15.06_4 31 Regulatory Assets and Liabilities  7 06- Exhibit D_NIM Summary_DEM-WP(C) ENERG10C--ctn Mid-C_042010 2010GRC" xfId="7132"/>
    <cellStyle name="_Costs not in AURORA 2006GRC 6.15.06_4 31E Reg Asset  Liab and EXH D" xfId="7133"/>
    <cellStyle name="_Costs not in AURORA 2006GRC 6.15.06_4 31E Reg Asset  Liab and EXH D _ Aug 10 Filing (2)" xfId="7134"/>
    <cellStyle name="_Costs not in AURORA 2006GRC 6.15.06_4 31E Reg Asset  Liab and EXH D _ Aug 10 Filing (2) 2" xfId="7135"/>
    <cellStyle name="_Costs not in AURORA 2006GRC 6.15.06_4 31E Reg Asset  Liab and EXH D 10" xfId="7136"/>
    <cellStyle name="_Costs not in AURORA 2006GRC 6.15.06_4 31E Reg Asset  Liab and EXH D 11" xfId="7137"/>
    <cellStyle name="_Costs not in AURORA 2006GRC 6.15.06_4 31E Reg Asset  Liab and EXH D 12" xfId="7138"/>
    <cellStyle name="_Costs not in AURORA 2006GRC 6.15.06_4 31E Reg Asset  Liab and EXH D 13" xfId="7139"/>
    <cellStyle name="_Costs not in AURORA 2006GRC 6.15.06_4 31E Reg Asset  Liab and EXH D 14" xfId="7140"/>
    <cellStyle name="_Costs not in AURORA 2006GRC 6.15.06_4 31E Reg Asset  Liab and EXH D 15" xfId="7141"/>
    <cellStyle name="_Costs not in AURORA 2006GRC 6.15.06_4 31E Reg Asset  Liab and EXH D 16" xfId="7142"/>
    <cellStyle name="_Costs not in AURORA 2006GRC 6.15.06_4 31E Reg Asset  Liab and EXH D 17" xfId="7143"/>
    <cellStyle name="_Costs not in AURORA 2006GRC 6.15.06_4 31E Reg Asset  Liab and EXH D 18" xfId="7144"/>
    <cellStyle name="_Costs not in AURORA 2006GRC 6.15.06_4 31E Reg Asset  Liab and EXH D 19" xfId="7145"/>
    <cellStyle name="_Costs not in AURORA 2006GRC 6.15.06_4 31E Reg Asset  Liab and EXH D 2" xfId="7146"/>
    <cellStyle name="_Costs not in AURORA 2006GRC 6.15.06_4 31E Reg Asset  Liab and EXH D 20" xfId="7147"/>
    <cellStyle name="_Costs not in AURORA 2006GRC 6.15.06_4 31E Reg Asset  Liab and EXH D 21" xfId="7148"/>
    <cellStyle name="_Costs not in AURORA 2006GRC 6.15.06_4 31E Reg Asset  Liab and EXH D 22" xfId="7149"/>
    <cellStyle name="_Costs not in AURORA 2006GRC 6.15.06_4 31E Reg Asset  Liab and EXH D 23" xfId="7150"/>
    <cellStyle name="_Costs not in AURORA 2006GRC 6.15.06_4 31E Reg Asset  Liab and EXH D 24" xfId="7151"/>
    <cellStyle name="_Costs not in AURORA 2006GRC 6.15.06_4 31E Reg Asset  Liab and EXH D 25" xfId="7152"/>
    <cellStyle name="_Costs not in AURORA 2006GRC 6.15.06_4 31E Reg Asset  Liab and EXH D 26" xfId="7153"/>
    <cellStyle name="_Costs not in AURORA 2006GRC 6.15.06_4 31E Reg Asset  Liab and EXH D 27" xfId="7154"/>
    <cellStyle name="_Costs not in AURORA 2006GRC 6.15.06_4 31E Reg Asset  Liab and EXH D 28" xfId="7155"/>
    <cellStyle name="_Costs not in AURORA 2006GRC 6.15.06_4 31E Reg Asset  Liab and EXH D 29" xfId="7156"/>
    <cellStyle name="_Costs not in AURORA 2006GRC 6.15.06_4 31E Reg Asset  Liab and EXH D 3" xfId="7157"/>
    <cellStyle name="_Costs not in AURORA 2006GRC 6.15.06_4 31E Reg Asset  Liab and EXH D 30" xfId="7158"/>
    <cellStyle name="_Costs not in AURORA 2006GRC 6.15.06_4 31E Reg Asset  Liab and EXH D 31" xfId="7159"/>
    <cellStyle name="_Costs not in AURORA 2006GRC 6.15.06_4 31E Reg Asset  Liab and EXH D 32" xfId="7160"/>
    <cellStyle name="_Costs not in AURORA 2006GRC 6.15.06_4 31E Reg Asset  Liab and EXH D 33" xfId="7161"/>
    <cellStyle name="_Costs not in AURORA 2006GRC 6.15.06_4 31E Reg Asset  Liab and EXH D 34" xfId="7162"/>
    <cellStyle name="_Costs not in AURORA 2006GRC 6.15.06_4 31E Reg Asset  Liab and EXH D 35" xfId="7163"/>
    <cellStyle name="_Costs not in AURORA 2006GRC 6.15.06_4 31E Reg Asset  Liab and EXH D 36" xfId="7164"/>
    <cellStyle name="_Costs not in AURORA 2006GRC 6.15.06_4 31E Reg Asset  Liab and EXH D 4" xfId="7165"/>
    <cellStyle name="_Costs not in AURORA 2006GRC 6.15.06_4 31E Reg Asset  Liab and EXH D 5" xfId="7166"/>
    <cellStyle name="_Costs not in AURORA 2006GRC 6.15.06_4 31E Reg Asset  Liab and EXH D 6" xfId="7167"/>
    <cellStyle name="_Costs not in AURORA 2006GRC 6.15.06_4 31E Reg Asset  Liab and EXH D 7" xfId="7168"/>
    <cellStyle name="_Costs not in AURORA 2006GRC 6.15.06_4 31E Reg Asset  Liab and EXH D 8" xfId="7169"/>
    <cellStyle name="_Costs not in AURORA 2006GRC 6.15.06_4 31E Reg Asset  Liab and EXH D 9" xfId="7170"/>
    <cellStyle name="_Costs not in AURORA 2006GRC 6.15.06_4 32 Regulatory Assets and Liabilities  7 06- Exhibit D" xfId="290"/>
    <cellStyle name="_Costs not in AURORA 2006GRC 6.15.06_4 32 Regulatory Assets and Liabilities  7 06- Exhibit D 2" xfId="7171"/>
    <cellStyle name="_Costs not in AURORA 2006GRC 6.15.06_4 32 Regulatory Assets and Liabilities  7 06- Exhibit D 2 2" xfId="7172"/>
    <cellStyle name="_Costs not in AURORA 2006GRC 6.15.06_4 32 Regulatory Assets and Liabilities  7 06- Exhibit D 2 2 2" xfId="7173"/>
    <cellStyle name="_Costs not in AURORA 2006GRC 6.15.06_4 32 Regulatory Assets and Liabilities  7 06- Exhibit D 2 3" xfId="7174"/>
    <cellStyle name="_Costs not in AURORA 2006GRC 6.15.06_4 32 Regulatory Assets and Liabilities  7 06- Exhibit D 3" xfId="7175"/>
    <cellStyle name="_Costs not in AURORA 2006GRC 6.15.06_4 32 Regulatory Assets and Liabilities  7 06- Exhibit D 3 2" xfId="7176"/>
    <cellStyle name="_Costs not in AURORA 2006GRC 6.15.06_4 32 Regulatory Assets and Liabilities  7 06- Exhibit D 4" xfId="7177"/>
    <cellStyle name="_Costs not in AURORA 2006GRC 6.15.06_4 32 Regulatory Assets and Liabilities  7 06- Exhibit D_DEM-WP(C) ENERG10C--ctn Mid-C_042010 2010GRC" xfId="7178"/>
    <cellStyle name="_Costs not in AURORA 2006GRC 6.15.06_4 32 Regulatory Assets and Liabilities  7 06- Exhibit D_NIM Summary" xfId="7179"/>
    <cellStyle name="_Costs not in AURORA 2006GRC 6.15.06_4 32 Regulatory Assets and Liabilities  7 06- Exhibit D_NIM Summary 2" xfId="7180"/>
    <cellStyle name="_Costs not in AURORA 2006GRC 6.15.06_4 32 Regulatory Assets and Liabilities  7 06- Exhibit D_NIM Summary 2 2" xfId="7181"/>
    <cellStyle name="_Costs not in AURORA 2006GRC 6.15.06_4 32 Regulatory Assets and Liabilities  7 06- Exhibit D_NIM Summary 3" xfId="7182"/>
    <cellStyle name="_Costs not in AURORA 2006GRC 6.15.06_4 32 Regulatory Assets and Liabilities  7 06- Exhibit D_NIM Summary_DEM-WP(C) ENERG10C--ctn Mid-C_042010 2010GRC" xfId="7183"/>
    <cellStyle name="_Costs not in AURORA 2006GRC 6.15.06_AURORA Total New" xfId="7184"/>
    <cellStyle name="_Costs not in AURORA 2006GRC 6.15.06_AURORA Total New 2" xfId="7185"/>
    <cellStyle name="_Costs not in AURORA 2006GRC 6.15.06_AURORA Total New 2 2" xfId="7186"/>
    <cellStyle name="_Costs not in AURORA 2006GRC 6.15.06_AURORA Total New 3" xfId="7187"/>
    <cellStyle name="_Costs not in AURORA 2006GRC 6.15.06_Book2" xfId="291"/>
    <cellStyle name="_Costs not in AURORA 2006GRC 6.15.06_Book2 2" xfId="7188"/>
    <cellStyle name="_Costs not in AURORA 2006GRC 6.15.06_Book2 2 2" xfId="7189"/>
    <cellStyle name="_Costs not in AURORA 2006GRC 6.15.06_Book2 2 2 2" xfId="7190"/>
    <cellStyle name="_Costs not in AURORA 2006GRC 6.15.06_Book2 2 3" xfId="7191"/>
    <cellStyle name="_Costs not in AURORA 2006GRC 6.15.06_Book2 3" xfId="7192"/>
    <cellStyle name="_Costs not in AURORA 2006GRC 6.15.06_Book2 3 2" xfId="7193"/>
    <cellStyle name="_Costs not in AURORA 2006GRC 6.15.06_Book2 4" xfId="7194"/>
    <cellStyle name="_Costs not in AURORA 2006GRC 6.15.06_Book2_Adj Bench DR 3 for Initial Briefs (Electric)" xfId="292"/>
    <cellStyle name="_Costs not in AURORA 2006GRC 6.15.06_Book2_Adj Bench DR 3 for Initial Briefs (Electric) 2" xfId="7195"/>
    <cellStyle name="_Costs not in AURORA 2006GRC 6.15.06_Book2_Adj Bench DR 3 for Initial Briefs (Electric) 2 2" xfId="7196"/>
    <cellStyle name="_Costs not in AURORA 2006GRC 6.15.06_Book2_Adj Bench DR 3 for Initial Briefs (Electric) 2 2 2" xfId="7197"/>
    <cellStyle name="_Costs not in AURORA 2006GRC 6.15.06_Book2_Adj Bench DR 3 for Initial Briefs (Electric) 2 3" xfId="7198"/>
    <cellStyle name="_Costs not in AURORA 2006GRC 6.15.06_Book2_Adj Bench DR 3 for Initial Briefs (Electric) 3" xfId="7199"/>
    <cellStyle name="_Costs not in AURORA 2006GRC 6.15.06_Book2_Adj Bench DR 3 for Initial Briefs (Electric) 3 2" xfId="7200"/>
    <cellStyle name="_Costs not in AURORA 2006GRC 6.15.06_Book2_Adj Bench DR 3 for Initial Briefs (Electric) 4" xfId="7201"/>
    <cellStyle name="_Costs not in AURORA 2006GRC 6.15.06_Book2_Adj Bench DR 3 for Initial Briefs (Electric)_DEM-WP(C) ENERG10C--ctn Mid-C_042010 2010GRC" xfId="7202"/>
    <cellStyle name="_Costs not in AURORA 2006GRC 6.15.06_Book2_DEM-WP(C) ENERG10C--ctn Mid-C_042010 2010GRC" xfId="7203"/>
    <cellStyle name="_Costs not in AURORA 2006GRC 6.15.06_Book2_Electric Rev Req Model (2009 GRC) Rebuttal" xfId="293"/>
    <cellStyle name="_Costs not in AURORA 2006GRC 6.15.06_Book2_Electric Rev Req Model (2009 GRC) Rebuttal 2" xfId="7204"/>
    <cellStyle name="_Costs not in AURORA 2006GRC 6.15.06_Book2_Electric Rev Req Model (2009 GRC) Rebuttal 2 2" xfId="7205"/>
    <cellStyle name="_Costs not in AURORA 2006GRC 6.15.06_Book2_Electric Rev Req Model (2009 GRC) Rebuttal 2 2 2" xfId="7206"/>
    <cellStyle name="_Costs not in AURORA 2006GRC 6.15.06_Book2_Electric Rev Req Model (2009 GRC) Rebuttal 2 3" xfId="7207"/>
    <cellStyle name="_Costs not in AURORA 2006GRC 6.15.06_Book2_Electric Rev Req Model (2009 GRC) Rebuttal 3" xfId="7208"/>
    <cellStyle name="_Costs not in AURORA 2006GRC 6.15.06_Book2_Electric Rev Req Model (2009 GRC) Rebuttal 3 2" xfId="7209"/>
    <cellStyle name="_Costs not in AURORA 2006GRC 6.15.06_Book2_Electric Rev Req Model (2009 GRC) Rebuttal 4" xfId="7210"/>
    <cellStyle name="_Costs not in AURORA 2006GRC 6.15.06_Book2_Electric Rev Req Model (2009 GRC) Rebuttal REmoval of New  WH Solar AdjustMI" xfId="294"/>
    <cellStyle name="_Costs not in AURORA 2006GRC 6.15.06_Book2_Electric Rev Req Model (2009 GRC) Rebuttal REmoval of New  WH Solar AdjustMI 2" xfId="7211"/>
    <cellStyle name="_Costs not in AURORA 2006GRC 6.15.06_Book2_Electric Rev Req Model (2009 GRC) Rebuttal REmoval of New  WH Solar AdjustMI 2 2" xfId="7212"/>
    <cellStyle name="_Costs not in AURORA 2006GRC 6.15.06_Book2_Electric Rev Req Model (2009 GRC) Rebuttal REmoval of New  WH Solar AdjustMI 2 2 2" xfId="7213"/>
    <cellStyle name="_Costs not in AURORA 2006GRC 6.15.06_Book2_Electric Rev Req Model (2009 GRC) Rebuttal REmoval of New  WH Solar AdjustMI 2 3" xfId="7214"/>
    <cellStyle name="_Costs not in AURORA 2006GRC 6.15.06_Book2_Electric Rev Req Model (2009 GRC) Rebuttal REmoval of New  WH Solar AdjustMI 3" xfId="7215"/>
    <cellStyle name="_Costs not in AURORA 2006GRC 6.15.06_Book2_Electric Rev Req Model (2009 GRC) Rebuttal REmoval of New  WH Solar AdjustMI 3 2" xfId="7216"/>
    <cellStyle name="_Costs not in AURORA 2006GRC 6.15.06_Book2_Electric Rev Req Model (2009 GRC) Rebuttal REmoval of New  WH Solar AdjustMI 4" xfId="7217"/>
    <cellStyle name="_Costs not in AURORA 2006GRC 6.15.06_Book2_Electric Rev Req Model (2009 GRC) Rebuttal REmoval of New  WH Solar AdjustMI_DEM-WP(C) ENERG10C--ctn Mid-C_042010 2010GRC" xfId="7218"/>
    <cellStyle name="_Costs not in AURORA 2006GRC 6.15.06_Book2_Electric Rev Req Model (2009 GRC) Revised 01-18-2010" xfId="295"/>
    <cellStyle name="_Costs not in AURORA 2006GRC 6.15.06_Book2_Electric Rev Req Model (2009 GRC) Revised 01-18-2010 2" xfId="7219"/>
    <cellStyle name="_Costs not in AURORA 2006GRC 6.15.06_Book2_Electric Rev Req Model (2009 GRC) Revised 01-18-2010 2 2" xfId="7220"/>
    <cellStyle name="_Costs not in AURORA 2006GRC 6.15.06_Book2_Electric Rev Req Model (2009 GRC) Revised 01-18-2010 2 2 2" xfId="7221"/>
    <cellStyle name="_Costs not in AURORA 2006GRC 6.15.06_Book2_Electric Rev Req Model (2009 GRC) Revised 01-18-2010 2 3" xfId="7222"/>
    <cellStyle name="_Costs not in AURORA 2006GRC 6.15.06_Book2_Electric Rev Req Model (2009 GRC) Revised 01-18-2010 3" xfId="7223"/>
    <cellStyle name="_Costs not in AURORA 2006GRC 6.15.06_Book2_Electric Rev Req Model (2009 GRC) Revised 01-18-2010 3 2" xfId="7224"/>
    <cellStyle name="_Costs not in AURORA 2006GRC 6.15.06_Book2_Electric Rev Req Model (2009 GRC) Revised 01-18-2010 4" xfId="7225"/>
    <cellStyle name="_Costs not in AURORA 2006GRC 6.15.06_Book2_Electric Rev Req Model (2009 GRC) Revised 01-18-2010_DEM-WP(C) ENERG10C--ctn Mid-C_042010 2010GRC" xfId="7226"/>
    <cellStyle name="_Costs not in AURORA 2006GRC 6.15.06_Book2_Final Order Electric EXHIBIT A-1" xfId="296"/>
    <cellStyle name="_Costs not in AURORA 2006GRC 6.15.06_Book2_Final Order Electric EXHIBIT A-1 2" xfId="7227"/>
    <cellStyle name="_Costs not in AURORA 2006GRC 6.15.06_Book2_Final Order Electric EXHIBIT A-1 2 2" xfId="7228"/>
    <cellStyle name="_Costs not in AURORA 2006GRC 6.15.06_Book2_Final Order Electric EXHIBIT A-1 2 2 2" xfId="7229"/>
    <cellStyle name="_Costs not in AURORA 2006GRC 6.15.06_Book2_Final Order Electric EXHIBIT A-1 2 3" xfId="7230"/>
    <cellStyle name="_Costs not in AURORA 2006GRC 6.15.06_Book2_Final Order Electric EXHIBIT A-1 3" xfId="7231"/>
    <cellStyle name="_Costs not in AURORA 2006GRC 6.15.06_Book2_Final Order Electric EXHIBIT A-1 3 2" xfId="7232"/>
    <cellStyle name="_Costs not in AURORA 2006GRC 6.15.06_Book2_Final Order Electric EXHIBIT A-1 4" xfId="7233"/>
    <cellStyle name="_Costs not in AURORA 2006GRC 6.15.06_Book4" xfId="297"/>
    <cellStyle name="_Costs not in AURORA 2006GRC 6.15.06_Book4 2" xfId="7234"/>
    <cellStyle name="_Costs not in AURORA 2006GRC 6.15.06_Book4 2 2" xfId="7235"/>
    <cellStyle name="_Costs not in AURORA 2006GRC 6.15.06_Book4 2 2 2" xfId="7236"/>
    <cellStyle name="_Costs not in AURORA 2006GRC 6.15.06_Book4 2 3" xfId="7237"/>
    <cellStyle name="_Costs not in AURORA 2006GRC 6.15.06_Book4 3" xfId="7238"/>
    <cellStyle name="_Costs not in AURORA 2006GRC 6.15.06_Book4 3 2" xfId="7239"/>
    <cellStyle name="_Costs not in AURORA 2006GRC 6.15.06_Book4 4" xfId="7240"/>
    <cellStyle name="_Costs not in AURORA 2006GRC 6.15.06_Book4_DEM-WP(C) ENERG10C--ctn Mid-C_042010 2010GRC" xfId="7241"/>
    <cellStyle name="_Costs not in AURORA 2006GRC 6.15.06_Book9" xfId="298"/>
    <cellStyle name="_Costs not in AURORA 2006GRC 6.15.06_Book9 2" xfId="7242"/>
    <cellStyle name="_Costs not in AURORA 2006GRC 6.15.06_Book9 2 2" xfId="7243"/>
    <cellStyle name="_Costs not in AURORA 2006GRC 6.15.06_Book9 2 2 2" xfId="7244"/>
    <cellStyle name="_Costs not in AURORA 2006GRC 6.15.06_Book9 2 3" xfId="7245"/>
    <cellStyle name="_Costs not in AURORA 2006GRC 6.15.06_Book9 3" xfId="7246"/>
    <cellStyle name="_Costs not in AURORA 2006GRC 6.15.06_Book9 3 2" xfId="7247"/>
    <cellStyle name="_Costs not in AURORA 2006GRC 6.15.06_Book9 4" xfId="7248"/>
    <cellStyle name="_Costs not in AURORA 2006GRC 6.15.06_Book9_DEM-WP(C) ENERG10C--ctn Mid-C_042010 2010GRC" xfId="7249"/>
    <cellStyle name="_Costs not in AURORA 2006GRC 6.15.06_Chelan PUD Power Costs (8-10)" xfId="7250"/>
    <cellStyle name="_Costs not in AURORA 2006GRC 6.15.06_Chelan PUD Power Costs (8-10) 2" xfId="7251"/>
    <cellStyle name="_Costs not in AURORA 2006GRC 6.15.06_DEM-WP(C) Chelan Power Costs" xfId="7252"/>
    <cellStyle name="_Costs not in AURORA 2006GRC 6.15.06_DEM-WP(C) Chelan Power Costs 2" xfId="7253"/>
    <cellStyle name="_Costs not in AURORA 2006GRC 6.15.06_DEM-WP(C) ENERG10C--ctn Mid-C_042010 2010GRC" xfId="7254"/>
    <cellStyle name="_Costs not in AURORA 2006GRC 6.15.06_DEM-WP(C) Gas Transport 2010GRC" xfId="7255"/>
    <cellStyle name="_Costs not in AURORA 2006GRC 6.15.06_DEM-WP(C) Gas Transport 2010GRC 2" xfId="7256"/>
    <cellStyle name="_Costs not in AURORA 2006GRC 6.15.06_Exh A-1 resulting from UE-112050 effective Jan 1 2012" xfId="7257"/>
    <cellStyle name="_Costs not in AURORA 2006GRC 6.15.06_Exh G - Klamath Peaker PPA fr C Locke 2-12" xfId="7258"/>
    <cellStyle name="_Costs not in AURORA 2006GRC 6.15.06_Exhibit A-1 effective 4-1-11 fr S Free 12-11" xfId="7259"/>
    <cellStyle name="_Costs not in AURORA 2006GRC 6.15.06_INPUTS" xfId="7260"/>
    <cellStyle name="_Costs not in AURORA 2006GRC 6.15.06_INPUTS 2" xfId="7261"/>
    <cellStyle name="_Costs not in AURORA 2006GRC 6.15.06_INPUTS 2 2" xfId="7262"/>
    <cellStyle name="_Costs not in AURORA 2006GRC 6.15.06_INPUTS 2 2 2" xfId="7263"/>
    <cellStyle name="_Costs not in AURORA 2006GRC 6.15.06_INPUTS 2 3" xfId="7264"/>
    <cellStyle name="_Costs not in AURORA 2006GRC 6.15.06_INPUTS 3" xfId="7265"/>
    <cellStyle name="_Costs not in AURORA 2006GRC 6.15.06_INPUTS 3 2" xfId="7266"/>
    <cellStyle name="_Costs not in AURORA 2006GRC 6.15.06_INPUTS 4" xfId="7267"/>
    <cellStyle name="_Costs not in AURORA 2006GRC 6.15.06_Mint Farm Generation BPA" xfId="7268"/>
    <cellStyle name="_Costs not in AURORA 2006GRC 6.15.06_NIM Summary" xfId="7269"/>
    <cellStyle name="_Costs not in AURORA 2006GRC 6.15.06_NIM Summary 09GRC" xfId="7270"/>
    <cellStyle name="_Costs not in AURORA 2006GRC 6.15.06_NIM Summary 09GRC 2" xfId="7271"/>
    <cellStyle name="_Costs not in AURORA 2006GRC 6.15.06_NIM Summary 09GRC 2 2" xfId="7272"/>
    <cellStyle name="_Costs not in AURORA 2006GRC 6.15.06_NIM Summary 09GRC 3" xfId="7273"/>
    <cellStyle name="_Costs not in AURORA 2006GRC 6.15.06_NIM Summary 09GRC_DEM-WP(C) ENERG10C--ctn Mid-C_042010 2010GRC" xfId="7274"/>
    <cellStyle name="_Costs not in AURORA 2006GRC 6.15.06_NIM Summary 10" xfId="7275"/>
    <cellStyle name="_Costs not in AURORA 2006GRC 6.15.06_NIM Summary 11" xfId="7276"/>
    <cellStyle name="_Costs not in AURORA 2006GRC 6.15.06_NIM Summary 12" xfId="7277"/>
    <cellStyle name="_Costs not in AURORA 2006GRC 6.15.06_NIM Summary 13" xfId="7278"/>
    <cellStyle name="_Costs not in AURORA 2006GRC 6.15.06_NIM Summary 14" xfId="7279"/>
    <cellStyle name="_Costs not in AURORA 2006GRC 6.15.06_NIM Summary 15" xfId="7280"/>
    <cellStyle name="_Costs not in AURORA 2006GRC 6.15.06_NIM Summary 16" xfId="7281"/>
    <cellStyle name="_Costs not in AURORA 2006GRC 6.15.06_NIM Summary 17" xfId="7282"/>
    <cellStyle name="_Costs not in AURORA 2006GRC 6.15.06_NIM Summary 18" xfId="7283"/>
    <cellStyle name="_Costs not in AURORA 2006GRC 6.15.06_NIM Summary 19" xfId="7284"/>
    <cellStyle name="_Costs not in AURORA 2006GRC 6.15.06_NIM Summary 2" xfId="7285"/>
    <cellStyle name="_Costs not in AURORA 2006GRC 6.15.06_NIM Summary 2 2" xfId="7286"/>
    <cellStyle name="_Costs not in AURORA 2006GRC 6.15.06_NIM Summary 20" xfId="7287"/>
    <cellStyle name="_Costs not in AURORA 2006GRC 6.15.06_NIM Summary 21" xfId="7288"/>
    <cellStyle name="_Costs not in AURORA 2006GRC 6.15.06_NIM Summary 22" xfId="7289"/>
    <cellStyle name="_Costs not in AURORA 2006GRC 6.15.06_NIM Summary 23" xfId="7290"/>
    <cellStyle name="_Costs not in AURORA 2006GRC 6.15.06_NIM Summary 24" xfId="7291"/>
    <cellStyle name="_Costs not in AURORA 2006GRC 6.15.06_NIM Summary 25" xfId="7292"/>
    <cellStyle name="_Costs not in AURORA 2006GRC 6.15.06_NIM Summary 26" xfId="7293"/>
    <cellStyle name="_Costs not in AURORA 2006GRC 6.15.06_NIM Summary 27" xfId="7294"/>
    <cellStyle name="_Costs not in AURORA 2006GRC 6.15.06_NIM Summary 28" xfId="7295"/>
    <cellStyle name="_Costs not in AURORA 2006GRC 6.15.06_NIM Summary 29" xfId="7296"/>
    <cellStyle name="_Costs not in AURORA 2006GRC 6.15.06_NIM Summary 3" xfId="7297"/>
    <cellStyle name="_Costs not in AURORA 2006GRC 6.15.06_NIM Summary 3 2" xfId="7298"/>
    <cellStyle name="_Costs not in AURORA 2006GRC 6.15.06_NIM Summary 30" xfId="7299"/>
    <cellStyle name="_Costs not in AURORA 2006GRC 6.15.06_NIM Summary 31" xfId="7300"/>
    <cellStyle name="_Costs not in AURORA 2006GRC 6.15.06_NIM Summary 32" xfId="7301"/>
    <cellStyle name="_Costs not in AURORA 2006GRC 6.15.06_NIM Summary 33" xfId="7302"/>
    <cellStyle name="_Costs not in AURORA 2006GRC 6.15.06_NIM Summary 34" xfId="7303"/>
    <cellStyle name="_Costs not in AURORA 2006GRC 6.15.06_NIM Summary 35" xfId="7304"/>
    <cellStyle name="_Costs not in AURORA 2006GRC 6.15.06_NIM Summary 36" xfId="7305"/>
    <cellStyle name="_Costs not in AURORA 2006GRC 6.15.06_NIM Summary 37" xfId="7306"/>
    <cellStyle name="_Costs not in AURORA 2006GRC 6.15.06_NIM Summary 38" xfId="7307"/>
    <cellStyle name="_Costs not in AURORA 2006GRC 6.15.06_NIM Summary 39" xfId="7308"/>
    <cellStyle name="_Costs not in AURORA 2006GRC 6.15.06_NIM Summary 4" xfId="7309"/>
    <cellStyle name="_Costs not in AURORA 2006GRC 6.15.06_NIM Summary 4 2" xfId="7310"/>
    <cellStyle name="_Costs not in AURORA 2006GRC 6.15.06_NIM Summary 40" xfId="7311"/>
    <cellStyle name="_Costs not in AURORA 2006GRC 6.15.06_NIM Summary 41" xfId="7312"/>
    <cellStyle name="_Costs not in AURORA 2006GRC 6.15.06_NIM Summary 42" xfId="7313"/>
    <cellStyle name="_Costs not in AURORA 2006GRC 6.15.06_NIM Summary 43" xfId="7314"/>
    <cellStyle name="_Costs not in AURORA 2006GRC 6.15.06_NIM Summary 44" xfId="7315"/>
    <cellStyle name="_Costs not in AURORA 2006GRC 6.15.06_NIM Summary 45" xfId="7316"/>
    <cellStyle name="_Costs not in AURORA 2006GRC 6.15.06_NIM Summary 46" xfId="7317"/>
    <cellStyle name="_Costs not in AURORA 2006GRC 6.15.06_NIM Summary 47" xfId="7318"/>
    <cellStyle name="_Costs not in AURORA 2006GRC 6.15.06_NIM Summary 48" xfId="7319"/>
    <cellStyle name="_Costs not in AURORA 2006GRC 6.15.06_NIM Summary 49" xfId="7320"/>
    <cellStyle name="_Costs not in AURORA 2006GRC 6.15.06_NIM Summary 5" xfId="7321"/>
    <cellStyle name="_Costs not in AURORA 2006GRC 6.15.06_NIM Summary 5 2" xfId="7322"/>
    <cellStyle name="_Costs not in AURORA 2006GRC 6.15.06_NIM Summary 50" xfId="7323"/>
    <cellStyle name="_Costs not in AURORA 2006GRC 6.15.06_NIM Summary 51" xfId="7324"/>
    <cellStyle name="_Costs not in AURORA 2006GRC 6.15.06_NIM Summary 52" xfId="7325"/>
    <cellStyle name="_Costs not in AURORA 2006GRC 6.15.06_NIM Summary 6" xfId="7326"/>
    <cellStyle name="_Costs not in AURORA 2006GRC 6.15.06_NIM Summary 6 2" xfId="7327"/>
    <cellStyle name="_Costs not in AURORA 2006GRC 6.15.06_NIM Summary 7" xfId="7328"/>
    <cellStyle name="_Costs not in AURORA 2006GRC 6.15.06_NIM Summary 7 2" xfId="7329"/>
    <cellStyle name="_Costs not in AURORA 2006GRC 6.15.06_NIM Summary 8" xfId="7330"/>
    <cellStyle name="_Costs not in AURORA 2006GRC 6.15.06_NIM Summary 8 2" xfId="7331"/>
    <cellStyle name="_Costs not in AURORA 2006GRC 6.15.06_NIM Summary 9" xfId="7332"/>
    <cellStyle name="_Costs not in AURORA 2006GRC 6.15.06_NIM Summary 9 2" xfId="7333"/>
    <cellStyle name="_Costs not in AURORA 2006GRC 6.15.06_NIM Summary_DEM-WP(C) ENERG10C--ctn Mid-C_042010 2010GRC" xfId="7334"/>
    <cellStyle name="_Costs not in AURORA 2006GRC 6.15.06_PCA 10 -  Exhibit D Dec 2011" xfId="7335"/>
    <cellStyle name="_Costs not in AURORA 2006GRC 6.15.06_PCA 10 -  Exhibit D from A Kellogg Jan 2011" xfId="7336"/>
    <cellStyle name="_Costs not in AURORA 2006GRC 6.15.06_PCA 10 -  Exhibit D from A Kellogg July 2011" xfId="7337"/>
    <cellStyle name="_Costs not in AURORA 2006GRC 6.15.06_PCA 10 -  Exhibit D from S Free Rcv'd 12-11" xfId="7338"/>
    <cellStyle name="_Costs not in AURORA 2006GRC 6.15.06_PCA 11 -  Exhibit D Jan 2012 fr A Kellogg" xfId="7339"/>
    <cellStyle name="_Costs not in AURORA 2006GRC 6.15.06_PCA 11 -  Exhibit D Jan 2012 WF" xfId="7340"/>
    <cellStyle name="_Costs not in AURORA 2006GRC 6.15.06_PCA 9 -  Exhibit D April 2010" xfId="7341"/>
    <cellStyle name="_Costs not in AURORA 2006GRC 6.15.06_PCA 9 -  Exhibit D April 2010 (3)" xfId="7342"/>
    <cellStyle name="_Costs not in AURORA 2006GRC 6.15.06_PCA 9 -  Exhibit D April 2010 (3) 2" xfId="7343"/>
    <cellStyle name="_Costs not in AURORA 2006GRC 6.15.06_PCA 9 -  Exhibit D April 2010 (3) 2 2" xfId="7344"/>
    <cellStyle name="_Costs not in AURORA 2006GRC 6.15.06_PCA 9 -  Exhibit D April 2010 (3) 3" xfId="7345"/>
    <cellStyle name="_Costs not in AURORA 2006GRC 6.15.06_PCA 9 -  Exhibit D April 2010 (3)_DEM-WP(C) ENERG10C--ctn Mid-C_042010 2010GRC" xfId="7346"/>
    <cellStyle name="_Costs not in AURORA 2006GRC 6.15.06_PCA 9 -  Exhibit D April 2010 2" xfId="7347"/>
    <cellStyle name="_Costs not in AURORA 2006GRC 6.15.06_PCA 9 -  Exhibit D April 2010 3" xfId="7348"/>
    <cellStyle name="_Costs not in AURORA 2006GRC 6.15.06_PCA 9 -  Exhibit D April 2010 4" xfId="7349"/>
    <cellStyle name="_Costs not in AURORA 2006GRC 6.15.06_PCA 9 -  Exhibit D April 2010 5" xfId="7350"/>
    <cellStyle name="_Costs not in AURORA 2006GRC 6.15.06_PCA 9 -  Exhibit D April 2010 6" xfId="7351"/>
    <cellStyle name="_Costs not in AURORA 2006GRC 6.15.06_PCA 9 -  Exhibit D Nov 2010" xfId="7352"/>
    <cellStyle name="_Costs not in AURORA 2006GRC 6.15.06_PCA 9 -  Exhibit D Nov 2010 2" xfId="7353"/>
    <cellStyle name="_Costs not in AURORA 2006GRC 6.15.06_PCA 9 - Exhibit D at August 2010" xfId="7354"/>
    <cellStyle name="_Costs not in AURORA 2006GRC 6.15.06_PCA 9 - Exhibit D at August 2010 2" xfId="7355"/>
    <cellStyle name="_Costs not in AURORA 2006GRC 6.15.06_PCA 9 - Exhibit D June 2010 GRC" xfId="7356"/>
    <cellStyle name="_Costs not in AURORA 2006GRC 6.15.06_PCA 9 - Exhibit D June 2010 GRC 2" xfId="7357"/>
    <cellStyle name="_Costs not in AURORA 2006GRC 6.15.06_Power Costs - Comparison bx Rbtl-Staff-Jt-PC" xfId="299"/>
    <cellStyle name="_Costs not in AURORA 2006GRC 6.15.06_Power Costs - Comparison bx Rbtl-Staff-Jt-PC 2" xfId="7358"/>
    <cellStyle name="_Costs not in AURORA 2006GRC 6.15.06_Power Costs - Comparison bx Rbtl-Staff-Jt-PC 2 2" xfId="7359"/>
    <cellStyle name="_Costs not in AURORA 2006GRC 6.15.06_Power Costs - Comparison bx Rbtl-Staff-Jt-PC 2 2 2" xfId="7360"/>
    <cellStyle name="_Costs not in AURORA 2006GRC 6.15.06_Power Costs - Comparison bx Rbtl-Staff-Jt-PC 2 3" xfId="7361"/>
    <cellStyle name="_Costs not in AURORA 2006GRC 6.15.06_Power Costs - Comparison bx Rbtl-Staff-Jt-PC 3" xfId="7362"/>
    <cellStyle name="_Costs not in AURORA 2006GRC 6.15.06_Power Costs - Comparison bx Rbtl-Staff-Jt-PC 3 2" xfId="7363"/>
    <cellStyle name="_Costs not in AURORA 2006GRC 6.15.06_Power Costs - Comparison bx Rbtl-Staff-Jt-PC 4" xfId="7364"/>
    <cellStyle name="_Costs not in AURORA 2006GRC 6.15.06_Power Costs - Comparison bx Rbtl-Staff-Jt-PC_Adj Bench DR 3 for Initial Briefs (Electric)" xfId="300"/>
    <cellStyle name="_Costs not in AURORA 2006GRC 6.15.06_Power Costs - Comparison bx Rbtl-Staff-Jt-PC_Adj Bench DR 3 for Initial Briefs (Electric) 2" xfId="7365"/>
    <cellStyle name="_Costs not in AURORA 2006GRC 6.15.06_Power Costs - Comparison bx Rbtl-Staff-Jt-PC_Adj Bench DR 3 for Initial Briefs (Electric) 2 2" xfId="7366"/>
    <cellStyle name="_Costs not in AURORA 2006GRC 6.15.06_Power Costs - Comparison bx Rbtl-Staff-Jt-PC_Adj Bench DR 3 for Initial Briefs (Electric) 2 2 2" xfId="7367"/>
    <cellStyle name="_Costs not in AURORA 2006GRC 6.15.06_Power Costs - Comparison bx Rbtl-Staff-Jt-PC_Adj Bench DR 3 for Initial Briefs (Electric) 2 3" xfId="7368"/>
    <cellStyle name="_Costs not in AURORA 2006GRC 6.15.06_Power Costs - Comparison bx Rbtl-Staff-Jt-PC_Adj Bench DR 3 for Initial Briefs (Electric) 3" xfId="7369"/>
    <cellStyle name="_Costs not in AURORA 2006GRC 6.15.06_Power Costs - Comparison bx Rbtl-Staff-Jt-PC_Adj Bench DR 3 for Initial Briefs (Electric) 3 2" xfId="7370"/>
    <cellStyle name="_Costs not in AURORA 2006GRC 6.15.06_Power Costs - Comparison bx Rbtl-Staff-Jt-PC_Adj Bench DR 3 for Initial Briefs (Electric) 4" xfId="7371"/>
    <cellStyle name="_Costs not in AURORA 2006GRC 6.15.06_Power Costs - Comparison bx Rbtl-Staff-Jt-PC_Adj Bench DR 3 for Initial Briefs (Electric)_DEM-WP(C) ENERG10C--ctn Mid-C_042010 2010GRC" xfId="7372"/>
    <cellStyle name="_Costs not in AURORA 2006GRC 6.15.06_Power Costs - Comparison bx Rbtl-Staff-Jt-PC_DEM-WP(C) ENERG10C--ctn Mid-C_042010 2010GRC" xfId="7373"/>
    <cellStyle name="_Costs not in AURORA 2006GRC 6.15.06_Power Costs - Comparison bx Rbtl-Staff-Jt-PC_Electric Rev Req Model (2009 GRC) Rebuttal" xfId="301"/>
    <cellStyle name="_Costs not in AURORA 2006GRC 6.15.06_Power Costs - Comparison bx Rbtl-Staff-Jt-PC_Electric Rev Req Model (2009 GRC) Rebuttal 2" xfId="7374"/>
    <cellStyle name="_Costs not in AURORA 2006GRC 6.15.06_Power Costs - Comparison bx Rbtl-Staff-Jt-PC_Electric Rev Req Model (2009 GRC) Rebuttal 2 2" xfId="7375"/>
    <cellStyle name="_Costs not in AURORA 2006GRC 6.15.06_Power Costs - Comparison bx Rbtl-Staff-Jt-PC_Electric Rev Req Model (2009 GRC) Rebuttal 2 2 2" xfId="7376"/>
    <cellStyle name="_Costs not in AURORA 2006GRC 6.15.06_Power Costs - Comparison bx Rbtl-Staff-Jt-PC_Electric Rev Req Model (2009 GRC) Rebuttal 2 3" xfId="7377"/>
    <cellStyle name="_Costs not in AURORA 2006GRC 6.15.06_Power Costs - Comparison bx Rbtl-Staff-Jt-PC_Electric Rev Req Model (2009 GRC) Rebuttal 3" xfId="7378"/>
    <cellStyle name="_Costs not in AURORA 2006GRC 6.15.06_Power Costs - Comparison bx Rbtl-Staff-Jt-PC_Electric Rev Req Model (2009 GRC) Rebuttal 3 2" xfId="7379"/>
    <cellStyle name="_Costs not in AURORA 2006GRC 6.15.06_Power Costs - Comparison bx Rbtl-Staff-Jt-PC_Electric Rev Req Model (2009 GRC) Rebuttal 4" xfId="7380"/>
    <cellStyle name="_Costs not in AURORA 2006GRC 6.15.06_Power Costs - Comparison bx Rbtl-Staff-Jt-PC_Electric Rev Req Model (2009 GRC) Rebuttal REmoval of New  WH Solar AdjustMI" xfId="302"/>
    <cellStyle name="_Costs not in AURORA 2006GRC 6.15.06_Power Costs - Comparison bx Rbtl-Staff-Jt-PC_Electric Rev Req Model (2009 GRC) Rebuttal REmoval of New  WH Solar AdjustMI 2" xfId="7381"/>
    <cellStyle name="_Costs not in AURORA 2006GRC 6.15.06_Power Costs - Comparison bx Rbtl-Staff-Jt-PC_Electric Rev Req Model (2009 GRC) Rebuttal REmoval of New  WH Solar AdjustMI 2 2" xfId="7382"/>
    <cellStyle name="_Costs not in AURORA 2006GRC 6.15.06_Power Costs - Comparison bx Rbtl-Staff-Jt-PC_Electric Rev Req Model (2009 GRC) Rebuttal REmoval of New  WH Solar AdjustMI 2 2 2" xfId="7383"/>
    <cellStyle name="_Costs not in AURORA 2006GRC 6.15.06_Power Costs - Comparison bx Rbtl-Staff-Jt-PC_Electric Rev Req Model (2009 GRC) Rebuttal REmoval of New  WH Solar AdjustMI 2 3" xfId="7384"/>
    <cellStyle name="_Costs not in AURORA 2006GRC 6.15.06_Power Costs - Comparison bx Rbtl-Staff-Jt-PC_Electric Rev Req Model (2009 GRC) Rebuttal REmoval of New  WH Solar AdjustMI 3" xfId="7385"/>
    <cellStyle name="_Costs not in AURORA 2006GRC 6.15.06_Power Costs - Comparison bx Rbtl-Staff-Jt-PC_Electric Rev Req Model (2009 GRC) Rebuttal REmoval of New  WH Solar AdjustMI 3 2" xfId="7386"/>
    <cellStyle name="_Costs not in AURORA 2006GRC 6.15.06_Power Costs - Comparison bx Rbtl-Staff-Jt-PC_Electric Rev Req Model (2009 GRC) Rebuttal REmoval of New  WH Solar AdjustMI 4" xfId="7387"/>
    <cellStyle name="_Costs not in AURORA 2006GRC 6.15.06_Power Costs - Comparison bx Rbtl-Staff-Jt-PC_Electric Rev Req Model (2009 GRC) Rebuttal REmoval of New  WH Solar AdjustMI_DEM-WP(C) ENERG10C--ctn Mid-C_042010 2010GRC" xfId="7388"/>
    <cellStyle name="_Costs not in AURORA 2006GRC 6.15.06_Power Costs - Comparison bx Rbtl-Staff-Jt-PC_Electric Rev Req Model (2009 GRC) Revised 01-18-2010" xfId="303"/>
    <cellStyle name="_Costs not in AURORA 2006GRC 6.15.06_Power Costs - Comparison bx Rbtl-Staff-Jt-PC_Electric Rev Req Model (2009 GRC) Revised 01-18-2010 2" xfId="7389"/>
    <cellStyle name="_Costs not in AURORA 2006GRC 6.15.06_Power Costs - Comparison bx Rbtl-Staff-Jt-PC_Electric Rev Req Model (2009 GRC) Revised 01-18-2010 2 2" xfId="7390"/>
    <cellStyle name="_Costs not in AURORA 2006GRC 6.15.06_Power Costs - Comparison bx Rbtl-Staff-Jt-PC_Electric Rev Req Model (2009 GRC) Revised 01-18-2010 2 2 2" xfId="7391"/>
    <cellStyle name="_Costs not in AURORA 2006GRC 6.15.06_Power Costs - Comparison bx Rbtl-Staff-Jt-PC_Electric Rev Req Model (2009 GRC) Revised 01-18-2010 2 3" xfId="7392"/>
    <cellStyle name="_Costs not in AURORA 2006GRC 6.15.06_Power Costs - Comparison bx Rbtl-Staff-Jt-PC_Electric Rev Req Model (2009 GRC) Revised 01-18-2010 3" xfId="7393"/>
    <cellStyle name="_Costs not in AURORA 2006GRC 6.15.06_Power Costs - Comparison bx Rbtl-Staff-Jt-PC_Electric Rev Req Model (2009 GRC) Revised 01-18-2010 3 2" xfId="7394"/>
    <cellStyle name="_Costs not in AURORA 2006GRC 6.15.06_Power Costs - Comparison bx Rbtl-Staff-Jt-PC_Electric Rev Req Model (2009 GRC) Revised 01-18-2010 4" xfId="7395"/>
    <cellStyle name="_Costs not in AURORA 2006GRC 6.15.06_Power Costs - Comparison bx Rbtl-Staff-Jt-PC_Electric Rev Req Model (2009 GRC) Revised 01-18-2010_DEM-WP(C) ENERG10C--ctn Mid-C_042010 2010GRC" xfId="7396"/>
    <cellStyle name="_Costs not in AURORA 2006GRC 6.15.06_Power Costs - Comparison bx Rbtl-Staff-Jt-PC_Final Order Electric EXHIBIT A-1" xfId="304"/>
    <cellStyle name="_Costs not in AURORA 2006GRC 6.15.06_Power Costs - Comparison bx Rbtl-Staff-Jt-PC_Final Order Electric EXHIBIT A-1 2" xfId="7397"/>
    <cellStyle name="_Costs not in AURORA 2006GRC 6.15.06_Power Costs - Comparison bx Rbtl-Staff-Jt-PC_Final Order Electric EXHIBIT A-1 2 2" xfId="7398"/>
    <cellStyle name="_Costs not in AURORA 2006GRC 6.15.06_Power Costs - Comparison bx Rbtl-Staff-Jt-PC_Final Order Electric EXHIBIT A-1 2 2 2" xfId="7399"/>
    <cellStyle name="_Costs not in AURORA 2006GRC 6.15.06_Power Costs - Comparison bx Rbtl-Staff-Jt-PC_Final Order Electric EXHIBIT A-1 2 3" xfId="7400"/>
    <cellStyle name="_Costs not in AURORA 2006GRC 6.15.06_Power Costs - Comparison bx Rbtl-Staff-Jt-PC_Final Order Electric EXHIBIT A-1 3" xfId="7401"/>
    <cellStyle name="_Costs not in AURORA 2006GRC 6.15.06_Power Costs - Comparison bx Rbtl-Staff-Jt-PC_Final Order Electric EXHIBIT A-1 3 2" xfId="7402"/>
    <cellStyle name="_Costs not in AURORA 2006GRC 6.15.06_Power Costs - Comparison bx Rbtl-Staff-Jt-PC_Final Order Electric EXHIBIT A-1 4" xfId="7403"/>
    <cellStyle name="_Costs not in AURORA 2006GRC 6.15.06_Production Adj 4.37" xfId="7404"/>
    <cellStyle name="_Costs not in AURORA 2006GRC 6.15.06_Production Adj 4.37 2" xfId="7405"/>
    <cellStyle name="_Costs not in AURORA 2006GRC 6.15.06_Production Adj 4.37 2 2" xfId="7406"/>
    <cellStyle name="_Costs not in AURORA 2006GRC 6.15.06_Production Adj 4.37 2 2 2" xfId="7407"/>
    <cellStyle name="_Costs not in AURORA 2006GRC 6.15.06_Production Adj 4.37 2 3" xfId="7408"/>
    <cellStyle name="_Costs not in AURORA 2006GRC 6.15.06_Production Adj 4.37 3" xfId="7409"/>
    <cellStyle name="_Costs not in AURORA 2006GRC 6.15.06_Production Adj 4.37 3 2" xfId="7410"/>
    <cellStyle name="_Costs not in AURORA 2006GRC 6.15.06_Production Adj 4.37 4" xfId="7411"/>
    <cellStyle name="_Costs not in AURORA 2006GRC 6.15.06_Purchased Power Adj 4.03" xfId="7412"/>
    <cellStyle name="_Costs not in AURORA 2006GRC 6.15.06_Purchased Power Adj 4.03 2" xfId="7413"/>
    <cellStyle name="_Costs not in AURORA 2006GRC 6.15.06_Purchased Power Adj 4.03 2 2" xfId="7414"/>
    <cellStyle name="_Costs not in AURORA 2006GRC 6.15.06_Purchased Power Adj 4.03 2 2 2" xfId="7415"/>
    <cellStyle name="_Costs not in AURORA 2006GRC 6.15.06_Purchased Power Adj 4.03 2 3" xfId="7416"/>
    <cellStyle name="_Costs not in AURORA 2006GRC 6.15.06_Purchased Power Adj 4.03 3" xfId="7417"/>
    <cellStyle name="_Costs not in AURORA 2006GRC 6.15.06_Purchased Power Adj 4.03 3 2" xfId="7418"/>
    <cellStyle name="_Costs not in AURORA 2006GRC 6.15.06_Purchased Power Adj 4.03 4" xfId="7419"/>
    <cellStyle name="_Costs not in AURORA 2006GRC 6.15.06_Rebuttal Power Costs" xfId="305"/>
    <cellStyle name="_Costs not in AURORA 2006GRC 6.15.06_Rebuttal Power Costs 2" xfId="7420"/>
    <cellStyle name="_Costs not in AURORA 2006GRC 6.15.06_Rebuttal Power Costs 2 2" xfId="7421"/>
    <cellStyle name="_Costs not in AURORA 2006GRC 6.15.06_Rebuttal Power Costs 2 2 2" xfId="7422"/>
    <cellStyle name="_Costs not in AURORA 2006GRC 6.15.06_Rebuttal Power Costs 2 3" xfId="7423"/>
    <cellStyle name="_Costs not in AURORA 2006GRC 6.15.06_Rebuttal Power Costs 3" xfId="7424"/>
    <cellStyle name="_Costs not in AURORA 2006GRC 6.15.06_Rebuttal Power Costs 3 2" xfId="7425"/>
    <cellStyle name="_Costs not in AURORA 2006GRC 6.15.06_Rebuttal Power Costs 4" xfId="7426"/>
    <cellStyle name="_Costs not in AURORA 2006GRC 6.15.06_Rebuttal Power Costs_Adj Bench DR 3 for Initial Briefs (Electric)" xfId="306"/>
    <cellStyle name="_Costs not in AURORA 2006GRC 6.15.06_Rebuttal Power Costs_Adj Bench DR 3 for Initial Briefs (Electric) 2" xfId="7427"/>
    <cellStyle name="_Costs not in AURORA 2006GRC 6.15.06_Rebuttal Power Costs_Adj Bench DR 3 for Initial Briefs (Electric) 2 2" xfId="7428"/>
    <cellStyle name="_Costs not in AURORA 2006GRC 6.15.06_Rebuttal Power Costs_Adj Bench DR 3 for Initial Briefs (Electric) 2 2 2" xfId="7429"/>
    <cellStyle name="_Costs not in AURORA 2006GRC 6.15.06_Rebuttal Power Costs_Adj Bench DR 3 for Initial Briefs (Electric) 2 3" xfId="7430"/>
    <cellStyle name="_Costs not in AURORA 2006GRC 6.15.06_Rebuttal Power Costs_Adj Bench DR 3 for Initial Briefs (Electric) 3" xfId="7431"/>
    <cellStyle name="_Costs not in AURORA 2006GRC 6.15.06_Rebuttal Power Costs_Adj Bench DR 3 for Initial Briefs (Electric) 3 2" xfId="7432"/>
    <cellStyle name="_Costs not in AURORA 2006GRC 6.15.06_Rebuttal Power Costs_Adj Bench DR 3 for Initial Briefs (Electric) 4" xfId="7433"/>
    <cellStyle name="_Costs not in AURORA 2006GRC 6.15.06_Rebuttal Power Costs_Adj Bench DR 3 for Initial Briefs (Electric)_DEM-WP(C) ENERG10C--ctn Mid-C_042010 2010GRC" xfId="7434"/>
    <cellStyle name="_Costs not in AURORA 2006GRC 6.15.06_Rebuttal Power Costs_DEM-WP(C) ENERG10C--ctn Mid-C_042010 2010GRC" xfId="7435"/>
    <cellStyle name="_Costs not in AURORA 2006GRC 6.15.06_Rebuttal Power Costs_Electric Rev Req Model (2009 GRC) Rebuttal" xfId="307"/>
    <cellStyle name="_Costs not in AURORA 2006GRC 6.15.06_Rebuttal Power Costs_Electric Rev Req Model (2009 GRC) Rebuttal 2" xfId="7436"/>
    <cellStyle name="_Costs not in AURORA 2006GRC 6.15.06_Rebuttal Power Costs_Electric Rev Req Model (2009 GRC) Rebuttal 2 2" xfId="7437"/>
    <cellStyle name="_Costs not in AURORA 2006GRC 6.15.06_Rebuttal Power Costs_Electric Rev Req Model (2009 GRC) Rebuttal 2 2 2" xfId="7438"/>
    <cellStyle name="_Costs not in AURORA 2006GRC 6.15.06_Rebuttal Power Costs_Electric Rev Req Model (2009 GRC) Rebuttal 2 3" xfId="7439"/>
    <cellStyle name="_Costs not in AURORA 2006GRC 6.15.06_Rebuttal Power Costs_Electric Rev Req Model (2009 GRC) Rebuttal 3" xfId="7440"/>
    <cellStyle name="_Costs not in AURORA 2006GRC 6.15.06_Rebuttal Power Costs_Electric Rev Req Model (2009 GRC) Rebuttal 3 2" xfId="7441"/>
    <cellStyle name="_Costs not in AURORA 2006GRC 6.15.06_Rebuttal Power Costs_Electric Rev Req Model (2009 GRC) Rebuttal 4" xfId="7442"/>
    <cellStyle name="_Costs not in AURORA 2006GRC 6.15.06_Rebuttal Power Costs_Electric Rev Req Model (2009 GRC) Rebuttal REmoval of New  WH Solar AdjustMI" xfId="308"/>
    <cellStyle name="_Costs not in AURORA 2006GRC 6.15.06_Rebuttal Power Costs_Electric Rev Req Model (2009 GRC) Rebuttal REmoval of New  WH Solar AdjustMI 2" xfId="7443"/>
    <cellStyle name="_Costs not in AURORA 2006GRC 6.15.06_Rebuttal Power Costs_Electric Rev Req Model (2009 GRC) Rebuttal REmoval of New  WH Solar AdjustMI 2 2" xfId="7444"/>
    <cellStyle name="_Costs not in AURORA 2006GRC 6.15.06_Rebuttal Power Costs_Electric Rev Req Model (2009 GRC) Rebuttal REmoval of New  WH Solar AdjustMI 2 2 2" xfId="7445"/>
    <cellStyle name="_Costs not in AURORA 2006GRC 6.15.06_Rebuttal Power Costs_Electric Rev Req Model (2009 GRC) Rebuttal REmoval of New  WH Solar AdjustMI 2 3" xfId="7446"/>
    <cellStyle name="_Costs not in AURORA 2006GRC 6.15.06_Rebuttal Power Costs_Electric Rev Req Model (2009 GRC) Rebuttal REmoval of New  WH Solar AdjustMI 3" xfId="7447"/>
    <cellStyle name="_Costs not in AURORA 2006GRC 6.15.06_Rebuttal Power Costs_Electric Rev Req Model (2009 GRC) Rebuttal REmoval of New  WH Solar AdjustMI 3 2" xfId="7448"/>
    <cellStyle name="_Costs not in AURORA 2006GRC 6.15.06_Rebuttal Power Costs_Electric Rev Req Model (2009 GRC) Rebuttal REmoval of New  WH Solar AdjustMI 4" xfId="7449"/>
    <cellStyle name="_Costs not in AURORA 2006GRC 6.15.06_Rebuttal Power Costs_Electric Rev Req Model (2009 GRC) Rebuttal REmoval of New  WH Solar AdjustMI_DEM-WP(C) ENERG10C--ctn Mid-C_042010 2010GRC" xfId="7450"/>
    <cellStyle name="_Costs not in AURORA 2006GRC 6.15.06_Rebuttal Power Costs_Electric Rev Req Model (2009 GRC) Revised 01-18-2010" xfId="309"/>
    <cellStyle name="_Costs not in AURORA 2006GRC 6.15.06_Rebuttal Power Costs_Electric Rev Req Model (2009 GRC) Revised 01-18-2010 2" xfId="7451"/>
    <cellStyle name="_Costs not in AURORA 2006GRC 6.15.06_Rebuttal Power Costs_Electric Rev Req Model (2009 GRC) Revised 01-18-2010 2 2" xfId="7452"/>
    <cellStyle name="_Costs not in AURORA 2006GRC 6.15.06_Rebuttal Power Costs_Electric Rev Req Model (2009 GRC) Revised 01-18-2010 2 2 2" xfId="7453"/>
    <cellStyle name="_Costs not in AURORA 2006GRC 6.15.06_Rebuttal Power Costs_Electric Rev Req Model (2009 GRC) Revised 01-18-2010 2 3" xfId="7454"/>
    <cellStyle name="_Costs not in AURORA 2006GRC 6.15.06_Rebuttal Power Costs_Electric Rev Req Model (2009 GRC) Revised 01-18-2010 3" xfId="7455"/>
    <cellStyle name="_Costs not in AURORA 2006GRC 6.15.06_Rebuttal Power Costs_Electric Rev Req Model (2009 GRC) Revised 01-18-2010 3 2" xfId="7456"/>
    <cellStyle name="_Costs not in AURORA 2006GRC 6.15.06_Rebuttal Power Costs_Electric Rev Req Model (2009 GRC) Revised 01-18-2010 4" xfId="7457"/>
    <cellStyle name="_Costs not in AURORA 2006GRC 6.15.06_Rebuttal Power Costs_Electric Rev Req Model (2009 GRC) Revised 01-18-2010_DEM-WP(C) ENERG10C--ctn Mid-C_042010 2010GRC" xfId="7458"/>
    <cellStyle name="_Costs not in AURORA 2006GRC 6.15.06_Rebuttal Power Costs_Final Order Electric EXHIBIT A-1" xfId="310"/>
    <cellStyle name="_Costs not in AURORA 2006GRC 6.15.06_Rebuttal Power Costs_Final Order Electric EXHIBIT A-1 2" xfId="7459"/>
    <cellStyle name="_Costs not in AURORA 2006GRC 6.15.06_Rebuttal Power Costs_Final Order Electric EXHIBIT A-1 2 2" xfId="7460"/>
    <cellStyle name="_Costs not in AURORA 2006GRC 6.15.06_Rebuttal Power Costs_Final Order Electric EXHIBIT A-1 2 2 2" xfId="7461"/>
    <cellStyle name="_Costs not in AURORA 2006GRC 6.15.06_Rebuttal Power Costs_Final Order Electric EXHIBIT A-1 2 3" xfId="7462"/>
    <cellStyle name="_Costs not in AURORA 2006GRC 6.15.06_Rebuttal Power Costs_Final Order Electric EXHIBIT A-1 3" xfId="7463"/>
    <cellStyle name="_Costs not in AURORA 2006GRC 6.15.06_Rebuttal Power Costs_Final Order Electric EXHIBIT A-1 3 2" xfId="7464"/>
    <cellStyle name="_Costs not in AURORA 2006GRC 6.15.06_Rebuttal Power Costs_Final Order Electric EXHIBIT A-1 4" xfId="7465"/>
    <cellStyle name="_Costs not in AURORA 2006GRC 6.15.06_ROR &amp; CONV FACTOR" xfId="7466"/>
    <cellStyle name="_Costs not in AURORA 2006GRC 6.15.06_ROR &amp; CONV FACTOR 2" xfId="7467"/>
    <cellStyle name="_Costs not in AURORA 2006GRC 6.15.06_ROR &amp; CONV FACTOR 2 2" xfId="7468"/>
    <cellStyle name="_Costs not in AURORA 2006GRC 6.15.06_ROR &amp; CONV FACTOR 2 2 2" xfId="7469"/>
    <cellStyle name="_Costs not in AURORA 2006GRC 6.15.06_ROR &amp; CONV FACTOR 2 3" xfId="7470"/>
    <cellStyle name="_Costs not in AURORA 2006GRC 6.15.06_ROR &amp; CONV FACTOR 3" xfId="7471"/>
    <cellStyle name="_Costs not in AURORA 2006GRC 6.15.06_ROR &amp; CONV FACTOR 3 2" xfId="7472"/>
    <cellStyle name="_Costs not in AURORA 2006GRC 6.15.06_ROR &amp; CONV FACTOR 4" xfId="7473"/>
    <cellStyle name="_Costs not in AURORA 2006GRC 6.15.06_ROR 5.02" xfId="7474"/>
    <cellStyle name="_Costs not in AURORA 2006GRC 6.15.06_ROR 5.02 2" xfId="7475"/>
    <cellStyle name="_Costs not in AURORA 2006GRC 6.15.06_ROR 5.02 2 2" xfId="7476"/>
    <cellStyle name="_Costs not in AURORA 2006GRC 6.15.06_ROR 5.02 2 2 2" xfId="7477"/>
    <cellStyle name="_Costs not in AURORA 2006GRC 6.15.06_ROR 5.02 2 3" xfId="7478"/>
    <cellStyle name="_Costs not in AURORA 2006GRC 6.15.06_ROR 5.02 3" xfId="7479"/>
    <cellStyle name="_Costs not in AURORA 2006GRC 6.15.06_ROR 5.02 3 2" xfId="7480"/>
    <cellStyle name="_Costs not in AURORA 2006GRC 6.15.06_ROR 5.02 4" xfId="7481"/>
    <cellStyle name="_Costs not in AURORA 2006GRC 6.15.06_Wind Integration 10GRC" xfId="7482"/>
    <cellStyle name="_Costs not in AURORA 2006GRC 6.15.06_Wind Integration 10GRC 2" xfId="7483"/>
    <cellStyle name="_Costs not in AURORA 2006GRC 6.15.06_Wind Integration 10GRC 2 2" xfId="7484"/>
    <cellStyle name="_Costs not in AURORA 2006GRC 6.15.06_Wind Integration 10GRC 3" xfId="7485"/>
    <cellStyle name="_Costs not in AURORA 2006GRC 6.15.06_Wind Integration 10GRC_DEM-WP(C) ENERG10C--ctn Mid-C_042010 2010GRC" xfId="7486"/>
    <cellStyle name="_Costs not in AURORA 2006GRC w gas price updated" xfId="311"/>
    <cellStyle name="_Costs not in AURORA 2006GRC w gas price updated 2" xfId="7487"/>
    <cellStyle name="_Costs not in AURORA 2006GRC w gas price updated 2 2" xfId="7488"/>
    <cellStyle name="_Costs not in AURORA 2006GRC w gas price updated 2 2 2" xfId="7489"/>
    <cellStyle name="_Costs not in AURORA 2006GRC w gas price updated 2 3" xfId="7490"/>
    <cellStyle name="_Costs not in AURORA 2006GRC w gas price updated 3" xfId="7491"/>
    <cellStyle name="_Costs not in AURORA 2006GRC w gas price updated 3 2" xfId="7492"/>
    <cellStyle name="_Costs not in AURORA 2006GRC w gas price updated 4" xfId="7493"/>
    <cellStyle name="_Costs not in AURORA 2006GRC w gas price updated 4 2" xfId="7494"/>
    <cellStyle name="_Costs not in AURORA 2006GRC w gas price updated 5" xfId="7495"/>
    <cellStyle name="_Costs not in AURORA 2006GRC w gas price updated 5 2" xfId="7496"/>
    <cellStyle name="_Costs not in AURORA 2006GRC w gas price updated 6" xfId="7497"/>
    <cellStyle name="_Costs not in AURORA 2006GRC w gas price updated 6 2" xfId="7498"/>
    <cellStyle name="_Costs not in AURORA 2006GRC w gas price updated_Adj Bench DR 3 for Initial Briefs (Electric)" xfId="312"/>
    <cellStyle name="_Costs not in AURORA 2006GRC w gas price updated_Adj Bench DR 3 for Initial Briefs (Electric) 2" xfId="7499"/>
    <cellStyle name="_Costs not in AURORA 2006GRC w gas price updated_Adj Bench DR 3 for Initial Briefs (Electric) 2 2" xfId="7500"/>
    <cellStyle name="_Costs not in AURORA 2006GRC w gas price updated_Adj Bench DR 3 for Initial Briefs (Electric) 2 2 2" xfId="7501"/>
    <cellStyle name="_Costs not in AURORA 2006GRC w gas price updated_Adj Bench DR 3 for Initial Briefs (Electric) 2 3" xfId="7502"/>
    <cellStyle name="_Costs not in AURORA 2006GRC w gas price updated_Adj Bench DR 3 for Initial Briefs (Electric) 3" xfId="7503"/>
    <cellStyle name="_Costs not in AURORA 2006GRC w gas price updated_Adj Bench DR 3 for Initial Briefs (Electric) 3 2" xfId="7504"/>
    <cellStyle name="_Costs not in AURORA 2006GRC w gas price updated_Adj Bench DR 3 for Initial Briefs (Electric) 4" xfId="7505"/>
    <cellStyle name="_Costs not in AURORA 2006GRC w gas price updated_Adj Bench DR 3 for Initial Briefs (Electric)_DEM-WP(C) ENERG10C--ctn Mid-C_042010 2010GRC" xfId="7506"/>
    <cellStyle name="_Costs not in AURORA 2006GRC w gas price updated_Book1" xfId="7507"/>
    <cellStyle name="_Costs not in AURORA 2006GRC w gas price updated_Book2" xfId="313"/>
    <cellStyle name="_Costs not in AURORA 2006GRC w gas price updated_Book2 2" xfId="7508"/>
    <cellStyle name="_Costs not in AURORA 2006GRC w gas price updated_Book2 2 2" xfId="7509"/>
    <cellStyle name="_Costs not in AURORA 2006GRC w gas price updated_Book2 2 2 2" xfId="7510"/>
    <cellStyle name="_Costs not in AURORA 2006GRC w gas price updated_Book2 2 3" xfId="7511"/>
    <cellStyle name="_Costs not in AURORA 2006GRC w gas price updated_Book2 3" xfId="7512"/>
    <cellStyle name="_Costs not in AURORA 2006GRC w gas price updated_Book2 3 2" xfId="7513"/>
    <cellStyle name="_Costs not in AURORA 2006GRC w gas price updated_Book2 4" xfId="7514"/>
    <cellStyle name="_Costs not in AURORA 2006GRC w gas price updated_Book2_Adj Bench DR 3 for Initial Briefs (Electric)" xfId="314"/>
    <cellStyle name="_Costs not in AURORA 2006GRC w gas price updated_Book2_Adj Bench DR 3 for Initial Briefs (Electric) 2" xfId="7515"/>
    <cellStyle name="_Costs not in AURORA 2006GRC w gas price updated_Book2_Adj Bench DR 3 for Initial Briefs (Electric) 2 2" xfId="7516"/>
    <cellStyle name="_Costs not in AURORA 2006GRC w gas price updated_Book2_Adj Bench DR 3 for Initial Briefs (Electric) 2 2 2" xfId="7517"/>
    <cellStyle name="_Costs not in AURORA 2006GRC w gas price updated_Book2_Adj Bench DR 3 for Initial Briefs (Electric) 2 3" xfId="7518"/>
    <cellStyle name="_Costs not in AURORA 2006GRC w gas price updated_Book2_Adj Bench DR 3 for Initial Briefs (Electric) 3" xfId="7519"/>
    <cellStyle name="_Costs not in AURORA 2006GRC w gas price updated_Book2_Adj Bench DR 3 for Initial Briefs (Electric) 3 2" xfId="7520"/>
    <cellStyle name="_Costs not in AURORA 2006GRC w gas price updated_Book2_Adj Bench DR 3 for Initial Briefs (Electric) 4" xfId="7521"/>
    <cellStyle name="_Costs not in AURORA 2006GRC w gas price updated_Book2_Adj Bench DR 3 for Initial Briefs (Electric)_DEM-WP(C) ENERG10C--ctn Mid-C_042010 2010GRC" xfId="7522"/>
    <cellStyle name="_Costs not in AURORA 2006GRC w gas price updated_Book2_DEM-WP(C) ENERG10C--ctn Mid-C_042010 2010GRC" xfId="7523"/>
    <cellStyle name="_Costs not in AURORA 2006GRC w gas price updated_Book2_Electric Rev Req Model (2009 GRC) Rebuttal" xfId="315"/>
    <cellStyle name="_Costs not in AURORA 2006GRC w gas price updated_Book2_Electric Rev Req Model (2009 GRC) Rebuttal 2" xfId="7524"/>
    <cellStyle name="_Costs not in AURORA 2006GRC w gas price updated_Book2_Electric Rev Req Model (2009 GRC) Rebuttal 2 2" xfId="7525"/>
    <cellStyle name="_Costs not in AURORA 2006GRC w gas price updated_Book2_Electric Rev Req Model (2009 GRC) Rebuttal 2 2 2" xfId="7526"/>
    <cellStyle name="_Costs not in AURORA 2006GRC w gas price updated_Book2_Electric Rev Req Model (2009 GRC) Rebuttal 2 3" xfId="7527"/>
    <cellStyle name="_Costs not in AURORA 2006GRC w gas price updated_Book2_Electric Rev Req Model (2009 GRC) Rebuttal 3" xfId="7528"/>
    <cellStyle name="_Costs not in AURORA 2006GRC w gas price updated_Book2_Electric Rev Req Model (2009 GRC) Rebuttal 3 2" xfId="7529"/>
    <cellStyle name="_Costs not in AURORA 2006GRC w gas price updated_Book2_Electric Rev Req Model (2009 GRC) Rebuttal 4" xfId="7530"/>
    <cellStyle name="_Costs not in AURORA 2006GRC w gas price updated_Book2_Electric Rev Req Model (2009 GRC) Rebuttal REmoval of New  WH Solar AdjustMI" xfId="316"/>
    <cellStyle name="_Costs not in AURORA 2006GRC w gas price updated_Book2_Electric Rev Req Model (2009 GRC) Rebuttal REmoval of New  WH Solar AdjustMI 2" xfId="7531"/>
    <cellStyle name="_Costs not in AURORA 2006GRC w gas price updated_Book2_Electric Rev Req Model (2009 GRC) Rebuttal REmoval of New  WH Solar AdjustMI 2 2" xfId="7532"/>
    <cellStyle name="_Costs not in AURORA 2006GRC w gas price updated_Book2_Electric Rev Req Model (2009 GRC) Rebuttal REmoval of New  WH Solar AdjustMI 2 2 2" xfId="7533"/>
    <cellStyle name="_Costs not in AURORA 2006GRC w gas price updated_Book2_Electric Rev Req Model (2009 GRC) Rebuttal REmoval of New  WH Solar AdjustMI 2 3" xfId="7534"/>
    <cellStyle name="_Costs not in AURORA 2006GRC w gas price updated_Book2_Electric Rev Req Model (2009 GRC) Rebuttal REmoval of New  WH Solar AdjustMI 3" xfId="7535"/>
    <cellStyle name="_Costs not in AURORA 2006GRC w gas price updated_Book2_Electric Rev Req Model (2009 GRC) Rebuttal REmoval of New  WH Solar AdjustMI 3 2" xfId="7536"/>
    <cellStyle name="_Costs not in AURORA 2006GRC w gas price updated_Book2_Electric Rev Req Model (2009 GRC) Rebuttal REmoval of New  WH Solar AdjustMI 4" xfId="7537"/>
    <cellStyle name="_Costs not in AURORA 2006GRC w gas price updated_Book2_Electric Rev Req Model (2009 GRC) Rebuttal REmoval of New  WH Solar AdjustMI_DEM-WP(C) ENERG10C--ctn Mid-C_042010 2010GRC" xfId="7538"/>
    <cellStyle name="_Costs not in AURORA 2006GRC w gas price updated_Book2_Electric Rev Req Model (2009 GRC) Revised 01-18-2010" xfId="317"/>
    <cellStyle name="_Costs not in AURORA 2006GRC w gas price updated_Book2_Electric Rev Req Model (2009 GRC) Revised 01-18-2010 2" xfId="7539"/>
    <cellStyle name="_Costs not in AURORA 2006GRC w gas price updated_Book2_Electric Rev Req Model (2009 GRC) Revised 01-18-2010 2 2" xfId="7540"/>
    <cellStyle name="_Costs not in AURORA 2006GRC w gas price updated_Book2_Electric Rev Req Model (2009 GRC) Revised 01-18-2010 2 2 2" xfId="7541"/>
    <cellStyle name="_Costs not in AURORA 2006GRC w gas price updated_Book2_Electric Rev Req Model (2009 GRC) Revised 01-18-2010 2 3" xfId="7542"/>
    <cellStyle name="_Costs not in AURORA 2006GRC w gas price updated_Book2_Electric Rev Req Model (2009 GRC) Revised 01-18-2010 3" xfId="7543"/>
    <cellStyle name="_Costs not in AURORA 2006GRC w gas price updated_Book2_Electric Rev Req Model (2009 GRC) Revised 01-18-2010 3 2" xfId="7544"/>
    <cellStyle name="_Costs not in AURORA 2006GRC w gas price updated_Book2_Electric Rev Req Model (2009 GRC) Revised 01-18-2010 4" xfId="7545"/>
    <cellStyle name="_Costs not in AURORA 2006GRC w gas price updated_Book2_Electric Rev Req Model (2009 GRC) Revised 01-18-2010_DEM-WP(C) ENERG10C--ctn Mid-C_042010 2010GRC" xfId="7546"/>
    <cellStyle name="_Costs not in AURORA 2006GRC w gas price updated_Book2_Final Order Electric EXHIBIT A-1" xfId="318"/>
    <cellStyle name="_Costs not in AURORA 2006GRC w gas price updated_Book2_Final Order Electric EXHIBIT A-1 2" xfId="7547"/>
    <cellStyle name="_Costs not in AURORA 2006GRC w gas price updated_Book2_Final Order Electric EXHIBIT A-1 2 2" xfId="7548"/>
    <cellStyle name="_Costs not in AURORA 2006GRC w gas price updated_Book2_Final Order Electric EXHIBIT A-1 2 2 2" xfId="7549"/>
    <cellStyle name="_Costs not in AURORA 2006GRC w gas price updated_Book2_Final Order Electric EXHIBIT A-1 2 3" xfId="7550"/>
    <cellStyle name="_Costs not in AURORA 2006GRC w gas price updated_Book2_Final Order Electric EXHIBIT A-1 3" xfId="7551"/>
    <cellStyle name="_Costs not in AURORA 2006GRC w gas price updated_Book2_Final Order Electric EXHIBIT A-1 3 2" xfId="7552"/>
    <cellStyle name="_Costs not in AURORA 2006GRC w gas price updated_Book2_Final Order Electric EXHIBIT A-1 4" xfId="7553"/>
    <cellStyle name="_Costs not in AURORA 2006GRC w gas price updated_Chelan PUD Power Costs (8-10)" xfId="7554"/>
    <cellStyle name="_Costs not in AURORA 2006GRC w gas price updated_Chelan PUD Power Costs (8-10) 2" xfId="7555"/>
    <cellStyle name="_Costs not in AURORA 2006GRC w gas price updated_Colstrip 1&amp;2 Annual O&amp;M Budgets" xfId="7556"/>
    <cellStyle name="_Costs not in AURORA 2006GRC w gas price updated_Confidential Material" xfId="7557"/>
    <cellStyle name="_Costs not in AURORA 2006GRC w gas price updated_Confidential Material 2" xfId="7558"/>
    <cellStyle name="_Costs not in AURORA 2006GRC w gas price updated_DEM-WP(C) Colstrip 12 Coal Cost Forecast 2010GRC" xfId="7559"/>
    <cellStyle name="_Costs not in AURORA 2006GRC w gas price updated_DEM-WP(C) Colstrip 12 Coal Cost Forecast 2010GRC 2" xfId="7560"/>
    <cellStyle name="_Costs not in AURORA 2006GRC w gas price updated_DEM-WP(C) ENERG10C--ctn Mid-C_042010 2010GRC" xfId="7561"/>
    <cellStyle name="_Costs not in AURORA 2006GRC w gas price updated_DEM-WP(C) Production O&amp;M 2010GRC As-Filed" xfId="7562"/>
    <cellStyle name="_Costs not in AURORA 2006GRC w gas price updated_DEM-WP(C) Production O&amp;M 2010GRC As-Filed 2" xfId="7563"/>
    <cellStyle name="_Costs not in AURORA 2006GRC w gas price updated_DEM-WP(C) Production O&amp;M 2010GRC As-Filed 2 2" xfId="7564"/>
    <cellStyle name="_Costs not in AURORA 2006GRC w gas price updated_DEM-WP(C) Production O&amp;M 2010GRC As-Filed 3" xfId="7565"/>
    <cellStyle name="_Costs not in AURORA 2006GRC w gas price updated_DEM-WP(C) Production O&amp;M 2010GRC As-Filed 3 2" xfId="7566"/>
    <cellStyle name="_Costs not in AURORA 2006GRC w gas price updated_DEM-WP(C) Production O&amp;M 2010GRC As-Filed 4" xfId="7567"/>
    <cellStyle name="_Costs not in AURORA 2006GRC w gas price updated_DEM-WP(C) Production O&amp;M 2010GRC As-Filed 4 2" xfId="7568"/>
    <cellStyle name="_Costs not in AURORA 2006GRC w gas price updated_DEM-WP(C) Production O&amp;M 2010GRC As-Filed 5" xfId="7569"/>
    <cellStyle name="_Costs not in AURORA 2006GRC w gas price updated_DEM-WP(C) Production O&amp;M 2010GRC As-Filed 5 2" xfId="7570"/>
    <cellStyle name="_Costs not in AURORA 2006GRC w gas price updated_DEM-WP(C) Production O&amp;M 2010GRC As-Filed 6" xfId="7571"/>
    <cellStyle name="_Costs not in AURORA 2006GRC w gas price updated_DEM-WP(C) Production O&amp;M 2010GRC As-Filed 6 2" xfId="7572"/>
    <cellStyle name="_Costs not in AURORA 2006GRC w gas price updated_Electric Rev Req Model (2009 GRC) " xfId="319"/>
    <cellStyle name="_Costs not in AURORA 2006GRC w gas price updated_Electric Rev Req Model (2009 GRC)  2" xfId="7573"/>
    <cellStyle name="_Costs not in AURORA 2006GRC w gas price updated_Electric Rev Req Model (2009 GRC)  2 2" xfId="7574"/>
    <cellStyle name="_Costs not in AURORA 2006GRC w gas price updated_Electric Rev Req Model (2009 GRC)  2 2 2" xfId="7575"/>
    <cellStyle name="_Costs not in AURORA 2006GRC w gas price updated_Electric Rev Req Model (2009 GRC)  2 3" xfId="7576"/>
    <cellStyle name="_Costs not in AURORA 2006GRC w gas price updated_Electric Rev Req Model (2009 GRC)  3" xfId="7577"/>
    <cellStyle name="_Costs not in AURORA 2006GRC w gas price updated_Electric Rev Req Model (2009 GRC)  3 2" xfId="7578"/>
    <cellStyle name="_Costs not in AURORA 2006GRC w gas price updated_Electric Rev Req Model (2009 GRC)  4" xfId="7579"/>
    <cellStyle name="_Costs not in AURORA 2006GRC w gas price updated_Electric Rev Req Model (2009 GRC) _DEM-WP(C) ENERG10C--ctn Mid-C_042010 2010GRC" xfId="7580"/>
    <cellStyle name="_Costs not in AURORA 2006GRC w gas price updated_Electric Rev Req Model (2009 GRC) Rebuttal" xfId="320"/>
    <cellStyle name="_Costs not in AURORA 2006GRC w gas price updated_Electric Rev Req Model (2009 GRC) Rebuttal 2" xfId="7581"/>
    <cellStyle name="_Costs not in AURORA 2006GRC w gas price updated_Electric Rev Req Model (2009 GRC) Rebuttal 2 2" xfId="7582"/>
    <cellStyle name="_Costs not in AURORA 2006GRC w gas price updated_Electric Rev Req Model (2009 GRC) Rebuttal 2 2 2" xfId="7583"/>
    <cellStyle name="_Costs not in AURORA 2006GRC w gas price updated_Electric Rev Req Model (2009 GRC) Rebuttal 2 3" xfId="7584"/>
    <cellStyle name="_Costs not in AURORA 2006GRC w gas price updated_Electric Rev Req Model (2009 GRC) Rebuttal 3" xfId="7585"/>
    <cellStyle name="_Costs not in AURORA 2006GRC w gas price updated_Electric Rev Req Model (2009 GRC) Rebuttal 3 2" xfId="7586"/>
    <cellStyle name="_Costs not in AURORA 2006GRC w gas price updated_Electric Rev Req Model (2009 GRC) Rebuttal 4" xfId="7587"/>
    <cellStyle name="_Costs not in AURORA 2006GRC w gas price updated_Electric Rev Req Model (2009 GRC) Rebuttal REmoval of New  WH Solar AdjustMI" xfId="321"/>
    <cellStyle name="_Costs not in AURORA 2006GRC w gas price updated_Electric Rev Req Model (2009 GRC) Rebuttal REmoval of New  WH Solar AdjustMI 2" xfId="7588"/>
    <cellStyle name="_Costs not in AURORA 2006GRC w gas price updated_Electric Rev Req Model (2009 GRC) Rebuttal REmoval of New  WH Solar AdjustMI 2 2" xfId="7589"/>
    <cellStyle name="_Costs not in AURORA 2006GRC w gas price updated_Electric Rev Req Model (2009 GRC) Rebuttal REmoval of New  WH Solar AdjustMI 2 2 2" xfId="7590"/>
    <cellStyle name="_Costs not in AURORA 2006GRC w gas price updated_Electric Rev Req Model (2009 GRC) Rebuttal REmoval of New  WH Solar AdjustMI 2 3" xfId="7591"/>
    <cellStyle name="_Costs not in AURORA 2006GRC w gas price updated_Electric Rev Req Model (2009 GRC) Rebuttal REmoval of New  WH Solar AdjustMI 3" xfId="7592"/>
    <cellStyle name="_Costs not in AURORA 2006GRC w gas price updated_Electric Rev Req Model (2009 GRC) Rebuttal REmoval of New  WH Solar AdjustMI 3 2" xfId="7593"/>
    <cellStyle name="_Costs not in AURORA 2006GRC w gas price updated_Electric Rev Req Model (2009 GRC) Rebuttal REmoval of New  WH Solar AdjustMI 4" xfId="7594"/>
    <cellStyle name="_Costs not in AURORA 2006GRC w gas price updated_Electric Rev Req Model (2009 GRC) Rebuttal REmoval of New  WH Solar AdjustMI_DEM-WP(C) ENERG10C--ctn Mid-C_042010 2010GRC" xfId="7595"/>
    <cellStyle name="_Costs not in AURORA 2006GRC w gas price updated_Electric Rev Req Model (2009 GRC) Revised 01-18-2010" xfId="322"/>
    <cellStyle name="_Costs not in AURORA 2006GRC w gas price updated_Electric Rev Req Model (2009 GRC) Revised 01-18-2010 2" xfId="7596"/>
    <cellStyle name="_Costs not in AURORA 2006GRC w gas price updated_Electric Rev Req Model (2009 GRC) Revised 01-18-2010 2 2" xfId="7597"/>
    <cellStyle name="_Costs not in AURORA 2006GRC w gas price updated_Electric Rev Req Model (2009 GRC) Revised 01-18-2010 2 2 2" xfId="7598"/>
    <cellStyle name="_Costs not in AURORA 2006GRC w gas price updated_Electric Rev Req Model (2009 GRC) Revised 01-18-2010 2 3" xfId="7599"/>
    <cellStyle name="_Costs not in AURORA 2006GRC w gas price updated_Electric Rev Req Model (2009 GRC) Revised 01-18-2010 3" xfId="7600"/>
    <cellStyle name="_Costs not in AURORA 2006GRC w gas price updated_Electric Rev Req Model (2009 GRC) Revised 01-18-2010 3 2" xfId="7601"/>
    <cellStyle name="_Costs not in AURORA 2006GRC w gas price updated_Electric Rev Req Model (2009 GRC) Revised 01-18-2010 4" xfId="7602"/>
    <cellStyle name="_Costs not in AURORA 2006GRC w gas price updated_Electric Rev Req Model (2009 GRC) Revised 01-18-2010_DEM-WP(C) ENERG10C--ctn Mid-C_042010 2010GRC" xfId="7603"/>
    <cellStyle name="_Costs not in AURORA 2006GRC w gas price updated_Electric Rev Req Model (2010 GRC)" xfId="7604"/>
    <cellStyle name="_Costs not in AURORA 2006GRC w gas price updated_Electric Rev Req Model (2010 GRC) SF" xfId="7605"/>
    <cellStyle name="_Costs not in AURORA 2006GRC w gas price updated_Final Order Electric EXHIBIT A-1" xfId="323"/>
    <cellStyle name="_Costs not in AURORA 2006GRC w gas price updated_Final Order Electric EXHIBIT A-1 2" xfId="7606"/>
    <cellStyle name="_Costs not in AURORA 2006GRC w gas price updated_Final Order Electric EXHIBIT A-1 2 2" xfId="7607"/>
    <cellStyle name="_Costs not in AURORA 2006GRC w gas price updated_Final Order Electric EXHIBIT A-1 2 2 2" xfId="7608"/>
    <cellStyle name="_Costs not in AURORA 2006GRC w gas price updated_Final Order Electric EXHIBIT A-1 2 3" xfId="7609"/>
    <cellStyle name="_Costs not in AURORA 2006GRC w gas price updated_Final Order Electric EXHIBIT A-1 3" xfId="7610"/>
    <cellStyle name="_Costs not in AURORA 2006GRC w gas price updated_Final Order Electric EXHIBIT A-1 3 2" xfId="7611"/>
    <cellStyle name="_Costs not in AURORA 2006GRC w gas price updated_Final Order Electric EXHIBIT A-1 4" xfId="7612"/>
    <cellStyle name="_Costs not in AURORA 2006GRC w gas price updated_NIM Summary" xfId="7613"/>
    <cellStyle name="_Costs not in AURORA 2006GRC w gas price updated_NIM Summary 2" xfId="7614"/>
    <cellStyle name="_Costs not in AURORA 2006GRC w gas price updated_NIM Summary 2 2" xfId="7615"/>
    <cellStyle name="_Costs not in AURORA 2006GRC w gas price updated_NIM Summary 3" xfId="7616"/>
    <cellStyle name="_Costs not in AURORA 2006GRC w gas price updated_NIM Summary_DEM-WP(C) ENERG10C--ctn Mid-C_042010 2010GRC" xfId="7617"/>
    <cellStyle name="_Costs not in AURORA 2006GRC w gas price updated_Rebuttal Power Costs" xfId="324"/>
    <cellStyle name="_Costs not in AURORA 2006GRC w gas price updated_Rebuttal Power Costs 2" xfId="7618"/>
    <cellStyle name="_Costs not in AURORA 2006GRC w gas price updated_Rebuttal Power Costs 2 2" xfId="7619"/>
    <cellStyle name="_Costs not in AURORA 2006GRC w gas price updated_Rebuttal Power Costs 2 2 2" xfId="7620"/>
    <cellStyle name="_Costs not in AURORA 2006GRC w gas price updated_Rebuttal Power Costs 2 3" xfId="7621"/>
    <cellStyle name="_Costs not in AURORA 2006GRC w gas price updated_Rebuttal Power Costs 3" xfId="7622"/>
    <cellStyle name="_Costs not in AURORA 2006GRC w gas price updated_Rebuttal Power Costs 3 2" xfId="7623"/>
    <cellStyle name="_Costs not in AURORA 2006GRC w gas price updated_Rebuttal Power Costs 4" xfId="7624"/>
    <cellStyle name="_Costs not in AURORA 2006GRC w gas price updated_Rebuttal Power Costs_Adj Bench DR 3 for Initial Briefs (Electric)" xfId="325"/>
    <cellStyle name="_Costs not in AURORA 2006GRC w gas price updated_Rebuttal Power Costs_Adj Bench DR 3 for Initial Briefs (Electric) 2" xfId="7625"/>
    <cellStyle name="_Costs not in AURORA 2006GRC w gas price updated_Rebuttal Power Costs_Adj Bench DR 3 for Initial Briefs (Electric) 2 2" xfId="7626"/>
    <cellStyle name="_Costs not in AURORA 2006GRC w gas price updated_Rebuttal Power Costs_Adj Bench DR 3 for Initial Briefs (Electric) 2 2 2" xfId="7627"/>
    <cellStyle name="_Costs not in AURORA 2006GRC w gas price updated_Rebuttal Power Costs_Adj Bench DR 3 for Initial Briefs (Electric) 2 3" xfId="7628"/>
    <cellStyle name="_Costs not in AURORA 2006GRC w gas price updated_Rebuttal Power Costs_Adj Bench DR 3 for Initial Briefs (Electric) 3" xfId="7629"/>
    <cellStyle name="_Costs not in AURORA 2006GRC w gas price updated_Rebuttal Power Costs_Adj Bench DR 3 for Initial Briefs (Electric) 3 2" xfId="7630"/>
    <cellStyle name="_Costs not in AURORA 2006GRC w gas price updated_Rebuttal Power Costs_Adj Bench DR 3 for Initial Briefs (Electric) 4" xfId="7631"/>
    <cellStyle name="_Costs not in AURORA 2006GRC w gas price updated_Rebuttal Power Costs_Adj Bench DR 3 for Initial Briefs (Electric)_DEM-WP(C) ENERG10C--ctn Mid-C_042010 2010GRC" xfId="7632"/>
    <cellStyle name="_Costs not in AURORA 2006GRC w gas price updated_Rebuttal Power Costs_DEM-WP(C) ENERG10C--ctn Mid-C_042010 2010GRC" xfId="7633"/>
    <cellStyle name="_Costs not in AURORA 2006GRC w gas price updated_Rebuttal Power Costs_Electric Rev Req Model (2009 GRC) Rebuttal" xfId="326"/>
    <cellStyle name="_Costs not in AURORA 2006GRC w gas price updated_Rebuttal Power Costs_Electric Rev Req Model (2009 GRC) Rebuttal 2" xfId="7634"/>
    <cellStyle name="_Costs not in AURORA 2006GRC w gas price updated_Rebuttal Power Costs_Electric Rev Req Model (2009 GRC) Rebuttal 2 2" xfId="7635"/>
    <cellStyle name="_Costs not in AURORA 2006GRC w gas price updated_Rebuttal Power Costs_Electric Rev Req Model (2009 GRC) Rebuttal 2 2 2" xfId="7636"/>
    <cellStyle name="_Costs not in AURORA 2006GRC w gas price updated_Rebuttal Power Costs_Electric Rev Req Model (2009 GRC) Rebuttal 2 3" xfId="7637"/>
    <cellStyle name="_Costs not in AURORA 2006GRC w gas price updated_Rebuttal Power Costs_Electric Rev Req Model (2009 GRC) Rebuttal 3" xfId="7638"/>
    <cellStyle name="_Costs not in AURORA 2006GRC w gas price updated_Rebuttal Power Costs_Electric Rev Req Model (2009 GRC) Rebuttal 3 2" xfId="7639"/>
    <cellStyle name="_Costs not in AURORA 2006GRC w gas price updated_Rebuttal Power Costs_Electric Rev Req Model (2009 GRC) Rebuttal 4" xfId="7640"/>
    <cellStyle name="_Costs not in AURORA 2006GRC w gas price updated_Rebuttal Power Costs_Electric Rev Req Model (2009 GRC) Rebuttal REmoval of New  WH Solar AdjustMI" xfId="327"/>
    <cellStyle name="_Costs not in AURORA 2006GRC w gas price updated_Rebuttal Power Costs_Electric Rev Req Model (2009 GRC) Rebuttal REmoval of New  WH Solar AdjustMI 2" xfId="7641"/>
    <cellStyle name="_Costs not in AURORA 2006GRC w gas price updated_Rebuttal Power Costs_Electric Rev Req Model (2009 GRC) Rebuttal REmoval of New  WH Solar AdjustMI 2 2" xfId="7642"/>
    <cellStyle name="_Costs not in AURORA 2006GRC w gas price updated_Rebuttal Power Costs_Electric Rev Req Model (2009 GRC) Rebuttal REmoval of New  WH Solar AdjustMI 2 2 2" xfId="7643"/>
    <cellStyle name="_Costs not in AURORA 2006GRC w gas price updated_Rebuttal Power Costs_Electric Rev Req Model (2009 GRC) Rebuttal REmoval of New  WH Solar AdjustMI 2 3" xfId="7644"/>
    <cellStyle name="_Costs not in AURORA 2006GRC w gas price updated_Rebuttal Power Costs_Electric Rev Req Model (2009 GRC) Rebuttal REmoval of New  WH Solar AdjustMI 3" xfId="7645"/>
    <cellStyle name="_Costs not in AURORA 2006GRC w gas price updated_Rebuttal Power Costs_Electric Rev Req Model (2009 GRC) Rebuttal REmoval of New  WH Solar AdjustMI 3 2" xfId="7646"/>
    <cellStyle name="_Costs not in AURORA 2006GRC w gas price updated_Rebuttal Power Costs_Electric Rev Req Model (2009 GRC) Rebuttal REmoval of New  WH Solar AdjustMI 4" xfId="7647"/>
    <cellStyle name="_Costs not in AURORA 2006GRC w gas price updated_Rebuttal Power Costs_Electric Rev Req Model (2009 GRC) Rebuttal REmoval of New  WH Solar AdjustMI_DEM-WP(C) ENERG10C--ctn Mid-C_042010 2010GRC" xfId="7648"/>
    <cellStyle name="_Costs not in AURORA 2006GRC w gas price updated_Rebuttal Power Costs_Electric Rev Req Model (2009 GRC) Revised 01-18-2010" xfId="328"/>
    <cellStyle name="_Costs not in AURORA 2006GRC w gas price updated_Rebuttal Power Costs_Electric Rev Req Model (2009 GRC) Revised 01-18-2010 2" xfId="7649"/>
    <cellStyle name="_Costs not in AURORA 2006GRC w gas price updated_Rebuttal Power Costs_Electric Rev Req Model (2009 GRC) Revised 01-18-2010 2 2" xfId="7650"/>
    <cellStyle name="_Costs not in AURORA 2006GRC w gas price updated_Rebuttal Power Costs_Electric Rev Req Model (2009 GRC) Revised 01-18-2010 2 2 2" xfId="7651"/>
    <cellStyle name="_Costs not in AURORA 2006GRC w gas price updated_Rebuttal Power Costs_Electric Rev Req Model (2009 GRC) Revised 01-18-2010 2 3" xfId="7652"/>
    <cellStyle name="_Costs not in AURORA 2006GRC w gas price updated_Rebuttal Power Costs_Electric Rev Req Model (2009 GRC) Revised 01-18-2010 3" xfId="7653"/>
    <cellStyle name="_Costs not in AURORA 2006GRC w gas price updated_Rebuttal Power Costs_Electric Rev Req Model (2009 GRC) Revised 01-18-2010 3 2" xfId="7654"/>
    <cellStyle name="_Costs not in AURORA 2006GRC w gas price updated_Rebuttal Power Costs_Electric Rev Req Model (2009 GRC) Revised 01-18-2010 4" xfId="7655"/>
    <cellStyle name="_Costs not in AURORA 2006GRC w gas price updated_Rebuttal Power Costs_Electric Rev Req Model (2009 GRC) Revised 01-18-2010_DEM-WP(C) ENERG10C--ctn Mid-C_042010 2010GRC" xfId="7656"/>
    <cellStyle name="_Costs not in AURORA 2006GRC w gas price updated_Rebuttal Power Costs_Final Order Electric EXHIBIT A-1" xfId="329"/>
    <cellStyle name="_Costs not in AURORA 2006GRC w gas price updated_Rebuttal Power Costs_Final Order Electric EXHIBIT A-1 2" xfId="7657"/>
    <cellStyle name="_Costs not in AURORA 2006GRC w gas price updated_Rebuttal Power Costs_Final Order Electric EXHIBIT A-1 2 2" xfId="7658"/>
    <cellStyle name="_Costs not in AURORA 2006GRC w gas price updated_Rebuttal Power Costs_Final Order Electric EXHIBIT A-1 2 2 2" xfId="7659"/>
    <cellStyle name="_Costs not in AURORA 2006GRC w gas price updated_Rebuttal Power Costs_Final Order Electric EXHIBIT A-1 2 3" xfId="7660"/>
    <cellStyle name="_Costs not in AURORA 2006GRC w gas price updated_Rebuttal Power Costs_Final Order Electric EXHIBIT A-1 3" xfId="7661"/>
    <cellStyle name="_Costs not in AURORA 2006GRC w gas price updated_Rebuttal Power Costs_Final Order Electric EXHIBIT A-1 3 2" xfId="7662"/>
    <cellStyle name="_Costs not in AURORA 2006GRC w gas price updated_Rebuttal Power Costs_Final Order Electric EXHIBIT A-1 4" xfId="7663"/>
    <cellStyle name="_Costs not in AURORA 2006GRC w gas price updated_TENASKA REGULATORY ASSET" xfId="330"/>
    <cellStyle name="_Costs not in AURORA 2006GRC w gas price updated_TENASKA REGULATORY ASSET 2" xfId="7664"/>
    <cellStyle name="_Costs not in AURORA 2006GRC w gas price updated_TENASKA REGULATORY ASSET 2 2" xfId="7665"/>
    <cellStyle name="_Costs not in AURORA 2006GRC w gas price updated_TENASKA REGULATORY ASSET 2 2 2" xfId="7666"/>
    <cellStyle name="_Costs not in AURORA 2006GRC w gas price updated_TENASKA REGULATORY ASSET 2 3" xfId="7667"/>
    <cellStyle name="_Costs not in AURORA 2006GRC w gas price updated_TENASKA REGULATORY ASSET 3" xfId="7668"/>
    <cellStyle name="_Costs not in AURORA 2006GRC w gas price updated_TENASKA REGULATORY ASSET 3 2" xfId="7669"/>
    <cellStyle name="_Costs not in AURORA 2006GRC w gas price updated_TENASKA REGULATORY ASSET 4" xfId="7670"/>
    <cellStyle name="_Costs not in AURORA 2007 Rate Case" xfId="331"/>
    <cellStyle name="_Costs not in AURORA 2007 Rate Case 2" xfId="332"/>
    <cellStyle name="_Costs not in AURORA 2007 Rate Case 2 2" xfId="7671"/>
    <cellStyle name="_Costs not in AURORA 2007 Rate Case 2 2 2" xfId="7672"/>
    <cellStyle name="_Costs not in AURORA 2007 Rate Case 2 2 2 2" xfId="7673"/>
    <cellStyle name="_Costs not in AURORA 2007 Rate Case 2 2 3" xfId="7674"/>
    <cellStyle name="_Costs not in AURORA 2007 Rate Case 2 3" xfId="7675"/>
    <cellStyle name="_Costs not in AURORA 2007 Rate Case 2 3 2" xfId="7676"/>
    <cellStyle name="_Costs not in AURORA 2007 Rate Case 2 4" xfId="7677"/>
    <cellStyle name="_Costs not in AURORA 2007 Rate Case 3" xfId="7678"/>
    <cellStyle name="_Costs not in AURORA 2007 Rate Case 3 2" xfId="7679"/>
    <cellStyle name="_Costs not in AURORA 2007 Rate Case 3 2 2" xfId="7680"/>
    <cellStyle name="_Costs not in AURORA 2007 Rate Case 3 3" xfId="7681"/>
    <cellStyle name="_Costs not in AURORA 2007 Rate Case 4" xfId="7682"/>
    <cellStyle name="_Costs not in AURORA 2007 Rate Case 4 2" xfId="7683"/>
    <cellStyle name="_Costs not in AURORA 2007 Rate Case 4 2 2" xfId="7684"/>
    <cellStyle name="_Costs not in AURORA 2007 Rate Case 4 3" xfId="7685"/>
    <cellStyle name="_Costs not in AURORA 2007 Rate Case 5" xfId="7686"/>
    <cellStyle name="_Costs not in AURORA 2007 Rate Case 5 2" xfId="7687"/>
    <cellStyle name="_Costs not in AURORA 2007 Rate Case 5 2 2" xfId="7688"/>
    <cellStyle name="_Costs not in AURORA 2007 Rate Case 5 3" xfId="7689"/>
    <cellStyle name="_Costs not in AURORA 2007 Rate Case 6" xfId="7690"/>
    <cellStyle name="_Costs not in AURORA 2007 Rate Case 6 2" xfId="7691"/>
    <cellStyle name="_Costs not in AURORA 2007 Rate Case 7" xfId="7692"/>
    <cellStyle name="_Costs not in AURORA 2007 Rate Case 7 2" xfId="7693"/>
    <cellStyle name="_Costs not in AURORA 2007 Rate Case 8" xfId="7694"/>
    <cellStyle name="_Costs not in AURORA 2007 Rate Case 8 2" xfId="7695"/>
    <cellStyle name="_Costs not in AURORA 2007 Rate Case 9" xfId="7696"/>
    <cellStyle name="_Costs not in AURORA 2007 Rate Case 9 2" xfId="7697"/>
    <cellStyle name="_Costs not in AURORA 2007 Rate Case_(C) WHE Proforma with ITC cash grant 10 Yr Amort_for deferral_102809" xfId="333"/>
    <cellStyle name="_Costs not in AURORA 2007 Rate Case_(C) WHE Proforma with ITC cash grant 10 Yr Amort_for deferral_102809 2" xfId="7698"/>
    <cellStyle name="_Costs not in AURORA 2007 Rate Case_(C) WHE Proforma with ITC cash grant 10 Yr Amort_for deferral_102809 2 2" xfId="7699"/>
    <cellStyle name="_Costs not in AURORA 2007 Rate Case_(C) WHE Proforma with ITC cash grant 10 Yr Amort_for deferral_102809 2 2 2" xfId="7700"/>
    <cellStyle name="_Costs not in AURORA 2007 Rate Case_(C) WHE Proforma with ITC cash grant 10 Yr Amort_for deferral_102809 2 3" xfId="7701"/>
    <cellStyle name="_Costs not in AURORA 2007 Rate Case_(C) WHE Proforma with ITC cash grant 10 Yr Amort_for deferral_102809 3" xfId="7702"/>
    <cellStyle name="_Costs not in AURORA 2007 Rate Case_(C) WHE Proforma with ITC cash grant 10 Yr Amort_for deferral_102809 3 2" xfId="7703"/>
    <cellStyle name="_Costs not in AURORA 2007 Rate Case_(C) WHE Proforma with ITC cash grant 10 Yr Amort_for deferral_102809 4" xfId="7704"/>
    <cellStyle name="_Costs not in AURORA 2007 Rate Case_(C) WHE Proforma with ITC cash grant 10 Yr Amort_for deferral_102809_16.07E Wild Horse Wind Expansionwrkingfile" xfId="334"/>
    <cellStyle name="_Costs not in AURORA 2007 Rate Case_(C) WHE Proforma with ITC cash grant 10 Yr Amort_for deferral_102809_16.07E Wild Horse Wind Expansionwrkingfile 2" xfId="7705"/>
    <cellStyle name="_Costs not in AURORA 2007 Rate Case_(C) WHE Proforma with ITC cash grant 10 Yr Amort_for deferral_102809_16.07E Wild Horse Wind Expansionwrkingfile 2 2" xfId="7706"/>
    <cellStyle name="_Costs not in AURORA 2007 Rate Case_(C) WHE Proforma with ITC cash grant 10 Yr Amort_for deferral_102809_16.07E Wild Horse Wind Expansionwrkingfile 2 2 2" xfId="7707"/>
    <cellStyle name="_Costs not in AURORA 2007 Rate Case_(C) WHE Proforma with ITC cash grant 10 Yr Amort_for deferral_102809_16.07E Wild Horse Wind Expansionwrkingfile 2 3" xfId="7708"/>
    <cellStyle name="_Costs not in AURORA 2007 Rate Case_(C) WHE Proforma with ITC cash grant 10 Yr Amort_for deferral_102809_16.07E Wild Horse Wind Expansionwrkingfile 3" xfId="7709"/>
    <cellStyle name="_Costs not in AURORA 2007 Rate Case_(C) WHE Proforma with ITC cash grant 10 Yr Amort_for deferral_102809_16.07E Wild Horse Wind Expansionwrkingfile 3 2" xfId="7710"/>
    <cellStyle name="_Costs not in AURORA 2007 Rate Case_(C) WHE Proforma with ITC cash grant 10 Yr Amort_for deferral_102809_16.07E Wild Horse Wind Expansionwrkingfile 4" xfId="7711"/>
    <cellStyle name="_Costs not in AURORA 2007 Rate Case_(C) WHE Proforma with ITC cash grant 10 Yr Amort_for deferral_102809_16.07E Wild Horse Wind Expansionwrkingfile SF" xfId="335"/>
    <cellStyle name="_Costs not in AURORA 2007 Rate Case_(C) WHE Proforma with ITC cash grant 10 Yr Amort_for deferral_102809_16.07E Wild Horse Wind Expansionwrkingfile SF 2" xfId="7712"/>
    <cellStyle name="_Costs not in AURORA 2007 Rate Case_(C) WHE Proforma with ITC cash grant 10 Yr Amort_for deferral_102809_16.07E Wild Horse Wind Expansionwrkingfile SF 2 2" xfId="7713"/>
    <cellStyle name="_Costs not in AURORA 2007 Rate Case_(C) WHE Proforma with ITC cash grant 10 Yr Amort_for deferral_102809_16.07E Wild Horse Wind Expansionwrkingfile SF 2 2 2" xfId="7714"/>
    <cellStyle name="_Costs not in AURORA 2007 Rate Case_(C) WHE Proforma with ITC cash grant 10 Yr Amort_for deferral_102809_16.07E Wild Horse Wind Expansionwrkingfile SF 2 3" xfId="7715"/>
    <cellStyle name="_Costs not in AURORA 2007 Rate Case_(C) WHE Proforma with ITC cash grant 10 Yr Amort_for deferral_102809_16.07E Wild Horse Wind Expansionwrkingfile SF 3" xfId="7716"/>
    <cellStyle name="_Costs not in AURORA 2007 Rate Case_(C) WHE Proforma with ITC cash grant 10 Yr Amort_for deferral_102809_16.07E Wild Horse Wind Expansionwrkingfile SF 3 2" xfId="7717"/>
    <cellStyle name="_Costs not in AURORA 2007 Rate Case_(C) WHE Proforma with ITC cash grant 10 Yr Amort_for deferral_102809_16.07E Wild Horse Wind Expansionwrkingfile SF 4" xfId="7718"/>
    <cellStyle name="_Costs not in AURORA 2007 Rate Case_(C) WHE Proforma with ITC cash grant 10 Yr Amort_for deferral_102809_16.07E Wild Horse Wind Expansionwrkingfile SF_DEM-WP(C) ENERG10C--ctn Mid-C_042010 2010GRC" xfId="7719"/>
    <cellStyle name="_Costs not in AURORA 2007 Rate Case_(C) WHE Proforma with ITC cash grant 10 Yr Amort_for deferral_102809_16.07E Wild Horse Wind Expansionwrkingfile_DEM-WP(C) ENERG10C--ctn Mid-C_042010 2010GRC" xfId="7720"/>
    <cellStyle name="_Costs not in AURORA 2007 Rate Case_(C) WHE Proforma with ITC cash grant 10 Yr Amort_for deferral_102809_16.37E Wild Horse Expansion DeferralRevwrkingfile SF" xfId="336"/>
    <cellStyle name="_Costs not in AURORA 2007 Rate Case_(C) WHE Proforma with ITC cash grant 10 Yr Amort_for deferral_102809_16.37E Wild Horse Expansion DeferralRevwrkingfile SF 2" xfId="7721"/>
    <cellStyle name="_Costs not in AURORA 2007 Rate Case_(C) WHE Proforma with ITC cash grant 10 Yr Amort_for deferral_102809_16.37E Wild Horse Expansion DeferralRevwrkingfile SF 2 2" xfId="7722"/>
    <cellStyle name="_Costs not in AURORA 2007 Rate Case_(C) WHE Proforma with ITC cash grant 10 Yr Amort_for deferral_102809_16.37E Wild Horse Expansion DeferralRevwrkingfile SF 2 2 2" xfId="7723"/>
    <cellStyle name="_Costs not in AURORA 2007 Rate Case_(C) WHE Proforma with ITC cash grant 10 Yr Amort_for deferral_102809_16.37E Wild Horse Expansion DeferralRevwrkingfile SF 2 3" xfId="7724"/>
    <cellStyle name="_Costs not in AURORA 2007 Rate Case_(C) WHE Proforma with ITC cash grant 10 Yr Amort_for deferral_102809_16.37E Wild Horse Expansion DeferralRevwrkingfile SF 3" xfId="7725"/>
    <cellStyle name="_Costs not in AURORA 2007 Rate Case_(C) WHE Proforma with ITC cash grant 10 Yr Amort_for deferral_102809_16.37E Wild Horse Expansion DeferralRevwrkingfile SF 3 2" xfId="7726"/>
    <cellStyle name="_Costs not in AURORA 2007 Rate Case_(C) WHE Proforma with ITC cash grant 10 Yr Amort_for deferral_102809_16.37E Wild Horse Expansion DeferralRevwrkingfile SF 4" xfId="7727"/>
    <cellStyle name="_Costs not in AURORA 2007 Rate Case_(C) WHE Proforma with ITC cash grant 10 Yr Amort_for deferral_102809_16.37E Wild Horse Expansion DeferralRevwrkingfile SF_DEM-WP(C) ENERG10C--ctn Mid-C_042010 2010GRC" xfId="7728"/>
    <cellStyle name="_Costs not in AURORA 2007 Rate Case_(C) WHE Proforma with ITC cash grant 10 Yr Amort_for deferral_102809_DEM-WP(C) ENERG10C--ctn Mid-C_042010 2010GRC" xfId="7729"/>
    <cellStyle name="_Costs not in AURORA 2007 Rate Case_(C) WHE Proforma with ITC cash grant 10 Yr Amort_for rebuttal_120709" xfId="337"/>
    <cellStyle name="_Costs not in AURORA 2007 Rate Case_(C) WHE Proforma with ITC cash grant 10 Yr Amort_for rebuttal_120709 2" xfId="7730"/>
    <cellStyle name="_Costs not in AURORA 2007 Rate Case_(C) WHE Proforma with ITC cash grant 10 Yr Amort_for rebuttal_120709 2 2" xfId="7731"/>
    <cellStyle name="_Costs not in AURORA 2007 Rate Case_(C) WHE Proforma with ITC cash grant 10 Yr Amort_for rebuttal_120709 2 2 2" xfId="7732"/>
    <cellStyle name="_Costs not in AURORA 2007 Rate Case_(C) WHE Proforma with ITC cash grant 10 Yr Amort_for rebuttal_120709 2 3" xfId="7733"/>
    <cellStyle name="_Costs not in AURORA 2007 Rate Case_(C) WHE Proforma with ITC cash grant 10 Yr Amort_for rebuttal_120709 3" xfId="7734"/>
    <cellStyle name="_Costs not in AURORA 2007 Rate Case_(C) WHE Proforma with ITC cash grant 10 Yr Amort_for rebuttal_120709 3 2" xfId="7735"/>
    <cellStyle name="_Costs not in AURORA 2007 Rate Case_(C) WHE Proforma with ITC cash grant 10 Yr Amort_for rebuttal_120709 4" xfId="7736"/>
    <cellStyle name="_Costs not in AURORA 2007 Rate Case_(C) WHE Proforma with ITC cash grant 10 Yr Amort_for rebuttal_120709_DEM-WP(C) ENERG10C--ctn Mid-C_042010 2010GRC" xfId="7737"/>
    <cellStyle name="_Costs not in AURORA 2007 Rate Case_04.07E Wild Horse Wind Expansion" xfId="338"/>
    <cellStyle name="_Costs not in AURORA 2007 Rate Case_04.07E Wild Horse Wind Expansion 2" xfId="7738"/>
    <cellStyle name="_Costs not in AURORA 2007 Rate Case_04.07E Wild Horse Wind Expansion 2 2" xfId="7739"/>
    <cellStyle name="_Costs not in AURORA 2007 Rate Case_04.07E Wild Horse Wind Expansion 2 2 2" xfId="7740"/>
    <cellStyle name="_Costs not in AURORA 2007 Rate Case_04.07E Wild Horse Wind Expansion 2 3" xfId="7741"/>
    <cellStyle name="_Costs not in AURORA 2007 Rate Case_04.07E Wild Horse Wind Expansion 3" xfId="7742"/>
    <cellStyle name="_Costs not in AURORA 2007 Rate Case_04.07E Wild Horse Wind Expansion 3 2" xfId="7743"/>
    <cellStyle name="_Costs not in AURORA 2007 Rate Case_04.07E Wild Horse Wind Expansion 4" xfId="7744"/>
    <cellStyle name="_Costs not in AURORA 2007 Rate Case_04.07E Wild Horse Wind Expansion_16.07E Wild Horse Wind Expansionwrkingfile" xfId="339"/>
    <cellStyle name="_Costs not in AURORA 2007 Rate Case_04.07E Wild Horse Wind Expansion_16.07E Wild Horse Wind Expansionwrkingfile 2" xfId="7745"/>
    <cellStyle name="_Costs not in AURORA 2007 Rate Case_04.07E Wild Horse Wind Expansion_16.07E Wild Horse Wind Expansionwrkingfile 2 2" xfId="7746"/>
    <cellStyle name="_Costs not in AURORA 2007 Rate Case_04.07E Wild Horse Wind Expansion_16.07E Wild Horse Wind Expansionwrkingfile 2 2 2" xfId="7747"/>
    <cellStyle name="_Costs not in AURORA 2007 Rate Case_04.07E Wild Horse Wind Expansion_16.07E Wild Horse Wind Expansionwrkingfile 2 3" xfId="7748"/>
    <cellStyle name="_Costs not in AURORA 2007 Rate Case_04.07E Wild Horse Wind Expansion_16.07E Wild Horse Wind Expansionwrkingfile 3" xfId="7749"/>
    <cellStyle name="_Costs not in AURORA 2007 Rate Case_04.07E Wild Horse Wind Expansion_16.07E Wild Horse Wind Expansionwrkingfile 3 2" xfId="7750"/>
    <cellStyle name="_Costs not in AURORA 2007 Rate Case_04.07E Wild Horse Wind Expansion_16.07E Wild Horse Wind Expansionwrkingfile 4" xfId="7751"/>
    <cellStyle name="_Costs not in AURORA 2007 Rate Case_04.07E Wild Horse Wind Expansion_16.07E Wild Horse Wind Expansionwrkingfile SF" xfId="340"/>
    <cellStyle name="_Costs not in AURORA 2007 Rate Case_04.07E Wild Horse Wind Expansion_16.07E Wild Horse Wind Expansionwrkingfile SF 2" xfId="7752"/>
    <cellStyle name="_Costs not in AURORA 2007 Rate Case_04.07E Wild Horse Wind Expansion_16.07E Wild Horse Wind Expansionwrkingfile SF 2 2" xfId="7753"/>
    <cellStyle name="_Costs not in AURORA 2007 Rate Case_04.07E Wild Horse Wind Expansion_16.07E Wild Horse Wind Expansionwrkingfile SF 2 2 2" xfId="7754"/>
    <cellStyle name="_Costs not in AURORA 2007 Rate Case_04.07E Wild Horse Wind Expansion_16.07E Wild Horse Wind Expansionwrkingfile SF 2 3" xfId="7755"/>
    <cellStyle name="_Costs not in AURORA 2007 Rate Case_04.07E Wild Horse Wind Expansion_16.07E Wild Horse Wind Expansionwrkingfile SF 3" xfId="7756"/>
    <cellStyle name="_Costs not in AURORA 2007 Rate Case_04.07E Wild Horse Wind Expansion_16.07E Wild Horse Wind Expansionwrkingfile SF 3 2" xfId="7757"/>
    <cellStyle name="_Costs not in AURORA 2007 Rate Case_04.07E Wild Horse Wind Expansion_16.07E Wild Horse Wind Expansionwrkingfile SF 4" xfId="7758"/>
    <cellStyle name="_Costs not in AURORA 2007 Rate Case_04.07E Wild Horse Wind Expansion_16.07E Wild Horse Wind Expansionwrkingfile SF_DEM-WP(C) ENERG10C--ctn Mid-C_042010 2010GRC" xfId="7759"/>
    <cellStyle name="_Costs not in AURORA 2007 Rate Case_04.07E Wild Horse Wind Expansion_16.07E Wild Horse Wind Expansionwrkingfile_DEM-WP(C) ENERG10C--ctn Mid-C_042010 2010GRC" xfId="7760"/>
    <cellStyle name="_Costs not in AURORA 2007 Rate Case_04.07E Wild Horse Wind Expansion_16.37E Wild Horse Expansion DeferralRevwrkingfile SF" xfId="341"/>
    <cellStyle name="_Costs not in AURORA 2007 Rate Case_04.07E Wild Horse Wind Expansion_16.37E Wild Horse Expansion DeferralRevwrkingfile SF 2" xfId="7761"/>
    <cellStyle name="_Costs not in AURORA 2007 Rate Case_04.07E Wild Horse Wind Expansion_16.37E Wild Horse Expansion DeferralRevwrkingfile SF 2 2" xfId="7762"/>
    <cellStyle name="_Costs not in AURORA 2007 Rate Case_04.07E Wild Horse Wind Expansion_16.37E Wild Horse Expansion DeferralRevwrkingfile SF 2 2 2" xfId="7763"/>
    <cellStyle name="_Costs not in AURORA 2007 Rate Case_04.07E Wild Horse Wind Expansion_16.37E Wild Horse Expansion DeferralRevwrkingfile SF 2 3" xfId="7764"/>
    <cellStyle name="_Costs not in AURORA 2007 Rate Case_04.07E Wild Horse Wind Expansion_16.37E Wild Horse Expansion DeferralRevwrkingfile SF 3" xfId="7765"/>
    <cellStyle name="_Costs not in AURORA 2007 Rate Case_04.07E Wild Horse Wind Expansion_16.37E Wild Horse Expansion DeferralRevwrkingfile SF 3 2" xfId="7766"/>
    <cellStyle name="_Costs not in AURORA 2007 Rate Case_04.07E Wild Horse Wind Expansion_16.37E Wild Horse Expansion DeferralRevwrkingfile SF 4" xfId="7767"/>
    <cellStyle name="_Costs not in AURORA 2007 Rate Case_04.07E Wild Horse Wind Expansion_16.37E Wild Horse Expansion DeferralRevwrkingfile SF_DEM-WP(C) ENERG10C--ctn Mid-C_042010 2010GRC" xfId="7768"/>
    <cellStyle name="_Costs not in AURORA 2007 Rate Case_04.07E Wild Horse Wind Expansion_DEM-WP(C) ENERG10C--ctn Mid-C_042010 2010GRC" xfId="7769"/>
    <cellStyle name="_Costs not in AURORA 2007 Rate Case_16.07E Wild Horse Wind Expansionwrkingfile" xfId="342"/>
    <cellStyle name="_Costs not in AURORA 2007 Rate Case_16.07E Wild Horse Wind Expansionwrkingfile 2" xfId="7770"/>
    <cellStyle name="_Costs not in AURORA 2007 Rate Case_16.07E Wild Horse Wind Expansionwrkingfile 2 2" xfId="7771"/>
    <cellStyle name="_Costs not in AURORA 2007 Rate Case_16.07E Wild Horse Wind Expansionwrkingfile 2 2 2" xfId="7772"/>
    <cellStyle name="_Costs not in AURORA 2007 Rate Case_16.07E Wild Horse Wind Expansionwrkingfile 2 3" xfId="7773"/>
    <cellStyle name="_Costs not in AURORA 2007 Rate Case_16.07E Wild Horse Wind Expansionwrkingfile 3" xfId="7774"/>
    <cellStyle name="_Costs not in AURORA 2007 Rate Case_16.07E Wild Horse Wind Expansionwrkingfile 3 2" xfId="7775"/>
    <cellStyle name="_Costs not in AURORA 2007 Rate Case_16.07E Wild Horse Wind Expansionwrkingfile 4" xfId="7776"/>
    <cellStyle name="_Costs not in AURORA 2007 Rate Case_16.07E Wild Horse Wind Expansionwrkingfile SF" xfId="343"/>
    <cellStyle name="_Costs not in AURORA 2007 Rate Case_16.07E Wild Horse Wind Expansionwrkingfile SF 2" xfId="7777"/>
    <cellStyle name="_Costs not in AURORA 2007 Rate Case_16.07E Wild Horse Wind Expansionwrkingfile SF 2 2" xfId="7778"/>
    <cellStyle name="_Costs not in AURORA 2007 Rate Case_16.07E Wild Horse Wind Expansionwrkingfile SF 2 2 2" xfId="7779"/>
    <cellStyle name="_Costs not in AURORA 2007 Rate Case_16.07E Wild Horse Wind Expansionwrkingfile SF 2 3" xfId="7780"/>
    <cellStyle name="_Costs not in AURORA 2007 Rate Case_16.07E Wild Horse Wind Expansionwrkingfile SF 3" xfId="7781"/>
    <cellStyle name="_Costs not in AURORA 2007 Rate Case_16.07E Wild Horse Wind Expansionwrkingfile SF 3 2" xfId="7782"/>
    <cellStyle name="_Costs not in AURORA 2007 Rate Case_16.07E Wild Horse Wind Expansionwrkingfile SF 4" xfId="7783"/>
    <cellStyle name="_Costs not in AURORA 2007 Rate Case_16.07E Wild Horse Wind Expansionwrkingfile SF_DEM-WP(C) ENERG10C--ctn Mid-C_042010 2010GRC" xfId="7784"/>
    <cellStyle name="_Costs not in AURORA 2007 Rate Case_16.07E Wild Horse Wind Expansionwrkingfile_DEM-WP(C) ENERG10C--ctn Mid-C_042010 2010GRC" xfId="7785"/>
    <cellStyle name="_Costs not in AURORA 2007 Rate Case_16.37E Wild Horse Expansion DeferralRevwrkingfile SF" xfId="344"/>
    <cellStyle name="_Costs not in AURORA 2007 Rate Case_16.37E Wild Horse Expansion DeferralRevwrkingfile SF 2" xfId="7786"/>
    <cellStyle name="_Costs not in AURORA 2007 Rate Case_16.37E Wild Horse Expansion DeferralRevwrkingfile SF 2 2" xfId="7787"/>
    <cellStyle name="_Costs not in AURORA 2007 Rate Case_16.37E Wild Horse Expansion DeferralRevwrkingfile SF 2 2 2" xfId="7788"/>
    <cellStyle name="_Costs not in AURORA 2007 Rate Case_16.37E Wild Horse Expansion DeferralRevwrkingfile SF 2 3" xfId="7789"/>
    <cellStyle name="_Costs not in AURORA 2007 Rate Case_16.37E Wild Horse Expansion DeferralRevwrkingfile SF 3" xfId="7790"/>
    <cellStyle name="_Costs not in AURORA 2007 Rate Case_16.37E Wild Horse Expansion DeferralRevwrkingfile SF 3 2" xfId="7791"/>
    <cellStyle name="_Costs not in AURORA 2007 Rate Case_16.37E Wild Horse Expansion DeferralRevwrkingfile SF 4" xfId="7792"/>
    <cellStyle name="_Costs not in AURORA 2007 Rate Case_16.37E Wild Horse Expansion DeferralRevwrkingfile SF_DEM-WP(C) ENERG10C--ctn Mid-C_042010 2010GRC" xfId="7793"/>
    <cellStyle name="_Costs not in AURORA 2007 Rate Case_2009 Compliance Filing PCA Exhibits for GRC" xfId="7794"/>
    <cellStyle name="_Costs not in AURORA 2007 Rate Case_2009 Compliance Filing PCA Exhibits for GRC 2" xfId="7795"/>
    <cellStyle name="_Costs not in AURORA 2007 Rate Case_2009 GRC Compl Filing - Exhibit D" xfId="345"/>
    <cellStyle name="_Costs not in AURORA 2007 Rate Case_2009 GRC Compl Filing - Exhibit D 2" xfId="7796"/>
    <cellStyle name="_Costs not in AURORA 2007 Rate Case_2009 GRC Compl Filing - Exhibit D 2 2" xfId="7797"/>
    <cellStyle name="_Costs not in AURORA 2007 Rate Case_2009 GRC Compl Filing - Exhibit D 3" xfId="7798"/>
    <cellStyle name="_Costs not in AURORA 2007 Rate Case_2009 GRC Compl Filing - Exhibit D_DEM-WP(C) ENERG10C--ctn Mid-C_042010 2010GRC" xfId="7799"/>
    <cellStyle name="_Costs not in AURORA 2007 Rate Case_3.01 Income Statement" xfId="346"/>
    <cellStyle name="_Costs not in AURORA 2007 Rate Case_4 31 Regulatory Assets and Liabilities  7 06- Exhibit D" xfId="347"/>
    <cellStyle name="_Costs not in AURORA 2007 Rate Case_4 31 Regulatory Assets and Liabilities  7 06- Exhibit D 2" xfId="7800"/>
    <cellStyle name="_Costs not in AURORA 2007 Rate Case_4 31 Regulatory Assets and Liabilities  7 06- Exhibit D 2 2" xfId="7801"/>
    <cellStyle name="_Costs not in AURORA 2007 Rate Case_4 31 Regulatory Assets and Liabilities  7 06- Exhibit D 2 2 2" xfId="7802"/>
    <cellStyle name="_Costs not in AURORA 2007 Rate Case_4 31 Regulatory Assets and Liabilities  7 06- Exhibit D 2 3" xfId="7803"/>
    <cellStyle name="_Costs not in AURORA 2007 Rate Case_4 31 Regulatory Assets and Liabilities  7 06- Exhibit D 3" xfId="7804"/>
    <cellStyle name="_Costs not in AURORA 2007 Rate Case_4 31 Regulatory Assets and Liabilities  7 06- Exhibit D 3 2" xfId="7805"/>
    <cellStyle name="_Costs not in AURORA 2007 Rate Case_4 31 Regulatory Assets and Liabilities  7 06- Exhibit D 4" xfId="7806"/>
    <cellStyle name="_Costs not in AURORA 2007 Rate Case_4 31 Regulatory Assets and Liabilities  7 06- Exhibit D_DEM-WP(C) ENERG10C--ctn Mid-C_042010 2010GRC" xfId="7807"/>
    <cellStyle name="_Costs not in AURORA 2007 Rate Case_4 31 Regulatory Assets and Liabilities  7 06- Exhibit D_NIM Summary" xfId="7808"/>
    <cellStyle name="_Costs not in AURORA 2007 Rate Case_4 31 Regulatory Assets and Liabilities  7 06- Exhibit D_NIM Summary 2" xfId="7809"/>
    <cellStyle name="_Costs not in AURORA 2007 Rate Case_4 31 Regulatory Assets and Liabilities  7 06- Exhibit D_NIM Summary 2 2" xfId="7810"/>
    <cellStyle name="_Costs not in AURORA 2007 Rate Case_4 31 Regulatory Assets and Liabilities  7 06- Exhibit D_NIM Summary 3" xfId="7811"/>
    <cellStyle name="_Costs not in AURORA 2007 Rate Case_4 31 Regulatory Assets and Liabilities  7 06- Exhibit D_NIM Summary_DEM-WP(C) ENERG10C--ctn Mid-C_042010 2010GRC" xfId="7812"/>
    <cellStyle name="_Costs not in AURORA 2007 Rate Case_4 31E Reg Asset  Liab and EXH D" xfId="7813"/>
    <cellStyle name="_Costs not in AURORA 2007 Rate Case_4 31E Reg Asset  Liab and EXH D _ Aug 10 Filing (2)" xfId="7814"/>
    <cellStyle name="_Costs not in AURORA 2007 Rate Case_4 31E Reg Asset  Liab and EXH D _ Aug 10 Filing (2) 2" xfId="7815"/>
    <cellStyle name="_Costs not in AURORA 2007 Rate Case_4 31E Reg Asset  Liab and EXH D 10" xfId="7816"/>
    <cellStyle name="_Costs not in AURORA 2007 Rate Case_4 31E Reg Asset  Liab and EXH D 11" xfId="7817"/>
    <cellStyle name="_Costs not in AURORA 2007 Rate Case_4 31E Reg Asset  Liab and EXH D 12" xfId="7818"/>
    <cellStyle name="_Costs not in AURORA 2007 Rate Case_4 31E Reg Asset  Liab and EXH D 13" xfId="7819"/>
    <cellStyle name="_Costs not in AURORA 2007 Rate Case_4 31E Reg Asset  Liab and EXH D 14" xfId="7820"/>
    <cellStyle name="_Costs not in AURORA 2007 Rate Case_4 31E Reg Asset  Liab and EXH D 15" xfId="7821"/>
    <cellStyle name="_Costs not in AURORA 2007 Rate Case_4 31E Reg Asset  Liab and EXH D 16" xfId="7822"/>
    <cellStyle name="_Costs not in AURORA 2007 Rate Case_4 31E Reg Asset  Liab and EXH D 17" xfId="7823"/>
    <cellStyle name="_Costs not in AURORA 2007 Rate Case_4 31E Reg Asset  Liab and EXH D 18" xfId="7824"/>
    <cellStyle name="_Costs not in AURORA 2007 Rate Case_4 31E Reg Asset  Liab and EXH D 19" xfId="7825"/>
    <cellStyle name="_Costs not in AURORA 2007 Rate Case_4 31E Reg Asset  Liab and EXH D 2" xfId="7826"/>
    <cellStyle name="_Costs not in AURORA 2007 Rate Case_4 31E Reg Asset  Liab and EXH D 20" xfId="7827"/>
    <cellStyle name="_Costs not in AURORA 2007 Rate Case_4 31E Reg Asset  Liab and EXH D 21" xfId="7828"/>
    <cellStyle name="_Costs not in AURORA 2007 Rate Case_4 31E Reg Asset  Liab and EXH D 22" xfId="7829"/>
    <cellStyle name="_Costs not in AURORA 2007 Rate Case_4 31E Reg Asset  Liab and EXH D 23" xfId="7830"/>
    <cellStyle name="_Costs not in AURORA 2007 Rate Case_4 31E Reg Asset  Liab and EXH D 24" xfId="7831"/>
    <cellStyle name="_Costs not in AURORA 2007 Rate Case_4 31E Reg Asset  Liab and EXH D 25" xfId="7832"/>
    <cellStyle name="_Costs not in AURORA 2007 Rate Case_4 31E Reg Asset  Liab and EXH D 26" xfId="7833"/>
    <cellStyle name="_Costs not in AURORA 2007 Rate Case_4 31E Reg Asset  Liab and EXH D 27" xfId="7834"/>
    <cellStyle name="_Costs not in AURORA 2007 Rate Case_4 31E Reg Asset  Liab and EXH D 28" xfId="7835"/>
    <cellStyle name="_Costs not in AURORA 2007 Rate Case_4 31E Reg Asset  Liab and EXH D 29" xfId="7836"/>
    <cellStyle name="_Costs not in AURORA 2007 Rate Case_4 31E Reg Asset  Liab and EXH D 3" xfId="7837"/>
    <cellStyle name="_Costs not in AURORA 2007 Rate Case_4 31E Reg Asset  Liab and EXH D 30" xfId="7838"/>
    <cellStyle name="_Costs not in AURORA 2007 Rate Case_4 31E Reg Asset  Liab and EXH D 31" xfId="7839"/>
    <cellStyle name="_Costs not in AURORA 2007 Rate Case_4 31E Reg Asset  Liab and EXH D 32" xfId="7840"/>
    <cellStyle name="_Costs not in AURORA 2007 Rate Case_4 31E Reg Asset  Liab and EXH D 33" xfId="7841"/>
    <cellStyle name="_Costs not in AURORA 2007 Rate Case_4 31E Reg Asset  Liab and EXH D 34" xfId="7842"/>
    <cellStyle name="_Costs not in AURORA 2007 Rate Case_4 31E Reg Asset  Liab and EXH D 35" xfId="7843"/>
    <cellStyle name="_Costs not in AURORA 2007 Rate Case_4 31E Reg Asset  Liab and EXH D 36" xfId="7844"/>
    <cellStyle name="_Costs not in AURORA 2007 Rate Case_4 31E Reg Asset  Liab and EXH D 4" xfId="7845"/>
    <cellStyle name="_Costs not in AURORA 2007 Rate Case_4 31E Reg Asset  Liab and EXH D 5" xfId="7846"/>
    <cellStyle name="_Costs not in AURORA 2007 Rate Case_4 31E Reg Asset  Liab and EXH D 6" xfId="7847"/>
    <cellStyle name="_Costs not in AURORA 2007 Rate Case_4 31E Reg Asset  Liab and EXH D 7" xfId="7848"/>
    <cellStyle name="_Costs not in AURORA 2007 Rate Case_4 31E Reg Asset  Liab and EXH D 8" xfId="7849"/>
    <cellStyle name="_Costs not in AURORA 2007 Rate Case_4 31E Reg Asset  Liab and EXH D 9" xfId="7850"/>
    <cellStyle name="_Costs not in AURORA 2007 Rate Case_4 32 Regulatory Assets and Liabilities  7 06- Exhibit D" xfId="348"/>
    <cellStyle name="_Costs not in AURORA 2007 Rate Case_4 32 Regulatory Assets and Liabilities  7 06- Exhibit D 2" xfId="7851"/>
    <cellStyle name="_Costs not in AURORA 2007 Rate Case_4 32 Regulatory Assets and Liabilities  7 06- Exhibit D 2 2" xfId="7852"/>
    <cellStyle name="_Costs not in AURORA 2007 Rate Case_4 32 Regulatory Assets and Liabilities  7 06- Exhibit D 2 2 2" xfId="7853"/>
    <cellStyle name="_Costs not in AURORA 2007 Rate Case_4 32 Regulatory Assets and Liabilities  7 06- Exhibit D 2 3" xfId="7854"/>
    <cellStyle name="_Costs not in AURORA 2007 Rate Case_4 32 Regulatory Assets and Liabilities  7 06- Exhibit D 3" xfId="7855"/>
    <cellStyle name="_Costs not in AURORA 2007 Rate Case_4 32 Regulatory Assets and Liabilities  7 06- Exhibit D 3 2" xfId="7856"/>
    <cellStyle name="_Costs not in AURORA 2007 Rate Case_4 32 Regulatory Assets and Liabilities  7 06- Exhibit D 4" xfId="7857"/>
    <cellStyle name="_Costs not in AURORA 2007 Rate Case_4 32 Regulatory Assets and Liabilities  7 06- Exhibit D_DEM-WP(C) ENERG10C--ctn Mid-C_042010 2010GRC" xfId="7858"/>
    <cellStyle name="_Costs not in AURORA 2007 Rate Case_4 32 Regulatory Assets and Liabilities  7 06- Exhibit D_NIM Summary" xfId="7859"/>
    <cellStyle name="_Costs not in AURORA 2007 Rate Case_4 32 Regulatory Assets and Liabilities  7 06- Exhibit D_NIM Summary 2" xfId="7860"/>
    <cellStyle name="_Costs not in AURORA 2007 Rate Case_4 32 Regulatory Assets and Liabilities  7 06- Exhibit D_NIM Summary 2 2" xfId="7861"/>
    <cellStyle name="_Costs not in AURORA 2007 Rate Case_4 32 Regulatory Assets and Liabilities  7 06- Exhibit D_NIM Summary 3" xfId="7862"/>
    <cellStyle name="_Costs not in AURORA 2007 Rate Case_4 32 Regulatory Assets and Liabilities  7 06- Exhibit D_NIM Summary_DEM-WP(C) ENERG10C--ctn Mid-C_042010 2010GRC" xfId="7863"/>
    <cellStyle name="_Costs not in AURORA 2007 Rate Case_AURORA Total New" xfId="7864"/>
    <cellStyle name="_Costs not in AURORA 2007 Rate Case_AURORA Total New 2" xfId="7865"/>
    <cellStyle name="_Costs not in AURORA 2007 Rate Case_AURORA Total New 2 2" xfId="7866"/>
    <cellStyle name="_Costs not in AURORA 2007 Rate Case_AURORA Total New 3" xfId="7867"/>
    <cellStyle name="_Costs not in AURORA 2007 Rate Case_Book1" xfId="7868"/>
    <cellStyle name="_Costs not in AURORA 2007 Rate Case_Book2" xfId="349"/>
    <cellStyle name="_Costs not in AURORA 2007 Rate Case_Book2 2" xfId="7869"/>
    <cellStyle name="_Costs not in AURORA 2007 Rate Case_Book2 2 2" xfId="7870"/>
    <cellStyle name="_Costs not in AURORA 2007 Rate Case_Book2 2 2 2" xfId="7871"/>
    <cellStyle name="_Costs not in AURORA 2007 Rate Case_Book2 2 3" xfId="7872"/>
    <cellStyle name="_Costs not in AURORA 2007 Rate Case_Book2 3" xfId="7873"/>
    <cellStyle name="_Costs not in AURORA 2007 Rate Case_Book2 3 2" xfId="7874"/>
    <cellStyle name="_Costs not in AURORA 2007 Rate Case_Book2 4" xfId="7875"/>
    <cellStyle name="_Costs not in AURORA 2007 Rate Case_Book2_Adj Bench DR 3 for Initial Briefs (Electric)" xfId="350"/>
    <cellStyle name="_Costs not in AURORA 2007 Rate Case_Book2_Adj Bench DR 3 for Initial Briefs (Electric) 2" xfId="7876"/>
    <cellStyle name="_Costs not in AURORA 2007 Rate Case_Book2_Adj Bench DR 3 for Initial Briefs (Electric) 2 2" xfId="7877"/>
    <cellStyle name="_Costs not in AURORA 2007 Rate Case_Book2_Adj Bench DR 3 for Initial Briefs (Electric) 2 2 2" xfId="7878"/>
    <cellStyle name="_Costs not in AURORA 2007 Rate Case_Book2_Adj Bench DR 3 for Initial Briefs (Electric) 2 3" xfId="7879"/>
    <cellStyle name="_Costs not in AURORA 2007 Rate Case_Book2_Adj Bench DR 3 for Initial Briefs (Electric) 3" xfId="7880"/>
    <cellStyle name="_Costs not in AURORA 2007 Rate Case_Book2_Adj Bench DR 3 for Initial Briefs (Electric) 3 2" xfId="7881"/>
    <cellStyle name="_Costs not in AURORA 2007 Rate Case_Book2_Adj Bench DR 3 for Initial Briefs (Electric) 4" xfId="7882"/>
    <cellStyle name="_Costs not in AURORA 2007 Rate Case_Book2_Adj Bench DR 3 for Initial Briefs (Electric)_DEM-WP(C) ENERG10C--ctn Mid-C_042010 2010GRC" xfId="7883"/>
    <cellStyle name="_Costs not in AURORA 2007 Rate Case_Book2_DEM-WP(C) ENERG10C--ctn Mid-C_042010 2010GRC" xfId="7884"/>
    <cellStyle name="_Costs not in AURORA 2007 Rate Case_Book2_Electric Rev Req Model (2009 GRC) Rebuttal" xfId="351"/>
    <cellStyle name="_Costs not in AURORA 2007 Rate Case_Book2_Electric Rev Req Model (2009 GRC) Rebuttal 2" xfId="7885"/>
    <cellStyle name="_Costs not in AURORA 2007 Rate Case_Book2_Electric Rev Req Model (2009 GRC) Rebuttal 2 2" xfId="7886"/>
    <cellStyle name="_Costs not in AURORA 2007 Rate Case_Book2_Electric Rev Req Model (2009 GRC) Rebuttal 2 2 2" xfId="7887"/>
    <cellStyle name="_Costs not in AURORA 2007 Rate Case_Book2_Electric Rev Req Model (2009 GRC) Rebuttal 2 3" xfId="7888"/>
    <cellStyle name="_Costs not in AURORA 2007 Rate Case_Book2_Electric Rev Req Model (2009 GRC) Rebuttal 3" xfId="7889"/>
    <cellStyle name="_Costs not in AURORA 2007 Rate Case_Book2_Electric Rev Req Model (2009 GRC) Rebuttal 3 2" xfId="7890"/>
    <cellStyle name="_Costs not in AURORA 2007 Rate Case_Book2_Electric Rev Req Model (2009 GRC) Rebuttal 4" xfId="7891"/>
    <cellStyle name="_Costs not in AURORA 2007 Rate Case_Book2_Electric Rev Req Model (2009 GRC) Rebuttal REmoval of New  WH Solar AdjustMI" xfId="352"/>
    <cellStyle name="_Costs not in AURORA 2007 Rate Case_Book2_Electric Rev Req Model (2009 GRC) Rebuttal REmoval of New  WH Solar AdjustMI 2" xfId="7892"/>
    <cellStyle name="_Costs not in AURORA 2007 Rate Case_Book2_Electric Rev Req Model (2009 GRC) Rebuttal REmoval of New  WH Solar AdjustMI 2 2" xfId="7893"/>
    <cellStyle name="_Costs not in AURORA 2007 Rate Case_Book2_Electric Rev Req Model (2009 GRC) Rebuttal REmoval of New  WH Solar AdjustMI 2 2 2" xfId="7894"/>
    <cellStyle name="_Costs not in AURORA 2007 Rate Case_Book2_Electric Rev Req Model (2009 GRC) Rebuttal REmoval of New  WH Solar AdjustMI 2 3" xfId="7895"/>
    <cellStyle name="_Costs not in AURORA 2007 Rate Case_Book2_Electric Rev Req Model (2009 GRC) Rebuttal REmoval of New  WH Solar AdjustMI 3" xfId="7896"/>
    <cellStyle name="_Costs not in AURORA 2007 Rate Case_Book2_Electric Rev Req Model (2009 GRC) Rebuttal REmoval of New  WH Solar AdjustMI 3 2" xfId="7897"/>
    <cellStyle name="_Costs not in AURORA 2007 Rate Case_Book2_Electric Rev Req Model (2009 GRC) Rebuttal REmoval of New  WH Solar AdjustMI 4" xfId="7898"/>
    <cellStyle name="_Costs not in AURORA 2007 Rate Case_Book2_Electric Rev Req Model (2009 GRC) Rebuttal REmoval of New  WH Solar AdjustMI_DEM-WP(C) ENERG10C--ctn Mid-C_042010 2010GRC" xfId="7899"/>
    <cellStyle name="_Costs not in AURORA 2007 Rate Case_Book2_Electric Rev Req Model (2009 GRC) Revised 01-18-2010" xfId="353"/>
    <cellStyle name="_Costs not in AURORA 2007 Rate Case_Book2_Electric Rev Req Model (2009 GRC) Revised 01-18-2010 2" xfId="7900"/>
    <cellStyle name="_Costs not in AURORA 2007 Rate Case_Book2_Electric Rev Req Model (2009 GRC) Revised 01-18-2010 2 2" xfId="7901"/>
    <cellStyle name="_Costs not in AURORA 2007 Rate Case_Book2_Electric Rev Req Model (2009 GRC) Revised 01-18-2010 2 2 2" xfId="7902"/>
    <cellStyle name="_Costs not in AURORA 2007 Rate Case_Book2_Electric Rev Req Model (2009 GRC) Revised 01-18-2010 2 3" xfId="7903"/>
    <cellStyle name="_Costs not in AURORA 2007 Rate Case_Book2_Electric Rev Req Model (2009 GRC) Revised 01-18-2010 3" xfId="7904"/>
    <cellStyle name="_Costs not in AURORA 2007 Rate Case_Book2_Electric Rev Req Model (2009 GRC) Revised 01-18-2010 3 2" xfId="7905"/>
    <cellStyle name="_Costs not in AURORA 2007 Rate Case_Book2_Electric Rev Req Model (2009 GRC) Revised 01-18-2010 4" xfId="7906"/>
    <cellStyle name="_Costs not in AURORA 2007 Rate Case_Book2_Electric Rev Req Model (2009 GRC) Revised 01-18-2010_DEM-WP(C) ENERG10C--ctn Mid-C_042010 2010GRC" xfId="7907"/>
    <cellStyle name="_Costs not in AURORA 2007 Rate Case_Book2_Final Order Electric EXHIBIT A-1" xfId="354"/>
    <cellStyle name="_Costs not in AURORA 2007 Rate Case_Book2_Final Order Electric EXHIBIT A-1 2" xfId="7908"/>
    <cellStyle name="_Costs not in AURORA 2007 Rate Case_Book2_Final Order Electric EXHIBIT A-1 2 2" xfId="7909"/>
    <cellStyle name="_Costs not in AURORA 2007 Rate Case_Book2_Final Order Electric EXHIBIT A-1 2 2 2" xfId="7910"/>
    <cellStyle name="_Costs not in AURORA 2007 Rate Case_Book2_Final Order Electric EXHIBIT A-1 2 3" xfId="7911"/>
    <cellStyle name="_Costs not in AURORA 2007 Rate Case_Book2_Final Order Electric EXHIBIT A-1 3" xfId="7912"/>
    <cellStyle name="_Costs not in AURORA 2007 Rate Case_Book2_Final Order Electric EXHIBIT A-1 3 2" xfId="7913"/>
    <cellStyle name="_Costs not in AURORA 2007 Rate Case_Book2_Final Order Electric EXHIBIT A-1 4" xfId="7914"/>
    <cellStyle name="_Costs not in AURORA 2007 Rate Case_Book4" xfId="355"/>
    <cellStyle name="_Costs not in AURORA 2007 Rate Case_Book4 2" xfId="7915"/>
    <cellStyle name="_Costs not in AURORA 2007 Rate Case_Book4 2 2" xfId="7916"/>
    <cellStyle name="_Costs not in AURORA 2007 Rate Case_Book4 2 2 2" xfId="7917"/>
    <cellStyle name="_Costs not in AURORA 2007 Rate Case_Book4 2 3" xfId="7918"/>
    <cellStyle name="_Costs not in AURORA 2007 Rate Case_Book4 3" xfId="7919"/>
    <cellStyle name="_Costs not in AURORA 2007 Rate Case_Book4 3 2" xfId="7920"/>
    <cellStyle name="_Costs not in AURORA 2007 Rate Case_Book4 4" xfId="7921"/>
    <cellStyle name="_Costs not in AURORA 2007 Rate Case_Book4_DEM-WP(C) ENERG10C--ctn Mid-C_042010 2010GRC" xfId="7922"/>
    <cellStyle name="_Costs not in AURORA 2007 Rate Case_Book9" xfId="356"/>
    <cellStyle name="_Costs not in AURORA 2007 Rate Case_Book9 2" xfId="7923"/>
    <cellStyle name="_Costs not in AURORA 2007 Rate Case_Book9 2 2" xfId="7924"/>
    <cellStyle name="_Costs not in AURORA 2007 Rate Case_Book9 2 2 2" xfId="7925"/>
    <cellStyle name="_Costs not in AURORA 2007 Rate Case_Book9 2 3" xfId="7926"/>
    <cellStyle name="_Costs not in AURORA 2007 Rate Case_Book9 3" xfId="7927"/>
    <cellStyle name="_Costs not in AURORA 2007 Rate Case_Book9 3 2" xfId="7928"/>
    <cellStyle name="_Costs not in AURORA 2007 Rate Case_Book9 4" xfId="7929"/>
    <cellStyle name="_Costs not in AURORA 2007 Rate Case_Book9_DEM-WP(C) ENERG10C--ctn Mid-C_042010 2010GRC" xfId="7930"/>
    <cellStyle name="_Costs not in AURORA 2007 Rate Case_Chelan PUD Power Costs (8-10)" xfId="7931"/>
    <cellStyle name="_Costs not in AURORA 2007 Rate Case_Chelan PUD Power Costs (8-10) 2" xfId="7932"/>
    <cellStyle name="_Costs not in AURORA 2007 Rate Case_DEM-WP(C) Chelan Power Costs" xfId="7933"/>
    <cellStyle name="_Costs not in AURORA 2007 Rate Case_DEM-WP(C) Chelan Power Costs 2" xfId="7934"/>
    <cellStyle name="_Costs not in AURORA 2007 Rate Case_DEM-WP(C) ENERG10C--ctn Mid-C_042010 2010GRC" xfId="7935"/>
    <cellStyle name="_Costs not in AURORA 2007 Rate Case_DEM-WP(C) Gas Transport 2010GRC" xfId="7936"/>
    <cellStyle name="_Costs not in AURORA 2007 Rate Case_DEM-WP(C) Gas Transport 2010GRC 2" xfId="7937"/>
    <cellStyle name="_Costs not in AURORA 2007 Rate Case_Electric COS Inputs" xfId="7938"/>
    <cellStyle name="_Costs not in AURORA 2007 Rate Case_Electric COS Inputs 2" xfId="7939"/>
    <cellStyle name="_Costs not in AURORA 2007 Rate Case_Electric COS Inputs 2 2" xfId="7940"/>
    <cellStyle name="_Costs not in AURORA 2007 Rate Case_Electric COS Inputs 2 2 2" xfId="7941"/>
    <cellStyle name="_Costs not in AURORA 2007 Rate Case_Electric COS Inputs 2 2 2 2" xfId="7942"/>
    <cellStyle name="_Costs not in AURORA 2007 Rate Case_Electric COS Inputs 2 2 3" xfId="7943"/>
    <cellStyle name="_Costs not in AURORA 2007 Rate Case_Electric COS Inputs 2 3" xfId="7944"/>
    <cellStyle name="_Costs not in AURORA 2007 Rate Case_Electric COS Inputs 2 3 2" xfId="7945"/>
    <cellStyle name="_Costs not in AURORA 2007 Rate Case_Electric COS Inputs 2 3 2 2" xfId="7946"/>
    <cellStyle name="_Costs not in AURORA 2007 Rate Case_Electric COS Inputs 2 3 3" xfId="7947"/>
    <cellStyle name="_Costs not in AURORA 2007 Rate Case_Electric COS Inputs 2 4" xfId="7948"/>
    <cellStyle name="_Costs not in AURORA 2007 Rate Case_Electric COS Inputs 2 4 2" xfId="7949"/>
    <cellStyle name="_Costs not in AURORA 2007 Rate Case_Electric COS Inputs 2 4 2 2" xfId="7950"/>
    <cellStyle name="_Costs not in AURORA 2007 Rate Case_Electric COS Inputs 2 4 3" xfId="7951"/>
    <cellStyle name="_Costs not in AURORA 2007 Rate Case_Electric COS Inputs 2 5" xfId="7952"/>
    <cellStyle name="_Costs not in AURORA 2007 Rate Case_Electric COS Inputs 3" xfId="7953"/>
    <cellStyle name="_Costs not in AURORA 2007 Rate Case_Electric COS Inputs 3 2" xfId="7954"/>
    <cellStyle name="_Costs not in AURORA 2007 Rate Case_Electric COS Inputs 3 2 2" xfId="7955"/>
    <cellStyle name="_Costs not in AURORA 2007 Rate Case_Electric COS Inputs 3 3" xfId="7956"/>
    <cellStyle name="_Costs not in AURORA 2007 Rate Case_Electric COS Inputs 4" xfId="7957"/>
    <cellStyle name="_Costs not in AURORA 2007 Rate Case_Electric COS Inputs 4 2" xfId="7958"/>
    <cellStyle name="_Costs not in AURORA 2007 Rate Case_Electric COS Inputs 4 2 2" xfId="7959"/>
    <cellStyle name="_Costs not in AURORA 2007 Rate Case_Electric COS Inputs 4 3" xfId="7960"/>
    <cellStyle name="_Costs not in AURORA 2007 Rate Case_Electric COS Inputs 5" xfId="7961"/>
    <cellStyle name="_Costs not in AURORA 2007 Rate Case_Electric COS Inputs 5 2" xfId="7962"/>
    <cellStyle name="_Costs not in AURORA 2007 Rate Case_Electric COS Inputs 6" xfId="7963"/>
    <cellStyle name="_Costs not in AURORA 2007 Rate Case_Exh A-1 resulting from UE-112050 effective Jan 1 2012" xfId="7964"/>
    <cellStyle name="_Costs not in AURORA 2007 Rate Case_Exh G - Klamath Peaker PPA fr C Locke 2-12" xfId="7965"/>
    <cellStyle name="_Costs not in AURORA 2007 Rate Case_Exhibit A-1 effective 4-1-11 fr S Free 12-11" xfId="7966"/>
    <cellStyle name="_Costs not in AURORA 2007 Rate Case_LSRWEP LGIA like Acctg Petition Aug 2010" xfId="7967"/>
    <cellStyle name="_Costs not in AURORA 2007 Rate Case_LSRWEP LGIA like Acctg Petition Aug 2010 2" xfId="7968"/>
    <cellStyle name="_Costs not in AURORA 2007 Rate Case_Mint Farm Generation BPA" xfId="7969"/>
    <cellStyle name="_Costs not in AURORA 2007 Rate Case_NIM Summary" xfId="7970"/>
    <cellStyle name="_Costs not in AURORA 2007 Rate Case_NIM Summary 09GRC" xfId="7971"/>
    <cellStyle name="_Costs not in AURORA 2007 Rate Case_NIM Summary 09GRC 2" xfId="7972"/>
    <cellStyle name="_Costs not in AURORA 2007 Rate Case_NIM Summary 09GRC 2 2" xfId="7973"/>
    <cellStyle name="_Costs not in AURORA 2007 Rate Case_NIM Summary 09GRC 3" xfId="7974"/>
    <cellStyle name="_Costs not in AURORA 2007 Rate Case_NIM Summary 09GRC_DEM-WP(C) ENERG10C--ctn Mid-C_042010 2010GRC" xfId="7975"/>
    <cellStyle name="_Costs not in AURORA 2007 Rate Case_NIM Summary 10" xfId="7976"/>
    <cellStyle name="_Costs not in AURORA 2007 Rate Case_NIM Summary 11" xfId="7977"/>
    <cellStyle name="_Costs not in AURORA 2007 Rate Case_NIM Summary 12" xfId="7978"/>
    <cellStyle name="_Costs not in AURORA 2007 Rate Case_NIM Summary 13" xfId="7979"/>
    <cellStyle name="_Costs not in AURORA 2007 Rate Case_NIM Summary 14" xfId="7980"/>
    <cellStyle name="_Costs not in AURORA 2007 Rate Case_NIM Summary 15" xfId="7981"/>
    <cellStyle name="_Costs not in AURORA 2007 Rate Case_NIM Summary 16" xfId="7982"/>
    <cellStyle name="_Costs not in AURORA 2007 Rate Case_NIM Summary 17" xfId="7983"/>
    <cellStyle name="_Costs not in AURORA 2007 Rate Case_NIM Summary 18" xfId="7984"/>
    <cellStyle name="_Costs not in AURORA 2007 Rate Case_NIM Summary 19" xfId="7985"/>
    <cellStyle name="_Costs not in AURORA 2007 Rate Case_NIM Summary 2" xfId="7986"/>
    <cellStyle name="_Costs not in AURORA 2007 Rate Case_NIM Summary 2 2" xfId="7987"/>
    <cellStyle name="_Costs not in AURORA 2007 Rate Case_NIM Summary 20" xfId="7988"/>
    <cellStyle name="_Costs not in AURORA 2007 Rate Case_NIM Summary 21" xfId="7989"/>
    <cellStyle name="_Costs not in AURORA 2007 Rate Case_NIM Summary 22" xfId="7990"/>
    <cellStyle name="_Costs not in AURORA 2007 Rate Case_NIM Summary 23" xfId="7991"/>
    <cellStyle name="_Costs not in AURORA 2007 Rate Case_NIM Summary 24" xfId="7992"/>
    <cellStyle name="_Costs not in AURORA 2007 Rate Case_NIM Summary 25" xfId="7993"/>
    <cellStyle name="_Costs not in AURORA 2007 Rate Case_NIM Summary 26" xfId="7994"/>
    <cellStyle name="_Costs not in AURORA 2007 Rate Case_NIM Summary 27" xfId="7995"/>
    <cellStyle name="_Costs not in AURORA 2007 Rate Case_NIM Summary 28" xfId="7996"/>
    <cellStyle name="_Costs not in AURORA 2007 Rate Case_NIM Summary 29" xfId="7997"/>
    <cellStyle name="_Costs not in AURORA 2007 Rate Case_NIM Summary 3" xfId="7998"/>
    <cellStyle name="_Costs not in AURORA 2007 Rate Case_NIM Summary 3 2" xfId="7999"/>
    <cellStyle name="_Costs not in AURORA 2007 Rate Case_NIM Summary 30" xfId="8000"/>
    <cellStyle name="_Costs not in AURORA 2007 Rate Case_NIM Summary 31" xfId="8001"/>
    <cellStyle name="_Costs not in AURORA 2007 Rate Case_NIM Summary 32" xfId="8002"/>
    <cellStyle name="_Costs not in AURORA 2007 Rate Case_NIM Summary 33" xfId="8003"/>
    <cellStyle name="_Costs not in AURORA 2007 Rate Case_NIM Summary 34" xfId="8004"/>
    <cellStyle name="_Costs not in AURORA 2007 Rate Case_NIM Summary 35" xfId="8005"/>
    <cellStyle name="_Costs not in AURORA 2007 Rate Case_NIM Summary 36" xfId="8006"/>
    <cellStyle name="_Costs not in AURORA 2007 Rate Case_NIM Summary 37" xfId="8007"/>
    <cellStyle name="_Costs not in AURORA 2007 Rate Case_NIM Summary 38" xfId="8008"/>
    <cellStyle name="_Costs not in AURORA 2007 Rate Case_NIM Summary 39" xfId="8009"/>
    <cellStyle name="_Costs not in AURORA 2007 Rate Case_NIM Summary 4" xfId="8010"/>
    <cellStyle name="_Costs not in AURORA 2007 Rate Case_NIM Summary 4 2" xfId="8011"/>
    <cellStyle name="_Costs not in AURORA 2007 Rate Case_NIM Summary 40" xfId="8012"/>
    <cellStyle name="_Costs not in AURORA 2007 Rate Case_NIM Summary 41" xfId="8013"/>
    <cellStyle name="_Costs not in AURORA 2007 Rate Case_NIM Summary 42" xfId="8014"/>
    <cellStyle name="_Costs not in AURORA 2007 Rate Case_NIM Summary 43" xfId="8015"/>
    <cellStyle name="_Costs not in AURORA 2007 Rate Case_NIM Summary 44" xfId="8016"/>
    <cellStyle name="_Costs not in AURORA 2007 Rate Case_NIM Summary 45" xfId="8017"/>
    <cellStyle name="_Costs not in AURORA 2007 Rate Case_NIM Summary 46" xfId="8018"/>
    <cellStyle name="_Costs not in AURORA 2007 Rate Case_NIM Summary 47" xfId="8019"/>
    <cellStyle name="_Costs not in AURORA 2007 Rate Case_NIM Summary 48" xfId="8020"/>
    <cellStyle name="_Costs not in AURORA 2007 Rate Case_NIM Summary 49" xfId="8021"/>
    <cellStyle name="_Costs not in AURORA 2007 Rate Case_NIM Summary 5" xfId="8022"/>
    <cellStyle name="_Costs not in AURORA 2007 Rate Case_NIM Summary 5 2" xfId="8023"/>
    <cellStyle name="_Costs not in AURORA 2007 Rate Case_NIM Summary 50" xfId="8024"/>
    <cellStyle name="_Costs not in AURORA 2007 Rate Case_NIM Summary 51" xfId="8025"/>
    <cellStyle name="_Costs not in AURORA 2007 Rate Case_NIM Summary 52" xfId="8026"/>
    <cellStyle name="_Costs not in AURORA 2007 Rate Case_NIM Summary 6" xfId="8027"/>
    <cellStyle name="_Costs not in AURORA 2007 Rate Case_NIM Summary 6 2" xfId="8028"/>
    <cellStyle name="_Costs not in AURORA 2007 Rate Case_NIM Summary 7" xfId="8029"/>
    <cellStyle name="_Costs not in AURORA 2007 Rate Case_NIM Summary 7 2" xfId="8030"/>
    <cellStyle name="_Costs not in AURORA 2007 Rate Case_NIM Summary 8" xfId="8031"/>
    <cellStyle name="_Costs not in AURORA 2007 Rate Case_NIM Summary 8 2" xfId="8032"/>
    <cellStyle name="_Costs not in AURORA 2007 Rate Case_NIM Summary 9" xfId="8033"/>
    <cellStyle name="_Costs not in AURORA 2007 Rate Case_NIM Summary 9 2" xfId="8034"/>
    <cellStyle name="_Costs not in AURORA 2007 Rate Case_NIM Summary_DEM-WP(C) ENERG10C--ctn Mid-C_042010 2010GRC" xfId="8035"/>
    <cellStyle name="_Costs not in AURORA 2007 Rate Case_PCA 10 -  Exhibit D Dec 2011" xfId="8036"/>
    <cellStyle name="_Costs not in AURORA 2007 Rate Case_PCA 10 -  Exhibit D from A Kellogg Jan 2011" xfId="8037"/>
    <cellStyle name="_Costs not in AURORA 2007 Rate Case_PCA 10 -  Exhibit D from A Kellogg July 2011" xfId="8038"/>
    <cellStyle name="_Costs not in AURORA 2007 Rate Case_PCA 10 -  Exhibit D from S Free Rcv'd 12-11" xfId="8039"/>
    <cellStyle name="_Costs not in AURORA 2007 Rate Case_PCA 11 -  Exhibit D Jan 2012 fr A Kellogg" xfId="8040"/>
    <cellStyle name="_Costs not in AURORA 2007 Rate Case_PCA 11 -  Exhibit D Jan 2012 WF" xfId="8041"/>
    <cellStyle name="_Costs not in AURORA 2007 Rate Case_PCA 9 -  Exhibit D April 2010" xfId="8042"/>
    <cellStyle name="_Costs not in AURORA 2007 Rate Case_PCA 9 -  Exhibit D April 2010 (3)" xfId="8043"/>
    <cellStyle name="_Costs not in AURORA 2007 Rate Case_PCA 9 -  Exhibit D April 2010 (3) 2" xfId="8044"/>
    <cellStyle name="_Costs not in AURORA 2007 Rate Case_PCA 9 -  Exhibit D April 2010 (3) 2 2" xfId="8045"/>
    <cellStyle name="_Costs not in AURORA 2007 Rate Case_PCA 9 -  Exhibit D April 2010 (3) 3" xfId="8046"/>
    <cellStyle name="_Costs not in AURORA 2007 Rate Case_PCA 9 -  Exhibit D April 2010 (3)_DEM-WP(C) ENERG10C--ctn Mid-C_042010 2010GRC" xfId="8047"/>
    <cellStyle name="_Costs not in AURORA 2007 Rate Case_PCA 9 -  Exhibit D April 2010 2" xfId="8048"/>
    <cellStyle name="_Costs not in AURORA 2007 Rate Case_PCA 9 -  Exhibit D April 2010 3" xfId="8049"/>
    <cellStyle name="_Costs not in AURORA 2007 Rate Case_PCA 9 -  Exhibit D April 2010 4" xfId="8050"/>
    <cellStyle name="_Costs not in AURORA 2007 Rate Case_PCA 9 -  Exhibit D April 2010 5" xfId="8051"/>
    <cellStyle name="_Costs not in AURORA 2007 Rate Case_PCA 9 -  Exhibit D April 2010 6" xfId="8052"/>
    <cellStyle name="_Costs not in AURORA 2007 Rate Case_PCA 9 -  Exhibit D Nov 2010" xfId="8053"/>
    <cellStyle name="_Costs not in AURORA 2007 Rate Case_PCA 9 -  Exhibit D Nov 2010 2" xfId="8054"/>
    <cellStyle name="_Costs not in AURORA 2007 Rate Case_PCA 9 - Exhibit D at August 2010" xfId="8055"/>
    <cellStyle name="_Costs not in AURORA 2007 Rate Case_PCA 9 - Exhibit D at August 2010 2" xfId="8056"/>
    <cellStyle name="_Costs not in AURORA 2007 Rate Case_PCA 9 - Exhibit D June 2010 GRC" xfId="8057"/>
    <cellStyle name="_Costs not in AURORA 2007 Rate Case_PCA 9 - Exhibit D June 2010 GRC 2" xfId="8058"/>
    <cellStyle name="_Costs not in AURORA 2007 Rate Case_Power Costs - Comparison bx Rbtl-Staff-Jt-PC" xfId="357"/>
    <cellStyle name="_Costs not in AURORA 2007 Rate Case_Power Costs - Comparison bx Rbtl-Staff-Jt-PC 2" xfId="8059"/>
    <cellStyle name="_Costs not in AURORA 2007 Rate Case_Power Costs - Comparison bx Rbtl-Staff-Jt-PC 2 2" xfId="8060"/>
    <cellStyle name="_Costs not in AURORA 2007 Rate Case_Power Costs - Comparison bx Rbtl-Staff-Jt-PC 2 2 2" xfId="8061"/>
    <cellStyle name="_Costs not in AURORA 2007 Rate Case_Power Costs - Comparison bx Rbtl-Staff-Jt-PC 2 3" xfId="8062"/>
    <cellStyle name="_Costs not in AURORA 2007 Rate Case_Power Costs - Comparison bx Rbtl-Staff-Jt-PC 3" xfId="8063"/>
    <cellStyle name="_Costs not in AURORA 2007 Rate Case_Power Costs - Comparison bx Rbtl-Staff-Jt-PC 3 2" xfId="8064"/>
    <cellStyle name="_Costs not in AURORA 2007 Rate Case_Power Costs - Comparison bx Rbtl-Staff-Jt-PC 4" xfId="8065"/>
    <cellStyle name="_Costs not in AURORA 2007 Rate Case_Power Costs - Comparison bx Rbtl-Staff-Jt-PC_Adj Bench DR 3 for Initial Briefs (Electric)" xfId="358"/>
    <cellStyle name="_Costs not in AURORA 2007 Rate Case_Power Costs - Comparison bx Rbtl-Staff-Jt-PC_Adj Bench DR 3 for Initial Briefs (Electric) 2" xfId="8066"/>
    <cellStyle name="_Costs not in AURORA 2007 Rate Case_Power Costs - Comparison bx Rbtl-Staff-Jt-PC_Adj Bench DR 3 for Initial Briefs (Electric) 2 2" xfId="8067"/>
    <cellStyle name="_Costs not in AURORA 2007 Rate Case_Power Costs - Comparison bx Rbtl-Staff-Jt-PC_Adj Bench DR 3 for Initial Briefs (Electric) 2 2 2" xfId="8068"/>
    <cellStyle name="_Costs not in AURORA 2007 Rate Case_Power Costs - Comparison bx Rbtl-Staff-Jt-PC_Adj Bench DR 3 for Initial Briefs (Electric) 2 3" xfId="8069"/>
    <cellStyle name="_Costs not in AURORA 2007 Rate Case_Power Costs - Comparison bx Rbtl-Staff-Jt-PC_Adj Bench DR 3 for Initial Briefs (Electric) 3" xfId="8070"/>
    <cellStyle name="_Costs not in AURORA 2007 Rate Case_Power Costs - Comparison bx Rbtl-Staff-Jt-PC_Adj Bench DR 3 for Initial Briefs (Electric) 3 2" xfId="8071"/>
    <cellStyle name="_Costs not in AURORA 2007 Rate Case_Power Costs - Comparison bx Rbtl-Staff-Jt-PC_Adj Bench DR 3 for Initial Briefs (Electric) 4" xfId="8072"/>
    <cellStyle name="_Costs not in AURORA 2007 Rate Case_Power Costs - Comparison bx Rbtl-Staff-Jt-PC_Adj Bench DR 3 for Initial Briefs (Electric)_DEM-WP(C) ENERG10C--ctn Mid-C_042010 2010GRC" xfId="8073"/>
    <cellStyle name="_Costs not in AURORA 2007 Rate Case_Power Costs - Comparison bx Rbtl-Staff-Jt-PC_DEM-WP(C) ENERG10C--ctn Mid-C_042010 2010GRC" xfId="8074"/>
    <cellStyle name="_Costs not in AURORA 2007 Rate Case_Power Costs - Comparison bx Rbtl-Staff-Jt-PC_Electric Rev Req Model (2009 GRC) Rebuttal" xfId="359"/>
    <cellStyle name="_Costs not in AURORA 2007 Rate Case_Power Costs - Comparison bx Rbtl-Staff-Jt-PC_Electric Rev Req Model (2009 GRC) Rebuttal 2" xfId="8075"/>
    <cellStyle name="_Costs not in AURORA 2007 Rate Case_Power Costs - Comparison bx Rbtl-Staff-Jt-PC_Electric Rev Req Model (2009 GRC) Rebuttal 2 2" xfId="8076"/>
    <cellStyle name="_Costs not in AURORA 2007 Rate Case_Power Costs - Comparison bx Rbtl-Staff-Jt-PC_Electric Rev Req Model (2009 GRC) Rebuttal 2 2 2" xfId="8077"/>
    <cellStyle name="_Costs not in AURORA 2007 Rate Case_Power Costs - Comparison bx Rbtl-Staff-Jt-PC_Electric Rev Req Model (2009 GRC) Rebuttal 2 3" xfId="8078"/>
    <cellStyle name="_Costs not in AURORA 2007 Rate Case_Power Costs - Comparison bx Rbtl-Staff-Jt-PC_Electric Rev Req Model (2009 GRC) Rebuttal 3" xfId="8079"/>
    <cellStyle name="_Costs not in AURORA 2007 Rate Case_Power Costs - Comparison bx Rbtl-Staff-Jt-PC_Electric Rev Req Model (2009 GRC) Rebuttal 3 2" xfId="8080"/>
    <cellStyle name="_Costs not in AURORA 2007 Rate Case_Power Costs - Comparison bx Rbtl-Staff-Jt-PC_Electric Rev Req Model (2009 GRC) Rebuttal 4" xfId="8081"/>
    <cellStyle name="_Costs not in AURORA 2007 Rate Case_Power Costs - Comparison bx Rbtl-Staff-Jt-PC_Electric Rev Req Model (2009 GRC) Rebuttal REmoval of New  WH Solar AdjustMI" xfId="360"/>
    <cellStyle name="_Costs not in AURORA 2007 Rate Case_Power Costs - Comparison bx Rbtl-Staff-Jt-PC_Electric Rev Req Model (2009 GRC) Rebuttal REmoval of New  WH Solar AdjustMI 2" xfId="8082"/>
    <cellStyle name="_Costs not in AURORA 2007 Rate Case_Power Costs - Comparison bx Rbtl-Staff-Jt-PC_Electric Rev Req Model (2009 GRC) Rebuttal REmoval of New  WH Solar AdjustMI 2 2" xfId="8083"/>
    <cellStyle name="_Costs not in AURORA 2007 Rate Case_Power Costs - Comparison bx Rbtl-Staff-Jt-PC_Electric Rev Req Model (2009 GRC) Rebuttal REmoval of New  WH Solar AdjustMI 2 2 2" xfId="8084"/>
    <cellStyle name="_Costs not in AURORA 2007 Rate Case_Power Costs - Comparison bx Rbtl-Staff-Jt-PC_Electric Rev Req Model (2009 GRC) Rebuttal REmoval of New  WH Solar AdjustMI 2 3" xfId="8085"/>
    <cellStyle name="_Costs not in AURORA 2007 Rate Case_Power Costs - Comparison bx Rbtl-Staff-Jt-PC_Electric Rev Req Model (2009 GRC) Rebuttal REmoval of New  WH Solar AdjustMI 3" xfId="8086"/>
    <cellStyle name="_Costs not in AURORA 2007 Rate Case_Power Costs - Comparison bx Rbtl-Staff-Jt-PC_Electric Rev Req Model (2009 GRC) Rebuttal REmoval of New  WH Solar AdjustMI 3 2" xfId="8087"/>
    <cellStyle name="_Costs not in AURORA 2007 Rate Case_Power Costs - Comparison bx Rbtl-Staff-Jt-PC_Electric Rev Req Model (2009 GRC) Rebuttal REmoval of New  WH Solar AdjustMI 4" xfId="8088"/>
    <cellStyle name="_Costs not in AURORA 2007 Rate Case_Power Costs - Comparison bx Rbtl-Staff-Jt-PC_Electric Rev Req Model (2009 GRC) Rebuttal REmoval of New  WH Solar AdjustMI_DEM-WP(C) ENERG10C--ctn Mid-C_042010 2010GRC" xfId="8089"/>
    <cellStyle name="_Costs not in AURORA 2007 Rate Case_Power Costs - Comparison bx Rbtl-Staff-Jt-PC_Electric Rev Req Model (2009 GRC) Revised 01-18-2010" xfId="361"/>
    <cellStyle name="_Costs not in AURORA 2007 Rate Case_Power Costs - Comparison bx Rbtl-Staff-Jt-PC_Electric Rev Req Model (2009 GRC) Revised 01-18-2010 2" xfId="8090"/>
    <cellStyle name="_Costs not in AURORA 2007 Rate Case_Power Costs - Comparison bx Rbtl-Staff-Jt-PC_Electric Rev Req Model (2009 GRC) Revised 01-18-2010 2 2" xfId="8091"/>
    <cellStyle name="_Costs not in AURORA 2007 Rate Case_Power Costs - Comparison bx Rbtl-Staff-Jt-PC_Electric Rev Req Model (2009 GRC) Revised 01-18-2010 2 2 2" xfId="8092"/>
    <cellStyle name="_Costs not in AURORA 2007 Rate Case_Power Costs - Comparison bx Rbtl-Staff-Jt-PC_Electric Rev Req Model (2009 GRC) Revised 01-18-2010 2 3" xfId="8093"/>
    <cellStyle name="_Costs not in AURORA 2007 Rate Case_Power Costs - Comparison bx Rbtl-Staff-Jt-PC_Electric Rev Req Model (2009 GRC) Revised 01-18-2010 3" xfId="8094"/>
    <cellStyle name="_Costs not in AURORA 2007 Rate Case_Power Costs - Comparison bx Rbtl-Staff-Jt-PC_Electric Rev Req Model (2009 GRC) Revised 01-18-2010 3 2" xfId="8095"/>
    <cellStyle name="_Costs not in AURORA 2007 Rate Case_Power Costs - Comparison bx Rbtl-Staff-Jt-PC_Electric Rev Req Model (2009 GRC) Revised 01-18-2010 4" xfId="8096"/>
    <cellStyle name="_Costs not in AURORA 2007 Rate Case_Power Costs - Comparison bx Rbtl-Staff-Jt-PC_Electric Rev Req Model (2009 GRC) Revised 01-18-2010_DEM-WP(C) ENERG10C--ctn Mid-C_042010 2010GRC" xfId="8097"/>
    <cellStyle name="_Costs not in AURORA 2007 Rate Case_Power Costs - Comparison bx Rbtl-Staff-Jt-PC_Final Order Electric EXHIBIT A-1" xfId="362"/>
    <cellStyle name="_Costs not in AURORA 2007 Rate Case_Power Costs - Comparison bx Rbtl-Staff-Jt-PC_Final Order Electric EXHIBIT A-1 2" xfId="8098"/>
    <cellStyle name="_Costs not in AURORA 2007 Rate Case_Power Costs - Comparison bx Rbtl-Staff-Jt-PC_Final Order Electric EXHIBIT A-1 2 2" xfId="8099"/>
    <cellStyle name="_Costs not in AURORA 2007 Rate Case_Power Costs - Comparison bx Rbtl-Staff-Jt-PC_Final Order Electric EXHIBIT A-1 2 2 2" xfId="8100"/>
    <cellStyle name="_Costs not in AURORA 2007 Rate Case_Power Costs - Comparison bx Rbtl-Staff-Jt-PC_Final Order Electric EXHIBIT A-1 2 3" xfId="8101"/>
    <cellStyle name="_Costs not in AURORA 2007 Rate Case_Power Costs - Comparison bx Rbtl-Staff-Jt-PC_Final Order Electric EXHIBIT A-1 3" xfId="8102"/>
    <cellStyle name="_Costs not in AURORA 2007 Rate Case_Power Costs - Comparison bx Rbtl-Staff-Jt-PC_Final Order Electric EXHIBIT A-1 3 2" xfId="8103"/>
    <cellStyle name="_Costs not in AURORA 2007 Rate Case_Power Costs - Comparison bx Rbtl-Staff-Jt-PC_Final Order Electric EXHIBIT A-1 4" xfId="8104"/>
    <cellStyle name="_Costs not in AURORA 2007 Rate Case_Production Adj 4.37" xfId="8105"/>
    <cellStyle name="_Costs not in AURORA 2007 Rate Case_Production Adj 4.37 2" xfId="8106"/>
    <cellStyle name="_Costs not in AURORA 2007 Rate Case_Production Adj 4.37 2 2" xfId="8107"/>
    <cellStyle name="_Costs not in AURORA 2007 Rate Case_Production Adj 4.37 2 2 2" xfId="8108"/>
    <cellStyle name="_Costs not in AURORA 2007 Rate Case_Production Adj 4.37 2 3" xfId="8109"/>
    <cellStyle name="_Costs not in AURORA 2007 Rate Case_Production Adj 4.37 3" xfId="8110"/>
    <cellStyle name="_Costs not in AURORA 2007 Rate Case_Production Adj 4.37 3 2" xfId="8111"/>
    <cellStyle name="_Costs not in AURORA 2007 Rate Case_Production Adj 4.37 4" xfId="8112"/>
    <cellStyle name="_Costs not in AURORA 2007 Rate Case_Purchased Power Adj 4.03" xfId="8113"/>
    <cellStyle name="_Costs not in AURORA 2007 Rate Case_Purchased Power Adj 4.03 2" xfId="8114"/>
    <cellStyle name="_Costs not in AURORA 2007 Rate Case_Purchased Power Adj 4.03 2 2" xfId="8115"/>
    <cellStyle name="_Costs not in AURORA 2007 Rate Case_Purchased Power Adj 4.03 2 2 2" xfId="8116"/>
    <cellStyle name="_Costs not in AURORA 2007 Rate Case_Purchased Power Adj 4.03 2 3" xfId="8117"/>
    <cellStyle name="_Costs not in AURORA 2007 Rate Case_Purchased Power Adj 4.03 3" xfId="8118"/>
    <cellStyle name="_Costs not in AURORA 2007 Rate Case_Purchased Power Adj 4.03 3 2" xfId="8119"/>
    <cellStyle name="_Costs not in AURORA 2007 Rate Case_Purchased Power Adj 4.03 4" xfId="8120"/>
    <cellStyle name="_Costs not in AURORA 2007 Rate Case_Rebuttal Power Costs" xfId="363"/>
    <cellStyle name="_Costs not in AURORA 2007 Rate Case_Rebuttal Power Costs 2" xfId="8121"/>
    <cellStyle name="_Costs not in AURORA 2007 Rate Case_Rebuttal Power Costs 2 2" xfId="8122"/>
    <cellStyle name="_Costs not in AURORA 2007 Rate Case_Rebuttal Power Costs 2 2 2" xfId="8123"/>
    <cellStyle name="_Costs not in AURORA 2007 Rate Case_Rebuttal Power Costs 2 3" xfId="8124"/>
    <cellStyle name="_Costs not in AURORA 2007 Rate Case_Rebuttal Power Costs 3" xfId="8125"/>
    <cellStyle name="_Costs not in AURORA 2007 Rate Case_Rebuttal Power Costs 3 2" xfId="8126"/>
    <cellStyle name="_Costs not in AURORA 2007 Rate Case_Rebuttal Power Costs 4" xfId="8127"/>
    <cellStyle name="_Costs not in AURORA 2007 Rate Case_Rebuttal Power Costs_Adj Bench DR 3 for Initial Briefs (Electric)" xfId="364"/>
    <cellStyle name="_Costs not in AURORA 2007 Rate Case_Rebuttal Power Costs_Adj Bench DR 3 for Initial Briefs (Electric) 2" xfId="8128"/>
    <cellStyle name="_Costs not in AURORA 2007 Rate Case_Rebuttal Power Costs_Adj Bench DR 3 for Initial Briefs (Electric) 2 2" xfId="8129"/>
    <cellStyle name="_Costs not in AURORA 2007 Rate Case_Rebuttal Power Costs_Adj Bench DR 3 for Initial Briefs (Electric) 2 2 2" xfId="8130"/>
    <cellStyle name="_Costs not in AURORA 2007 Rate Case_Rebuttal Power Costs_Adj Bench DR 3 for Initial Briefs (Electric) 2 3" xfId="8131"/>
    <cellStyle name="_Costs not in AURORA 2007 Rate Case_Rebuttal Power Costs_Adj Bench DR 3 for Initial Briefs (Electric) 3" xfId="8132"/>
    <cellStyle name="_Costs not in AURORA 2007 Rate Case_Rebuttal Power Costs_Adj Bench DR 3 for Initial Briefs (Electric) 3 2" xfId="8133"/>
    <cellStyle name="_Costs not in AURORA 2007 Rate Case_Rebuttal Power Costs_Adj Bench DR 3 for Initial Briefs (Electric) 4" xfId="8134"/>
    <cellStyle name="_Costs not in AURORA 2007 Rate Case_Rebuttal Power Costs_Adj Bench DR 3 for Initial Briefs (Electric)_DEM-WP(C) ENERG10C--ctn Mid-C_042010 2010GRC" xfId="8135"/>
    <cellStyle name="_Costs not in AURORA 2007 Rate Case_Rebuttal Power Costs_DEM-WP(C) ENERG10C--ctn Mid-C_042010 2010GRC" xfId="8136"/>
    <cellStyle name="_Costs not in AURORA 2007 Rate Case_Rebuttal Power Costs_Electric Rev Req Model (2009 GRC) Rebuttal" xfId="365"/>
    <cellStyle name="_Costs not in AURORA 2007 Rate Case_Rebuttal Power Costs_Electric Rev Req Model (2009 GRC) Rebuttal 2" xfId="8137"/>
    <cellStyle name="_Costs not in AURORA 2007 Rate Case_Rebuttal Power Costs_Electric Rev Req Model (2009 GRC) Rebuttal 2 2" xfId="8138"/>
    <cellStyle name="_Costs not in AURORA 2007 Rate Case_Rebuttal Power Costs_Electric Rev Req Model (2009 GRC) Rebuttal 2 2 2" xfId="8139"/>
    <cellStyle name="_Costs not in AURORA 2007 Rate Case_Rebuttal Power Costs_Electric Rev Req Model (2009 GRC) Rebuttal 2 3" xfId="8140"/>
    <cellStyle name="_Costs not in AURORA 2007 Rate Case_Rebuttal Power Costs_Electric Rev Req Model (2009 GRC) Rebuttal 3" xfId="8141"/>
    <cellStyle name="_Costs not in AURORA 2007 Rate Case_Rebuttal Power Costs_Electric Rev Req Model (2009 GRC) Rebuttal 3 2" xfId="8142"/>
    <cellStyle name="_Costs not in AURORA 2007 Rate Case_Rebuttal Power Costs_Electric Rev Req Model (2009 GRC) Rebuttal 4" xfId="8143"/>
    <cellStyle name="_Costs not in AURORA 2007 Rate Case_Rebuttal Power Costs_Electric Rev Req Model (2009 GRC) Rebuttal REmoval of New  WH Solar AdjustMI" xfId="366"/>
    <cellStyle name="_Costs not in AURORA 2007 Rate Case_Rebuttal Power Costs_Electric Rev Req Model (2009 GRC) Rebuttal REmoval of New  WH Solar AdjustMI 2" xfId="8144"/>
    <cellStyle name="_Costs not in AURORA 2007 Rate Case_Rebuttal Power Costs_Electric Rev Req Model (2009 GRC) Rebuttal REmoval of New  WH Solar AdjustMI 2 2" xfId="8145"/>
    <cellStyle name="_Costs not in AURORA 2007 Rate Case_Rebuttal Power Costs_Electric Rev Req Model (2009 GRC) Rebuttal REmoval of New  WH Solar AdjustMI 2 2 2" xfId="8146"/>
    <cellStyle name="_Costs not in AURORA 2007 Rate Case_Rebuttal Power Costs_Electric Rev Req Model (2009 GRC) Rebuttal REmoval of New  WH Solar AdjustMI 2 3" xfId="8147"/>
    <cellStyle name="_Costs not in AURORA 2007 Rate Case_Rebuttal Power Costs_Electric Rev Req Model (2009 GRC) Rebuttal REmoval of New  WH Solar AdjustMI 3" xfId="8148"/>
    <cellStyle name="_Costs not in AURORA 2007 Rate Case_Rebuttal Power Costs_Electric Rev Req Model (2009 GRC) Rebuttal REmoval of New  WH Solar AdjustMI 3 2" xfId="8149"/>
    <cellStyle name="_Costs not in AURORA 2007 Rate Case_Rebuttal Power Costs_Electric Rev Req Model (2009 GRC) Rebuttal REmoval of New  WH Solar AdjustMI 4" xfId="8150"/>
    <cellStyle name="_Costs not in AURORA 2007 Rate Case_Rebuttal Power Costs_Electric Rev Req Model (2009 GRC) Rebuttal REmoval of New  WH Solar AdjustMI_DEM-WP(C) ENERG10C--ctn Mid-C_042010 2010GRC" xfId="8151"/>
    <cellStyle name="_Costs not in AURORA 2007 Rate Case_Rebuttal Power Costs_Electric Rev Req Model (2009 GRC) Revised 01-18-2010" xfId="367"/>
    <cellStyle name="_Costs not in AURORA 2007 Rate Case_Rebuttal Power Costs_Electric Rev Req Model (2009 GRC) Revised 01-18-2010 2" xfId="8152"/>
    <cellStyle name="_Costs not in AURORA 2007 Rate Case_Rebuttal Power Costs_Electric Rev Req Model (2009 GRC) Revised 01-18-2010 2 2" xfId="8153"/>
    <cellStyle name="_Costs not in AURORA 2007 Rate Case_Rebuttal Power Costs_Electric Rev Req Model (2009 GRC) Revised 01-18-2010 2 2 2" xfId="8154"/>
    <cellStyle name="_Costs not in AURORA 2007 Rate Case_Rebuttal Power Costs_Electric Rev Req Model (2009 GRC) Revised 01-18-2010 2 3" xfId="8155"/>
    <cellStyle name="_Costs not in AURORA 2007 Rate Case_Rebuttal Power Costs_Electric Rev Req Model (2009 GRC) Revised 01-18-2010 3" xfId="8156"/>
    <cellStyle name="_Costs not in AURORA 2007 Rate Case_Rebuttal Power Costs_Electric Rev Req Model (2009 GRC) Revised 01-18-2010 3 2" xfId="8157"/>
    <cellStyle name="_Costs not in AURORA 2007 Rate Case_Rebuttal Power Costs_Electric Rev Req Model (2009 GRC) Revised 01-18-2010 4" xfId="8158"/>
    <cellStyle name="_Costs not in AURORA 2007 Rate Case_Rebuttal Power Costs_Electric Rev Req Model (2009 GRC) Revised 01-18-2010_DEM-WP(C) ENERG10C--ctn Mid-C_042010 2010GRC" xfId="8159"/>
    <cellStyle name="_Costs not in AURORA 2007 Rate Case_Rebuttal Power Costs_Final Order Electric EXHIBIT A-1" xfId="368"/>
    <cellStyle name="_Costs not in AURORA 2007 Rate Case_Rebuttal Power Costs_Final Order Electric EXHIBIT A-1 2" xfId="8160"/>
    <cellStyle name="_Costs not in AURORA 2007 Rate Case_Rebuttal Power Costs_Final Order Electric EXHIBIT A-1 2 2" xfId="8161"/>
    <cellStyle name="_Costs not in AURORA 2007 Rate Case_Rebuttal Power Costs_Final Order Electric EXHIBIT A-1 2 2 2" xfId="8162"/>
    <cellStyle name="_Costs not in AURORA 2007 Rate Case_Rebuttal Power Costs_Final Order Electric EXHIBIT A-1 2 3" xfId="8163"/>
    <cellStyle name="_Costs not in AURORA 2007 Rate Case_Rebuttal Power Costs_Final Order Electric EXHIBIT A-1 3" xfId="8164"/>
    <cellStyle name="_Costs not in AURORA 2007 Rate Case_Rebuttal Power Costs_Final Order Electric EXHIBIT A-1 3 2" xfId="8165"/>
    <cellStyle name="_Costs not in AURORA 2007 Rate Case_Rebuttal Power Costs_Final Order Electric EXHIBIT A-1 4" xfId="8166"/>
    <cellStyle name="_Costs not in AURORA 2007 Rate Case_ROR 5.02" xfId="8167"/>
    <cellStyle name="_Costs not in AURORA 2007 Rate Case_ROR 5.02 2" xfId="8168"/>
    <cellStyle name="_Costs not in AURORA 2007 Rate Case_ROR 5.02 2 2" xfId="8169"/>
    <cellStyle name="_Costs not in AURORA 2007 Rate Case_ROR 5.02 2 2 2" xfId="8170"/>
    <cellStyle name="_Costs not in AURORA 2007 Rate Case_ROR 5.02 2 3" xfId="8171"/>
    <cellStyle name="_Costs not in AURORA 2007 Rate Case_ROR 5.02 3" xfId="8172"/>
    <cellStyle name="_Costs not in AURORA 2007 Rate Case_ROR 5.02 3 2" xfId="8173"/>
    <cellStyle name="_Costs not in AURORA 2007 Rate Case_ROR 5.02 4" xfId="8174"/>
    <cellStyle name="_Costs not in AURORA 2007 Rate Case_Transmission Workbook for May BOD" xfId="8175"/>
    <cellStyle name="_Costs not in AURORA 2007 Rate Case_Transmission Workbook for May BOD 2" xfId="8176"/>
    <cellStyle name="_Costs not in AURORA 2007 Rate Case_Transmission Workbook for May BOD 2 2" xfId="8177"/>
    <cellStyle name="_Costs not in AURORA 2007 Rate Case_Transmission Workbook for May BOD 3" xfId="8178"/>
    <cellStyle name="_Costs not in AURORA 2007 Rate Case_Transmission Workbook for May BOD_DEM-WP(C) ENERG10C--ctn Mid-C_042010 2010GRC" xfId="8179"/>
    <cellStyle name="_Costs not in AURORA 2007 Rate Case_Wind Integration 10GRC" xfId="8180"/>
    <cellStyle name="_Costs not in AURORA 2007 Rate Case_Wind Integration 10GRC 2" xfId="8181"/>
    <cellStyle name="_Costs not in AURORA 2007 Rate Case_Wind Integration 10GRC 2 2" xfId="8182"/>
    <cellStyle name="_Costs not in AURORA 2007 Rate Case_Wind Integration 10GRC 3" xfId="8183"/>
    <cellStyle name="_Costs not in AURORA 2007 Rate Case_Wind Integration 10GRC_DEM-WP(C) ENERG10C--ctn Mid-C_042010 2010GRC" xfId="8184"/>
    <cellStyle name="_Costs not in KWI3000 '06Budget" xfId="369"/>
    <cellStyle name="_Costs not in KWI3000 '06Budget 10" xfId="8185"/>
    <cellStyle name="_Costs not in KWI3000 '06Budget 10 2" xfId="8186"/>
    <cellStyle name="_Costs not in KWI3000 '06Budget 2" xfId="370"/>
    <cellStyle name="_Costs not in KWI3000 '06Budget 2 2" xfId="8187"/>
    <cellStyle name="_Costs not in KWI3000 '06Budget 2 2 2" xfId="8188"/>
    <cellStyle name="_Costs not in KWI3000 '06Budget 2 2 2 2" xfId="8189"/>
    <cellStyle name="_Costs not in KWI3000 '06Budget 2 2 3" xfId="8190"/>
    <cellStyle name="_Costs not in KWI3000 '06Budget 2 3" xfId="8191"/>
    <cellStyle name="_Costs not in KWI3000 '06Budget 2 3 2" xfId="8192"/>
    <cellStyle name="_Costs not in KWI3000 '06Budget 2 4" xfId="8193"/>
    <cellStyle name="_Costs not in KWI3000 '06Budget 3" xfId="8194"/>
    <cellStyle name="_Costs not in KWI3000 '06Budget 3 2" xfId="8195"/>
    <cellStyle name="_Costs not in KWI3000 '06Budget 3 2 2" xfId="8196"/>
    <cellStyle name="_Costs not in KWI3000 '06Budget 3 2 2 2" xfId="8197"/>
    <cellStyle name="_Costs not in KWI3000 '06Budget 3 2 3" xfId="8198"/>
    <cellStyle name="_Costs not in KWI3000 '06Budget 3 3" xfId="8199"/>
    <cellStyle name="_Costs not in KWI3000 '06Budget 3 3 2" xfId="8200"/>
    <cellStyle name="_Costs not in KWI3000 '06Budget 3 3 2 2" xfId="8201"/>
    <cellStyle name="_Costs not in KWI3000 '06Budget 3 3 3" xfId="8202"/>
    <cellStyle name="_Costs not in KWI3000 '06Budget 3 4" xfId="8203"/>
    <cellStyle name="_Costs not in KWI3000 '06Budget 3 4 2" xfId="8204"/>
    <cellStyle name="_Costs not in KWI3000 '06Budget 3 4 2 2" xfId="8205"/>
    <cellStyle name="_Costs not in KWI3000 '06Budget 3 4 3" xfId="8206"/>
    <cellStyle name="_Costs not in KWI3000 '06Budget 3 5" xfId="8207"/>
    <cellStyle name="_Costs not in KWI3000 '06Budget 4" xfId="8208"/>
    <cellStyle name="_Costs not in KWI3000 '06Budget 4 2" xfId="8209"/>
    <cellStyle name="_Costs not in KWI3000 '06Budget 4 2 2" xfId="8210"/>
    <cellStyle name="_Costs not in KWI3000 '06Budget 4 3" xfId="8211"/>
    <cellStyle name="_Costs not in KWI3000 '06Budget 5" xfId="8212"/>
    <cellStyle name="_Costs not in KWI3000 '06Budget 5 2" xfId="8213"/>
    <cellStyle name="_Costs not in KWI3000 '06Budget 5 2 2" xfId="8214"/>
    <cellStyle name="_Costs not in KWI3000 '06Budget 5 2 3" xfId="8215"/>
    <cellStyle name="_Costs not in KWI3000 '06Budget 5 3" xfId="8216"/>
    <cellStyle name="_Costs not in KWI3000 '06Budget 5 3 2" xfId="8217"/>
    <cellStyle name="_Costs not in KWI3000 '06Budget 6" xfId="8218"/>
    <cellStyle name="_Costs not in KWI3000 '06Budget 6 2" xfId="8219"/>
    <cellStyle name="_Costs not in KWI3000 '06Budget 6 2 2" xfId="8220"/>
    <cellStyle name="_Costs not in KWI3000 '06Budget 6 3" xfId="8221"/>
    <cellStyle name="_Costs not in KWI3000 '06Budget 7" xfId="8222"/>
    <cellStyle name="_Costs not in KWI3000 '06Budget 7 2" xfId="8223"/>
    <cellStyle name="_Costs not in KWI3000 '06Budget 8" xfId="8224"/>
    <cellStyle name="_Costs not in KWI3000 '06Budget 8 2" xfId="8225"/>
    <cellStyle name="_Costs not in KWI3000 '06Budget 9" xfId="8226"/>
    <cellStyle name="_Costs not in KWI3000 '06Budget 9 2" xfId="8227"/>
    <cellStyle name="_Costs not in KWI3000 '06Budget_(C) WHE Proforma with ITC cash grant 10 Yr Amort_for deferral_102809" xfId="371"/>
    <cellStyle name="_Costs not in KWI3000 '06Budget_(C) WHE Proforma with ITC cash grant 10 Yr Amort_for deferral_102809 2" xfId="8228"/>
    <cellStyle name="_Costs not in KWI3000 '06Budget_(C) WHE Proforma with ITC cash grant 10 Yr Amort_for deferral_102809 2 2" xfId="8229"/>
    <cellStyle name="_Costs not in KWI3000 '06Budget_(C) WHE Proforma with ITC cash grant 10 Yr Amort_for deferral_102809 2 2 2" xfId="8230"/>
    <cellStyle name="_Costs not in KWI3000 '06Budget_(C) WHE Proforma with ITC cash grant 10 Yr Amort_for deferral_102809 2 3" xfId="8231"/>
    <cellStyle name="_Costs not in KWI3000 '06Budget_(C) WHE Proforma with ITC cash grant 10 Yr Amort_for deferral_102809 3" xfId="8232"/>
    <cellStyle name="_Costs not in KWI3000 '06Budget_(C) WHE Proforma with ITC cash grant 10 Yr Amort_for deferral_102809 3 2" xfId="8233"/>
    <cellStyle name="_Costs not in KWI3000 '06Budget_(C) WHE Proforma with ITC cash grant 10 Yr Amort_for deferral_102809 4" xfId="8234"/>
    <cellStyle name="_Costs not in KWI3000 '06Budget_(C) WHE Proforma with ITC cash grant 10 Yr Amort_for deferral_102809_16.07E Wild Horse Wind Expansionwrkingfile" xfId="372"/>
    <cellStyle name="_Costs not in KWI3000 '06Budget_(C) WHE Proforma with ITC cash grant 10 Yr Amort_for deferral_102809_16.07E Wild Horse Wind Expansionwrkingfile 2" xfId="8235"/>
    <cellStyle name="_Costs not in KWI3000 '06Budget_(C) WHE Proforma with ITC cash grant 10 Yr Amort_for deferral_102809_16.07E Wild Horse Wind Expansionwrkingfile 2 2" xfId="8236"/>
    <cellStyle name="_Costs not in KWI3000 '06Budget_(C) WHE Proforma with ITC cash grant 10 Yr Amort_for deferral_102809_16.07E Wild Horse Wind Expansionwrkingfile 2 2 2" xfId="8237"/>
    <cellStyle name="_Costs not in KWI3000 '06Budget_(C) WHE Proforma with ITC cash grant 10 Yr Amort_for deferral_102809_16.07E Wild Horse Wind Expansionwrkingfile 2 3" xfId="8238"/>
    <cellStyle name="_Costs not in KWI3000 '06Budget_(C) WHE Proforma with ITC cash grant 10 Yr Amort_for deferral_102809_16.07E Wild Horse Wind Expansionwrkingfile 3" xfId="8239"/>
    <cellStyle name="_Costs not in KWI3000 '06Budget_(C) WHE Proforma with ITC cash grant 10 Yr Amort_for deferral_102809_16.07E Wild Horse Wind Expansionwrkingfile 3 2" xfId="8240"/>
    <cellStyle name="_Costs not in KWI3000 '06Budget_(C) WHE Proforma with ITC cash grant 10 Yr Amort_for deferral_102809_16.07E Wild Horse Wind Expansionwrkingfile 4" xfId="8241"/>
    <cellStyle name="_Costs not in KWI3000 '06Budget_(C) WHE Proforma with ITC cash grant 10 Yr Amort_for deferral_102809_16.07E Wild Horse Wind Expansionwrkingfile SF" xfId="373"/>
    <cellStyle name="_Costs not in KWI3000 '06Budget_(C) WHE Proforma with ITC cash grant 10 Yr Amort_for deferral_102809_16.07E Wild Horse Wind Expansionwrkingfile SF 2" xfId="8242"/>
    <cellStyle name="_Costs not in KWI3000 '06Budget_(C) WHE Proforma with ITC cash grant 10 Yr Amort_for deferral_102809_16.07E Wild Horse Wind Expansionwrkingfile SF 2 2" xfId="8243"/>
    <cellStyle name="_Costs not in KWI3000 '06Budget_(C) WHE Proforma with ITC cash grant 10 Yr Amort_for deferral_102809_16.07E Wild Horse Wind Expansionwrkingfile SF 2 2 2" xfId="8244"/>
    <cellStyle name="_Costs not in KWI3000 '06Budget_(C) WHE Proforma with ITC cash grant 10 Yr Amort_for deferral_102809_16.07E Wild Horse Wind Expansionwrkingfile SF 2 3" xfId="8245"/>
    <cellStyle name="_Costs not in KWI3000 '06Budget_(C) WHE Proforma with ITC cash grant 10 Yr Amort_for deferral_102809_16.07E Wild Horse Wind Expansionwrkingfile SF 3" xfId="8246"/>
    <cellStyle name="_Costs not in KWI3000 '06Budget_(C) WHE Proforma with ITC cash grant 10 Yr Amort_for deferral_102809_16.07E Wild Horse Wind Expansionwrkingfile SF 3 2" xfId="8247"/>
    <cellStyle name="_Costs not in KWI3000 '06Budget_(C) WHE Proforma with ITC cash grant 10 Yr Amort_for deferral_102809_16.07E Wild Horse Wind Expansionwrkingfile SF 4" xfId="8248"/>
    <cellStyle name="_Costs not in KWI3000 '06Budget_(C) WHE Proforma with ITC cash grant 10 Yr Amort_for deferral_102809_16.07E Wild Horse Wind Expansionwrkingfile SF_DEM-WP(C) ENERG10C--ctn Mid-C_042010 2010GRC" xfId="8249"/>
    <cellStyle name="_Costs not in KWI3000 '06Budget_(C) WHE Proforma with ITC cash grant 10 Yr Amort_for deferral_102809_16.07E Wild Horse Wind Expansionwrkingfile_DEM-WP(C) ENERG10C--ctn Mid-C_042010 2010GRC" xfId="8250"/>
    <cellStyle name="_Costs not in KWI3000 '06Budget_(C) WHE Proforma with ITC cash grant 10 Yr Amort_for deferral_102809_16.37E Wild Horse Expansion DeferralRevwrkingfile SF" xfId="374"/>
    <cellStyle name="_Costs not in KWI3000 '06Budget_(C) WHE Proforma with ITC cash grant 10 Yr Amort_for deferral_102809_16.37E Wild Horse Expansion DeferralRevwrkingfile SF 2" xfId="8251"/>
    <cellStyle name="_Costs not in KWI3000 '06Budget_(C) WHE Proforma with ITC cash grant 10 Yr Amort_for deferral_102809_16.37E Wild Horse Expansion DeferralRevwrkingfile SF 2 2" xfId="8252"/>
    <cellStyle name="_Costs not in KWI3000 '06Budget_(C) WHE Proforma with ITC cash grant 10 Yr Amort_for deferral_102809_16.37E Wild Horse Expansion DeferralRevwrkingfile SF 2 2 2" xfId="8253"/>
    <cellStyle name="_Costs not in KWI3000 '06Budget_(C) WHE Proforma with ITC cash grant 10 Yr Amort_for deferral_102809_16.37E Wild Horse Expansion DeferralRevwrkingfile SF 2 3" xfId="8254"/>
    <cellStyle name="_Costs not in KWI3000 '06Budget_(C) WHE Proforma with ITC cash grant 10 Yr Amort_for deferral_102809_16.37E Wild Horse Expansion DeferralRevwrkingfile SF 3" xfId="8255"/>
    <cellStyle name="_Costs not in KWI3000 '06Budget_(C) WHE Proforma with ITC cash grant 10 Yr Amort_for deferral_102809_16.37E Wild Horse Expansion DeferralRevwrkingfile SF 3 2" xfId="8256"/>
    <cellStyle name="_Costs not in KWI3000 '06Budget_(C) WHE Proforma with ITC cash grant 10 Yr Amort_for deferral_102809_16.37E Wild Horse Expansion DeferralRevwrkingfile SF 4" xfId="8257"/>
    <cellStyle name="_Costs not in KWI3000 '06Budget_(C) WHE Proforma with ITC cash grant 10 Yr Amort_for deferral_102809_16.37E Wild Horse Expansion DeferralRevwrkingfile SF_DEM-WP(C) ENERG10C--ctn Mid-C_042010 2010GRC" xfId="8258"/>
    <cellStyle name="_Costs not in KWI3000 '06Budget_(C) WHE Proforma with ITC cash grant 10 Yr Amort_for deferral_102809_DEM-WP(C) ENERG10C--ctn Mid-C_042010 2010GRC" xfId="8259"/>
    <cellStyle name="_Costs not in KWI3000 '06Budget_(C) WHE Proforma with ITC cash grant 10 Yr Amort_for rebuttal_120709" xfId="375"/>
    <cellStyle name="_Costs not in KWI3000 '06Budget_(C) WHE Proforma with ITC cash grant 10 Yr Amort_for rebuttal_120709 2" xfId="8260"/>
    <cellStyle name="_Costs not in KWI3000 '06Budget_(C) WHE Proforma with ITC cash grant 10 Yr Amort_for rebuttal_120709 2 2" xfId="8261"/>
    <cellStyle name="_Costs not in KWI3000 '06Budget_(C) WHE Proforma with ITC cash grant 10 Yr Amort_for rebuttal_120709 2 2 2" xfId="8262"/>
    <cellStyle name="_Costs not in KWI3000 '06Budget_(C) WHE Proforma with ITC cash grant 10 Yr Amort_for rebuttal_120709 2 3" xfId="8263"/>
    <cellStyle name="_Costs not in KWI3000 '06Budget_(C) WHE Proforma with ITC cash grant 10 Yr Amort_for rebuttal_120709 3" xfId="8264"/>
    <cellStyle name="_Costs not in KWI3000 '06Budget_(C) WHE Proforma with ITC cash grant 10 Yr Amort_for rebuttal_120709 3 2" xfId="8265"/>
    <cellStyle name="_Costs not in KWI3000 '06Budget_(C) WHE Proforma with ITC cash grant 10 Yr Amort_for rebuttal_120709 4" xfId="8266"/>
    <cellStyle name="_Costs not in KWI3000 '06Budget_(C) WHE Proforma with ITC cash grant 10 Yr Amort_for rebuttal_120709_DEM-WP(C) ENERG10C--ctn Mid-C_042010 2010GRC" xfId="8267"/>
    <cellStyle name="_Costs not in KWI3000 '06Budget_04.07E Wild Horse Wind Expansion" xfId="376"/>
    <cellStyle name="_Costs not in KWI3000 '06Budget_04.07E Wild Horse Wind Expansion 2" xfId="8268"/>
    <cellStyle name="_Costs not in KWI3000 '06Budget_04.07E Wild Horse Wind Expansion 2 2" xfId="8269"/>
    <cellStyle name="_Costs not in KWI3000 '06Budget_04.07E Wild Horse Wind Expansion 2 2 2" xfId="8270"/>
    <cellStyle name="_Costs not in KWI3000 '06Budget_04.07E Wild Horse Wind Expansion 2 3" xfId="8271"/>
    <cellStyle name="_Costs not in KWI3000 '06Budget_04.07E Wild Horse Wind Expansion 3" xfId="8272"/>
    <cellStyle name="_Costs not in KWI3000 '06Budget_04.07E Wild Horse Wind Expansion 3 2" xfId="8273"/>
    <cellStyle name="_Costs not in KWI3000 '06Budget_04.07E Wild Horse Wind Expansion 4" xfId="8274"/>
    <cellStyle name="_Costs not in KWI3000 '06Budget_04.07E Wild Horse Wind Expansion_16.07E Wild Horse Wind Expansionwrkingfile" xfId="377"/>
    <cellStyle name="_Costs not in KWI3000 '06Budget_04.07E Wild Horse Wind Expansion_16.07E Wild Horse Wind Expansionwrkingfile 2" xfId="8275"/>
    <cellStyle name="_Costs not in KWI3000 '06Budget_04.07E Wild Horse Wind Expansion_16.07E Wild Horse Wind Expansionwrkingfile 2 2" xfId="8276"/>
    <cellStyle name="_Costs not in KWI3000 '06Budget_04.07E Wild Horse Wind Expansion_16.07E Wild Horse Wind Expansionwrkingfile 2 2 2" xfId="8277"/>
    <cellStyle name="_Costs not in KWI3000 '06Budget_04.07E Wild Horse Wind Expansion_16.07E Wild Horse Wind Expansionwrkingfile 2 3" xfId="8278"/>
    <cellStyle name="_Costs not in KWI3000 '06Budget_04.07E Wild Horse Wind Expansion_16.07E Wild Horse Wind Expansionwrkingfile 3" xfId="8279"/>
    <cellStyle name="_Costs not in KWI3000 '06Budget_04.07E Wild Horse Wind Expansion_16.07E Wild Horse Wind Expansionwrkingfile 3 2" xfId="8280"/>
    <cellStyle name="_Costs not in KWI3000 '06Budget_04.07E Wild Horse Wind Expansion_16.07E Wild Horse Wind Expansionwrkingfile 4" xfId="8281"/>
    <cellStyle name="_Costs not in KWI3000 '06Budget_04.07E Wild Horse Wind Expansion_16.07E Wild Horse Wind Expansionwrkingfile SF" xfId="378"/>
    <cellStyle name="_Costs not in KWI3000 '06Budget_04.07E Wild Horse Wind Expansion_16.07E Wild Horse Wind Expansionwrkingfile SF 2" xfId="8282"/>
    <cellStyle name="_Costs not in KWI3000 '06Budget_04.07E Wild Horse Wind Expansion_16.07E Wild Horse Wind Expansionwrkingfile SF 2 2" xfId="8283"/>
    <cellStyle name="_Costs not in KWI3000 '06Budget_04.07E Wild Horse Wind Expansion_16.07E Wild Horse Wind Expansionwrkingfile SF 2 2 2" xfId="8284"/>
    <cellStyle name="_Costs not in KWI3000 '06Budget_04.07E Wild Horse Wind Expansion_16.07E Wild Horse Wind Expansionwrkingfile SF 2 3" xfId="8285"/>
    <cellStyle name="_Costs not in KWI3000 '06Budget_04.07E Wild Horse Wind Expansion_16.07E Wild Horse Wind Expansionwrkingfile SF 3" xfId="8286"/>
    <cellStyle name="_Costs not in KWI3000 '06Budget_04.07E Wild Horse Wind Expansion_16.07E Wild Horse Wind Expansionwrkingfile SF 3 2" xfId="8287"/>
    <cellStyle name="_Costs not in KWI3000 '06Budget_04.07E Wild Horse Wind Expansion_16.07E Wild Horse Wind Expansionwrkingfile SF 4" xfId="8288"/>
    <cellStyle name="_Costs not in KWI3000 '06Budget_04.07E Wild Horse Wind Expansion_16.07E Wild Horse Wind Expansionwrkingfile SF_DEM-WP(C) ENERG10C--ctn Mid-C_042010 2010GRC" xfId="8289"/>
    <cellStyle name="_Costs not in KWI3000 '06Budget_04.07E Wild Horse Wind Expansion_16.07E Wild Horse Wind Expansionwrkingfile_DEM-WP(C) ENERG10C--ctn Mid-C_042010 2010GRC" xfId="8290"/>
    <cellStyle name="_Costs not in KWI3000 '06Budget_04.07E Wild Horse Wind Expansion_16.37E Wild Horse Expansion DeferralRevwrkingfile SF" xfId="379"/>
    <cellStyle name="_Costs not in KWI3000 '06Budget_04.07E Wild Horse Wind Expansion_16.37E Wild Horse Expansion DeferralRevwrkingfile SF 2" xfId="8291"/>
    <cellStyle name="_Costs not in KWI3000 '06Budget_04.07E Wild Horse Wind Expansion_16.37E Wild Horse Expansion DeferralRevwrkingfile SF 2 2" xfId="8292"/>
    <cellStyle name="_Costs not in KWI3000 '06Budget_04.07E Wild Horse Wind Expansion_16.37E Wild Horse Expansion DeferralRevwrkingfile SF 2 2 2" xfId="8293"/>
    <cellStyle name="_Costs not in KWI3000 '06Budget_04.07E Wild Horse Wind Expansion_16.37E Wild Horse Expansion DeferralRevwrkingfile SF 2 3" xfId="8294"/>
    <cellStyle name="_Costs not in KWI3000 '06Budget_04.07E Wild Horse Wind Expansion_16.37E Wild Horse Expansion DeferralRevwrkingfile SF 3" xfId="8295"/>
    <cellStyle name="_Costs not in KWI3000 '06Budget_04.07E Wild Horse Wind Expansion_16.37E Wild Horse Expansion DeferralRevwrkingfile SF 3 2" xfId="8296"/>
    <cellStyle name="_Costs not in KWI3000 '06Budget_04.07E Wild Horse Wind Expansion_16.37E Wild Horse Expansion DeferralRevwrkingfile SF 4" xfId="8297"/>
    <cellStyle name="_Costs not in KWI3000 '06Budget_04.07E Wild Horse Wind Expansion_16.37E Wild Horse Expansion DeferralRevwrkingfile SF_DEM-WP(C) ENERG10C--ctn Mid-C_042010 2010GRC" xfId="8298"/>
    <cellStyle name="_Costs not in KWI3000 '06Budget_04.07E Wild Horse Wind Expansion_DEM-WP(C) ENERG10C--ctn Mid-C_042010 2010GRC" xfId="8299"/>
    <cellStyle name="_Costs not in KWI3000 '06Budget_16.07E Wild Horse Wind Expansionwrkingfile" xfId="380"/>
    <cellStyle name="_Costs not in KWI3000 '06Budget_16.07E Wild Horse Wind Expansionwrkingfile 2" xfId="8300"/>
    <cellStyle name="_Costs not in KWI3000 '06Budget_16.07E Wild Horse Wind Expansionwrkingfile 2 2" xfId="8301"/>
    <cellStyle name="_Costs not in KWI3000 '06Budget_16.07E Wild Horse Wind Expansionwrkingfile 2 2 2" xfId="8302"/>
    <cellStyle name="_Costs not in KWI3000 '06Budget_16.07E Wild Horse Wind Expansionwrkingfile 2 3" xfId="8303"/>
    <cellStyle name="_Costs not in KWI3000 '06Budget_16.07E Wild Horse Wind Expansionwrkingfile 3" xfId="8304"/>
    <cellStyle name="_Costs not in KWI3000 '06Budget_16.07E Wild Horse Wind Expansionwrkingfile 3 2" xfId="8305"/>
    <cellStyle name="_Costs not in KWI3000 '06Budget_16.07E Wild Horse Wind Expansionwrkingfile 4" xfId="8306"/>
    <cellStyle name="_Costs not in KWI3000 '06Budget_16.07E Wild Horse Wind Expansionwrkingfile SF" xfId="381"/>
    <cellStyle name="_Costs not in KWI3000 '06Budget_16.07E Wild Horse Wind Expansionwrkingfile SF 2" xfId="8307"/>
    <cellStyle name="_Costs not in KWI3000 '06Budget_16.07E Wild Horse Wind Expansionwrkingfile SF 2 2" xfId="8308"/>
    <cellStyle name="_Costs not in KWI3000 '06Budget_16.07E Wild Horse Wind Expansionwrkingfile SF 2 2 2" xfId="8309"/>
    <cellStyle name="_Costs not in KWI3000 '06Budget_16.07E Wild Horse Wind Expansionwrkingfile SF 2 3" xfId="8310"/>
    <cellStyle name="_Costs not in KWI3000 '06Budget_16.07E Wild Horse Wind Expansionwrkingfile SF 3" xfId="8311"/>
    <cellStyle name="_Costs not in KWI3000 '06Budget_16.07E Wild Horse Wind Expansionwrkingfile SF 3 2" xfId="8312"/>
    <cellStyle name="_Costs not in KWI3000 '06Budget_16.07E Wild Horse Wind Expansionwrkingfile SF 4" xfId="8313"/>
    <cellStyle name="_Costs not in KWI3000 '06Budget_16.07E Wild Horse Wind Expansionwrkingfile SF_DEM-WP(C) ENERG10C--ctn Mid-C_042010 2010GRC" xfId="8314"/>
    <cellStyle name="_Costs not in KWI3000 '06Budget_16.07E Wild Horse Wind Expansionwrkingfile_DEM-WP(C) ENERG10C--ctn Mid-C_042010 2010GRC" xfId="8315"/>
    <cellStyle name="_Costs not in KWI3000 '06Budget_16.37E Wild Horse Expansion DeferralRevwrkingfile SF" xfId="382"/>
    <cellStyle name="_Costs not in KWI3000 '06Budget_16.37E Wild Horse Expansion DeferralRevwrkingfile SF 2" xfId="8316"/>
    <cellStyle name="_Costs not in KWI3000 '06Budget_16.37E Wild Horse Expansion DeferralRevwrkingfile SF 2 2" xfId="8317"/>
    <cellStyle name="_Costs not in KWI3000 '06Budget_16.37E Wild Horse Expansion DeferralRevwrkingfile SF 2 2 2" xfId="8318"/>
    <cellStyle name="_Costs not in KWI3000 '06Budget_16.37E Wild Horse Expansion DeferralRevwrkingfile SF 2 3" xfId="8319"/>
    <cellStyle name="_Costs not in KWI3000 '06Budget_16.37E Wild Horse Expansion DeferralRevwrkingfile SF 3" xfId="8320"/>
    <cellStyle name="_Costs not in KWI3000 '06Budget_16.37E Wild Horse Expansion DeferralRevwrkingfile SF 3 2" xfId="8321"/>
    <cellStyle name="_Costs not in KWI3000 '06Budget_16.37E Wild Horse Expansion DeferralRevwrkingfile SF 4" xfId="8322"/>
    <cellStyle name="_Costs not in KWI3000 '06Budget_16.37E Wild Horse Expansion DeferralRevwrkingfile SF_DEM-WP(C) ENERG10C--ctn Mid-C_042010 2010GRC" xfId="8323"/>
    <cellStyle name="_Costs not in KWI3000 '06Budget_2009 Compliance Filing PCA Exhibits for GRC" xfId="8324"/>
    <cellStyle name="_Costs not in KWI3000 '06Budget_2009 Compliance Filing PCA Exhibits for GRC 2" xfId="8325"/>
    <cellStyle name="_Costs not in KWI3000 '06Budget_2009 GRC Compl Filing - Exhibit D" xfId="8326"/>
    <cellStyle name="_Costs not in KWI3000 '06Budget_2009 GRC Compl Filing - Exhibit D 2" xfId="8327"/>
    <cellStyle name="_Costs not in KWI3000 '06Budget_2009 GRC Compl Filing - Exhibit D 2 2" xfId="8328"/>
    <cellStyle name="_Costs not in KWI3000 '06Budget_2009 GRC Compl Filing - Exhibit D 3" xfId="8329"/>
    <cellStyle name="_Costs not in KWI3000 '06Budget_2009 GRC Compl Filing - Exhibit D_DEM-WP(C) ENERG10C--ctn Mid-C_042010 2010GRC" xfId="8330"/>
    <cellStyle name="_Costs not in KWI3000 '06Budget_3.01 Income Statement" xfId="383"/>
    <cellStyle name="_Costs not in KWI3000 '06Budget_4 31 Regulatory Assets and Liabilities  7 06- Exhibit D" xfId="384"/>
    <cellStyle name="_Costs not in KWI3000 '06Budget_4 31 Regulatory Assets and Liabilities  7 06- Exhibit D 2" xfId="8331"/>
    <cellStyle name="_Costs not in KWI3000 '06Budget_4 31 Regulatory Assets and Liabilities  7 06- Exhibit D 2 2" xfId="8332"/>
    <cellStyle name="_Costs not in KWI3000 '06Budget_4 31 Regulatory Assets and Liabilities  7 06- Exhibit D 2 2 2" xfId="8333"/>
    <cellStyle name="_Costs not in KWI3000 '06Budget_4 31 Regulatory Assets and Liabilities  7 06- Exhibit D 3" xfId="8334"/>
    <cellStyle name="_Costs not in KWI3000 '06Budget_4 31 Regulatory Assets and Liabilities  7 06- Exhibit D 3 2" xfId="8335"/>
    <cellStyle name="_Costs not in KWI3000 '06Budget_4 31 Regulatory Assets and Liabilities  7 06- Exhibit D_DEM-WP(C) ENERG10C--ctn Mid-C_042010 2010GRC" xfId="8336"/>
    <cellStyle name="_Costs not in KWI3000 '06Budget_4 31 Regulatory Assets and Liabilities  7 06- Exhibit D_NIM Summary" xfId="8337"/>
    <cellStyle name="_Costs not in KWI3000 '06Budget_4 31 Regulatory Assets and Liabilities  7 06- Exhibit D_NIM Summary 2" xfId="8338"/>
    <cellStyle name="_Costs not in KWI3000 '06Budget_4 31 Regulatory Assets and Liabilities  7 06- Exhibit D_NIM Summary 2 2" xfId="8339"/>
    <cellStyle name="_Costs not in KWI3000 '06Budget_4 31 Regulatory Assets and Liabilities  7 06- Exhibit D_NIM Summary 3" xfId="8340"/>
    <cellStyle name="_Costs not in KWI3000 '06Budget_4 31 Regulatory Assets and Liabilities  7 06- Exhibit D_NIM Summary_DEM-WP(C) ENERG10C--ctn Mid-C_042010 2010GRC" xfId="8341"/>
    <cellStyle name="_Costs not in KWI3000 '06Budget_4 31 Regulatory Assets and Liabilities  7 06- Exhibit D_NIM+O&amp;M" xfId="8342"/>
    <cellStyle name="_Costs not in KWI3000 '06Budget_4 31 Regulatory Assets and Liabilities  7 06- Exhibit D_NIM+O&amp;M 2" xfId="8343"/>
    <cellStyle name="_Costs not in KWI3000 '06Budget_4 31 Regulatory Assets and Liabilities  7 06- Exhibit D_NIM+O&amp;M Monthly" xfId="8344"/>
    <cellStyle name="_Costs not in KWI3000 '06Budget_4 31 Regulatory Assets and Liabilities  7 06- Exhibit D_NIM+O&amp;M Monthly 2" xfId="8345"/>
    <cellStyle name="_Costs not in KWI3000 '06Budget_4 31E Reg Asset  Liab and EXH D" xfId="8346"/>
    <cellStyle name="_Costs not in KWI3000 '06Budget_4 31E Reg Asset  Liab and EXH D _ Aug 10 Filing (2)" xfId="8347"/>
    <cellStyle name="_Costs not in KWI3000 '06Budget_4 31E Reg Asset  Liab and EXH D _ Aug 10 Filing (2) 2" xfId="8348"/>
    <cellStyle name="_Costs not in KWI3000 '06Budget_4 31E Reg Asset  Liab and EXH D 10" xfId="8349"/>
    <cellStyle name="_Costs not in KWI3000 '06Budget_4 31E Reg Asset  Liab and EXH D 11" xfId="8350"/>
    <cellStyle name="_Costs not in KWI3000 '06Budget_4 31E Reg Asset  Liab and EXH D 12" xfId="8351"/>
    <cellStyle name="_Costs not in KWI3000 '06Budget_4 31E Reg Asset  Liab and EXH D 13" xfId="8352"/>
    <cellStyle name="_Costs not in KWI3000 '06Budget_4 31E Reg Asset  Liab and EXH D 14" xfId="8353"/>
    <cellStyle name="_Costs not in KWI3000 '06Budget_4 31E Reg Asset  Liab and EXH D 15" xfId="8354"/>
    <cellStyle name="_Costs not in KWI3000 '06Budget_4 31E Reg Asset  Liab and EXH D 16" xfId="8355"/>
    <cellStyle name="_Costs not in KWI3000 '06Budget_4 31E Reg Asset  Liab and EXH D 17" xfId="8356"/>
    <cellStyle name="_Costs not in KWI3000 '06Budget_4 31E Reg Asset  Liab and EXH D 18" xfId="8357"/>
    <cellStyle name="_Costs not in KWI3000 '06Budget_4 31E Reg Asset  Liab and EXH D 19" xfId="8358"/>
    <cellStyle name="_Costs not in KWI3000 '06Budget_4 31E Reg Asset  Liab and EXH D 2" xfId="8359"/>
    <cellStyle name="_Costs not in KWI3000 '06Budget_4 31E Reg Asset  Liab and EXH D 20" xfId="8360"/>
    <cellStyle name="_Costs not in KWI3000 '06Budget_4 31E Reg Asset  Liab and EXH D 21" xfId="8361"/>
    <cellStyle name="_Costs not in KWI3000 '06Budget_4 31E Reg Asset  Liab and EXH D 22" xfId="8362"/>
    <cellStyle name="_Costs not in KWI3000 '06Budget_4 31E Reg Asset  Liab and EXH D 23" xfId="8363"/>
    <cellStyle name="_Costs not in KWI3000 '06Budget_4 31E Reg Asset  Liab and EXH D 24" xfId="8364"/>
    <cellStyle name="_Costs not in KWI3000 '06Budget_4 31E Reg Asset  Liab and EXH D 25" xfId="8365"/>
    <cellStyle name="_Costs not in KWI3000 '06Budget_4 31E Reg Asset  Liab and EXH D 26" xfId="8366"/>
    <cellStyle name="_Costs not in KWI3000 '06Budget_4 31E Reg Asset  Liab and EXH D 27" xfId="8367"/>
    <cellStyle name="_Costs not in KWI3000 '06Budget_4 31E Reg Asset  Liab and EXH D 28" xfId="8368"/>
    <cellStyle name="_Costs not in KWI3000 '06Budget_4 31E Reg Asset  Liab and EXH D 29" xfId="8369"/>
    <cellStyle name="_Costs not in KWI3000 '06Budget_4 31E Reg Asset  Liab and EXH D 3" xfId="8370"/>
    <cellStyle name="_Costs not in KWI3000 '06Budget_4 31E Reg Asset  Liab and EXH D 30" xfId="8371"/>
    <cellStyle name="_Costs not in KWI3000 '06Budget_4 31E Reg Asset  Liab and EXH D 31" xfId="8372"/>
    <cellStyle name="_Costs not in KWI3000 '06Budget_4 31E Reg Asset  Liab and EXH D 32" xfId="8373"/>
    <cellStyle name="_Costs not in KWI3000 '06Budget_4 31E Reg Asset  Liab and EXH D 33" xfId="8374"/>
    <cellStyle name="_Costs not in KWI3000 '06Budget_4 31E Reg Asset  Liab and EXH D 34" xfId="8375"/>
    <cellStyle name="_Costs not in KWI3000 '06Budget_4 31E Reg Asset  Liab and EXH D 35" xfId="8376"/>
    <cellStyle name="_Costs not in KWI3000 '06Budget_4 31E Reg Asset  Liab and EXH D 36" xfId="8377"/>
    <cellStyle name="_Costs not in KWI3000 '06Budget_4 31E Reg Asset  Liab and EXH D 4" xfId="8378"/>
    <cellStyle name="_Costs not in KWI3000 '06Budget_4 31E Reg Asset  Liab and EXH D 5" xfId="8379"/>
    <cellStyle name="_Costs not in KWI3000 '06Budget_4 31E Reg Asset  Liab and EXH D 6" xfId="8380"/>
    <cellStyle name="_Costs not in KWI3000 '06Budget_4 31E Reg Asset  Liab and EXH D 7" xfId="8381"/>
    <cellStyle name="_Costs not in KWI3000 '06Budget_4 31E Reg Asset  Liab and EXH D 8" xfId="8382"/>
    <cellStyle name="_Costs not in KWI3000 '06Budget_4 31E Reg Asset  Liab and EXH D 9" xfId="8383"/>
    <cellStyle name="_Costs not in KWI3000 '06Budget_4 32 Regulatory Assets and Liabilities  7 06- Exhibit D" xfId="385"/>
    <cellStyle name="_Costs not in KWI3000 '06Budget_4 32 Regulatory Assets and Liabilities  7 06- Exhibit D 2" xfId="8384"/>
    <cellStyle name="_Costs not in KWI3000 '06Budget_4 32 Regulatory Assets and Liabilities  7 06- Exhibit D 2 2" xfId="8385"/>
    <cellStyle name="_Costs not in KWI3000 '06Budget_4 32 Regulatory Assets and Liabilities  7 06- Exhibit D 2 2 2" xfId="8386"/>
    <cellStyle name="_Costs not in KWI3000 '06Budget_4 32 Regulatory Assets and Liabilities  7 06- Exhibit D 3" xfId="8387"/>
    <cellStyle name="_Costs not in KWI3000 '06Budget_4 32 Regulatory Assets and Liabilities  7 06- Exhibit D 3 2" xfId="8388"/>
    <cellStyle name="_Costs not in KWI3000 '06Budget_4 32 Regulatory Assets and Liabilities  7 06- Exhibit D_DEM-WP(C) ENERG10C--ctn Mid-C_042010 2010GRC" xfId="8389"/>
    <cellStyle name="_Costs not in KWI3000 '06Budget_4 32 Regulatory Assets and Liabilities  7 06- Exhibit D_NIM Summary" xfId="8390"/>
    <cellStyle name="_Costs not in KWI3000 '06Budget_4 32 Regulatory Assets and Liabilities  7 06- Exhibit D_NIM Summary 2" xfId="8391"/>
    <cellStyle name="_Costs not in KWI3000 '06Budget_4 32 Regulatory Assets and Liabilities  7 06- Exhibit D_NIM Summary 2 2" xfId="8392"/>
    <cellStyle name="_Costs not in KWI3000 '06Budget_4 32 Regulatory Assets and Liabilities  7 06- Exhibit D_NIM Summary 3" xfId="8393"/>
    <cellStyle name="_Costs not in KWI3000 '06Budget_4 32 Regulatory Assets and Liabilities  7 06- Exhibit D_NIM Summary_DEM-WP(C) ENERG10C--ctn Mid-C_042010 2010GRC" xfId="8394"/>
    <cellStyle name="_Costs not in KWI3000 '06Budget_4 32 Regulatory Assets and Liabilities  7 06- Exhibit D_NIM+O&amp;M" xfId="8395"/>
    <cellStyle name="_Costs not in KWI3000 '06Budget_4 32 Regulatory Assets and Liabilities  7 06- Exhibit D_NIM+O&amp;M 2" xfId="8396"/>
    <cellStyle name="_Costs not in KWI3000 '06Budget_4 32 Regulatory Assets and Liabilities  7 06- Exhibit D_NIM+O&amp;M Monthly" xfId="8397"/>
    <cellStyle name="_Costs not in KWI3000 '06Budget_4 32 Regulatory Assets and Liabilities  7 06- Exhibit D_NIM+O&amp;M Monthly 2" xfId="8398"/>
    <cellStyle name="_Costs not in KWI3000 '06Budget_AURORA Total New" xfId="8399"/>
    <cellStyle name="_Costs not in KWI3000 '06Budget_AURORA Total New 2" xfId="8400"/>
    <cellStyle name="_Costs not in KWI3000 '06Budget_AURORA Total New 2 2" xfId="8401"/>
    <cellStyle name="_Costs not in KWI3000 '06Budget_AURORA Total New 3" xfId="8402"/>
    <cellStyle name="_Costs not in KWI3000 '06Budget_Book1" xfId="8403"/>
    <cellStyle name="_Costs not in KWI3000 '06Budget_Book2" xfId="386"/>
    <cellStyle name="_Costs not in KWI3000 '06Budget_Book2 2" xfId="8404"/>
    <cellStyle name="_Costs not in KWI3000 '06Budget_Book2 2 2" xfId="8405"/>
    <cellStyle name="_Costs not in KWI3000 '06Budget_Book2 2 2 2" xfId="8406"/>
    <cellStyle name="_Costs not in KWI3000 '06Budget_Book2 2 3" xfId="8407"/>
    <cellStyle name="_Costs not in KWI3000 '06Budget_Book2 3" xfId="8408"/>
    <cellStyle name="_Costs not in KWI3000 '06Budget_Book2 3 2" xfId="8409"/>
    <cellStyle name="_Costs not in KWI3000 '06Budget_Book2 4" xfId="8410"/>
    <cellStyle name="_Costs not in KWI3000 '06Budget_Book2_Adj Bench DR 3 for Initial Briefs (Electric)" xfId="387"/>
    <cellStyle name="_Costs not in KWI3000 '06Budget_Book2_Adj Bench DR 3 for Initial Briefs (Electric) 2" xfId="8411"/>
    <cellStyle name="_Costs not in KWI3000 '06Budget_Book2_Adj Bench DR 3 for Initial Briefs (Electric) 2 2" xfId="8412"/>
    <cellStyle name="_Costs not in KWI3000 '06Budget_Book2_Adj Bench DR 3 for Initial Briefs (Electric) 2 2 2" xfId="8413"/>
    <cellStyle name="_Costs not in KWI3000 '06Budget_Book2_Adj Bench DR 3 for Initial Briefs (Electric) 2 3" xfId="8414"/>
    <cellStyle name="_Costs not in KWI3000 '06Budget_Book2_Adj Bench DR 3 for Initial Briefs (Electric) 3" xfId="8415"/>
    <cellStyle name="_Costs not in KWI3000 '06Budget_Book2_Adj Bench DR 3 for Initial Briefs (Electric) 3 2" xfId="8416"/>
    <cellStyle name="_Costs not in KWI3000 '06Budget_Book2_Adj Bench DR 3 for Initial Briefs (Electric) 4" xfId="8417"/>
    <cellStyle name="_Costs not in KWI3000 '06Budget_Book2_Adj Bench DR 3 for Initial Briefs (Electric)_DEM-WP(C) ENERG10C--ctn Mid-C_042010 2010GRC" xfId="8418"/>
    <cellStyle name="_Costs not in KWI3000 '06Budget_Book2_DEM-WP(C) ENERG10C--ctn Mid-C_042010 2010GRC" xfId="8419"/>
    <cellStyle name="_Costs not in KWI3000 '06Budget_Book2_Electric Rev Req Model (2009 GRC) Rebuttal" xfId="388"/>
    <cellStyle name="_Costs not in KWI3000 '06Budget_Book2_Electric Rev Req Model (2009 GRC) Rebuttal 2" xfId="8420"/>
    <cellStyle name="_Costs not in KWI3000 '06Budget_Book2_Electric Rev Req Model (2009 GRC) Rebuttal 2 2" xfId="8421"/>
    <cellStyle name="_Costs not in KWI3000 '06Budget_Book2_Electric Rev Req Model (2009 GRC) Rebuttal 2 2 2" xfId="8422"/>
    <cellStyle name="_Costs not in KWI3000 '06Budget_Book2_Electric Rev Req Model (2009 GRC) Rebuttal 2 3" xfId="8423"/>
    <cellStyle name="_Costs not in KWI3000 '06Budget_Book2_Electric Rev Req Model (2009 GRC) Rebuttal 3" xfId="8424"/>
    <cellStyle name="_Costs not in KWI3000 '06Budget_Book2_Electric Rev Req Model (2009 GRC) Rebuttal 3 2" xfId="8425"/>
    <cellStyle name="_Costs not in KWI3000 '06Budget_Book2_Electric Rev Req Model (2009 GRC) Rebuttal 4" xfId="8426"/>
    <cellStyle name="_Costs not in KWI3000 '06Budget_Book2_Electric Rev Req Model (2009 GRC) Rebuttal REmoval of New  WH Solar AdjustMI" xfId="389"/>
    <cellStyle name="_Costs not in KWI3000 '06Budget_Book2_Electric Rev Req Model (2009 GRC) Rebuttal REmoval of New  WH Solar AdjustMI 2" xfId="8427"/>
    <cellStyle name="_Costs not in KWI3000 '06Budget_Book2_Electric Rev Req Model (2009 GRC) Rebuttal REmoval of New  WH Solar AdjustMI 2 2" xfId="8428"/>
    <cellStyle name="_Costs not in KWI3000 '06Budget_Book2_Electric Rev Req Model (2009 GRC) Rebuttal REmoval of New  WH Solar AdjustMI 2 2 2" xfId="8429"/>
    <cellStyle name="_Costs not in KWI3000 '06Budget_Book2_Electric Rev Req Model (2009 GRC) Rebuttal REmoval of New  WH Solar AdjustMI 2 3" xfId="8430"/>
    <cellStyle name="_Costs not in KWI3000 '06Budget_Book2_Electric Rev Req Model (2009 GRC) Rebuttal REmoval of New  WH Solar AdjustMI 3" xfId="8431"/>
    <cellStyle name="_Costs not in KWI3000 '06Budget_Book2_Electric Rev Req Model (2009 GRC) Rebuttal REmoval of New  WH Solar AdjustMI 3 2" xfId="8432"/>
    <cellStyle name="_Costs not in KWI3000 '06Budget_Book2_Electric Rev Req Model (2009 GRC) Rebuttal REmoval of New  WH Solar AdjustMI 4" xfId="8433"/>
    <cellStyle name="_Costs not in KWI3000 '06Budget_Book2_Electric Rev Req Model (2009 GRC) Rebuttal REmoval of New  WH Solar AdjustMI_DEM-WP(C) ENERG10C--ctn Mid-C_042010 2010GRC" xfId="8434"/>
    <cellStyle name="_Costs not in KWI3000 '06Budget_Book2_Electric Rev Req Model (2009 GRC) Revised 01-18-2010" xfId="390"/>
    <cellStyle name="_Costs not in KWI3000 '06Budget_Book2_Electric Rev Req Model (2009 GRC) Revised 01-18-2010 2" xfId="8435"/>
    <cellStyle name="_Costs not in KWI3000 '06Budget_Book2_Electric Rev Req Model (2009 GRC) Revised 01-18-2010 2 2" xfId="8436"/>
    <cellStyle name="_Costs not in KWI3000 '06Budget_Book2_Electric Rev Req Model (2009 GRC) Revised 01-18-2010 2 2 2" xfId="8437"/>
    <cellStyle name="_Costs not in KWI3000 '06Budget_Book2_Electric Rev Req Model (2009 GRC) Revised 01-18-2010 2 3" xfId="8438"/>
    <cellStyle name="_Costs not in KWI3000 '06Budget_Book2_Electric Rev Req Model (2009 GRC) Revised 01-18-2010 3" xfId="8439"/>
    <cellStyle name="_Costs not in KWI3000 '06Budget_Book2_Electric Rev Req Model (2009 GRC) Revised 01-18-2010 3 2" xfId="8440"/>
    <cellStyle name="_Costs not in KWI3000 '06Budget_Book2_Electric Rev Req Model (2009 GRC) Revised 01-18-2010 4" xfId="8441"/>
    <cellStyle name="_Costs not in KWI3000 '06Budget_Book2_Electric Rev Req Model (2009 GRC) Revised 01-18-2010_DEM-WP(C) ENERG10C--ctn Mid-C_042010 2010GRC" xfId="8442"/>
    <cellStyle name="_Costs not in KWI3000 '06Budget_Book2_Final Order Electric EXHIBIT A-1" xfId="391"/>
    <cellStyle name="_Costs not in KWI3000 '06Budget_Book2_Final Order Electric EXHIBIT A-1 2" xfId="8443"/>
    <cellStyle name="_Costs not in KWI3000 '06Budget_Book2_Final Order Electric EXHIBIT A-1 2 2" xfId="8444"/>
    <cellStyle name="_Costs not in KWI3000 '06Budget_Book2_Final Order Electric EXHIBIT A-1 2 2 2" xfId="8445"/>
    <cellStyle name="_Costs not in KWI3000 '06Budget_Book2_Final Order Electric EXHIBIT A-1 2 3" xfId="8446"/>
    <cellStyle name="_Costs not in KWI3000 '06Budget_Book2_Final Order Electric EXHIBIT A-1 3" xfId="8447"/>
    <cellStyle name="_Costs not in KWI3000 '06Budget_Book2_Final Order Electric EXHIBIT A-1 3 2" xfId="8448"/>
    <cellStyle name="_Costs not in KWI3000 '06Budget_Book2_Final Order Electric EXHIBIT A-1 4" xfId="8449"/>
    <cellStyle name="_Costs not in KWI3000 '06Budget_Book4" xfId="392"/>
    <cellStyle name="_Costs not in KWI3000 '06Budget_Book4 2" xfId="8450"/>
    <cellStyle name="_Costs not in KWI3000 '06Budget_Book4 2 2" xfId="8451"/>
    <cellStyle name="_Costs not in KWI3000 '06Budget_Book4 2 2 2" xfId="8452"/>
    <cellStyle name="_Costs not in KWI3000 '06Budget_Book4 2 3" xfId="8453"/>
    <cellStyle name="_Costs not in KWI3000 '06Budget_Book4 3" xfId="8454"/>
    <cellStyle name="_Costs not in KWI3000 '06Budget_Book4 3 2" xfId="8455"/>
    <cellStyle name="_Costs not in KWI3000 '06Budget_Book4 4" xfId="8456"/>
    <cellStyle name="_Costs not in KWI3000 '06Budget_Book4_DEM-WP(C) ENERG10C--ctn Mid-C_042010 2010GRC" xfId="8457"/>
    <cellStyle name="_Costs not in KWI3000 '06Budget_Book9" xfId="393"/>
    <cellStyle name="_Costs not in KWI3000 '06Budget_Book9 2" xfId="8458"/>
    <cellStyle name="_Costs not in KWI3000 '06Budget_Book9 2 2" xfId="8459"/>
    <cellStyle name="_Costs not in KWI3000 '06Budget_Book9 2 2 2" xfId="8460"/>
    <cellStyle name="_Costs not in KWI3000 '06Budget_Book9 2 3" xfId="8461"/>
    <cellStyle name="_Costs not in KWI3000 '06Budget_Book9 3" xfId="8462"/>
    <cellStyle name="_Costs not in KWI3000 '06Budget_Book9 3 2" xfId="8463"/>
    <cellStyle name="_Costs not in KWI3000 '06Budget_Book9 4" xfId="8464"/>
    <cellStyle name="_Costs not in KWI3000 '06Budget_Book9_DEM-WP(C) ENERG10C--ctn Mid-C_042010 2010GRC" xfId="8465"/>
    <cellStyle name="_Costs not in KWI3000 '06Budget_Check the Interest Calculation" xfId="394"/>
    <cellStyle name="_Costs not in KWI3000 '06Budget_Check the Interest Calculation_Scenario 1 REC vs PTC Offset" xfId="395"/>
    <cellStyle name="_Costs not in KWI3000 '06Budget_Check the Interest Calculation_Scenario 3" xfId="396"/>
    <cellStyle name="_Costs not in KWI3000 '06Budget_Chelan PUD Power Costs (8-10)" xfId="8466"/>
    <cellStyle name="_Costs not in KWI3000 '06Budget_Chelan PUD Power Costs (8-10) 2" xfId="8467"/>
    <cellStyle name="_Costs not in KWI3000 '06Budget_DEM-WP(C) Chelan Power Costs" xfId="8468"/>
    <cellStyle name="_Costs not in KWI3000 '06Budget_DEM-WP(C) Chelan Power Costs 2" xfId="8469"/>
    <cellStyle name="_Costs not in KWI3000 '06Budget_DEM-WP(C) ENERG10C--ctn Mid-C_042010 2010GRC" xfId="8470"/>
    <cellStyle name="_Costs not in KWI3000 '06Budget_DEM-WP(C) Gas Transport 2010GRC" xfId="8471"/>
    <cellStyle name="_Costs not in KWI3000 '06Budget_DEM-WP(C) Gas Transport 2010GRC 2" xfId="8472"/>
    <cellStyle name="_Costs not in KWI3000 '06Budget_Exh A-1 resulting from UE-112050 effective Jan 1 2012" xfId="8473"/>
    <cellStyle name="_Costs not in KWI3000 '06Budget_Exh G - Klamath Peaker PPA fr C Locke 2-12" xfId="8474"/>
    <cellStyle name="_Costs not in KWI3000 '06Budget_Exhibit A-1 effective 4-1-11 fr S Free 12-11" xfId="8475"/>
    <cellStyle name="_Costs not in KWI3000 '06Budget_Exhibit D fr R Gho 12-31-08" xfId="8476"/>
    <cellStyle name="_Costs not in KWI3000 '06Budget_Exhibit D fr R Gho 12-31-08 2" xfId="8477"/>
    <cellStyle name="_Costs not in KWI3000 '06Budget_Exhibit D fr R Gho 12-31-08 2 2" xfId="8478"/>
    <cellStyle name="_Costs not in KWI3000 '06Budget_Exhibit D fr R Gho 12-31-08 3" xfId="8479"/>
    <cellStyle name="_Costs not in KWI3000 '06Budget_Exhibit D fr R Gho 12-31-08 v2" xfId="8480"/>
    <cellStyle name="_Costs not in KWI3000 '06Budget_Exhibit D fr R Gho 12-31-08 v2 2" xfId="8481"/>
    <cellStyle name="_Costs not in KWI3000 '06Budget_Exhibit D fr R Gho 12-31-08 v2 2 2" xfId="8482"/>
    <cellStyle name="_Costs not in KWI3000 '06Budget_Exhibit D fr R Gho 12-31-08 v2 3" xfId="8483"/>
    <cellStyle name="_Costs not in KWI3000 '06Budget_Exhibit D fr R Gho 12-31-08 v2_DEM-WP(C) ENERG10C--ctn Mid-C_042010 2010GRC" xfId="8484"/>
    <cellStyle name="_Costs not in KWI3000 '06Budget_Exhibit D fr R Gho 12-31-08 v2_NIM Summary" xfId="8485"/>
    <cellStyle name="_Costs not in KWI3000 '06Budget_Exhibit D fr R Gho 12-31-08 v2_NIM Summary 2" xfId="8486"/>
    <cellStyle name="_Costs not in KWI3000 '06Budget_Exhibit D fr R Gho 12-31-08 v2_NIM Summary 2 2" xfId="8487"/>
    <cellStyle name="_Costs not in KWI3000 '06Budget_Exhibit D fr R Gho 12-31-08 v2_NIM Summary 3" xfId="8488"/>
    <cellStyle name="_Costs not in KWI3000 '06Budget_Exhibit D fr R Gho 12-31-08 v2_NIM Summary_DEM-WP(C) ENERG10C--ctn Mid-C_042010 2010GRC" xfId="8489"/>
    <cellStyle name="_Costs not in KWI3000 '06Budget_Exhibit D fr R Gho 12-31-08_DEM-WP(C) ENERG10C--ctn Mid-C_042010 2010GRC" xfId="8490"/>
    <cellStyle name="_Costs not in KWI3000 '06Budget_Exhibit D fr R Gho 12-31-08_NIM Summary" xfId="8491"/>
    <cellStyle name="_Costs not in KWI3000 '06Budget_Exhibit D fr R Gho 12-31-08_NIM Summary 2" xfId="8492"/>
    <cellStyle name="_Costs not in KWI3000 '06Budget_Exhibit D fr R Gho 12-31-08_NIM Summary 2 2" xfId="8493"/>
    <cellStyle name="_Costs not in KWI3000 '06Budget_Exhibit D fr R Gho 12-31-08_NIM Summary 3" xfId="8494"/>
    <cellStyle name="_Costs not in KWI3000 '06Budget_Exhibit D fr R Gho 12-31-08_NIM Summary_DEM-WP(C) ENERG10C--ctn Mid-C_042010 2010GRC" xfId="8495"/>
    <cellStyle name="_Costs not in KWI3000 '06Budget_Hopkins Ridge Prepaid Tran - Interest Earned RY 12ME Feb  '11" xfId="8496"/>
    <cellStyle name="_Costs not in KWI3000 '06Budget_Hopkins Ridge Prepaid Tran - Interest Earned RY 12ME Feb  '11 2" xfId="8497"/>
    <cellStyle name="_Costs not in KWI3000 '06Budget_Hopkins Ridge Prepaid Tran - Interest Earned RY 12ME Feb  '11 2 2" xfId="8498"/>
    <cellStyle name="_Costs not in KWI3000 '06Budget_Hopkins Ridge Prepaid Tran - Interest Earned RY 12ME Feb  '11 3" xfId="8499"/>
    <cellStyle name="_Costs not in KWI3000 '06Budget_Hopkins Ridge Prepaid Tran - Interest Earned RY 12ME Feb  '11_DEM-WP(C) ENERG10C--ctn Mid-C_042010 2010GRC" xfId="8500"/>
    <cellStyle name="_Costs not in KWI3000 '06Budget_Hopkins Ridge Prepaid Tran - Interest Earned RY 12ME Feb  '11_NIM Summary" xfId="8501"/>
    <cellStyle name="_Costs not in KWI3000 '06Budget_Hopkins Ridge Prepaid Tran - Interest Earned RY 12ME Feb  '11_NIM Summary 2" xfId="8502"/>
    <cellStyle name="_Costs not in KWI3000 '06Budget_Hopkins Ridge Prepaid Tran - Interest Earned RY 12ME Feb  '11_NIM Summary 2 2" xfId="8503"/>
    <cellStyle name="_Costs not in KWI3000 '06Budget_Hopkins Ridge Prepaid Tran - Interest Earned RY 12ME Feb  '11_NIM Summary 3" xfId="8504"/>
    <cellStyle name="_Costs not in KWI3000 '06Budget_Hopkins Ridge Prepaid Tran - Interest Earned RY 12ME Feb  '11_NIM Summary_DEM-WP(C) ENERG10C--ctn Mid-C_042010 2010GRC" xfId="8505"/>
    <cellStyle name="_Costs not in KWI3000 '06Budget_Hopkins Ridge Prepaid Tran - Interest Earned RY 12ME Feb  '11_Transmission Workbook for May BOD" xfId="8506"/>
    <cellStyle name="_Costs not in KWI3000 '06Budget_Hopkins Ridge Prepaid Tran - Interest Earned RY 12ME Feb  '11_Transmission Workbook for May BOD 2" xfId="8507"/>
    <cellStyle name="_Costs not in KWI3000 '06Budget_Hopkins Ridge Prepaid Tran - Interest Earned RY 12ME Feb  '11_Transmission Workbook for May BOD 2 2" xfId="8508"/>
    <cellStyle name="_Costs not in KWI3000 '06Budget_Hopkins Ridge Prepaid Tran - Interest Earned RY 12ME Feb  '11_Transmission Workbook for May BOD 3" xfId="8509"/>
    <cellStyle name="_Costs not in KWI3000 '06Budget_Hopkins Ridge Prepaid Tran - Interest Earned RY 12ME Feb  '11_Transmission Workbook for May BOD_DEM-WP(C) ENERG10C--ctn Mid-C_042010 2010GRC" xfId="8510"/>
    <cellStyle name="_Costs not in KWI3000 '06Budget_INPUTS" xfId="8511"/>
    <cellStyle name="_Costs not in KWI3000 '06Budget_INPUTS 2" xfId="8512"/>
    <cellStyle name="_Costs not in KWI3000 '06Budget_INPUTS 2 2" xfId="8513"/>
    <cellStyle name="_Costs not in KWI3000 '06Budget_INPUTS 2 2 2" xfId="8514"/>
    <cellStyle name="_Costs not in KWI3000 '06Budget_INPUTS 2 3" xfId="8515"/>
    <cellStyle name="_Costs not in KWI3000 '06Budget_INPUTS 3" xfId="8516"/>
    <cellStyle name="_Costs not in KWI3000 '06Budget_INPUTS 3 2" xfId="8517"/>
    <cellStyle name="_Costs not in KWI3000 '06Budget_INPUTS 4" xfId="8518"/>
    <cellStyle name="_Costs not in KWI3000 '06Budget_LSRWEP LGIA like Acctg Petition Aug 2010" xfId="8519"/>
    <cellStyle name="_Costs not in KWI3000 '06Budget_LSRWEP LGIA like Acctg Petition Aug 2010 2" xfId="8520"/>
    <cellStyle name="_Costs not in KWI3000 '06Budget_Mint Farm Generation BPA" xfId="8521"/>
    <cellStyle name="_Costs not in KWI3000 '06Budget_NIM Summary" xfId="8522"/>
    <cellStyle name="_Costs not in KWI3000 '06Budget_NIM Summary 09GRC" xfId="8523"/>
    <cellStyle name="_Costs not in KWI3000 '06Budget_NIM Summary 09GRC 2" xfId="8524"/>
    <cellStyle name="_Costs not in KWI3000 '06Budget_NIM Summary 09GRC 2 2" xfId="8525"/>
    <cellStyle name="_Costs not in KWI3000 '06Budget_NIM Summary 09GRC 3" xfId="8526"/>
    <cellStyle name="_Costs not in KWI3000 '06Budget_NIM Summary 09GRC_DEM-WP(C) ENERG10C--ctn Mid-C_042010 2010GRC" xfId="8527"/>
    <cellStyle name="_Costs not in KWI3000 '06Budget_NIM Summary 10" xfId="8528"/>
    <cellStyle name="_Costs not in KWI3000 '06Budget_NIM Summary 11" xfId="8529"/>
    <cellStyle name="_Costs not in KWI3000 '06Budget_NIM Summary 12" xfId="8530"/>
    <cellStyle name="_Costs not in KWI3000 '06Budget_NIM Summary 13" xfId="8531"/>
    <cellStyle name="_Costs not in KWI3000 '06Budget_NIM Summary 14" xfId="8532"/>
    <cellStyle name="_Costs not in KWI3000 '06Budget_NIM Summary 15" xfId="8533"/>
    <cellStyle name="_Costs not in KWI3000 '06Budget_NIM Summary 16" xfId="8534"/>
    <cellStyle name="_Costs not in KWI3000 '06Budget_NIM Summary 17" xfId="8535"/>
    <cellStyle name="_Costs not in KWI3000 '06Budget_NIM Summary 18" xfId="8536"/>
    <cellStyle name="_Costs not in KWI3000 '06Budget_NIM Summary 19" xfId="8537"/>
    <cellStyle name="_Costs not in KWI3000 '06Budget_NIM Summary 2" xfId="8538"/>
    <cellStyle name="_Costs not in KWI3000 '06Budget_NIM Summary 2 2" xfId="8539"/>
    <cellStyle name="_Costs not in KWI3000 '06Budget_NIM Summary 20" xfId="8540"/>
    <cellStyle name="_Costs not in KWI3000 '06Budget_NIM Summary 21" xfId="8541"/>
    <cellStyle name="_Costs not in KWI3000 '06Budget_NIM Summary 22" xfId="8542"/>
    <cellStyle name="_Costs not in KWI3000 '06Budget_NIM Summary 23" xfId="8543"/>
    <cellStyle name="_Costs not in KWI3000 '06Budget_NIM Summary 24" xfId="8544"/>
    <cellStyle name="_Costs not in KWI3000 '06Budget_NIM Summary 25" xfId="8545"/>
    <cellStyle name="_Costs not in KWI3000 '06Budget_NIM Summary 26" xfId="8546"/>
    <cellStyle name="_Costs not in KWI3000 '06Budget_NIM Summary 27" xfId="8547"/>
    <cellStyle name="_Costs not in KWI3000 '06Budget_NIM Summary 28" xfId="8548"/>
    <cellStyle name="_Costs not in KWI3000 '06Budget_NIM Summary 29" xfId="8549"/>
    <cellStyle name="_Costs not in KWI3000 '06Budget_NIM Summary 3" xfId="8550"/>
    <cellStyle name="_Costs not in KWI3000 '06Budget_NIM Summary 3 2" xfId="8551"/>
    <cellStyle name="_Costs not in KWI3000 '06Budget_NIM Summary 30" xfId="8552"/>
    <cellStyle name="_Costs not in KWI3000 '06Budget_NIM Summary 31" xfId="8553"/>
    <cellStyle name="_Costs not in KWI3000 '06Budget_NIM Summary 32" xfId="8554"/>
    <cellStyle name="_Costs not in KWI3000 '06Budget_NIM Summary 33" xfId="8555"/>
    <cellStyle name="_Costs not in KWI3000 '06Budget_NIM Summary 34" xfId="8556"/>
    <cellStyle name="_Costs not in KWI3000 '06Budget_NIM Summary 35" xfId="8557"/>
    <cellStyle name="_Costs not in KWI3000 '06Budget_NIM Summary 36" xfId="8558"/>
    <cellStyle name="_Costs not in KWI3000 '06Budget_NIM Summary 37" xfId="8559"/>
    <cellStyle name="_Costs not in KWI3000 '06Budget_NIM Summary 38" xfId="8560"/>
    <cellStyle name="_Costs not in KWI3000 '06Budget_NIM Summary 39" xfId="8561"/>
    <cellStyle name="_Costs not in KWI3000 '06Budget_NIM Summary 4" xfId="8562"/>
    <cellStyle name="_Costs not in KWI3000 '06Budget_NIM Summary 4 2" xfId="8563"/>
    <cellStyle name="_Costs not in KWI3000 '06Budget_NIM Summary 40" xfId="8564"/>
    <cellStyle name="_Costs not in KWI3000 '06Budget_NIM Summary 41" xfId="8565"/>
    <cellStyle name="_Costs not in KWI3000 '06Budget_NIM Summary 42" xfId="8566"/>
    <cellStyle name="_Costs not in KWI3000 '06Budget_NIM Summary 43" xfId="8567"/>
    <cellStyle name="_Costs not in KWI3000 '06Budget_NIM Summary 44" xfId="8568"/>
    <cellStyle name="_Costs not in KWI3000 '06Budget_NIM Summary 45" xfId="8569"/>
    <cellStyle name="_Costs not in KWI3000 '06Budget_NIM Summary 46" xfId="8570"/>
    <cellStyle name="_Costs not in KWI3000 '06Budget_NIM Summary 47" xfId="8571"/>
    <cellStyle name="_Costs not in KWI3000 '06Budget_NIM Summary 48" xfId="8572"/>
    <cellStyle name="_Costs not in KWI3000 '06Budget_NIM Summary 49" xfId="8573"/>
    <cellStyle name="_Costs not in KWI3000 '06Budget_NIM Summary 5" xfId="8574"/>
    <cellStyle name="_Costs not in KWI3000 '06Budget_NIM Summary 5 2" xfId="8575"/>
    <cellStyle name="_Costs not in KWI3000 '06Budget_NIM Summary 50" xfId="8576"/>
    <cellStyle name="_Costs not in KWI3000 '06Budget_NIM Summary 51" xfId="8577"/>
    <cellStyle name="_Costs not in KWI3000 '06Budget_NIM Summary 52" xfId="8578"/>
    <cellStyle name="_Costs not in KWI3000 '06Budget_NIM Summary 6" xfId="8579"/>
    <cellStyle name="_Costs not in KWI3000 '06Budget_NIM Summary 6 2" xfId="8580"/>
    <cellStyle name="_Costs not in KWI3000 '06Budget_NIM Summary 7" xfId="8581"/>
    <cellStyle name="_Costs not in KWI3000 '06Budget_NIM Summary 7 2" xfId="8582"/>
    <cellStyle name="_Costs not in KWI3000 '06Budget_NIM Summary 8" xfId="8583"/>
    <cellStyle name="_Costs not in KWI3000 '06Budget_NIM Summary 8 2" xfId="8584"/>
    <cellStyle name="_Costs not in KWI3000 '06Budget_NIM Summary 9" xfId="8585"/>
    <cellStyle name="_Costs not in KWI3000 '06Budget_NIM Summary 9 2" xfId="8586"/>
    <cellStyle name="_Costs not in KWI3000 '06Budget_NIM Summary_DEM-WP(C) ENERG10C--ctn Mid-C_042010 2010GRC" xfId="8587"/>
    <cellStyle name="_Costs not in KWI3000 '06Budget_NIM+O&amp;M" xfId="8588"/>
    <cellStyle name="_Costs not in KWI3000 '06Budget_NIM+O&amp;M 2" xfId="8589"/>
    <cellStyle name="_Costs not in KWI3000 '06Budget_NIM+O&amp;M 2 2" xfId="8590"/>
    <cellStyle name="_Costs not in KWI3000 '06Budget_NIM+O&amp;M 3" xfId="8591"/>
    <cellStyle name="_Costs not in KWI3000 '06Budget_NIM+O&amp;M Monthly" xfId="8592"/>
    <cellStyle name="_Costs not in KWI3000 '06Budget_NIM+O&amp;M Monthly 2" xfId="8593"/>
    <cellStyle name="_Costs not in KWI3000 '06Budget_NIM+O&amp;M Monthly 2 2" xfId="8594"/>
    <cellStyle name="_Costs not in KWI3000 '06Budget_NIM+O&amp;M Monthly 3" xfId="8595"/>
    <cellStyle name="_Costs not in KWI3000 '06Budget_PCA 10 -  Exhibit D Dec 2011" xfId="8596"/>
    <cellStyle name="_Costs not in KWI3000 '06Budget_PCA 10 -  Exhibit D from A Kellogg Jan 2011" xfId="8597"/>
    <cellStyle name="_Costs not in KWI3000 '06Budget_PCA 10 -  Exhibit D from A Kellogg July 2011" xfId="8598"/>
    <cellStyle name="_Costs not in KWI3000 '06Budget_PCA 10 -  Exhibit D from S Free Rcv'd 12-11" xfId="8599"/>
    <cellStyle name="_Costs not in KWI3000 '06Budget_PCA 11 -  Exhibit D Jan 2012 fr A Kellogg" xfId="8600"/>
    <cellStyle name="_Costs not in KWI3000 '06Budget_PCA 11 -  Exhibit D Jan 2012 WF" xfId="8601"/>
    <cellStyle name="_Costs not in KWI3000 '06Budget_PCA 7 - Exhibit D update 11_30_08 (2)" xfId="8602"/>
    <cellStyle name="_Costs not in KWI3000 '06Budget_PCA 7 - Exhibit D update 11_30_08 (2) 2" xfId="8603"/>
    <cellStyle name="_Costs not in KWI3000 '06Budget_PCA 7 - Exhibit D update 11_30_08 (2) 2 2" xfId="8604"/>
    <cellStyle name="_Costs not in KWI3000 '06Budget_PCA 7 - Exhibit D update 11_30_08 (2) 2 2 2" xfId="8605"/>
    <cellStyle name="_Costs not in KWI3000 '06Budget_PCA 7 - Exhibit D update 11_30_08 (2) 2 3" xfId="8606"/>
    <cellStyle name="_Costs not in KWI3000 '06Budget_PCA 7 - Exhibit D update 11_30_08 (2) 3" xfId="8607"/>
    <cellStyle name="_Costs not in KWI3000 '06Budget_PCA 7 - Exhibit D update 11_30_08 (2) 3 2" xfId="8608"/>
    <cellStyle name="_Costs not in KWI3000 '06Budget_PCA 7 - Exhibit D update 11_30_08 (2) 4" xfId="8609"/>
    <cellStyle name="_Costs not in KWI3000 '06Budget_PCA 7 - Exhibit D update 11_30_08 (2)_DEM-WP(C) ENERG10C--ctn Mid-C_042010 2010GRC" xfId="8610"/>
    <cellStyle name="_Costs not in KWI3000 '06Budget_PCA 7 - Exhibit D update 11_30_08 (2)_NIM Summary" xfId="8611"/>
    <cellStyle name="_Costs not in KWI3000 '06Budget_PCA 7 - Exhibit D update 11_30_08 (2)_NIM Summary 2" xfId="8612"/>
    <cellStyle name="_Costs not in KWI3000 '06Budget_PCA 7 - Exhibit D update 11_30_08 (2)_NIM Summary 2 2" xfId="8613"/>
    <cellStyle name="_Costs not in KWI3000 '06Budget_PCA 7 - Exhibit D update 11_30_08 (2)_NIM Summary 3" xfId="8614"/>
    <cellStyle name="_Costs not in KWI3000 '06Budget_PCA 7 - Exhibit D update 11_30_08 (2)_NIM Summary_DEM-WP(C) ENERG10C--ctn Mid-C_042010 2010GRC" xfId="8615"/>
    <cellStyle name="_Costs not in KWI3000 '06Budget_PCA 8 - Exhibit D update 12_31_09" xfId="8616"/>
    <cellStyle name="_Costs not in KWI3000 '06Budget_PCA 8 - Exhibit D update 12_31_09 2" xfId="8617"/>
    <cellStyle name="_Costs not in KWI3000 '06Budget_PCA 9 -  Exhibit D April 2010" xfId="8618"/>
    <cellStyle name="_Costs not in KWI3000 '06Budget_PCA 9 -  Exhibit D April 2010 (3)" xfId="8619"/>
    <cellStyle name="_Costs not in KWI3000 '06Budget_PCA 9 -  Exhibit D April 2010 (3) 2" xfId="8620"/>
    <cellStyle name="_Costs not in KWI3000 '06Budget_PCA 9 -  Exhibit D April 2010 (3) 2 2" xfId="8621"/>
    <cellStyle name="_Costs not in KWI3000 '06Budget_PCA 9 -  Exhibit D April 2010 (3) 3" xfId="8622"/>
    <cellStyle name="_Costs not in KWI3000 '06Budget_PCA 9 -  Exhibit D April 2010 (3)_DEM-WP(C) ENERG10C--ctn Mid-C_042010 2010GRC" xfId="8623"/>
    <cellStyle name="_Costs not in KWI3000 '06Budget_PCA 9 -  Exhibit D April 2010 2" xfId="8624"/>
    <cellStyle name="_Costs not in KWI3000 '06Budget_PCA 9 -  Exhibit D April 2010 3" xfId="8625"/>
    <cellStyle name="_Costs not in KWI3000 '06Budget_PCA 9 -  Exhibit D April 2010 4" xfId="8626"/>
    <cellStyle name="_Costs not in KWI3000 '06Budget_PCA 9 -  Exhibit D April 2010 5" xfId="8627"/>
    <cellStyle name="_Costs not in KWI3000 '06Budget_PCA 9 -  Exhibit D April 2010 6" xfId="8628"/>
    <cellStyle name="_Costs not in KWI3000 '06Budget_PCA 9 -  Exhibit D Feb 2010" xfId="8629"/>
    <cellStyle name="_Costs not in KWI3000 '06Budget_PCA 9 -  Exhibit D Feb 2010 2" xfId="8630"/>
    <cellStyle name="_Costs not in KWI3000 '06Budget_PCA 9 -  Exhibit D Feb 2010 v2" xfId="8631"/>
    <cellStyle name="_Costs not in KWI3000 '06Budget_PCA 9 -  Exhibit D Feb 2010 v2 2" xfId="8632"/>
    <cellStyle name="_Costs not in KWI3000 '06Budget_PCA 9 -  Exhibit D Feb 2010 WF" xfId="8633"/>
    <cellStyle name="_Costs not in KWI3000 '06Budget_PCA 9 -  Exhibit D Feb 2010 WF 2" xfId="8634"/>
    <cellStyle name="_Costs not in KWI3000 '06Budget_PCA 9 -  Exhibit D Jan 2010" xfId="8635"/>
    <cellStyle name="_Costs not in KWI3000 '06Budget_PCA 9 -  Exhibit D Jan 2010 2" xfId="8636"/>
    <cellStyle name="_Costs not in KWI3000 '06Budget_PCA 9 -  Exhibit D March 2010 (2)" xfId="8637"/>
    <cellStyle name="_Costs not in KWI3000 '06Budget_PCA 9 -  Exhibit D March 2010 (2) 2" xfId="8638"/>
    <cellStyle name="_Costs not in KWI3000 '06Budget_PCA 9 -  Exhibit D Nov 2010" xfId="8639"/>
    <cellStyle name="_Costs not in KWI3000 '06Budget_PCA 9 -  Exhibit D Nov 2010 2" xfId="8640"/>
    <cellStyle name="_Costs not in KWI3000 '06Budget_PCA 9 - Exhibit D at August 2010" xfId="8641"/>
    <cellStyle name="_Costs not in KWI3000 '06Budget_PCA 9 - Exhibit D at August 2010 2" xfId="8642"/>
    <cellStyle name="_Costs not in KWI3000 '06Budget_PCA 9 - Exhibit D June 2010 GRC" xfId="8643"/>
    <cellStyle name="_Costs not in KWI3000 '06Budget_PCA 9 - Exhibit D June 2010 GRC 2" xfId="8644"/>
    <cellStyle name="_Costs not in KWI3000 '06Budget_Power Costs - Comparison bx Rbtl-Staff-Jt-PC" xfId="397"/>
    <cellStyle name="_Costs not in KWI3000 '06Budget_Power Costs - Comparison bx Rbtl-Staff-Jt-PC 2" xfId="8645"/>
    <cellStyle name="_Costs not in KWI3000 '06Budget_Power Costs - Comparison bx Rbtl-Staff-Jt-PC 2 2" xfId="8646"/>
    <cellStyle name="_Costs not in KWI3000 '06Budget_Power Costs - Comparison bx Rbtl-Staff-Jt-PC 2 2 2" xfId="8647"/>
    <cellStyle name="_Costs not in KWI3000 '06Budget_Power Costs - Comparison bx Rbtl-Staff-Jt-PC 2 3" xfId="8648"/>
    <cellStyle name="_Costs not in KWI3000 '06Budget_Power Costs - Comparison bx Rbtl-Staff-Jt-PC 3" xfId="8649"/>
    <cellStyle name="_Costs not in KWI3000 '06Budget_Power Costs - Comparison bx Rbtl-Staff-Jt-PC 3 2" xfId="8650"/>
    <cellStyle name="_Costs not in KWI3000 '06Budget_Power Costs - Comparison bx Rbtl-Staff-Jt-PC 4" xfId="8651"/>
    <cellStyle name="_Costs not in KWI3000 '06Budget_Power Costs - Comparison bx Rbtl-Staff-Jt-PC_Adj Bench DR 3 for Initial Briefs (Electric)" xfId="398"/>
    <cellStyle name="_Costs not in KWI3000 '06Budget_Power Costs - Comparison bx Rbtl-Staff-Jt-PC_Adj Bench DR 3 for Initial Briefs (Electric) 2" xfId="8652"/>
    <cellStyle name="_Costs not in KWI3000 '06Budget_Power Costs - Comparison bx Rbtl-Staff-Jt-PC_Adj Bench DR 3 for Initial Briefs (Electric) 2 2" xfId="8653"/>
    <cellStyle name="_Costs not in KWI3000 '06Budget_Power Costs - Comparison bx Rbtl-Staff-Jt-PC_Adj Bench DR 3 for Initial Briefs (Electric) 2 2 2" xfId="8654"/>
    <cellStyle name="_Costs not in KWI3000 '06Budget_Power Costs - Comparison bx Rbtl-Staff-Jt-PC_Adj Bench DR 3 for Initial Briefs (Electric) 2 3" xfId="8655"/>
    <cellStyle name="_Costs not in KWI3000 '06Budget_Power Costs - Comparison bx Rbtl-Staff-Jt-PC_Adj Bench DR 3 for Initial Briefs (Electric) 3" xfId="8656"/>
    <cellStyle name="_Costs not in KWI3000 '06Budget_Power Costs - Comparison bx Rbtl-Staff-Jt-PC_Adj Bench DR 3 for Initial Briefs (Electric) 3 2" xfId="8657"/>
    <cellStyle name="_Costs not in KWI3000 '06Budget_Power Costs - Comparison bx Rbtl-Staff-Jt-PC_Adj Bench DR 3 for Initial Briefs (Electric) 4" xfId="8658"/>
    <cellStyle name="_Costs not in KWI3000 '06Budget_Power Costs - Comparison bx Rbtl-Staff-Jt-PC_Adj Bench DR 3 for Initial Briefs (Electric)_DEM-WP(C) ENERG10C--ctn Mid-C_042010 2010GRC" xfId="8659"/>
    <cellStyle name="_Costs not in KWI3000 '06Budget_Power Costs - Comparison bx Rbtl-Staff-Jt-PC_DEM-WP(C) ENERG10C--ctn Mid-C_042010 2010GRC" xfId="8660"/>
    <cellStyle name="_Costs not in KWI3000 '06Budget_Power Costs - Comparison bx Rbtl-Staff-Jt-PC_Electric Rev Req Model (2009 GRC) Rebuttal" xfId="399"/>
    <cellStyle name="_Costs not in KWI3000 '06Budget_Power Costs - Comparison bx Rbtl-Staff-Jt-PC_Electric Rev Req Model (2009 GRC) Rebuttal 2" xfId="8661"/>
    <cellStyle name="_Costs not in KWI3000 '06Budget_Power Costs - Comparison bx Rbtl-Staff-Jt-PC_Electric Rev Req Model (2009 GRC) Rebuttal 2 2" xfId="8662"/>
    <cellStyle name="_Costs not in KWI3000 '06Budget_Power Costs - Comparison bx Rbtl-Staff-Jt-PC_Electric Rev Req Model (2009 GRC) Rebuttal 2 2 2" xfId="8663"/>
    <cellStyle name="_Costs not in KWI3000 '06Budget_Power Costs - Comparison bx Rbtl-Staff-Jt-PC_Electric Rev Req Model (2009 GRC) Rebuttal 2 3" xfId="8664"/>
    <cellStyle name="_Costs not in KWI3000 '06Budget_Power Costs - Comparison bx Rbtl-Staff-Jt-PC_Electric Rev Req Model (2009 GRC) Rebuttal 3" xfId="8665"/>
    <cellStyle name="_Costs not in KWI3000 '06Budget_Power Costs - Comparison bx Rbtl-Staff-Jt-PC_Electric Rev Req Model (2009 GRC) Rebuttal 3 2" xfId="8666"/>
    <cellStyle name="_Costs not in KWI3000 '06Budget_Power Costs - Comparison bx Rbtl-Staff-Jt-PC_Electric Rev Req Model (2009 GRC) Rebuttal 4" xfId="8667"/>
    <cellStyle name="_Costs not in KWI3000 '06Budget_Power Costs - Comparison bx Rbtl-Staff-Jt-PC_Electric Rev Req Model (2009 GRC) Rebuttal REmoval of New  WH Solar AdjustMI" xfId="400"/>
    <cellStyle name="_Costs not in KWI3000 '06Budget_Power Costs - Comparison bx Rbtl-Staff-Jt-PC_Electric Rev Req Model (2009 GRC) Rebuttal REmoval of New  WH Solar AdjustMI 2" xfId="8668"/>
    <cellStyle name="_Costs not in KWI3000 '06Budget_Power Costs - Comparison bx Rbtl-Staff-Jt-PC_Electric Rev Req Model (2009 GRC) Rebuttal REmoval of New  WH Solar AdjustMI 2 2" xfId="8669"/>
    <cellStyle name="_Costs not in KWI3000 '06Budget_Power Costs - Comparison bx Rbtl-Staff-Jt-PC_Electric Rev Req Model (2009 GRC) Rebuttal REmoval of New  WH Solar AdjustMI 2 2 2" xfId="8670"/>
    <cellStyle name="_Costs not in KWI3000 '06Budget_Power Costs - Comparison bx Rbtl-Staff-Jt-PC_Electric Rev Req Model (2009 GRC) Rebuttal REmoval of New  WH Solar AdjustMI 2 3" xfId="8671"/>
    <cellStyle name="_Costs not in KWI3000 '06Budget_Power Costs - Comparison bx Rbtl-Staff-Jt-PC_Electric Rev Req Model (2009 GRC) Rebuttal REmoval of New  WH Solar AdjustMI 3" xfId="8672"/>
    <cellStyle name="_Costs not in KWI3000 '06Budget_Power Costs - Comparison bx Rbtl-Staff-Jt-PC_Electric Rev Req Model (2009 GRC) Rebuttal REmoval of New  WH Solar AdjustMI 3 2" xfId="8673"/>
    <cellStyle name="_Costs not in KWI3000 '06Budget_Power Costs - Comparison bx Rbtl-Staff-Jt-PC_Electric Rev Req Model (2009 GRC) Rebuttal REmoval of New  WH Solar AdjustMI 4" xfId="8674"/>
    <cellStyle name="_Costs not in KWI3000 '06Budget_Power Costs - Comparison bx Rbtl-Staff-Jt-PC_Electric Rev Req Model (2009 GRC) Rebuttal REmoval of New  WH Solar AdjustMI_DEM-WP(C) ENERG10C--ctn Mid-C_042010 2010GRC" xfId="8675"/>
    <cellStyle name="_Costs not in KWI3000 '06Budget_Power Costs - Comparison bx Rbtl-Staff-Jt-PC_Electric Rev Req Model (2009 GRC) Revised 01-18-2010" xfId="401"/>
    <cellStyle name="_Costs not in KWI3000 '06Budget_Power Costs - Comparison bx Rbtl-Staff-Jt-PC_Electric Rev Req Model (2009 GRC) Revised 01-18-2010 2" xfId="8676"/>
    <cellStyle name="_Costs not in KWI3000 '06Budget_Power Costs - Comparison bx Rbtl-Staff-Jt-PC_Electric Rev Req Model (2009 GRC) Revised 01-18-2010 2 2" xfId="8677"/>
    <cellStyle name="_Costs not in KWI3000 '06Budget_Power Costs - Comparison bx Rbtl-Staff-Jt-PC_Electric Rev Req Model (2009 GRC) Revised 01-18-2010 2 2 2" xfId="8678"/>
    <cellStyle name="_Costs not in KWI3000 '06Budget_Power Costs - Comparison bx Rbtl-Staff-Jt-PC_Electric Rev Req Model (2009 GRC) Revised 01-18-2010 2 3" xfId="8679"/>
    <cellStyle name="_Costs not in KWI3000 '06Budget_Power Costs - Comparison bx Rbtl-Staff-Jt-PC_Electric Rev Req Model (2009 GRC) Revised 01-18-2010 3" xfId="8680"/>
    <cellStyle name="_Costs not in KWI3000 '06Budget_Power Costs - Comparison bx Rbtl-Staff-Jt-PC_Electric Rev Req Model (2009 GRC) Revised 01-18-2010 3 2" xfId="8681"/>
    <cellStyle name="_Costs not in KWI3000 '06Budget_Power Costs - Comparison bx Rbtl-Staff-Jt-PC_Electric Rev Req Model (2009 GRC) Revised 01-18-2010 4" xfId="8682"/>
    <cellStyle name="_Costs not in KWI3000 '06Budget_Power Costs - Comparison bx Rbtl-Staff-Jt-PC_Electric Rev Req Model (2009 GRC) Revised 01-18-2010_DEM-WP(C) ENERG10C--ctn Mid-C_042010 2010GRC" xfId="8683"/>
    <cellStyle name="_Costs not in KWI3000 '06Budget_Power Costs - Comparison bx Rbtl-Staff-Jt-PC_Final Order Electric EXHIBIT A-1" xfId="402"/>
    <cellStyle name="_Costs not in KWI3000 '06Budget_Power Costs - Comparison bx Rbtl-Staff-Jt-PC_Final Order Electric EXHIBIT A-1 2" xfId="8684"/>
    <cellStyle name="_Costs not in KWI3000 '06Budget_Power Costs - Comparison bx Rbtl-Staff-Jt-PC_Final Order Electric EXHIBIT A-1 2 2" xfId="8685"/>
    <cellStyle name="_Costs not in KWI3000 '06Budget_Power Costs - Comparison bx Rbtl-Staff-Jt-PC_Final Order Electric EXHIBIT A-1 2 2 2" xfId="8686"/>
    <cellStyle name="_Costs not in KWI3000 '06Budget_Power Costs - Comparison bx Rbtl-Staff-Jt-PC_Final Order Electric EXHIBIT A-1 2 3" xfId="8687"/>
    <cellStyle name="_Costs not in KWI3000 '06Budget_Power Costs - Comparison bx Rbtl-Staff-Jt-PC_Final Order Electric EXHIBIT A-1 3" xfId="8688"/>
    <cellStyle name="_Costs not in KWI3000 '06Budget_Power Costs - Comparison bx Rbtl-Staff-Jt-PC_Final Order Electric EXHIBIT A-1 3 2" xfId="8689"/>
    <cellStyle name="_Costs not in KWI3000 '06Budget_Power Costs - Comparison bx Rbtl-Staff-Jt-PC_Final Order Electric EXHIBIT A-1 4" xfId="8690"/>
    <cellStyle name="_Costs not in KWI3000 '06Budget_Production Adj 4.37" xfId="8691"/>
    <cellStyle name="_Costs not in KWI3000 '06Budget_Production Adj 4.37 2" xfId="8692"/>
    <cellStyle name="_Costs not in KWI3000 '06Budget_Production Adj 4.37 2 2" xfId="8693"/>
    <cellStyle name="_Costs not in KWI3000 '06Budget_Production Adj 4.37 2 2 2" xfId="8694"/>
    <cellStyle name="_Costs not in KWI3000 '06Budget_Production Adj 4.37 2 3" xfId="8695"/>
    <cellStyle name="_Costs not in KWI3000 '06Budget_Production Adj 4.37 3" xfId="8696"/>
    <cellStyle name="_Costs not in KWI3000 '06Budget_Production Adj 4.37 3 2" xfId="8697"/>
    <cellStyle name="_Costs not in KWI3000 '06Budget_Production Adj 4.37 4" xfId="8698"/>
    <cellStyle name="_Costs not in KWI3000 '06Budget_Purchased Power Adj 4.03" xfId="8699"/>
    <cellStyle name="_Costs not in KWI3000 '06Budget_Purchased Power Adj 4.03 2" xfId="8700"/>
    <cellStyle name="_Costs not in KWI3000 '06Budget_Purchased Power Adj 4.03 2 2" xfId="8701"/>
    <cellStyle name="_Costs not in KWI3000 '06Budget_Purchased Power Adj 4.03 2 2 2" xfId="8702"/>
    <cellStyle name="_Costs not in KWI3000 '06Budget_Purchased Power Adj 4.03 2 3" xfId="8703"/>
    <cellStyle name="_Costs not in KWI3000 '06Budget_Purchased Power Adj 4.03 3" xfId="8704"/>
    <cellStyle name="_Costs not in KWI3000 '06Budget_Purchased Power Adj 4.03 3 2" xfId="8705"/>
    <cellStyle name="_Costs not in KWI3000 '06Budget_Purchased Power Adj 4.03 4" xfId="8706"/>
    <cellStyle name="_Costs not in KWI3000 '06Budget_Rebuttal Power Costs" xfId="403"/>
    <cellStyle name="_Costs not in KWI3000 '06Budget_Rebuttal Power Costs 2" xfId="8707"/>
    <cellStyle name="_Costs not in KWI3000 '06Budget_Rebuttal Power Costs 2 2" xfId="8708"/>
    <cellStyle name="_Costs not in KWI3000 '06Budget_Rebuttal Power Costs 2 2 2" xfId="8709"/>
    <cellStyle name="_Costs not in KWI3000 '06Budget_Rebuttal Power Costs 2 3" xfId="8710"/>
    <cellStyle name="_Costs not in KWI3000 '06Budget_Rebuttal Power Costs 3" xfId="8711"/>
    <cellStyle name="_Costs not in KWI3000 '06Budget_Rebuttal Power Costs 3 2" xfId="8712"/>
    <cellStyle name="_Costs not in KWI3000 '06Budget_Rebuttal Power Costs 4" xfId="8713"/>
    <cellStyle name="_Costs not in KWI3000 '06Budget_Rebuttal Power Costs_Adj Bench DR 3 for Initial Briefs (Electric)" xfId="404"/>
    <cellStyle name="_Costs not in KWI3000 '06Budget_Rebuttal Power Costs_Adj Bench DR 3 for Initial Briefs (Electric) 2" xfId="8714"/>
    <cellStyle name="_Costs not in KWI3000 '06Budget_Rebuttal Power Costs_Adj Bench DR 3 for Initial Briefs (Electric) 2 2" xfId="8715"/>
    <cellStyle name="_Costs not in KWI3000 '06Budget_Rebuttal Power Costs_Adj Bench DR 3 for Initial Briefs (Electric) 2 2 2" xfId="8716"/>
    <cellStyle name="_Costs not in KWI3000 '06Budget_Rebuttal Power Costs_Adj Bench DR 3 for Initial Briefs (Electric) 2 3" xfId="8717"/>
    <cellStyle name="_Costs not in KWI3000 '06Budget_Rebuttal Power Costs_Adj Bench DR 3 for Initial Briefs (Electric) 3" xfId="8718"/>
    <cellStyle name="_Costs not in KWI3000 '06Budget_Rebuttal Power Costs_Adj Bench DR 3 for Initial Briefs (Electric) 3 2" xfId="8719"/>
    <cellStyle name="_Costs not in KWI3000 '06Budget_Rebuttal Power Costs_Adj Bench DR 3 for Initial Briefs (Electric) 4" xfId="8720"/>
    <cellStyle name="_Costs not in KWI3000 '06Budget_Rebuttal Power Costs_Adj Bench DR 3 for Initial Briefs (Electric)_DEM-WP(C) ENERG10C--ctn Mid-C_042010 2010GRC" xfId="8721"/>
    <cellStyle name="_Costs not in KWI3000 '06Budget_Rebuttal Power Costs_DEM-WP(C) ENERG10C--ctn Mid-C_042010 2010GRC" xfId="8722"/>
    <cellStyle name="_Costs not in KWI3000 '06Budget_Rebuttal Power Costs_Electric Rev Req Model (2009 GRC) Rebuttal" xfId="405"/>
    <cellStyle name="_Costs not in KWI3000 '06Budget_Rebuttal Power Costs_Electric Rev Req Model (2009 GRC) Rebuttal 2" xfId="8723"/>
    <cellStyle name="_Costs not in KWI3000 '06Budget_Rebuttal Power Costs_Electric Rev Req Model (2009 GRC) Rebuttal 2 2" xfId="8724"/>
    <cellStyle name="_Costs not in KWI3000 '06Budget_Rebuttal Power Costs_Electric Rev Req Model (2009 GRC) Rebuttal 2 2 2" xfId="8725"/>
    <cellStyle name="_Costs not in KWI3000 '06Budget_Rebuttal Power Costs_Electric Rev Req Model (2009 GRC) Rebuttal 2 3" xfId="8726"/>
    <cellStyle name="_Costs not in KWI3000 '06Budget_Rebuttal Power Costs_Electric Rev Req Model (2009 GRC) Rebuttal 3" xfId="8727"/>
    <cellStyle name="_Costs not in KWI3000 '06Budget_Rebuttal Power Costs_Electric Rev Req Model (2009 GRC) Rebuttal 3 2" xfId="8728"/>
    <cellStyle name="_Costs not in KWI3000 '06Budget_Rebuttal Power Costs_Electric Rev Req Model (2009 GRC) Rebuttal 4" xfId="8729"/>
    <cellStyle name="_Costs not in KWI3000 '06Budget_Rebuttal Power Costs_Electric Rev Req Model (2009 GRC) Rebuttal REmoval of New  WH Solar AdjustMI" xfId="406"/>
    <cellStyle name="_Costs not in KWI3000 '06Budget_Rebuttal Power Costs_Electric Rev Req Model (2009 GRC) Rebuttal REmoval of New  WH Solar AdjustMI 2" xfId="8730"/>
    <cellStyle name="_Costs not in KWI3000 '06Budget_Rebuttal Power Costs_Electric Rev Req Model (2009 GRC) Rebuttal REmoval of New  WH Solar AdjustMI 2 2" xfId="8731"/>
    <cellStyle name="_Costs not in KWI3000 '06Budget_Rebuttal Power Costs_Electric Rev Req Model (2009 GRC) Rebuttal REmoval of New  WH Solar AdjustMI 2 2 2" xfId="8732"/>
    <cellStyle name="_Costs not in KWI3000 '06Budget_Rebuttal Power Costs_Electric Rev Req Model (2009 GRC) Rebuttal REmoval of New  WH Solar AdjustMI 2 3" xfId="8733"/>
    <cellStyle name="_Costs not in KWI3000 '06Budget_Rebuttal Power Costs_Electric Rev Req Model (2009 GRC) Rebuttal REmoval of New  WH Solar AdjustMI 3" xfId="8734"/>
    <cellStyle name="_Costs not in KWI3000 '06Budget_Rebuttal Power Costs_Electric Rev Req Model (2009 GRC) Rebuttal REmoval of New  WH Solar AdjustMI 3 2" xfId="8735"/>
    <cellStyle name="_Costs not in KWI3000 '06Budget_Rebuttal Power Costs_Electric Rev Req Model (2009 GRC) Rebuttal REmoval of New  WH Solar AdjustMI 4" xfId="8736"/>
    <cellStyle name="_Costs not in KWI3000 '06Budget_Rebuttal Power Costs_Electric Rev Req Model (2009 GRC) Rebuttal REmoval of New  WH Solar AdjustMI_DEM-WP(C) ENERG10C--ctn Mid-C_042010 2010GRC" xfId="8737"/>
    <cellStyle name="_Costs not in KWI3000 '06Budget_Rebuttal Power Costs_Electric Rev Req Model (2009 GRC) Revised 01-18-2010" xfId="407"/>
    <cellStyle name="_Costs not in KWI3000 '06Budget_Rebuttal Power Costs_Electric Rev Req Model (2009 GRC) Revised 01-18-2010 2" xfId="8738"/>
    <cellStyle name="_Costs not in KWI3000 '06Budget_Rebuttal Power Costs_Electric Rev Req Model (2009 GRC) Revised 01-18-2010 2 2" xfId="8739"/>
    <cellStyle name="_Costs not in KWI3000 '06Budget_Rebuttal Power Costs_Electric Rev Req Model (2009 GRC) Revised 01-18-2010 2 2 2" xfId="8740"/>
    <cellStyle name="_Costs not in KWI3000 '06Budget_Rebuttal Power Costs_Electric Rev Req Model (2009 GRC) Revised 01-18-2010 2 3" xfId="8741"/>
    <cellStyle name="_Costs not in KWI3000 '06Budget_Rebuttal Power Costs_Electric Rev Req Model (2009 GRC) Revised 01-18-2010 3" xfId="8742"/>
    <cellStyle name="_Costs not in KWI3000 '06Budget_Rebuttal Power Costs_Electric Rev Req Model (2009 GRC) Revised 01-18-2010 3 2" xfId="8743"/>
    <cellStyle name="_Costs not in KWI3000 '06Budget_Rebuttal Power Costs_Electric Rev Req Model (2009 GRC) Revised 01-18-2010 4" xfId="8744"/>
    <cellStyle name="_Costs not in KWI3000 '06Budget_Rebuttal Power Costs_Electric Rev Req Model (2009 GRC) Revised 01-18-2010_DEM-WP(C) ENERG10C--ctn Mid-C_042010 2010GRC" xfId="8745"/>
    <cellStyle name="_Costs not in KWI3000 '06Budget_Rebuttal Power Costs_Final Order Electric EXHIBIT A-1" xfId="408"/>
    <cellStyle name="_Costs not in KWI3000 '06Budget_Rebuttal Power Costs_Final Order Electric EXHIBIT A-1 2" xfId="8746"/>
    <cellStyle name="_Costs not in KWI3000 '06Budget_Rebuttal Power Costs_Final Order Electric EXHIBIT A-1 2 2" xfId="8747"/>
    <cellStyle name="_Costs not in KWI3000 '06Budget_Rebuttal Power Costs_Final Order Electric EXHIBIT A-1 2 2 2" xfId="8748"/>
    <cellStyle name="_Costs not in KWI3000 '06Budget_Rebuttal Power Costs_Final Order Electric EXHIBIT A-1 2 3" xfId="8749"/>
    <cellStyle name="_Costs not in KWI3000 '06Budget_Rebuttal Power Costs_Final Order Electric EXHIBIT A-1 3" xfId="8750"/>
    <cellStyle name="_Costs not in KWI3000 '06Budget_Rebuttal Power Costs_Final Order Electric EXHIBIT A-1 3 2" xfId="8751"/>
    <cellStyle name="_Costs not in KWI3000 '06Budget_Rebuttal Power Costs_Final Order Electric EXHIBIT A-1 4" xfId="8752"/>
    <cellStyle name="_Costs not in KWI3000 '06Budget_ROR &amp; CONV FACTOR" xfId="8753"/>
    <cellStyle name="_Costs not in KWI3000 '06Budget_ROR &amp; CONV FACTOR 2" xfId="8754"/>
    <cellStyle name="_Costs not in KWI3000 '06Budget_ROR &amp; CONV FACTOR 2 2" xfId="8755"/>
    <cellStyle name="_Costs not in KWI3000 '06Budget_ROR &amp; CONV FACTOR 2 2 2" xfId="8756"/>
    <cellStyle name="_Costs not in KWI3000 '06Budget_ROR &amp; CONV FACTOR 2 3" xfId="8757"/>
    <cellStyle name="_Costs not in KWI3000 '06Budget_ROR &amp; CONV FACTOR 3" xfId="8758"/>
    <cellStyle name="_Costs not in KWI3000 '06Budget_ROR &amp; CONV FACTOR 3 2" xfId="8759"/>
    <cellStyle name="_Costs not in KWI3000 '06Budget_ROR &amp; CONV FACTOR 4" xfId="8760"/>
    <cellStyle name="_Costs not in KWI3000 '06Budget_ROR 5.02" xfId="8761"/>
    <cellStyle name="_Costs not in KWI3000 '06Budget_ROR 5.02 2" xfId="8762"/>
    <cellStyle name="_Costs not in KWI3000 '06Budget_ROR 5.02 2 2" xfId="8763"/>
    <cellStyle name="_Costs not in KWI3000 '06Budget_ROR 5.02 2 2 2" xfId="8764"/>
    <cellStyle name="_Costs not in KWI3000 '06Budget_ROR 5.02 2 3" xfId="8765"/>
    <cellStyle name="_Costs not in KWI3000 '06Budget_ROR 5.02 3" xfId="8766"/>
    <cellStyle name="_Costs not in KWI3000 '06Budget_ROR 5.02 3 2" xfId="8767"/>
    <cellStyle name="_Costs not in KWI3000 '06Budget_ROR 5.02 4" xfId="8768"/>
    <cellStyle name="_Costs not in KWI3000 '06Budget_Transmission Workbook for May BOD" xfId="8769"/>
    <cellStyle name="_Costs not in KWI3000 '06Budget_Transmission Workbook for May BOD 2" xfId="8770"/>
    <cellStyle name="_Costs not in KWI3000 '06Budget_Transmission Workbook for May BOD 2 2" xfId="8771"/>
    <cellStyle name="_Costs not in KWI3000 '06Budget_Transmission Workbook for May BOD 3" xfId="8772"/>
    <cellStyle name="_Costs not in KWI3000 '06Budget_Transmission Workbook for May BOD_DEM-WP(C) ENERG10C--ctn Mid-C_042010 2010GRC" xfId="8773"/>
    <cellStyle name="_Costs not in KWI3000 '06Budget_Wind Integration 10GRC" xfId="8774"/>
    <cellStyle name="_Costs not in KWI3000 '06Budget_Wind Integration 10GRC 2" xfId="8775"/>
    <cellStyle name="_Costs not in KWI3000 '06Budget_Wind Integration 10GRC 2 2" xfId="8776"/>
    <cellStyle name="_Costs not in KWI3000 '06Budget_Wind Integration 10GRC 3" xfId="8777"/>
    <cellStyle name="_Costs not in KWI3000 '06Budget_Wind Integration 10GRC_DEM-WP(C) ENERG10C--ctn Mid-C_042010 2010GRC" xfId="8778"/>
    <cellStyle name="_DEM-08C Power Cost Comparison" xfId="409"/>
    <cellStyle name="_DEM-08C Power Cost Comparison 2" xfId="8779"/>
    <cellStyle name="_DEM-WP (C) Costs not in AURORA 2006GRC Order 11.30.06 Gas" xfId="8780"/>
    <cellStyle name="_DEM-WP (C) Costs not in AURORA 2006GRC Order 11.30.06 Gas 2" xfId="8781"/>
    <cellStyle name="_DEM-WP (C) Costs not in AURORA 2006GRC Order 11.30.06 Gas 2 2" xfId="8782"/>
    <cellStyle name="_DEM-WP (C) Costs not in AURORA 2006GRC Order 11.30.06 Gas 3" xfId="8783"/>
    <cellStyle name="_DEM-WP (C) Costs not in AURORA 2006GRC Order 11.30.06 Gas_Chelan PUD Power Costs (8-10)" xfId="8784"/>
    <cellStyle name="_DEM-WP (C) Costs not in AURORA 2006GRC Order 11.30.06 Gas_Chelan PUD Power Costs (8-10) 2" xfId="8785"/>
    <cellStyle name="_DEM-WP (C) Costs not in AURORA 2006GRC Order 11.30.06 Gas_DEM-WP(C) ENERG10C--ctn Mid-C_042010 2010GRC" xfId="8786"/>
    <cellStyle name="_DEM-WP (C) Costs not in AURORA 2006GRC Order 11.30.06 Gas_NIM Summary" xfId="8787"/>
    <cellStyle name="_DEM-WP (C) Costs not in AURORA 2006GRC Order 11.30.06 Gas_NIM Summary 2" xfId="8788"/>
    <cellStyle name="_DEM-WP (C) Costs not in AURORA 2006GRC Order 11.30.06 Gas_NIM Summary 2 2" xfId="8789"/>
    <cellStyle name="_DEM-WP (C) Costs not in AURORA 2006GRC Order 11.30.06 Gas_NIM Summary 3" xfId="8790"/>
    <cellStyle name="_DEM-WP (C) Costs not in AURORA 2006GRC Order 11.30.06 Gas_NIM Summary_DEM-WP(C) ENERG10C--ctn Mid-C_042010 2010GRC" xfId="8791"/>
    <cellStyle name="_DEM-WP (C) Power Cost 2006GRC Order" xfId="410"/>
    <cellStyle name="_DEM-WP (C) Power Cost 2006GRC Order 10" xfId="8792"/>
    <cellStyle name="_DEM-WP (C) Power Cost 2006GRC Order 10 2" xfId="8793"/>
    <cellStyle name="_DEM-WP (C) Power Cost 2006GRC Order 2" xfId="411"/>
    <cellStyle name="_DEM-WP (C) Power Cost 2006GRC Order 2 2" xfId="8794"/>
    <cellStyle name="_DEM-WP (C) Power Cost 2006GRC Order 2 2 2" xfId="8795"/>
    <cellStyle name="_DEM-WP (C) Power Cost 2006GRC Order 2 2 2 2" xfId="8796"/>
    <cellStyle name="_DEM-WP (C) Power Cost 2006GRC Order 2 2 3" xfId="8797"/>
    <cellStyle name="_DEM-WP (C) Power Cost 2006GRC Order 2 3" xfId="8798"/>
    <cellStyle name="_DEM-WP (C) Power Cost 2006GRC Order 2 3 2" xfId="8799"/>
    <cellStyle name="_DEM-WP (C) Power Cost 2006GRC Order 2 4" xfId="8800"/>
    <cellStyle name="_DEM-WP (C) Power Cost 2006GRC Order 3" xfId="8801"/>
    <cellStyle name="_DEM-WP (C) Power Cost 2006GRC Order 3 2" xfId="8802"/>
    <cellStyle name="_DEM-WP (C) Power Cost 2006GRC Order 3 2 2" xfId="8803"/>
    <cellStyle name="_DEM-WP (C) Power Cost 2006GRC Order 3 3" xfId="8804"/>
    <cellStyle name="_DEM-WP (C) Power Cost 2006GRC Order 4" xfId="8805"/>
    <cellStyle name="_DEM-WP (C) Power Cost 2006GRC Order 4 2" xfId="8806"/>
    <cellStyle name="_DEM-WP (C) Power Cost 2006GRC Order 4 2 2" xfId="8807"/>
    <cellStyle name="_DEM-WP (C) Power Cost 2006GRC Order 4 3" xfId="8808"/>
    <cellStyle name="_DEM-WP (C) Power Cost 2006GRC Order 5" xfId="8809"/>
    <cellStyle name="_DEM-WP (C) Power Cost 2006GRC Order 5 2" xfId="8810"/>
    <cellStyle name="_DEM-WP (C) Power Cost 2006GRC Order 5 2 2" xfId="8811"/>
    <cellStyle name="_DEM-WP (C) Power Cost 2006GRC Order 5 2 3" xfId="8812"/>
    <cellStyle name="_DEM-WP (C) Power Cost 2006GRC Order 5 3" xfId="8813"/>
    <cellStyle name="_DEM-WP (C) Power Cost 2006GRC Order 5 3 2" xfId="8814"/>
    <cellStyle name="_DEM-WP (C) Power Cost 2006GRC Order 5 4" xfId="8815"/>
    <cellStyle name="_DEM-WP (C) Power Cost 2006GRC Order 6" xfId="8816"/>
    <cellStyle name="_DEM-WP (C) Power Cost 2006GRC Order 6 2" xfId="8817"/>
    <cellStyle name="_DEM-WP (C) Power Cost 2006GRC Order 6 2 2" xfId="8818"/>
    <cellStyle name="_DEM-WP (C) Power Cost 2006GRC Order 6 3" xfId="8819"/>
    <cellStyle name="_DEM-WP (C) Power Cost 2006GRC Order 7" xfId="8820"/>
    <cellStyle name="_DEM-WP (C) Power Cost 2006GRC Order 7 2" xfId="8821"/>
    <cellStyle name="_DEM-WP (C) Power Cost 2006GRC Order 8" xfId="8822"/>
    <cellStyle name="_DEM-WP (C) Power Cost 2006GRC Order 8 2" xfId="8823"/>
    <cellStyle name="_DEM-WP (C) Power Cost 2006GRC Order 9" xfId="8824"/>
    <cellStyle name="_DEM-WP (C) Power Cost 2006GRC Order 9 2" xfId="8825"/>
    <cellStyle name="_DEM-WP (C) Power Cost 2006GRC Order_04 07E Wild Horse Wind Expansion (C) (2)" xfId="412"/>
    <cellStyle name="_DEM-WP (C) Power Cost 2006GRC Order_04 07E Wild Horse Wind Expansion (C) (2) 2" xfId="8826"/>
    <cellStyle name="_DEM-WP (C) Power Cost 2006GRC Order_04 07E Wild Horse Wind Expansion (C) (2) 2 2" xfId="8827"/>
    <cellStyle name="_DEM-WP (C) Power Cost 2006GRC Order_04 07E Wild Horse Wind Expansion (C) (2) 2 2 2" xfId="8828"/>
    <cellStyle name="_DEM-WP (C) Power Cost 2006GRC Order_04 07E Wild Horse Wind Expansion (C) (2) 2 3" xfId="8829"/>
    <cellStyle name="_DEM-WP (C) Power Cost 2006GRC Order_04 07E Wild Horse Wind Expansion (C) (2) 3" xfId="8830"/>
    <cellStyle name="_DEM-WP (C) Power Cost 2006GRC Order_04 07E Wild Horse Wind Expansion (C) (2) 3 2" xfId="8831"/>
    <cellStyle name="_DEM-WP (C) Power Cost 2006GRC Order_04 07E Wild Horse Wind Expansion (C) (2) 4" xfId="8832"/>
    <cellStyle name="_DEM-WP (C) Power Cost 2006GRC Order_04 07E Wild Horse Wind Expansion (C) (2)_Adj Bench DR 3 for Initial Briefs (Electric)" xfId="413"/>
    <cellStyle name="_DEM-WP (C) Power Cost 2006GRC Order_04 07E Wild Horse Wind Expansion (C) (2)_Adj Bench DR 3 for Initial Briefs (Electric) 2" xfId="8833"/>
    <cellStyle name="_DEM-WP (C) Power Cost 2006GRC Order_04 07E Wild Horse Wind Expansion (C) (2)_Adj Bench DR 3 for Initial Briefs (Electric) 2 2" xfId="8834"/>
    <cellStyle name="_DEM-WP (C) Power Cost 2006GRC Order_04 07E Wild Horse Wind Expansion (C) (2)_Adj Bench DR 3 for Initial Briefs (Electric) 2 2 2" xfId="8835"/>
    <cellStyle name="_DEM-WP (C) Power Cost 2006GRC Order_04 07E Wild Horse Wind Expansion (C) (2)_Adj Bench DR 3 for Initial Briefs (Electric) 2 3" xfId="8836"/>
    <cellStyle name="_DEM-WP (C) Power Cost 2006GRC Order_04 07E Wild Horse Wind Expansion (C) (2)_Adj Bench DR 3 for Initial Briefs (Electric) 3" xfId="8837"/>
    <cellStyle name="_DEM-WP (C) Power Cost 2006GRC Order_04 07E Wild Horse Wind Expansion (C) (2)_Adj Bench DR 3 for Initial Briefs (Electric) 3 2" xfId="8838"/>
    <cellStyle name="_DEM-WP (C) Power Cost 2006GRC Order_04 07E Wild Horse Wind Expansion (C) (2)_Adj Bench DR 3 for Initial Briefs (Electric) 4" xfId="8839"/>
    <cellStyle name="_DEM-WP (C) Power Cost 2006GRC Order_04 07E Wild Horse Wind Expansion (C) (2)_Adj Bench DR 3 for Initial Briefs (Electric)_DEM-WP(C) ENERG10C--ctn Mid-C_042010 2010GRC" xfId="8840"/>
    <cellStyle name="_DEM-WP (C) Power Cost 2006GRC Order_04 07E Wild Horse Wind Expansion (C) (2)_Book1" xfId="8841"/>
    <cellStyle name="_DEM-WP (C) Power Cost 2006GRC Order_04 07E Wild Horse Wind Expansion (C) (2)_DEM-WP(C) ENERG10C--ctn Mid-C_042010 2010GRC" xfId="8842"/>
    <cellStyle name="_DEM-WP (C) Power Cost 2006GRC Order_04 07E Wild Horse Wind Expansion (C) (2)_Electric Rev Req Model (2009 GRC) " xfId="414"/>
    <cellStyle name="_DEM-WP (C) Power Cost 2006GRC Order_04 07E Wild Horse Wind Expansion (C) (2)_Electric Rev Req Model (2009 GRC)  2" xfId="8843"/>
    <cellStyle name="_DEM-WP (C) Power Cost 2006GRC Order_04 07E Wild Horse Wind Expansion (C) (2)_Electric Rev Req Model (2009 GRC)  2 2" xfId="8844"/>
    <cellStyle name="_DEM-WP (C) Power Cost 2006GRC Order_04 07E Wild Horse Wind Expansion (C) (2)_Electric Rev Req Model (2009 GRC)  2 2 2" xfId="8845"/>
    <cellStyle name="_DEM-WP (C) Power Cost 2006GRC Order_04 07E Wild Horse Wind Expansion (C) (2)_Electric Rev Req Model (2009 GRC)  2 3" xfId="8846"/>
    <cellStyle name="_DEM-WP (C) Power Cost 2006GRC Order_04 07E Wild Horse Wind Expansion (C) (2)_Electric Rev Req Model (2009 GRC)  3" xfId="8847"/>
    <cellStyle name="_DEM-WP (C) Power Cost 2006GRC Order_04 07E Wild Horse Wind Expansion (C) (2)_Electric Rev Req Model (2009 GRC)  3 2" xfId="8848"/>
    <cellStyle name="_DEM-WP (C) Power Cost 2006GRC Order_04 07E Wild Horse Wind Expansion (C) (2)_Electric Rev Req Model (2009 GRC)  4" xfId="8849"/>
    <cellStyle name="_DEM-WP (C) Power Cost 2006GRC Order_04 07E Wild Horse Wind Expansion (C) (2)_Electric Rev Req Model (2009 GRC) _DEM-WP(C) ENERG10C--ctn Mid-C_042010 2010GRC" xfId="8850"/>
    <cellStyle name="_DEM-WP (C) Power Cost 2006GRC Order_04 07E Wild Horse Wind Expansion (C) (2)_Electric Rev Req Model (2009 GRC) Rebuttal" xfId="415"/>
    <cellStyle name="_DEM-WP (C) Power Cost 2006GRC Order_04 07E Wild Horse Wind Expansion (C) (2)_Electric Rev Req Model (2009 GRC) Rebuttal 2" xfId="8851"/>
    <cellStyle name="_DEM-WP (C) Power Cost 2006GRC Order_04 07E Wild Horse Wind Expansion (C) (2)_Electric Rev Req Model (2009 GRC) Rebuttal 2 2" xfId="8852"/>
    <cellStyle name="_DEM-WP (C) Power Cost 2006GRC Order_04 07E Wild Horse Wind Expansion (C) (2)_Electric Rev Req Model (2009 GRC) Rebuttal 2 2 2" xfId="8853"/>
    <cellStyle name="_DEM-WP (C) Power Cost 2006GRC Order_04 07E Wild Horse Wind Expansion (C) (2)_Electric Rev Req Model (2009 GRC) Rebuttal 2 3" xfId="8854"/>
    <cellStyle name="_DEM-WP (C) Power Cost 2006GRC Order_04 07E Wild Horse Wind Expansion (C) (2)_Electric Rev Req Model (2009 GRC) Rebuttal 3" xfId="8855"/>
    <cellStyle name="_DEM-WP (C) Power Cost 2006GRC Order_04 07E Wild Horse Wind Expansion (C) (2)_Electric Rev Req Model (2009 GRC) Rebuttal 3 2" xfId="8856"/>
    <cellStyle name="_DEM-WP (C) Power Cost 2006GRC Order_04 07E Wild Horse Wind Expansion (C) (2)_Electric Rev Req Model (2009 GRC) Rebuttal 4" xfId="8857"/>
    <cellStyle name="_DEM-WP (C) Power Cost 2006GRC Order_04 07E Wild Horse Wind Expansion (C) (2)_Electric Rev Req Model (2009 GRC) Rebuttal REmoval of New  WH Solar AdjustMI" xfId="416"/>
    <cellStyle name="_DEM-WP (C) Power Cost 2006GRC Order_04 07E Wild Horse Wind Expansion (C) (2)_Electric Rev Req Model (2009 GRC) Rebuttal REmoval of New  WH Solar AdjustMI 2" xfId="8858"/>
    <cellStyle name="_DEM-WP (C) Power Cost 2006GRC Order_04 07E Wild Horse Wind Expansion (C) (2)_Electric Rev Req Model (2009 GRC) Rebuttal REmoval of New  WH Solar AdjustMI 2 2" xfId="8859"/>
    <cellStyle name="_DEM-WP (C) Power Cost 2006GRC Order_04 07E Wild Horse Wind Expansion (C) (2)_Electric Rev Req Model (2009 GRC) Rebuttal REmoval of New  WH Solar AdjustMI 2 2 2" xfId="8860"/>
    <cellStyle name="_DEM-WP (C) Power Cost 2006GRC Order_04 07E Wild Horse Wind Expansion (C) (2)_Electric Rev Req Model (2009 GRC) Rebuttal REmoval of New  WH Solar AdjustMI 2 3" xfId="8861"/>
    <cellStyle name="_DEM-WP (C) Power Cost 2006GRC Order_04 07E Wild Horse Wind Expansion (C) (2)_Electric Rev Req Model (2009 GRC) Rebuttal REmoval of New  WH Solar AdjustMI 3" xfId="8862"/>
    <cellStyle name="_DEM-WP (C) Power Cost 2006GRC Order_04 07E Wild Horse Wind Expansion (C) (2)_Electric Rev Req Model (2009 GRC) Rebuttal REmoval of New  WH Solar AdjustMI 3 2" xfId="8863"/>
    <cellStyle name="_DEM-WP (C) Power Cost 2006GRC Order_04 07E Wild Horse Wind Expansion (C) (2)_Electric Rev Req Model (2009 GRC) Rebuttal REmoval of New  WH Solar AdjustMI 4" xfId="8864"/>
    <cellStyle name="_DEM-WP (C) Power Cost 2006GRC Order_04 07E Wild Horse Wind Expansion (C) (2)_Electric Rev Req Model (2009 GRC) Rebuttal REmoval of New  WH Solar AdjustMI_DEM-WP(C) ENERG10C--ctn Mid-C_042010 2010GRC" xfId="8865"/>
    <cellStyle name="_DEM-WP (C) Power Cost 2006GRC Order_04 07E Wild Horse Wind Expansion (C) (2)_Electric Rev Req Model (2009 GRC) Revised 01-18-2010" xfId="417"/>
    <cellStyle name="_DEM-WP (C) Power Cost 2006GRC Order_04 07E Wild Horse Wind Expansion (C) (2)_Electric Rev Req Model (2009 GRC) Revised 01-18-2010 2" xfId="8866"/>
    <cellStyle name="_DEM-WP (C) Power Cost 2006GRC Order_04 07E Wild Horse Wind Expansion (C) (2)_Electric Rev Req Model (2009 GRC) Revised 01-18-2010 2 2" xfId="8867"/>
    <cellStyle name="_DEM-WP (C) Power Cost 2006GRC Order_04 07E Wild Horse Wind Expansion (C) (2)_Electric Rev Req Model (2009 GRC) Revised 01-18-2010 2 2 2" xfId="8868"/>
    <cellStyle name="_DEM-WP (C) Power Cost 2006GRC Order_04 07E Wild Horse Wind Expansion (C) (2)_Electric Rev Req Model (2009 GRC) Revised 01-18-2010 2 3" xfId="8869"/>
    <cellStyle name="_DEM-WP (C) Power Cost 2006GRC Order_04 07E Wild Horse Wind Expansion (C) (2)_Electric Rev Req Model (2009 GRC) Revised 01-18-2010 3" xfId="8870"/>
    <cellStyle name="_DEM-WP (C) Power Cost 2006GRC Order_04 07E Wild Horse Wind Expansion (C) (2)_Electric Rev Req Model (2009 GRC) Revised 01-18-2010 3 2" xfId="8871"/>
    <cellStyle name="_DEM-WP (C) Power Cost 2006GRC Order_04 07E Wild Horse Wind Expansion (C) (2)_Electric Rev Req Model (2009 GRC) Revised 01-18-2010 4" xfId="8872"/>
    <cellStyle name="_DEM-WP (C) Power Cost 2006GRC Order_04 07E Wild Horse Wind Expansion (C) (2)_Electric Rev Req Model (2009 GRC) Revised 01-18-2010_DEM-WP(C) ENERG10C--ctn Mid-C_042010 2010GRC" xfId="8873"/>
    <cellStyle name="_DEM-WP (C) Power Cost 2006GRC Order_04 07E Wild Horse Wind Expansion (C) (2)_Electric Rev Req Model (2010 GRC)" xfId="8874"/>
    <cellStyle name="_DEM-WP (C) Power Cost 2006GRC Order_04 07E Wild Horse Wind Expansion (C) (2)_Electric Rev Req Model (2010 GRC) SF" xfId="8875"/>
    <cellStyle name="_DEM-WP (C) Power Cost 2006GRC Order_04 07E Wild Horse Wind Expansion (C) (2)_Final Order Electric EXHIBIT A-1" xfId="418"/>
    <cellStyle name="_DEM-WP (C) Power Cost 2006GRC Order_04 07E Wild Horse Wind Expansion (C) (2)_Final Order Electric EXHIBIT A-1 2" xfId="8876"/>
    <cellStyle name="_DEM-WP (C) Power Cost 2006GRC Order_04 07E Wild Horse Wind Expansion (C) (2)_Final Order Electric EXHIBIT A-1 2 2" xfId="8877"/>
    <cellStyle name="_DEM-WP (C) Power Cost 2006GRC Order_04 07E Wild Horse Wind Expansion (C) (2)_Final Order Electric EXHIBIT A-1 2 2 2" xfId="8878"/>
    <cellStyle name="_DEM-WP (C) Power Cost 2006GRC Order_04 07E Wild Horse Wind Expansion (C) (2)_Final Order Electric EXHIBIT A-1 2 3" xfId="8879"/>
    <cellStyle name="_DEM-WP (C) Power Cost 2006GRC Order_04 07E Wild Horse Wind Expansion (C) (2)_Final Order Electric EXHIBIT A-1 3" xfId="8880"/>
    <cellStyle name="_DEM-WP (C) Power Cost 2006GRC Order_04 07E Wild Horse Wind Expansion (C) (2)_Final Order Electric EXHIBIT A-1 3 2" xfId="8881"/>
    <cellStyle name="_DEM-WP (C) Power Cost 2006GRC Order_04 07E Wild Horse Wind Expansion (C) (2)_Final Order Electric EXHIBIT A-1 4" xfId="8882"/>
    <cellStyle name="_DEM-WP (C) Power Cost 2006GRC Order_04 07E Wild Horse Wind Expansion (C) (2)_TENASKA REGULATORY ASSET" xfId="419"/>
    <cellStyle name="_DEM-WP (C) Power Cost 2006GRC Order_04 07E Wild Horse Wind Expansion (C) (2)_TENASKA REGULATORY ASSET 2" xfId="8883"/>
    <cellStyle name="_DEM-WP (C) Power Cost 2006GRC Order_04 07E Wild Horse Wind Expansion (C) (2)_TENASKA REGULATORY ASSET 2 2" xfId="8884"/>
    <cellStyle name="_DEM-WP (C) Power Cost 2006GRC Order_04 07E Wild Horse Wind Expansion (C) (2)_TENASKA REGULATORY ASSET 2 2 2" xfId="8885"/>
    <cellStyle name="_DEM-WP (C) Power Cost 2006GRC Order_04 07E Wild Horse Wind Expansion (C) (2)_TENASKA REGULATORY ASSET 2 3" xfId="8886"/>
    <cellStyle name="_DEM-WP (C) Power Cost 2006GRC Order_04 07E Wild Horse Wind Expansion (C) (2)_TENASKA REGULATORY ASSET 3" xfId="8887"/>
    <cellStyle name="_DEM-WP (C) Power Cost 2006GRC Order_04 07E Wild Horse Wind Expansion (C) (2)_TENASKA REGULATORY ASSET 3 2" xfId="8888"/>
    <cellStyle name="_DEM-WP (C) Power Cost 2006GRC Order_04 07E Wild Horse Wind Expansion (C) (2)_TENASKA REGULATORY ASSET 4" xfId="8889"/>
    <cellStyle name="_DEM-WP (C) Power Cost 2006GRC Order_16.37E Wild Horse Expansion DeferralRevwrkingfile SF" xfId="420"/>
    <cellStyle name="_DEM-WP (C) Power Cost 2006GRC Order_16.37E Wild Horse Expansion DeferralRevwrkingfile SF 2" xfId="8890"/>
    <cellStyle name="_DEM-WP (C) Power Cost 2006GRC Order_16.37E Wild Horse Expansion DeferralRevwrkingfile SF 2 2" xfId="8891"/>
    <cellStyle name="_DEM-WP (C) Power Cost 2006GRC Order_16.37E Wild Horse Expansion DeferralRevwrkingfile SF 2 2 2" xfId="8892"/>
    <cellStyle name="_DEM-WP (C) Power Cost 2006GRC Order_16.37E Wild Horse Expansion DeferralRevwrkingfile SF 2 3" xfId="8893"/>
    <cellStyle name="_DEM-WP (C) Power Cost 2006GRC Order_16.37E Wild Horse Expansion DeferralRevwrkingfile SF 3" xfId="8894"/>
    <cellStyle name="_DEM-WP (C) Power Cost 2006GRC Order_16.37E Wild Horse Expansion DeferralRevwrkingfile SF 3 2" xfId="8895"/>
    <cellStyle name="_DEM-WP (C) Power Cost 2006GRC Order_16.37E Wild Horse Expansion DeferralRevwrkingfile SF 4" xfId="8896"/>
    <cellStyle name="_DEM-WP (C) Power Cost 2006GRC Order_16.37E Wild Horse Expansion DeferralRevwrkingfile SF_DEM-WP(C) ENERG10C--ctn Mid-C_042010 2010GRC" xfId="8897"/>
    <cellStyle name="_DEM-WP (C) Power Cost 2006GRC Order_2009 Compliance Filing PCA Exhibits for GRC" xfId="8898"/>
    <cellStyle name="_DEM-WP (C) Power Cost 2006GRC Order_2009 Compliance Filing PCA Exhibits for GRC 2" xfId="8899"/>
    <cellStyle name="_DEM-WP (C) Power Cost 2006GRC Order_2009 GRC Compl Filing - Exhibit D" xfId="421"/>
    <cellStyle name="_DEM-WP (C) Power Cost 2006GRC Order_2009 GRC Compl Filing - Exhibit D 2" xfId="8900"/>
    <cellStyle name="_DEM-WP (C) Power Cost 2006GRC Order_2009 GRC Compl Filing - Exhibit D 2 2" xfId="8901"/>
    <cellStyle name="_DEM-WP (C) Power Cost 2006GRC Order_2009 GRC Compl Filing - Exhibit D 3" xfId="8902"/>
    <cellStyle name="_DEM-WP (C) Power Cost 2006GRC Order_2009 GRC Compl Filing - Exhibit D_DEM-WP(C) ENERG10C--ctn Mid-C_042010 2010GRC" xfId="8903"/>
    <cellStyle name="_DEM-WP (C) Power Cost 2006GRC Order_3.01 Income Statement" xfId="422"/>
    <cellStyle name="_DEM-WP (C) Power Cost 2006GRC Order_4 31 Regulatory Assets and Liabilities  7 06- Exhibit D" xfId="423"/>
    <cellStyle name="_DEM-WP (C) Power Cost 2006GRC Order_4 31 Regulatory Assets and Liabilities  7 06- Exhibit D 2" xfId="8904"/>
    <cellStyle name="_DEM-WP (C) Power Cost 2006GRC Order_4 31 Regulatory Assets and Liabilities  7 06- Exhibit D 2 2" xfId="8905"/>
    <cellStyle name="_DEM-WP (C) Power Cost 2006GRC Order_4 31 Regulatory Assets and Liabilities  7 06- Exhibit D 2 2 2" xfId="8906"/>
    <cellStyle name="_DEM-WP (C) Power Cost 2006GRC Order_4 31 Regulatory Assets and Liabilities  7 06- Exhibit D 3" xfId="8907"/>
    <cellStyle name="_DEM-WP (C) Power Cost 2006GRC Order_4 31 Regulatory Assets and Liabilities  7 06- Exhibit D 3 2" xfId="8908"/>
    <cellStyle name="_DEM-WP (C) Power Cost 2006GRC Order_4 31 Regulatory Assets and Liabilities  7 06- Exhibit D_DEM-WP(C) ENERG10C--ctn Mid-C_042010 2010GRC" xfId="8909"/>
    <cellStyle name="_DEM-WP (C) Power Cost 2006GRC Order_4 31 Regulatory Assets and Liabilities  7 06- Exhibit D_NIM Summary" xfId="8910"/>
    <cellStyle name="_DEM-WP (C) Power Cost 2006GRC Order_4 31 Regulatory Assets and Liabilities  7 06- Exhibit D_NIM Summary 2" xfId="8911"/>
    <cellStyle name="_DEM-WP (C) Power Cost 2006GRC Order_4 31 Regulatory Assets and Liabilities  7 06- Exhibit D_NIM Summary 2 2" xfId="8912"/>
    <cellStyle name="_DEM-WP (C) Power Cost 2006GRC Order_4 31 Regulatory Assets and Liabilities  7 06- Exhibit D_NIM Summary 3" xfId="8913"/>
    <cellStyle name="_DEM-WP (C) Power Cost 2006GRC Order_4 31 Regulatory Assets and Liabilities  7 06- Exhibit D_NIM Summary_DEM-WP(C) ENERG10C--ctn Mid-C_042010 2010GRC" xfId="8914"/>
    <cellStyle name="_DEM-WP (C) Power Cost 2006GRC Order_4 31 Regulatory Assets and Liabilities  7 06- Exhibit D_NIM+O&amp;M" xfId="8915"/>
    <cellStyle name="_DEM-WP (C) Power Cost 2006GRC Order_4 31 Regulatory Assets and Liabilities  7 06- Exhibit D_NIM+O&amp;M 2" xfId="8916"/>
    <cellStyle name="_DEM-WP (C) Power Cost 2006GRC Order_4 31 Regulatory Assets and Liabilities  7 06- Exhibit D_NIM+O&amp;M Monthly" xfId="8917"/>
    <cellStyle name="_DEM-WP (C) Power Cost 2006GRC Order_4 31 Regulatory Assets and Liabilities  7 06- Exhibit D_NIM+O&amp;M Monthly 2" xfId="8918"/>
    <cellStyle name="_DEM-WP (C) Power Cost 2006GRC Order_4 31E Reg Asset  Liab and EXH D" xfId="8919"/>
    <cellStyle name="_DEM-WP (C) Power Cost 2006GRC Order_4 31E Reg Asset  Liab and EXH D _ Aug 10 Filing (2)" xfId="8920"/>
    <cellStyle name="_DEM-WP (C) Power Cost 2006GRC Order_4 31E Reg Asset  Liab and EXH D _ Aug 10 Filing (2) 2" xfId="8921"/>
    <cellStyle name="_DEM-WP (C) Power Cost 2006GRC Order_4 31E Reg Asset  Liab and EXH D 10" xfId="8922"/>
    <cellStyle name="_DEM-WP (C) Power Cost 2006GRC Order_4 31E Reg Asset  Liab and EXH D 11" xfId="8923"/>
    <cellStyle name="_DEM-WP (C) Power Cost 2006GRC Order_4 31E Reg Asset  Liab and EXH D 12" xfId="8924"/>
    <cellStyle name="_DEM-WP (C) Power Cost 2006GRC Order_4 31E Reg Asset  Liab and EXH D 13" xfId="8925"/>
    <cellStyle name="_DEM-WP (C) Power Cost 2006GRC Order_4 31E Reg Asset  Liab and EXH D 14" xfId="8926"/>
    <cellStyle name="_DEM-WP (C) Power Cost 2006GRC Order_4 31E Reg Asset  Liab and EXH D 15" xfId="8927"/>
    <cellStyle name="_DEM-WP (C) Power Cost 2006GRC Order_4 31E Reg Asset  Liab and EXH D 16" xfId="8928"/>
    <cellStyle name="_DEM-WP (C) Power Cost 2006GRC Order_4 31E Reg Asset  Liab and EXH D 17" xfId="8929"/>
    <cellStyle name="_DEM-WP (C) Power Cost 2006GRC Order_4 31E Reg Asset  Liab and EXH D 18" xfId="8930"/>
    <cellStyle name="_DEM-WP (C) Power Cost 2006GRC Order_4 31E Reg Asset  Liab and EXH D 19" xfId="8931"/>
    <cellStyle name="_DEM-WP (C) Power Cost 2006GRC Order_4 31E Reg Asset  Liab and EXH D 2" xfId="8932"/>
    <cellStyle name="_DEM-WP (C) Power Cost 2006GRC Order_4 31E Reg Asset  Liab and EXH D 20" xfId="8933"/>
    <cellStyle name="_DEM-WP (C) Power Cost 2006GRC Order_4 31E Reg Asset  Liab and EXH D 21" xfId="8934"/>
    <cellStyle name="_DEM-WP (C) Power Cost 2006GRC Order_4 31E Reg Asset  Liab and EXH D 22" xfId="8935"/>
    <cellStyle name="_DEM-WP (C) Power Cost 2006GRC Order_4 31E Reg Asset  Liab and EXH D 23" xfId="8936"/>
    <cellStyle name="_DEM-WP (C) Power Cost 2006GRC Order_4 31E Reg Asset  Liab and EXH D 24" xfId="8937"/>
    <cellStyle name="_DEM-WP (C) Power Cost 2006GRC Order_4 31E Reg Asset  Liab and EXH D 25" xfId="8938"/>
    <cellStyle name="_DEM-WP (C) Power Cost 2006GRC Order_4 31E Reg Asset  Liab and EXH D 26" xfId="8939"/>
    <cellStyle name="_DEM-WP (C) Power Cost 2006GRC Order_4 31E Reg Asset  Liab and EXH D 27" xfId="8940"/>
    <cellStyle name="_DEM-WP (C) Power Cost 2006GRC Order_4 31E Reg Asset  Liab and EXH D 28" xfId="8941"/>
    <cellStyle name="_DEM-WP (C) Power Cost 2006GRC Order_4 31E Reg Asset  Liab and EXH D 29" xfId="8942"/>
    <cellStyle name="_DEM-WP (C) Power Cost 2006GRC Order_4 31E Reg Asset  Liab and EXH D 3" xfId="8943"/>
    <cellStyle name="_DEM-WP (C) Power Cost 2006GRC Order_4 31E Reg Asset  Liab and EXH D 30" xfId="8944"/>
    <cellStyle name="_DEM-WP (C) Power Cost 2006GRC Order_4 31E Reg Asset  Liab and EXH D 31" xfId="8945"/>
    <cellStyle name="_DEM-WP (C) Power Cost 2006GRC Order_4 31E Reg Asset  Liab and EXH D 32" xfId="8946"/>
    <cellStyle name="_DEM-WP (C) Power Cost 2006GRC Order_4 31E Reg Asset  Liab and EXH D 33" xfId="8947"/>
    <cellStyle name="_DEM-WP (C) Power Cost 2006GRC Order_4 31E Reg Asset  Liab and EXH D 34" xfId="8948"/>
    <cellStyle name="_DEM-WP (C) Power Cost 2006GRC Order_4 31E Reg Asset  Liab and EXH D 35" xfId="8949"/>
    <cellStyle name="_DEM-WP (C) Power Cost 2006GRC Order_4 31E Reg Asset  Liab and EXH D 36" xfId="8950"/>
    <cellStyle name="_DEM-WP (C) Power Cost 2006GRC Order_4 31E Reg Asset  Liab and EXH D 4" xfId="8951"/>
    <cellStyle name="_DEM-WP (C) Power Cost 2006GRC Order_4 31E Reg Asset  Liab and EXH D 5" xfId="8952"/>
    <cellStyle name="_DEM-WP (C) Power Cost 2006GRC Order_4 31E Reg Asset  Liab and EXH D 6" xfId="8953"/>
    <cellStyle name="_DEM-WP (C) Power Cost 2006GRC Order_4 31E Reg Asset  Liab and EXH D 7" xfId="8954"/>
    <cellStyle name="_DEM-WP (C) Power Cost 2006GRC Order_4 31E Reg Asset  Liab and EXH D 8" xfId="8955"/>
    <cellStyle name="_DEM-WP (C) Power Cost 2006GRC Order_4 31E Reg Asset  Liab and EXH D 9" xfId="8956"/>
    <cellStyle name="_DEM-WP (C) Power Cost 2006GRC Order_4 32 Regulatory Assets and Liabilities  7 06- Exhibit D" xfId="424"/>
    <cellStyle name="_DEM-WP (C) Power Cost 2006GRC Order_4 32 Regulatory Assets and Liabilities  7 06- Exhibit D 2" xfId="8957"/>
    <cellStyle name="_DEM-WP (C) Power Cost 2006GRC Order_4 32 Regulatory Assets and Liabilities  7 06- Exhibit D 2 2" xfId="8958"/>
    <cellStyle name="_DEM-WP (C) Power Cost 2006GRC Order_4 32 Regulatory Assets and Liabilities  7 06- Exhibit D 2 2 2" xfId="8959"/>
    <cellStyle name="_DEM-WP (C) Power Cost 2006GRC Order_4 32 Regulatory Assets and Liabilities  7 06- Exhibit D 3" xfId="8960"/>
    <cellStyle name="_DEM-WP (C) Power Cost 2006GRC Order_4 32 Regulatory Assets and Liabilities  7 06- Exhibit D 3 2" xfId="8961"/>
    <cellStyle name="_DEM-WP (C) Power Cost 2006GRC Order_4 32 Regulatory Assets and Liabilities  7 06- Exhibit D_DEM-WP(C) ENERG10C--ctn Mid-C_042010 2010GRC" xfId="8962"/>
    <cellStyle name="_DEM-WP (C) Power Cost 2006GRC Order_4 32 Regulatory Assets and Liabilities  7 06- Exhibit D_NIM Summary" xfId="8963"/>
    <cellStyle name="_DEM-WP (C) Power Cost 2006GRC Order_4 32 Regulatory Assets and Liabilities  7 06- Exhibit D_NIM Summary 2" xfId="8964"/>
    <cellStyle name="_DEM-WP (C) Power Cost 2006GRC Order_4 32 Regulatory Assets and Liabilities  7 06- Exhibit D_NIM Summary 2 2" xfId="8965"/>
    <cellStyle name="_DEM-WP (C) Power Cost 2006GRC Order_4 32 Regulatory Assets and Liabilities  7 06- Exhibit D_NIM Summary 3" xfId="8966"/>
    <cellStyle name="_DEM-WP (C) Power Cost 2006GRC Order_4 32 Regulatory Assets and Liabilities  7 06- Exhibit D_NIM Summary_DEM-WP(C) ENERG10C--ctn Mid-C_042010 2010GRC" xfId="8967"/>
    <cellStyle name="_DEM-WP (C) Power Cost 2006GRC Order_4 32 Regulatory Assets and Liabilities  7 06- Exhibit D_NIM+O&amp;M" xfId="8968"/>
    <cellStyle name="_DEM-WP (C) Power Cost 2006GRC Order_4 32 Regulatory Assets and Liabilities  7 06- Exhibit D_NIM+O&amp;M 2" xfId="8969"/>
    <cellStyle name="_DEM-WP (C) Power Cost 2006GRC Order_4 32 Regulatory Assets and Liabilities  7 06- Exhibit D_NIM+O&amp;M Monthly" xfId="8970"/>
    <cellStyle name="_DEM-WP (C) Power Cost 2006GRC Order_4 32 Regulatory Assets and Liabilities  7 06- Exhibit D_NIM+O&amp;M Monthly 2" xfId="8971"/>
    <cellStyle name="_DEM-WP (C) Power Cost 2006GRC Order_AURORA Total New" xfId="8972"/>
    <cellStyle name="_DEM-WP (C) Power Cost 2006GRC Order_AURORA Total New 2" xfId="8973"/>
    <cellStyle name="_DEM-WP (C) Power Cost 2006GRC Order_AURORA Total New 2 2" xfId="8974"/>
    <cellStyle name="_DEM-WP (C) Power Cost 2006GRC Order_AURORA Total New 3" xfId="8975"/>
    <cellStyle name="_DEM-WP (C) Power Cost 2006GRC Order_Book2" xfId="425"/>
    <cellStyle name="_DEM-WP (C) Power Cost 2006GRC Order_Book2 2" xfId="8976"/>
    <cellStyle name="_DEM-WP (C) Power Cost 2006GRC Order_Book2 2 2" xfId="8977"/>
    <cellStyle name="_DEM-WP (C) Power Cost 2006GRC Order_Book2 2 2 2" xfId="8978"/>
    <cellStyle name="_DEM-WP (C) Power Cost 2006GRC Order_Book2 2 3" xfId="8979"/>
    <cellStyle name="_DEM-WP (C) Power Cost 2006GRC Order_Book2 3" xfId="8980"/>
    <cellStyle name="_DEM-WP (C) Power Cost 2006GRC Order_Book2 3 2" xfId="8981"/>
    <cellStyle name="_DEM-WP (C) Power Cost 2006GRC Order_Book2 4" xfId="8982"/>
    <cellStyle name="_DEM-WP (C) Power Cost 2006GRC Order_Book2_Adj Bench DR 3 for Initial Briefs (Electric)" xfId="426"/>
    <cellStyle name="_DEM-WP (C) Power Cost 2006GRC Order_Book2_Adj Bench DR 3 for Initial Briefs (Electric) 2" xfId="8983"/>
    <cellStyle name="_DEM-WP (C) Power Cost 2006GRC Order_Book2_Adj Bench DR 3 for Initial Briefs (Electric) 2 2" xfId="8984"/>
    <cellStyle name="_DEM-WP (C) Power Cost 2006GRC Order_Book2_Adj Bench DR 3 for Initial Briefs (Electric) 2 2 2" xfId="8985"/>
    <cellStyle name="_DEM-WP (C) Power Cost 2006GRC Order_Book2_Adj Bench DR 3 for Initial Briefs (Electric) 2 3" xfId="8986"/>
    <cellStyle name="_DEM-WP (C) Power Cost 2006GRC Order_Book2_Adj Bench DR 3 for Initial Briefs (Electric) 3" xfId="8987"/>
    <cellStyle name="_DEM-WP (C) Power Cost 2006GRC Order_Book2_Adj Bench DR 3 for Initial Briefs (Electric) 3 2" xfId="8988"/>
    <cellStyle name="_DEM-WP (C) Power Cost 2006GRC Order_Book2_Adj Bench DR 3 for Initial Briefs (Electric) 4" xfId="8989"/>
    <cellStyle name="_DEM-WP (C) Power Cost 2006GRC Order_Book2_Adj Bench DR 3 for Initial Briefs (Electric)_DEM-WP(C) ENERG10C--ctn Mid-C_042010 2010GRC" xfId="8990"/>
    <cellStyle name="_DEM-WP (C) Power Cost 2006GRC Order_Book2_DEM-WP(C) ENERG10C--ctn Mid-C_042010 2010GRC" xfId="8991"/>
    <cellStyle name="_DEM-WP (C) Power Cost 2006GRC Order_Book2_Electric Rev Req Model (2009 GRC) Rebuttal" xfId="427"/>
    <cellStyle name="_DEM-WP (C) Power Cost 2006GRC Order_Book2_Electric Rev Req Model (2009 GRC) Rebuttal 2" xfId="8992"/>
    <cellStyle name="_DEM-WP (C) Power Cost 2006GRC Order_Book2_Electric Rev Req Model (2009 GRC) Rebuttal 2 2" xfId="8993"/>
    <cellStyle name="_DEM-WP (C) Power Cost 2006GRC Order_Book2_Electric Rev Req Model (2009 GRC) Rebuttal 2 2 2" xfId="8994"/>
    <cellStyle name="_DEM-WP (C) Power Cost 2006GRC Order_Book2_Electric Rev Req Model (2009 GRC) Rebuttal 2 3" xfId="8995"/>
    <cellStyle name="_DEM-WP (C) Power Cost 2006GRC Order_Book2_Electric Rev Req Model (2009 GRC) Rebuttal 3" xfId="8996"/>
    <cellStyle name="_DEM-WP (C) Power Cost 2006GRC Order_Book2_Electric Rev Req Model (2009 GRC) Rebuttal 3 2" xfId="8997"/>
    <cellStyle name="_DEM-WP (C) Power Cost 2006GRC Order_Book2_Electric Rev Req Model (2009 GRC) Rebuttal 4" xfId="8998"/>
    <cellStyle name="_DEM-WP (C) Power Cost 2006GRC Order_Book2_Electric Rev Req Model (2009 GRC) Rebuttal REmoval of New  WH Solar AdjustMI" xfId="428"/>
    <cellStyle name="_DEM-WP (C) Power Cost 2006GRC Order_Book2_Electric Rev Req Model (2009 GRC) Rebuttal REmoval of New  WH Solar AdjustMI 2" xfId="8999"/>
    <cellStyle name="_DEM-WP (C) Power Cost 2006GRC Order_Book2_Electric Rev Req Model (2009 GRC) Rebuttal REmoval of New  WH Solar AdjustMI 2 2" xfId="9000"/>
    <cellStyle name="_DEM-WP (C) Power Cost 2006GRC Order_Book2_Electric Rev Req Model (2009 GRC) Rebuttal REmoval of New  WH Solar AdjustMI 2 2 2" xfId="9001"/>
    <cellStyle name="_DEM-WP (C) Power Cost 2006GRC Order_Book2_Electric Rev Req Model (2009 GRC) Rebuttal REmoval of New  WH Solar AdjustMI 2 3" xfId="9002"/>
    <cellStyle name="_DEM-WP (C) Power Cost 2006GRC Order_Book2_Electric Rev Req Model (2009 GRC) Rebuttal REmoval of New  WH Solar AdjustMI 3" xfId="9003"/>
    <cellStyle name="_DEM-WP (C) Power Cost 2006GRC Order_Book2_Electric Rev Req Model (2009 GRC) Rebuttal REmoval of New  WH Solar AdjustMI 3 2" xfId="9004"/>
    <cellStyle name="_DEM-WP (C) Power Cost 2006GRC Order_Book2_Electric Rev Req Model (2009 GRC) Rebuttal REmoval of New  WH Solar AdjustMI 4" xfId="9005"/>
    <cellStyle name="_DEM-WP (C) Power Cost 2006GRC Order_Book2_Electric Rev Req Model (2009 GRC) Rebuttal REmoval of New  WH Solar AdjustMI_DEM-WP(C) ENERG10C--ctn Mid-C_042010 2010GRC" xfId="9006"/>
    <cellStyle name="_DEM-WP (C) Power Cost 2006GRC Order_Book2_Electric Rev Req Model (2009 GRC) Revised 01-18-2010" xfId="429"/>
    <cellStyle name="_DEM-WP (C) Power Cost 2006GRC Order_Book2_Electric Rev Req Model (2009 GRC) Revised 01-18-2010 2" xfId="9007"/>
    <cellStyle name="_DEM-WP (C) Power Cost 2006GRC Order_Book2_Electric Rev Req Model (2009 GRC) Revised 01-18-2010 2 2" xfId="9008"/>
    <cellStyle name="_DEM-WP (C) Power Cost 2006GRC Order_Book2_Electric Rev Req Model (2009 GRC) Revised 01-18-2010 2 2 2" xfId="9009"/>
    <cellStyle name="_DEM-WP (C) Power Cost 2006GRC Order_Book2_Electric Rev Req Model (2009 GRC) Revised 01-18-2010 2 3" xfId="9010"/>
    <cellStyle name="_DEM-WP (C) Power Cost 2006GRC Order_Book2_Electric Rev Req Model (2009 GRC) Revised 01-18-2010 3" xfId="9011"/>
    <cellStyle name="_DEM-WP (C) Power Cost 2006GRC Order_Book2_Electric Rev Req Model (2009 GRC) Revised 01-18-2010 3 2" xfId="9012"/>
    <cellStyle name="_DEM-WP (C) Power Cost 2006GRC Order_Book2_Electric Rev Req Model (2009 GRC) Revised 01-18-2010 4" xfId="9013"/>
    <cellStyle name="_DEM-WP (C) Power Cost 2006GRC Order_Book2_Electric Rev Req Model (2009 GRC) Revised 01-18-2010_DEM-WP(C) ENERG10C--ctn Mid-C_042010 2010GRC" xfId="9014"/>
    <cellStyle name="_DEM-WP (C) Power Cost 2006GRC Order_Book2_Final Order Electric EXHIBIT A-1" xfId="430"/>
    <cellStyle name="_DEM-WP (C) Power Cost 2006GRC Order_Book2_Final Order Electric EXHIBIT A-1 2" xfId="9015"/>
    <cellStyle name="_DEM-WP (C) Power Cost 2006GRC Order_Book2_Final Order Electric EXHIBIT A-1 2 2" xfId="9016"/>
    <cellStyle name="_DEM-WP (C) Power Cost 2006GRC Order_Book2_Final Order Electric EXHIBIT A-1 2 2 2" xfId="9017"/>
    <cellStyle name="_DEM-WP (C) Power Cost 2006GRC Order_Book2_Final Order Electric EXHIBIT A-1 2 3" xfId="9018"/>
    <cellStyle name="_DEM-WP (C) Power Cost 2006GRC Order_Book2_Final Order Electric EXHIBIT A-1 3" xfId="9019"/>
    <cellStyle name="_DEM-WP (C) Power Cost 2006GRC Order_Book2_Final Order Electric EXHIBIT A-1 3 2" xfId="9020"/>
    <cellStyle name="_DEM-WP (C) Power Cost 2006GRC Order_Book2_Final Order Electric EXHIBIT A-1 4" xfId="9021"/>
    <cellStyle name="_DEM-WP (C) Power Cost 2006GRC Order_Book4" xfId="431"/>
    <cellStyle name="_DEM-WP (C) Power Cost 2006GRC Order_Book4 2" xfId="9022"/>
    <cellStyle name="_DEM-WP (C) Power Cost 2006GRC Order_Book4 2 2" xfId="9023"/>
    <cellStyle name="_DEM-WP (C) Power Cost 2006GRC Order_Book4 2 2 2" xfId="9024"/>
    <cellStyle name="_DEM-WP (C) Power Cost 2006GRC Order_Book4 2 3" xfId="9025"/>
    <cellStyle name="_DEM-WP (C) Power Cost 2006GRC Order_Book4 3" xfId="9026"/>
    <cellStyle name="_DEM-WP (C) Power Cost 2006GRC Order_Book4 3 2" xfId="9027"/>
    <cellStyle name="_DEM-WP (C) Power Cost 2006GRC Order_Book4 4" xfId="9028"/>
    <cellStyle name="_DEM-WP (C) Power Cost 2006GRC Order_Book4_DEM-WP(C) ENERG10C--ctn Mid-C_042010 2010GRC" xfId="9029"/>
    <cellStyle name="_DEM-WP (C) Power Cost 2006GRC Order_Book9" xfId="432"/>
    <cellStyle name="_DEM-WP (C) Power Cost 2006GRC Order_Book9 2" xfId="9030"/>
    <cellStyle name="_DEM-WP (C) Power Cost 2006GRC Order_Book9 2 2" xfId="9031"/>
    <cellStyle name="_DEM-WP (C) Power Cost 2006GRC Order_Book9 2 2 2" xfId="9032"/>
    <cellStyle name="_DEM-WP (C) Power Cost 2006GRC Order_Book9 2 3" xfId="9033"/>
    <cellStyle name="_DEM-WP (C) Power Cost 2006GRC Order_Book9 3" xfId="9034"/>
    <cellStyle name="_DEM-WP (C) Power Cost 2006GRC Order_Book9 3 2" xfId="9035"/>
    <cellStyle name="_DEM-WP (C) Power Cost 2006GRC Order_Book9 4" xfId="9036"/>
    <cellStyle name="_DEM-WP (C) Power Cost 2006GRC Order_Book9_DEM-WP(C) ENERG10C--ctn Mid-C_042010 2010GRC" xfId="9037"/>
    <cellStyle name="_DEM-WP (C) Power Cost 2006GRC Order_Chelan PUD Power Costs (8-10)" xfId="9038"/>
    <cellStyle name="_DEM-WP (C) Power Cost 2006GRC Order_Chelan PUD Power Costs (8-10) 2" xfId="9039"/>
    <cellStyle name="_DEM-WP (C) Power Cost 2006GRC Order_DEM-WP(C) Chelan Power Costs" xfId="9040"/>
    <cellStyle name="_DEM-WP (C) Power Cost 2006GRC Order_DEM-WP(C) Chelan Power Costs 2" xfId="9041"/>
    <cellStyle name="_DEM-WP (C) Power Cost 2006GRC Order_DEM-WP(C) ENERG10C--ctn Mid-C_042010 2010GRC" xfId="9042"/>
    <cellStyle name="_DEM-WP (C) Power Cost 2006GRC Order_DEM-WP(C) Gas Transport 2010GRC" xfId="9043"/>
    <cellStyle name="_DEM-WP (C) Power Cost 2006GRC Order_DEM-WP(C) Gas Transport 2010GRC 2" xfId="9044"/>
    <cellStyle name="_DEM-WP (C) Power Cost 2006GRC Order_Electric COS Inputs" xfId="9045"/>
    <cellStyle name="_DEM-WP (C) Power Cost 2006GRC Order_Electric COS Inputs 2" xfId="9046"/>
    <cellStyle name="_DEM-WP (C) Power Cost 2006GRC Order_Electric COS Inputs 2 2" xfId="9047"/>
    <cellStyle name="_DEM-WP (C) Power Cost 2006GRC Order_Electric COS Inputs 2 2 2" xfId="9048"/>
    <cellStyle name="_DEM-WP (C) Power Cost 2006GRC Order_Electric COS Inputs 2 2 2 2" xfId="9049"/>
    <cellStyle name="_DEM-WP (C) Power Cost 2006GRC Order_Electric COS Inputs 2 2 3" xfId="9050"/>
    <cellStyle name="_DEM-WP (C) Power Cost 2006GRC Order_Electric COS Inputs 2 3" xfId="9051"/>
    <cellStyle name="_DEM-WP (C) Power Cost 2006GRC Order_Electric COS Inputs 2 3 2" xfId="9052"/>
    <cellStyle name="_DEM-WP (C) Power Cost 2006GRC Order_Electric COS Inputs 2 3 2 2" xfId="9053"/>
    <cellStyle name="_DEM-WP (C) Power Cost 2006GRC Order_Electric COS Inputs 2 3 3" xfId="9054"/>
    <cellStyle name="_DEM-WP (C) Power Cost 2006GRC Order_Electric COS Inputs 2 4" xfId="9055"/>
    <cellStyle name="_DEM-WP (C) Power Cost 2006GRC Order_Electric COS Inputs 2 4 2" xfId="9056"/>
    <cellStyle name="_DEM-WP (C) Power Cost 2006GRC Order_Electric COS Inputs 2 4 2 2" xfId="9057"/>
    <cellStyle name="_DEM-WP (C) Power Cost 2006GRC Order_Electric COS Inputs 2 4 3" xfId="9058"/>
    <cellStyle name="_DEM-WP (C) Power Cost 2006GRC Order_Electric COS Inputs 2 5" xfId="9059"/>
    <cellStyle name="_DEM-WP (C) Power Cost 2006GRC Order_Electric COS Inputs 3" xfId="9060"/>
    <cellStyle name="_DEM-WP (C) Power Cost 2006GRC Order_Electric COS Inputs 3 2" xfId="9061"/>
    <cellStyle name="_DEM-WP (C) Power Cost 2006GRC Order_Electric COS Inputs 3 2 2" xfId="9062"/>
    <cellStyle name="_DEM-WP (C) Power Cost 2006GRC Order_Electric COS Inputs 3 3" xfId="9063"/>
    <cellStyle name="_DEM-WP (C) Power Cost 2006GRC Order_Electric COS Inputs 4" xfId="9064"/>
    <cellStyle name="_DEM-WP (C) Power Cost 2006GRC Order_Electric COS Inputs 4 2" xfId="9065"/>
    <cellStyle name="_DEM-WP (C) Power Cost 2006GRC Order_Electric COS Inputs 4 2 2" xfId="9066"/>
    <cellStyle name="_DEM-WP (C) Power Cost 2006GRC Order_Electric COS Inputs 4 3" xfId="9067"/>
    <cellStyle name="_DEM-WP (C) Power Cost 2006GRC Order_Electric COS Inputs 5" xfId="9068"/>
    <cellStyle name="_DEM-WP (C) Power Cost 2006GRC Order_Electric COS Inputs 5 2" xfId="9069"/>
    <cellStyle name="_DEM-WP (C) Power Cost 2006GRC Order_Electric COS Inputs 6" xfId="9070"/>
    <cellStyle name="_DEM-WP (C) Power Cost 2006GRC Order_Exh A-1 resulting from UE-112050 effective Jan 1 2012" xfId="9071"/>
    <cellStyle name="_DEM-WP (C) Power Cost 2006GRC Order_Exh G - Klamath Peaker PPA fr C Locke 2-12" xfId="9072"/>
    <cellStyle name="_DEM-WP (C) Power Cost 2006GRC Order_Exhibit A-1 effective 4-1-11 fr S Free 12-11" xfId="9073"/>
    <cellStyle name="_DEM-WP (C) Power Cost 2006GRC Order_Mint Farm Generation BPA" xfId="9074"/>
    <cellStyle name="_DEM-WP (C) Power Cost 2006GRC Order_NIM Summary" xfId="9075"/>
    <cellStyle name="_DEM-WP (C) Power Cost 2006GRC Order_NIM Summary 09GRC" xfId="9076"/>
    <cellStyle name="_DEM-WP (C) Power Cost 2006GRC Order_NIM Summary 09GRC 2" xfId="9077"/>
    <cellStyle name="_DEM-WP (C) Power Cost 2006GRC Order_NIM Summary 09GRC 2 2" xfId="9078"/>
    <cellStyle name="_DEM-WP (C) Power Cost 2006GRC Order_NIM Summary 09GRC 3" xfId="9079"/>
    <cellStyle name="_DEM-WP (C) Power Cost 2006GRC Order_NIM Summary 09GRC_DEM-WP(C) ENERG10C--ctn Mid-C_042010 2010GRC" xfId="9080"/>
    <cellStyle name="_DEM-WP (C) Power Cost 2006GRC Order_NIM Summary 10" xfId="9081"/>
    <cellStyle name="_DEM-WP (C) Power Cost 2006GRC Order_NIM Summary 11" xfId="9082"/>
    <cellStyle name="_DEM-WP (C) Power Cost 2006GRC Order_NIM Summary 12" xfId="9083"/>
    <cellStyle name="_DEM-WP (C) Power Cost 2006GRC Order_NIM Summary 13" xfId="9084"/>
    <cellStyle name="_DEM-WP (C) Power Cost 2006GRC Order_NIM Summary 14" xfId="9085"/>
    <cellStyle name="_DEM-WP (C) Power Cost 2006GRC Order_NIM Summary 15" xfId="9086"/>
    <cellStyle name="_DEM-WP (C) Power Cost 2006GRC Order_NIM Summary 16" xfId="9087"/>
    <cellStyle name="_DEM-WP (C) Power Cost 2006GRC Order_NIM Summary 17" xfId="9088"/>
    <cellStyle name="_DEM-WP (C) Power Cost 2006GRC Order_NIM Summary 18" xfId="9089"/>
    <cellStyle name="_DEM-WP (C) Power Cost 2006GRC Order_NIM Summary 19" xfId="9090"/>
    <cellStyle name="_DEM-WP (C) Power Cost 2006GRC Order_NIM Summary 2" xfId="9091"/>
    <cellStyle name="_DEM-WP (C) Power Cost 2006GRC Order_NIM Summary 2 2" xfId="9092"/>
    <cellStyle name="_DEM-WP (C) Power Cost 2006GRC Order_NIM Summary 20" xfId="9093"/>
    <cellStyle name="_DEM-WP (C) Power Cost 2006GRC Order_NIM Summary 21" xfId="9094"/>
    <cellStyle name="_DEM-WP (C) Power Cost 2006GRC Order_NIM Summary 22" xfId="9095"/>
    <cellStyle name="_DEM-WP (C) Power Cost 2006GRC Order_NIM Summary 23" xfId="9096"/>
    <cellStyle name="_DEM-WP (C) Power Cost 2006GRC Order_NIM Summary 24" xfId="9097"/>
    <cellStyle name="_DEM-WP (C) Power Cost 2006GRC Order_NIM Summary 25" xfId="9098"/>
    <cellStyle name="_DEM-WP (C) Power Cost 2006GRC Order_NIM Summary 26" xfId="9099"/>
    <cellStyle name="_DEM-WP (C) Power Cost 2006GRC Order_NIM Summary 27" xfId="9100"/>
    <cellStyle name="_DEM-WP (C) Power Cost 2006GRC Order_NIM Summary 28" xfId="9101"/>
    <cellStyle name="_DEM-WP (C) Power Cost 2006GRC Order_NIM Summary 29" xfId="9102"/>
    <cellStyle name="_DEM-WP (C) Power Cost 2006GRC Order_NIM Summary 3" xfId="9103"/>
    <cellStyle name="_DEM-WP (C) Power Cost 2006GRC Order_NIM Summary 3 2" xfId="9104"/>
    <cellStyle name="_DEM-WP (C) Power Cost 2006GRC Order_NIM Summary 30" xfId="9105"/>
    <cellStyle name="_DEM-WP (C) Power Cost 2006GRC Order_NIM Summary 31" xfId="9106"/>
    <cellStyle name="_DEM-WP (C) Power Cost 2006GRC Order_NIM Summary 32" xfId="9107"/>
    <cellStyle name="_DEM-WP (C) Power Cost 2006GRC Order_NIM Summary 33" xfId="9108"/>
    <cellStyle name="_DEM-WP (C) Power Cost 2006GRC Order_NIM Summary 34" xfId="9109"/>
    <cellStyle name="_DEM-WP (C) Power Cost 2006GRC Order_NIM Summary 35" xfId="9110"/>
    <cellStyle name="_DEM-WP (C) Power Cost 2006GRC Order_NIM Summary 36" xfId="9111"/>
    <cellStyle name="_DEM-WP (C) Power Cost 2006GRC Order_NIM Summary 37" xfId="9112"/>
    <cellStyle name="_DEM-WP (C) Power Cost 2006GRC Order_NIM Summary 38" xfId="9113"/>
    <cellStyle name="_DEM-WP (C) Power Cost 2006GRC Order_NIM Summary 39" xfId="9114"/>
    <cellStyle name="_DEM-WP (C) Power Cost 2006GRC Order_NIM Summary 4" xfId="9115"/>
    <cellStyle name="_DEM-WP (C) Power Cost 2006GRC Order_NIM Summary 4 2" xfId="9116"/>
    <cellStyle name="_DEM-WP (C) Power Cost 2006GRC Order_NIM Summary 40" xfId="9117"/>
    <cellStyle name="_DEM-WP (C) Power Cost 2006GRC Order_NIM Summary 41" xfId="9118"/>
    <cellStyle name="_DEM-WP (C) Power Cost 2006GRC Order_NIM Summary 42" xfId="9119"/>
    <cellStyle name="_DEM-WP (C) Power Cost 2006GRC Order_NIM Summary 43" xfId="9120"/>
    <cellStyle name="_DEM-WP (C) Power Cost 2006GRC Order_NIM Summary 44" xfId="9121"/>
    <cellStyle name="_DEM-WP (C) Power Cost 2006GRC Order_NIM Summary 45" xfId="9122"/>
    <cellStyle name="_DEM-WP (C) Power Cost 2006GRC Order_NIM Summary 46" xfId="9123"/>
    <cellStyle name="_DEM-WP (C) Power Cost 2006GRC Order_NIM Summary 47" xfId="9124"/>
    <cellStyle name="_DEM-WP (C) Power Cost 2006GRC Order_NIM Summary 48" xfId="9125"/>
    <cellStyle name="_DEM-WP (C) Power Cost 2006GRC Order_NIM Summary 49" xfId="9126"/>
    <cellStyle name="_DEM-WP (C) Power Cost 2006GRC Order_NIM Summary 5" xfId="9127"/>
    <cellStyle name="_DEM-WP (C) Power Cost 2006GRC Order_NIM Summary 5 2" xfId="9128"/>
    <cellStyle name="_DEM-WP (C) Power Cost 2006GRC Order_NIM Summary 50" xfId="9129"/>
    <cellStyle name="_DEM-WP (C) Power Cost 2006GRC Order_NIM Summary 51" xfId="9130"/>
    <cellStyle name="_DEM-WP (C) Power Cost 2006GRC Order_NIM Summary 52" xfId="9131"/>
    <cellStyle name="_DEM-WP (C) Power Cost 2006GRC Order_NIM Summary 6" xfId="9132"/>
    <cellStyle name="_DEM-WP (C) Power Cost 2006GRC Order_NIM Summary 6 2" xfId="9133"/>
    <cellStyle name="_DEM-WP (C) Power Cost 2006GRC Order_NIM Summary 7" xfId="9134"/>
    <cellStyle name="_DEM-WP (C) Power Cost 2006GRC Order_NIM Summary 7 2" xfId="9135"/>
    <cellStyle name="_DEM-WP (C) Power Cost 2006GRC Order_NIM Summary 8" xfId="9136"/>
    <cellStyle name="_DEM-WP (C) Power Cost 2006GRC Order_NIM Summary 8 2" xfId="9137"/>
    <cellStyle name="_DEM-WP (C) Power Cost 2006GRC Order_NIM Summary 9" xfId="9138"/>
    <cellStyle name="_DEM-WP (C) Power Cost 2006GRC Order_NIM Summary 9 2" xfId="9139"/>
    <cellStyle name="_DEM-WP (C) Power Cost 2006GRC Order_NIM Summary_DEM-WP(C) ENERG10C--ctn Mid-C_042010 2010GRC" xfId="9140"/>
    <cellStyle name="_DEM-WP (C) Power Cost 2006GRC Order_NIM+O&amp;M" xfId="9141"/>
    <cellStyle name="_DEM-WP (C) Power Cost 2006GRC Order_NIM+O&amp;M 2" xfId="9142"/>
    <cellStyle name="_DEM-WP (C) Power Cost 2006GRC Order_NIM+O&amp;M 2 2" xfId="9143"/>
    <cellStyle name="_DEM-WP (C) Power Cost 2006GRC Order_NIM+O&amp;M 3" xfId="9144"/>
    <cellStyle name="_DEM-WP (C) Power Cost 2006GRC Order_NIM+O&amp;M Monthly" xfId="9145"/>
    <cellStyle name="_DEM-WP (C) Power Cost 2006GRC Order_NIM+O&amp;M Monthly 2" xfId="9146"/>
    <cellStyle name="_DEM-WP (C) Power Cost 2006GRC Order_NIM+O&amp;M Monthly 2 2" xfId="9147"/>
    <cellStyle name="_DEM-WP (C) Power Cost 2006GRC Order_NIM+O&amp;M Monthly 3" xfId="9148"/>
    <cellStyle name="_DEM-WP (C) Power Cost 2006GRC Order_PCA 10 -  Exhibit D Dec 2011" xfId="9149"/>
    <cellStyle name="_DEM-WP (C) Power Cost 2006GRC Order_PCA 10 -  Exhibit D from A Kellogg Jan 2011" xfId="9150"/>
    <cellStyle name="_DEM-WP (C) Power Cost 2006GRC Order_PCA 10 -  Exhibit D from A Kellogg July 2011" xfId="9151"/>
    <cellStyle name="_DEM-WP (C) Power Cost 2006GRC Order_PCA 10 -  Exhibit D from S Free Rcv'd 12-11" xfId="9152"/>
    <cellStyle name="_DEM-WP (C) Power Cost 2006GRC Order_PCA 11 -  Exhibit D Jan 2012 fr A Kellogg" xfId="9153"/>
    <cellStyle name="_DEM-WP (C) Power Cost 2006GRC Order_PCA 11 -  Exhibit D Jan 2012 WF" xfId="9154"/>
    <cellStyle name="_DEM-WP (C) Power Cost 2006GRC Order_PCA 9 -  Exhibit D April 2010" xfId="9155"/>
    <cellStyle name="_DEM-WP (C) Power Cost 2006GRC Order_PCA 9 -  Exhibit D April 2010 (3)" xfId="9156"/>
    <cellStyle name="_DEM-WP (C) Power Cost 2006GRC Order_PCA 9 -  Exhibit D April 2010 (3) 2" xfId="9157"/>
    <cellStyle name="_DEM-WP (C) Power Cost 2006GRC Order_PCA 9 -  Exhibit D April 2010 (3) 2 2" xfId="9158"/>
    <cellStyle name="_DEM-WP (C) Power Cost 2006GRC Order_PCA 9 -  Exhibit D April 2010 (3) 3" xfId="9159"/>
    <cellStyle name="_DEM-WP (C) Power Cost 2006GRC Order_PCA 9 -  Exhibit D April 2010 (3)_DEM-WP(C) ENERG10C--ctn Mid-C_042010 2010GRC" xfId="9160"/>
    <cellStyle name="_DEM-WP (C) Power Cost 2006GRC Order_PCA 9 -  Exhibit D April 2010 2" xfId="9161"/>
    <cellStyle name="_DEM-WP (C) Power Cost 2006GRC Order_PCA 9 -  Exhibit D April 2010 3" xfId="9162"/>
    <cellStyle name="_DEM-WP (C) Power Cost 2006GRC Order_PCA 9 -  Exhibit D April 2010 4" xfId="9163"/>
    <cellStyle name="_DEM-WP (C) Power Cost 2006GRC Order_PCA 9 -  Exhibit D April 2010 5" xfId="9164"/>
    <cellStyle name="_DEM-WP (C) Power Cost 2006GRC Order_PCA 9 -  Exhibit D April 2010 6" xfId="9165"/>
    <cellStyle name="_DEM-WP (C) Power Cost 2006GRC Order_PCA 9 -  Exhibit D Nov 2010" xfId="9166"/>
    <cellStyle name="_DEM-WP (C) Power Cost 2006GRC Order_PCA 9 -  Exhibit D Nov 2010 2" xfId="9167"/>
    <cellStyle name="_DEM-WP (C) Power Cost 2006GRC Order_PCA 9 - Exhibit D at August 2010" xfId="9168"/>
    <cellStyle name="_DEM-WP (C) Power Cost 2006GRC Order_PCA 9 - Exhibit D at August 2010 2" xfId="9169"/>
    <cellStyle name="_DEM-WP (C) Power Cost 2006GRC Order_PCA 9 - Exhibit D June 2010 GRC" xfId="9170"/>
    <cellStyle name="_DEM-WP (C) Power Cost 2006GRC Order_PCA 9 - Exhibit D June 2010 GRC 2" xfId="9171"/>
    <cellStyle name="_DEM-WP (C) Power Cost 2006GRC Order_Power Costs - Comparison bx Rbtl-Staff-Jt-PC" xfId="433"/>
    <cellStyle name="_DEM-WP (C) Power Cost 2006GRC Order_Power Costs - Comparison bx Rbtl-Staff-Jt-PC 2" xfId="9172"/>
    <cellStyle name="_DEM-WP (C) Power Cost 2006GRC Order_Power Costs - Comparison bx Rbtl-Staff-Jt-PC 2 2" xfId="9173"/>
    <cellStyle name="_DEM-WP (C) Power Cost 2006GRC Order_Power Costs - Comparison bx Rbtl-Staff-Jt-PC 2 2 2" xfId="9174"/>
    <cellStyle name="_DEM-WP (C) Power Cost 2006GRC Order_Power Costs - Comparison bx Rbtl-Staff-Jt-PC 2 3" xfId="9175"/>
    <cellStyle name="_DEM-WP (C) Power Cost 2006GRC Order_Power Costs - Comparison bx Rbtl-Staff-Jt-PC 3" xfId="9176"/>
    <cellStyle name="_DEM-WP (C) Power Cost 2006GRC Order_Power Costs - Comparison bx Rbtl-Staff-Jt-PC 3 2" xfId="9177"/>
    <cellStyle name="_DEM-WP (C) Power Cost 2006GRC Order_Power Costs - Comparison bx Rbtl-Staff-Jt-PC 4" xfId="9178"/>
    <cellStyle name="_DEM-WP (C) Power Cost 2006GRC Order_Power Costs - Comparison bx Rbtl-Staff-Jt-PC_Adj Bench DR 3 for Initial Briefs (Electric)" xfId="434"/>
    <cellStyle name="_DEM-WP (C) Power Cost 2006GRC Order_Power Costs - Comparison bx Rbtl-Staff-Jt-PC_Adj Bench DR 3 for Initial Briefs (Electric) 2" xfId="9179"/>
    <cellStyle name="_DEM-WP (C) Power Cost 2006GRC Order_Power Costs - Comparison bx Rbtl-Staff-Jt-PC_Adj Bench DR 3 for Initial Briefs (Electric) 2 2" xfId="9180"/>
    <cellStyle name="_DEM-WP (C) Power Cost 2006GRC Order_Power Costs - Comparison bx Rbtl-Staff-Jt-PC_Adj Bench DR 3 for Initial Briefs (Electric) 2 2 2" xfId="9181"/>
    <cellStyle name="_DEM-WP (C) Power Cost 2006GRC Order_Power Costs - Comparison bx Rbtl-Staff-Jt-PC_Adj Bench DR 3 for Initial Briefs (Electric) 2 3" xfId="9182"/>
    <cellStyle name="_DEM-WP (C) Power Cost 2006GRC Order_Power Costs - Comparison bx Rbtl-Staff-Jt-PC_Adj Bench DR 3 for Initial Briefs (Electric) 3" xfId="9183"/>
    <cellStyle name="_DEM-WP (C) Power Cost 2006GRC Order_Power Costs - Comparison bx Rbtl-Staff-Jt-PC_Adj Bench DR 3 for Initial Briefs (Electric) 3 2" xfId="9184"/>
    <cellStyle name="_DEM-WP (C) Power Cost 2006GRC Order_Power Costs - Comparison bx Rbtl-Staff-Jt-PC_Adj Bench DR 3 for Initial Briefs (Electric) 4" xfId="9185"/>
    <cellStyle name="_DEM-WP (C) Power Cost 2006GRC Order_Power Costs - Comparison bx Rbtl-Staff-Jt-PC_Adj Bench DR 3 for Initial Briefs (Electric)_DEM-WP(C) ENERG10C--ctn Mid-C_042010 2010GRC" xfId="9186"/>
    <cellStyle name="_DEM-WP (C) Power Cost 2006GRC Order_Power Costs - Comparison bx Rbtl-Staff-Jt-PC_DEM-WP(C) ENERG10C--ctn Mid-C_042010 2010GRC" xfId="9187"/>
    <cellStyle name="_DEM-WP (C) Power Cost 2006GRC Order_Power Costs - Comparison bx Rbtl-Staff-Jt-PC_Electric Rev Req Model (2009 GRC) Rebuttal" xfId="435"/>
    <cellStyle name="_DEM-WP (C) Power Cost 2006GRC Order_Power Costs - Comparison bx Rbtl-Staff-Jt-PC_Electric Rev Req Model (2009 GRC) Rebuttal 2" xfId="9188"/>
    <cellStyle name="_DEM-WP (C) Power Cost 2006GRC Order_Power Costs - Comparison bx Rbtl-Staff-Jt-PC_Electric Rev Req Model (2009 GRC) Rebuttal 2 2" xfId="9189"/>
    <cellStyle name="_DEM-WP (C) Power Cost 2006GRC Order_Power Costs - Comparison bx Rbtl-Staff-Jt-PC_Electric Rev Req Model (2009 GRC) Rebuttal 2 2 2" xfId="9190"/>
    <cellStyle name="_DEM-WP (C) Power Cost 2006GRC Order_Power Costs - Comparison bx Rbtl-Staff-Jt-PC_Electric Rev Req Model (2009 GRC) Rebuttal 2 3" xfId="9191"/>
    <cellStyle name="_DEM-WP (C) Power Cost 2006GRC Order_Power Costs - Comparison bx Rbtl-Staff-Jt-PC_Electric Rev Req Model (2009 GRC) Rebuttal 3" xfId="9192"/>
    <cellStyle name="_DEM-WP (C) Power Cost 2006GRC Order_Power Costs - Comparison bx Rbtl-Staff-Jt-PC_Electric Rev Req Model (2009 GRC) Rebuttal 3 2" xfId="9193"/>
    <cellStyle name="_DEM-WP (C) Power Cost 2006GRC Order_Power Costs - Comparison bx Rbtl-Staff-Jt-PC_Electric Rev Req Model (2009 GRC) Rebuttal 4" xfId="9194"/>
    <cellStyle name="_DEM-WP (C) Power Cost 2006GRC Order_Power Costs - Comparison bx Rbtl-Staff-Jt-PC_Electric Rev Req Model (2009 GRC) Rebuttal REmoval of New  WH Solar AdjustMI" xfId="436"/>
    <cellStyle name="_DEM-WP (C) Power Cost 2006GRC Order_Power Costs - Comparison bx Rbtl-Staff-Jt-PC_Electric Rev Req Model (2009 GRC) Rebuttal REmoval of New  WH Solar AdjustMI 2" xfId="9195"/>
    <cellStyle name="_DEM-WP (C) Power Cost 2006GRC Order_Power Costs - Comparison bx Rbtl-Staff-Jt-PC_Electric Rev Req Model (2009 GRC) Rebuttal REmoval of New  WH Solar AdjustMI 2 2" xfId="9196"/>
    <cellStyle name="_DEM-WP (C) Power Cost 2006GRC Order_Power Costs - Comparison bx Rbtl-Staff-Jt-PC_Electric Rev Req Model (2009 GRC) Rebuttal REmoval of New  WH Solar AdjustMI 2 2 2" xfId="9197"/>
    <cellStyle name="_DEM-WP (C) Power Cost 2006GRC Order_Power Costs - Comparison bx Rbtl-Staff-Jt-PC_Electric Rev Req Model (2009 GRC) Rebuttal REmoval of New  WH Solar AdjustMI 2 3" xfId="9198"/>
    <cellStyle name="_DEM-WP (C) Power Cost 2006GRC Order_Power Costs - Comparison bx Rbtl-Staff-Jt-PC_Electric Rev Req Model (2009 GRC) Rebuttal REmoval of New  WH Solar AdjustMI 3" xfId="9199"/>
    <cellStyle name="_DEM-WP (C) Power Cost 2006GRC Order_Power Costs - Comparison bx Rbtl-Staff-Jt-PC_Electric Rev Req Model (2009 GRC) Rebuttal REmoval of New  WH Solar AdjustMI 3 2" xfId="9200"/>
    <cellStyle name="_DEM-WP (C) Power Cost 2006GRC Order_Power Costs - Comparison bx Rbtl-Staff-Jt-PC_Electric Rev Req Model (2009 GRC) Rebuttal REmoval of New  WH Solar AdjustMI 4" xfId="9201"/>
    <cellStyle name="_DEM-WP (C) Power Cost 2006GRC Order_Power Costs - Comparison bx Rbtl-Staff-Jt-PC_Electric Rev Req Model (2009 GRC) Rebuttal REmoval of New  WH Solar AdjustMI_DEM-WP(C) ENERG10C--ctn Mid-C_042010 2010GRC" xfId="9202"/>
    <cellStyle name="_DEM-WP (C) Power Cost 2006GRC Order_Power Costs - Comparison bx Rbtl-Staff-Jt-PC_Electric Rev Req Model (2009 GRC) Revised 01-18-2010" xfId="437"/>
    <cellStyle name="_DEM-WP (C) Power Cost 2006GRC Order_Power Costs - Comparison bx Rbtl-Staff-Jt-PC_Electric Rev Req Model (2009 GRC) Revised 01-18-2010 2" xfId="9203"/>
    <cellStyle name="_DEM-WP (C) Power Cost 2006GRC Order_Power Costs - Comparison bx Rbtl-Staff-Jt-PC_Electric Rev Req Model (2009 GRC) Revised 01-18-2010 2 2" xfId="9204"/>
    <cellStyle name="_DEM-WP (C) Power Cost 2006GRC Order_Power Costs - Comparison bx Rbtl-Staff-Jt-PC_Electric Rev Req Model (2009 GRC) Revised 01-18-2010 2 2 2" xfId="9205"/>
    <cellStyle name="_DEM-WP (C) Power Cost 2006GRC Order_Power Costs - Comparison bx Rbtl-Staff-Jt-PC_Electric Rev Req Model (2009 GRC) Revised 01-18-2010 2 3" xfId="9206"/>
    <cellStyle name="_DEM-WP (C) Power Cost 2006GRC Order_Power Costs - Comparison bx Rbtl-Staff-Jt-PC_Electric Rev Req Model (2009 GRC) Revised 01-18-2010 3" xfId="9207"/>
    <cellStyle name="_DEM-WP (C) Power Cost 2006GRC Order_Power Costs - Comparison bx Rbtl-Staff-Jt-PC_Electric Rev Req Model (2009 GRC) Revised 01-18-2010 3 2" xfId="9208"/>
    <cellStyle name="_DEM-WP (C) Power Cost 2006GRC Order_Power Costs - Comparison bx Rbtl-Staff-Jt-PC_Electric Rev Req Model (2009 GRC) Revised 01-18-2010 4" xfId="9209"/>
    <cellStyle name="_DEM-WP (C) Power Cost 2006GRC Order_Power Costs - Comparison bx Rbtl-Staff-Jt-PC_Electric Rev Req Model (2009 GRC) Revised 01-18-2010_DEM-WP(C) ENERG10C--ctn Mid-C_042010 2010GRC" xfId="9210"/>
    <cellStyle name="_DEM-WP (C) Power Cost 2006GRC Order_Power Costs - Comparison bx Rbtl-Staff-Jt-PC_Final Order Electric EXHIBIT A-1" xfId="438"/>
    <cellStyle name="_DEM-WP (C) Power Cost 2006GRC Order_Power Costs - Comparison bx Rbtl-Staff-Jt-PC_Final Order Electric EXHIBIT A-1 2" xfId="9211"/>
    <cellStyle name="_DEM-WP (C) Power Cost 2006GRC Order_Power Costs - Comparison bx Rbtl-Staff-Jt-PC_Final Order Electric EXHIBIT A-1 2 2" xfId="9212"/>
    <cellStyle name="_DEM-WP (C) Power Cost 2006GRC Order_Power Costs - Comparison bx Rbtl-Staff-Jt-PC_Final Order Electric EXHIBIT A-1 2 2 2" xfId="9213"/>
    <cellStyle name="_DEM-WP (C) Power Cost 2006GRC Order_Power Costs - Comparison bx Rbtl-Staff-Jt-PC_Final Order Electric EXHIBIT A-1 2 3" xfId="9214"/>
    <cellStyle name="_DEM-WP (C) Power Cost 2006GRC Order_Power Costs - Comparison bx Rbtl-Staff-Jt-PC_Final Order Electric EXHIBIT A-1 3" xfId="9215"/>
    <cellStyle name="_DEM-WP (C) Power Cost 2006GRC Order_Power Costs - Comparison bx Rbtl-Staff-Jt-PC_Final Order Electric EXHIBIT A-1 3 2" xfId="9216"/>
    <cellStyle name="_DEM-WP (C) Power Cost 2006GRC Order_Power Costs - Comparison bx Rbtl-Staff-Jt-PC_Final Order Electric EXHIBIT A-1 4" xfId="9217"/>
    <cellStyle name="_DEM-WP (C) Power Cost 2006GRC Order_Production Adj 4.37" xfId="9218"/>
    <cellStyle name="_DEM-WP (C) Power Cost 2006GRC Order_Production Adj 4.37 2" xfId="9219"/>
    <cellStyle name="_DEM-WP (C) Power Cost 2006GRC Order_Production Adj 4.37 2 2" xfId="9220"/>
    <cellStyle name="_DEM-WP (C) Power Cost 2006GRC Order_Production Adj 4.37 2 2 2" xfId="9221"/>
    <cellStyle name="_DEM-WP (C) Power Cost 2006GRC Order_Production Adj 4.37 2 3" xfId="9222"/>
    <cellStyle name="_DEM-WP (C) Power Cost 2006GRC Order_Production Adj 4.37 3" xfId="9223"/>
    <cellStyle name="_DEM-WP (C) Power Cost 2006GRC Order_Production Adj 4.37 3 2" xfId="9224"/>
    <cellStyle name="_DEM-WP (C) Power Cost 2006GRC Order_Production Adj 4.37 4" xfId="9225"/>
    <cellStyle name="_DEM-WP (C) Power Cost 2006GRC Order_Purchased Power Adj 4.03" xfId="9226"/>
    <cellStyle name="_DEM-WP (C) Power Cost 2006GRC Order_Purchased Power Adj 4.03 2" xfId="9227"/>
    <cellStyle name="_DEM-WP (C) Power Cost 2006GRC Order_Purchased Power Adj 4.03 2 2" xfId="9228"/>
    <cellStyle name="_DEM-WP (C) Power Cost 2006GRC Order_Purchased Power Adj 4.03 2 2 2" xfId="9229"/>
    <cellStyle name="_DEM-WP (C) Power Cost 2006GRC Order_Purchased Power Adj 4.03 2 3" xfId="9230"/>
    <cellStyle name="_DEM-WP (C) Power Cost 2006GRC Order_Purchased Power Adj 4.03 3" xfId="9231"/>
    <cellStyle name="_DEM-WP (C) Power Cost 2006GRC Order_Purchased Power Adj 4.03 3 2" xfId="9232"/>
    <cellStyle name="_DEM-WP (C) Power Cost 2006GRC Order_Purchased Power Adj 4.03 4" xfId="9233"/>
    <cellStyle name="_DEM-WP (C) Power Cost 2006GRC Order_Rebuttal Power Costs" xfId="439"/>
    <cellStyle name="_DEM-WP (C) Power Cost 2006GRC Order_Rebuttal Power Costs 2" xfId="9234"/>
    <cellStyle name="_DEM-WP (C) Power Cost 2006GRC Order_Rebuttal Power Costs 2 2" xfId="9235"/>
    <cellStyle name="_DEM-WP (C) Power Cost 2006GRC Order_Rebuttal Power Costs 2 2 2" xfId="9236"/>
    <cellStyle name="_DEM-WP (C) Power Cost 2006GRC Order_Rebuttal Power Costs 2 3" xfId="9237"/>
    <cellStyle name="_DEM-WP (C) Power Cost 2006GRC Order_Rebuttal Power Costs 3" xfId="9238"/>
    <cellStyle name="_DEM-WP (C) Power Cost 2006GRC Order_Rebuttal Power Costs 3 2" xfId="9239"/>
    <cellStyle name="_DEM-WP (C) Power Cost 2006GRC Order_Rebuttal Power Costs 4" xfId="9240"/>
    <cellStyle name="_DEM-WP (C) Power Cost 2006GRC Order_Rebuttal Power Costs_Adj Bench DR 3 for Initial Briefs (Electric)" xfId="440"/>
    <cellStyle name="_DEM-WP (C) Power Cost 2006GRC Order_Rebuttal Power Costs_Adj Bench DR 3 for Initial Briefs (Electric) 2" xfId="9241"/>
    <cellStyle name="_DEM-WP (C) Power Cost 2006GRC Order_Rebuttal Power Costs_Adj Bench DR 3 for Initial Briefs (Electric) 2 2" xfId="9242"/>
    <cellStyle name="_DEM-WP (C) Power Cost 2006GRC Order_Rebuttal Power Costs_Adj Bench DR 3 for Initial Briefs (Electric) 2 2 2" xfId="9243"/>
    <cellStyle name="_DEM-WP (C) Power Cost 2006GRC Order_Rebuttal Power Costs_Adj Bench DR 3 for Initial Briefs (Electric) 2 3" xfId="9244"/>
    <cellStyle name="_DEM-WP (C) Power Cost 2006GRC Order_Rebuttal Power Costs_Adj Bench DR 3 for Initial Briefs (Electric) 3" xfId="9245"/>
    <cellStyle name="_DEM-WP (C) Power Cost 2006GRC Order_Rebuttal Power Costs_Adj Bench DR 3 for Initial Briefs (Electric) 3 2" xfId="9246"/>
    <cellStyle name="_DEM-WP (C) Power Cost 2006GRC Order_Rebuttal Power Costs_Adj Bench DR 3 for Initial Briefs (Electric) 4" xfId="9247"/>
    <cellStyle name="_DEM-WP (C) Power Cost 2006GRC Order_Rebuttal Power Costs_Adj Bench DR 3 for Initial Briefs (Electric)_DEM-WP(C) ENERG10C--ctn Mid-C_042010 2010GRC" xfId="9248"/>
    <cellStyle name="_DEM-WP (C) Power Cost 2006GRC Order_Rebuttal Power Costs_DEM-WP(C) ENERG10C--ctn Mid-C_042010 2010GRC" xfId="9249"/>
    <cellStyle name="_DEM-WP (C) Power Cost 2006GRC Order_Rebuttal Power Costs_Electric Rev Req Model (2009 GRC) Rebuttal" xfId="441"/>
    <cellStyle name="_DEM-WP (C) Power Cost 2006GRC Order_Rebuttal Power Costs_Electric Rev Req Model (2009 GRC) Rebuttal 2" xfId="9250"/>
    <cellStyle name="_DEM-WP (C) Power Cost 2006GRC Order_Rebuttal Power Costs_Electric Rev Req Model (2009 GRC) Rebuttal 2 2" xfId="9251"/>
    <cellStyle name="_DEM-WP (C) Power Cost 2006GRC Order_Rebuttal Power Costs_Electric Rev Req Model (2009 GRC) Rebuttal 2 2 2" xfId="9252"/>
    <cellStyle name="_DEM-WP (C) Power Cost 2006GRC Order_Rebuttal Power Costs_Electric Rev Req Model (2009 GRC) Rebuttal 2 3" xfId="9253"/>
    <cellStyle name="_DEM-WP (C) Power Cost 2006GRC Order_Rebuttal Power Costs_Electric Rev Req Model (2009 GRC) Rebuttal 3" xfId="9254"/>
    <cellStyle name="_DEM-WP (C) Power Cost 2006GRC Order_Rebuttal Power Costs_Electric Rev Req Model (2009 GRC) Rebuttal 3 2" xfId="9255"/>
    <cellStyle name="_DEM-WP (C) Power Cost 2006GRC Order_Rebuttal Power Costs_Electric Rev Req Model (2009 GRC) Rebuttal 4" xfId="9256"/>
    <cellStyle name="_DEM-WP (C) Power Cost 2006GRC Order_Rebuttal Power Costs_Electric Rev Req Model (2009 GRC) Rebuttal REmoval of New  WH Solar AdjustMI" xfId="442"/>
    <cellStyle name="_DEM-WP (C) Power Cost 2006GRC Order_Rebuttal Power Costs_Electric Rev Req Model (2009 GRC) Rebuttal REmoval of New  WH Solar AdjustMI 2" xfId="9257"/>
    <cellStyle name="_DEM-WP (C) Power Cost 2006GRC Order_Rebuttal Power Costs_Electric Rev Req Model (2009 GRC) Rebuttal REmoval of New  WH Solar AdjustMI 2 2" xfId="9258"/>
    <cellStyle name="_DEM-WP (C) Power Cost 2006GRC Order_Rebuttal Power Costs_Electric Rev Req Model (2009 GRC) Rebuttal REmoval of New  WH Solar AdjustMI 2 2 2" xfId="9259"/>
    <cellStyle name="_DEM-WP (C) Power Cost 2006GRC Order_Rebuttal Power Costs_Electric Rev Req Model (2009 GRC) Rebuttal REmoval of New  WH Solar AdjustMI 2 3" xfId="9260"/>
    <cellStyle name="_DEM-WP (C) Power Cost 2006GRC Order_Rebuttal Power Costs_Electric Rev Req Model (2009 GRC) Rebuttal REmoval of New  WH Solar AdjustMI 3" xfId="9261"/>
    <cellStyle name="_DEM-WP (C) Power Cost 2006GRC Order_Rebuttal Power Costs_Electric Rev Req Model (2009 GRC) Rebuttal REmoval of New  WH Solar AdjustMI 3 2" xfId="9262"/>
    <cellStyle name="_DEM-WP (C) Power Cost 2006GRC Order_Rebuttal Power Costs_Electric Rev Req Model (2009 GRC) Rebuttal REmoval of New  WH Solar AdjustMI 4" xfId="9263"/>
    <cellStyle name="_DEM-WP (C) Power Cost 2006GRC Order_Rebuttal Power Costs_Electric Rev Req Model (2009 GRC) Rebuttal REmoval of New  WH Solar AdjustMI_DEM-WP(C) ENERG10C--ctn Mid-C_042010 2010GRC" xfId="9264"/>
    <cellStyle name="_DEM-WP (C) Power Cost 2006GRC Order_Rebuttal Power Costs_Electric Rev Req Model (2009 GRC) Revised 01-18-2010" xfId="443"/>
    <cellStyle name="_DEM-WP (C) Power Cost 2006GRC Order_Rebuttal Power Costs_Electric Rev Req Model (2009 GRC) Revised 01-18-2010 2" xfId="9265"/>
    <cellStyle name="_DEM-WP (C) Power Cost 2006GRC Order_Rebuttal Power Costs_Electric Rev Req Model (2009 GRC) Revised 01-18-2010 2 2" xfId="9266"/>
    <cellStyle name="_DEM-WP (C) Power Cost 2006GRC Order_Rebuttal Power Costs_Electric Rev Req Model (2009 GRC) Revised 01-18-2010 2 2 2" xfId="9267"/>
    <cellStyle name="_DEM-WP (C) Power Cost 2006GRC Order_Rebuttal Power Costs_Electric Rev Req Model (2009 GRC) Revised 01-18-2010 2 3" xfId="9268"/>
    <cellStyle name="_DEM-WP (C) Power Cost 2006GRC Order_Rebuttal Power Costs_Electric Rev Req Model (2009 GRC) Revised 01-18-2010 3" xfId="9269"/>
    <cellStyle name="_DEM-WP (C) Power Cost 2006GRC Order_Rebuttal Power Costs_Electric Rev Req Model (2009 GRC) Revised 01-18-2010 3 2" xfId="9270"/>
    <cellStyle name="_DEM-WP (C) Power Cost 2006GRC Order_Rebuttal Power Costs_Electric Rev Req Model (2009 GRC) Revised 01-18-2010 4" xfId="9271"/>
    <cellStyle name="_DEM-WP (C) Power Cost 2006GRC Order_Rebuttal Power Costs_Electric Rev Req Model (2009 GRC) Revised 01-18-2010_DEM-WP(C) ENERG10C--ctn Mid-C_042010 2010GRC" xfId="9272"/>
    <cellStyle name="_DEM-WP (C) Power Cost 2006GRC Order_Rebuttal Power Costs_Final Order Electric EXHIBIT A-1" xfId="444"/>
    <cellStyle name="_DEM-WP (C) Power Cost 2006GRC Order_Rebuttal Power Costs_Final Order Electric EXHIBIT A-1 2" xfId="9273"/>
    <cellStyle name="_DEM-WP (C) Power Cost 2006GRC Order_Rebuttal Power Costs_Final Order Electric EXHIBIT A-1 2 2" xfId="9274"/>
    <cellStyle name="_DEM-WP (C) Power Cost 2006GRC Order_Rebuttal Power Costs_Final Order Electric EXHIBIT A-1 2 2 2" xfId="9275"/>
    <cellStyle name="_DEM-WP (C) Power Cost 2006GRC Order_Rebuttal Power Costs_Final Order Electric EXHIBIT A-1 2 3" xfId="9276"/>
    <cellStyle name="_DEM-WP (C) Power Cost 2006GRC Order_Rebuttal Power Costs_Final Order Electric EXHIBIT A-1 3" xfId="9277"/>
    <cellStyle name="_DEM-WP (C) Power Cost 2006GRC Order_Rebuttal Power Costs_Final Order Electric EXHIBIT A-1 3 2" xfId="9278"/>
    <cellStyle name="_DEM-WP (C) Power Cost 2006GRC Order_Rebuttal Power Costs_Final Order Electric EXHIBIT A-1 4" xfId="9279"/>
    <cellStyle name="_DEM-WP (C) Power Cost 2006GRC Order_ROR 5.02" xfId="9280"/>
    <cellStyle name="_DEM-WP (C) Power Cost 2006GRC Order_ROR 5.02 2" xfId="9281"/>
    <cellStyle name="_DEM-WP (C) Power Cost 2006GRC Order_ROR 5.02 2 2" xfId="9282"/>
    <cellStyle name="_DEM-WP (C) Power Cost 2006GRC Order_ROR 5.02 2 2 2" xfId="9283"/>
    <cellStyle name="_DEM-WP (C) Power Cost 2006GRC Order_ROR 5.02 2 3" xfId="9284"/>
    <cellStyle name="_DEM-WP (C) Power Cost 2006GRC Order_ROR 5.02 3" xfId="9285"/>
    <cellStyle name="_DEM-WP (C) Power Cost 2006GRC Order_ROR 5.02 3 2" xfId="9286"/>
    <cellStyle name="_DEM-WP (C) Power Cost 2006GRC Order_ROR 5.02 4" xfId="9287"/>
    <cellStyle name="_DEM-WP (C) Power Cost 2006GRC Order_Scenario 1 REC vs PTC Offset" xfId="445"/>
    <cellStyle name="_DEM-WP (C) Power Cost 2006GRC Order_Scenario 3" xfId="446"/>
    <cellStyle name="_DEM-WP (C) Power Cost 2006GRC Order_Wind Integration 10GRC" xfId="9288"/>
    <cellStyle name="_DEM-WP (C) Power Cost 2006GRC Order_Wind Integration 10GRC 2" xfId="9289"/>
    <cellStyle name="_DEM-WP (C) Power Cost 2006GRC Order_Wind Integration 10GRC 2 2" xfId="9290"/>
    <cellStyle name="_DEM-WP (C) Power Cost 2006GRC Order_Wind Integration 10GRC 3" xfId="9291"/>
    <cellStyle name="_DEM-WP (C) Power Cost 2006GRC Order_Wind Integration 10GRC_DEM-WP(C) ENERG10C--ctn Mid-C_042010 2010GRC" xfId="9292"/>
    <cellStyle name="_DEM-WP Revised (HC) Wild Horse 2006GRC" xfId="447"/>
    <cellStyle name="_DEM-WP Revised (HC) Wild Horse 2006GRC 2" xfId="9293"/>
    <cellStyle name="_DEM-WP Revised (HC) Wild Horse 2006GRC 2 2" xfId="9294"/>
    <cellStyle name="_DEM-WP Revised (HC) Wild Horse 2006GRC 2 2 2" xfId="9295"/>
    <cellStyle name="_DEM-WP Revised (HC) Wild Horse 2006GRC 2 3" xfId="9296"/>
    <cellStyle name="_DEM-WP Revised (HC) Wild Horse 2006GRC 3" xfId="9297"/>
    <cellStyle name="_DEM-WP Revised (HC) Wild Horse 2006GRC 3 2" xfId="9298"/>
    <cellStyle name="_DEM-WP Revised (HC) Wild Horse 2006GRC 4" xfId="9299"/>
    <cellStyle name="_DEM-WP Revised (HC) Wild Horse 2006GRC_16.37E Wild Horse Expansion DeferralRevwrkingfile SF" xfId="448"/>
    <cellStyle name="_DEM-WP Revised (HC) Wild Horse 2006GRC_16.37E Wild Horse Expansion DeferralRevwrkingfile SF 2" xfId="9300"/>
    <cellStyle name="_DEM-WP Revised (HC) Wild Horse 2006GRC_16.37E Wild Horse Expansion DeferralRevwrkingfile SF 2 2" xfId="9301"/>
    <cellStyle name="_DEM-WP Revised (HC) Wild Horse 2006GRC_16.37E Wild Horse Expansion DeferralRevwrkingfile SF 2 2 2" xfId="9302"/>
    <cellStyle name="_DEM-WP Revised (HC) Wild Horse 2006GRC_16.37E Wild Horse Expansion DeferralRevwrkingfile SF 2 3" xfId="9303"/>
    <cellStyle name="_DEM-WP Revised (HC) Wild Horse 2006GRC_16.37E Wild Horse Expansion DeferralRevwrkingfile SF 3" xfId="9304"/>
    <cellStyle name="_DEM-WP Revised (HC) Wild Horse 2006GRC_16.37E Wild Horse Expansion DeferralRevwrkingfile SF 3 2" xfId="9305"/>
    <cellStyle name="_DEM-WP Revised (HC) Wild Horse 2006GRC_16.37E Wild Horse Expansion DeferralRevwrkingfile SF 4" xfId="9306"/>
    <cellStyle name="_DEM-WP Revised (HC) Wild Horse 2006GRC_16.37E Wild Horse Expansion DeferralRevwrkingfile SF_DEM-WP(C) ENERG10C--ctn Mid-C_042010 2010GRC" xfId="9307"/>
    <cellStyle name="_DEM-WP Revised (HC) Wild Horse 2006GRC_2009 GRC Compl Filing - Exhibit D" xfId="449"/>
    <cellStyle name="_DEM-WP Revised (HC) Wild Horse 2006GRC_2009 GRC Compl Filing - Exhibit D 2" xfId="9308"/>
    <cellStyle name="_DEM-WP Revised (HC) Wild Horse 2006GRC_2009 GRC Compl Filing - Exhibit D 2 2" xfId="9309"/>
    <cellStyle name="_DEM-WP Revised (HC) Wild Horse 2006GRC_2009 GRC Compl Filing - Exhibit D 3" xfId="9310"/>
    <cellStyle name="_DEM-WP Revised (HC) Wild Horse 2006GRC_2009 GRC Compl Filing - Exhibit D_DEM-WP(C) ENERG10C--ctn Mid-C_042010 2010GRC" xfId="9311"/>
    <cellStyle name="_DEM-WP Revised (HC) Wild Horse 2006GRC_Adj Bench DR 3 for Initial Briefs (Electric)" xfId="450"/>
    <cellStyle name="_DEM-WP Revised (HC) Wild Horse 2006GRC_Adj Bench DR 3 for Initial Briefs (Electric) 2" xfId="9312"/>
    <cellStyle name="_DEM-WP Revised (HC) Wild Horse 2006GRC_Adj Bench DR 3 for Initial Briefs (Electric) 2 2" xfId="9313"/>
    <cellStyle name="_DEM-WP Revised (HC) Wild Horse 2006GRC_Adj Bench DR 3 for Initial Briefs (Electric) 2 2 2" xfId="9314"/>
    <cellStyle name="_DEM-WP Revised (HC) Wild Horse 2006GRC_Adj Bench DR 3 for Initial Briefs (Electric) 2 3" xfId="9315"/>
    <cellStyle name="_DEM-WP Revised (HC) Wild Horse 2006GRC_Adj Bench DR 3 for Initial Briefs (Electric) 3" xfId="9316"/>
    <cellStyle name="_DEM-WP Revised (HC) Wild Horse 2006GRC_Adj Bench DR 3 for Initial Briefs (Electric) 3 2" xfId="9317"/>
    <cellStyle name="_DEM-WP Revised (HC) Wild Horse 2006GRC_Adj Bench DR 3 for Initial Briefs (Electric) 4" xfId="9318"/>
    <cellStyle name="_DEM-WP Revised (HC) Wild Horse 2006GRC_Adj Bench DR 3 for Initial Briefs (Electric)_DEM-WP(C) ENERG10C--ctn Mid-C_042010 2010GRC" xfId="9319"/>
    <cellStyle name="_DEM-WP Revised (HC) Wild Horse 2006GRC_Book1" xfId="9320"/>
    <cellStyle name="_DEM-WP Revised (HC) Wild Horse 2006GRC_Book2" xfId="451"/>
    <cellStyle name="_DEM-WP Revised (HC) Wild Horse 2006GRC_Book2 2" xfId="9321"/>
    <cellStyle name="_DEM-WP Revised (HC) Wild Horse 2006GRC_Book2 2 2" xfId="9322"/>
    <cellStyle name="_DEM-WP Revised (HC) Wild Horse 2006GRC_Book2 2 2 2" xfId="9323"/>
    <cellStyle name="_DEM-WP Revised (HC) Wild Horse 2006GRC_Book2 2 3" xfId="9324"/>
    <cellStyle name="_DEM-WP Revised (HC) Wild Horse 2006GRC_Book2 3" xfId="9325"/>
    <cellStyle name="_DEM-WP Revised (HC) Wild Horse 2006GRC_Book2 3 2" xfId="9326"/>
    <cellStyle name="_DEM-WP Revised (HC) Wild Horse 2006GRC_Book2 4" xfId="9327"/>
    <cellStyle name="_DEM-WP Revised (HC) Wild Horse 2006GRC_Book2_DEM-WP(C) ENERG10C--ctn Mid-C_042010 2010GRC" xfId="9328"/>
    <cellStyle name="_DEM-WP Revised (HC) Wild Horse 2006GRC_Book4" xfId="452"/>
    <cellStyle name="_DEM-WP Revised (HC) Wild Horse 2006GRC_Book4 2" xfId="9329"/>
    <cellStyle name="_DEM-WP Revised (HC) Wild Horse 2006GRC_Book4 2 2" xfId="9330"/>
    <cellStyle name="_DEM-WP Revised (HC) Wild Horse 2006GRC_Book4 2 2 2" xfId="9331"/>
    <cellStyle name="_DEM-WP Revised (HC) Wild Horse 2006GRC_Book4 2 3" xfId="9332"/>
    <cellStyle name="_DEM-WP Revised (HC) Wild Horse 2006GRC_Book4 3" xfId="9333"/>
    <cellStyle name="_DEM-WP Revised (HC) Wild Horse 2006GRC_Book4 3 2" xfId="9334"/>
    <cellStyle name="_DEM-WP Revised (HC) Wild Horse 2006GRC_Book4 4" xfId="9335"/>
    <cellStyle name="_DEM-WP Revised (HC) Wild Horse 2006GRC_Book4_DEM-WP(C) ENERG10C--ctn Mid-C_042010 2010GRC" xfId="9336"/>
    <cellStyle name="_DEM-WP Revised (HC) Wild Horse 2006GRC_DEM-WP(C) ENERG10C--ctn Mid-C_042010 2010GRC" xfId="9337"/>
    <cellStyle name="_DEM-WP Revised (HC) Wild Horse 2006GRC_Electric Rev Req Model (2009 GRC) " xfId="453"/>
    <cellStyle name="_DEM-WP Revised (HC) Wild Horse 2006GRC_Electric Rev Req Model (2009 GRC)  2" xfId="9338"/>
    <cellStyle name="_DEM-WP Revised (HC) Wild Horse 2006GRC_Electric Rev Req Model (2009 GRC)  2 2" xfId="9339"/>
    <cellStyle name="_DEM-WP Revised (HC) Wild Horse 2006GRC_Electric Rev Req Model (2009 GRC)  2 2 2" xfId="9340"/>
    <cellStyle name="_DEM-WP Revised (HC) Wild Horse 2006GRC_Electric Rev Req Model (2009 GRC)  2 3" xfId="9341"/>
    <cellStyle name="_DEM-WP Revised (HC) Wild Horse 2006GRC_Electric Rev Req Model (2009 GRC)  3" xfId="9342"/>
    <cellStyle name="_DEM-WP Revised (HC) Wild Horse 2006GRC_Electric Rev Req Model (2009 GRC)  3 2" xfId="9343"/>
    <cellStyle name="_DEM-WP Revised (HC) Wild Horse 2006GRC_Electric Rev Req Model (2009 GRC)  4" xfId="9344"/>
    <cellStyle name="_DEM-WP Revised (HC) Wild Horse 2006GRC_Electric Rev Req Model (2009 GRC) _DEM-WP(C) ENERG10C--ctn Mid-C_042010 2010GRC" xfId="9345"/>
    <cellStyle name="_DEM-WP Revised (HC) Wild Horse 2006GRC_Electric Rev Req Model (2009 GRC) Rebuttal" xfId="454"/>
    <cellStyle name="_DEM-WP Revised (HC) Wild Horse 2006GRC_Electric Rev Req Model (2009 GRC) Rebuttal 2" xfId="9346"/>
    <cellStyle name="_DEM-WP Revised (HC) Wild Horse 2006GRC_Electric Rev Req Model (2009 GRC) Rebuttal 2 2" xfId="9347"/>
    <cellStyle name="_DEM-WP Revised (HC) Wild Horse 2006GRC_Electric Rev Req Model (2009 GRC) Rebuttal 2 2 2" xfId="9348"/>
    <cellStyle name="_DEM-WP Revised (HC) Wild Horse 2006GRC_Electric Rev Req Model (2009 GRC) Rebuttal 2 3" xfId="9349"/>
    <cellStyle name="_DEM-WP Revised (HC) Wild Horse 2006GRC_Electric Rev Req Model (2009 GRC) Rebuttal 3" xfId="9350"/>
    <cellStyle name="_DEM-WP Revised (HC) Wild Horse 2006GRC_Electric Rev Req Model (2009 GRC) Rebuttal 3 2" xfId="9351"/>
    <cellStyle name="_DEM-WP Revised (HC) Wild Horse 2006GRC_Electric Rev Req Model (2009 GRC) Rebuttal 4" xfId="9352"/>
    <cellStyle name="_DEM-WP Revised (HC) Wild Horse 2006GRC_Electric Rev Req Model (2009 GRC) Rebuttal REmoval of New  WH Solar AdjustMI" xfId="455"/>
    <cellStyle name="_DEM-WP Revised (HC) Wild Horse 2006GRC_Electric Rev Req Model (2009 GRC) Rebuttal REmoval of New  WH Solar AdjustMI 2" xfId="9353"/>
    <cellStyle name="_DEM-WP Revised (HC) Wild Horse 2006GRC_Electric Rev Req Model (2009 GRC) Rebuttal REmoval of New  WH Solar AdjustMI 2 2" xfId="9354"/>
    <cellStyle name="_DEM-WP Revised (HC) Wild Horse 2006GRC_Electric Rev Req Model (2009 GRC) Rebuttal REmoval of New  WH Solar AdjustMI 2 2 2" xfId="9355"/>
    <cellStyle name="_DEM-WP Revised (HC) Wild Horse 2006GRC_Electric Rev Req Model (2009 GRC) Rebuttal REmoval of New  WH Solar AdjustMI 2 3" xfId="9356"/>
    <cellStyle name="_DEM-WP Revised (HC) Wild Horse 2006GRC_Electric Rev Req Model (2009 GRC) Rebuttal REmoval of New  WH Solar AdjustMI 3" xfId="9357"/>
    <cellStyle name="_DEM-WP Revised (HC) Wild Horse 2006GRC_Electric Rev Req Model (2009 GRC) Rebuttal REmoval of New  WH Solar AdjustMI 3 2" xfId="9358"/>
    <cellStyle name="_DEM-WP Revised (HC) Wild Horse 2006GRC_Electric Rev Req Model (2009 GRC) Rebuttal REmoval of New  WH Solar AdjustMI 4" xfId="9359"/>
    <cellStyle name="_DEM-WP Revised (HC) Wild Horse 2006GRC_Electric Rev Req Model (2009 GRC) Rebuttal REmoval of New  WH Solar AdjustMI_DEM-WP(C) ENERG10C--ctn Mid-C_042010 2010GRC" xfId="9360"/>
    <cellStyle name="_DEM-WP Revised (HC) Wild Horse 2006GRC_Electric Rev Req Model (2009 GRC) Revised 01-18-2010" xfId="456"/>
    <cellStyle name="_DEM-WP Revised (HC) Wild Horse 2006GRC_Electric Rev Req Model (2009 GRC) Revised 01-18-2010 2" xfId="9361"/>
    <cellStyle name="_DEM-WP Revised (HC) Wild Horse 2006GRC_Electric Rev Req Model (2009 GRC) Revised 01-18-2010 2 2" xfId="9362"/>
    <cellStyle name="_DEM-WP Revised (HC) Wild Horse 2006GRC_Electric Rev Req Model (2009 GRC) Revised 01-18-2010 2 2 2" xfId="9363"/>
    <cellStyle name="_DEM-WP Revised (HC) Wild Horse 2006GRC_Electric Rev Req Model (2009 GRC) Revised 01-18-2010 2 3" xfId="9364"/>
    <cellStyle name="_DEM-WP Revised (HC) Wild Horse 2006GRC_Electric Rev Req Model (2009 GRC) Revised 01-18-2010 3" xfId="9365"/>
    <cellStyle name="_DEM-WP Revised (HC) Wild Horse 2006GRC_Electric Rev Req Model (2009 GRC) Revised 01-18-2010 3 2" xfId="9366"/>
    <cellStyle name="_DEM-WP Revised (HC) Wild Horse 2006GRC_Electric Rev Req Model (2009 GRC) Revised 01-18-2010 4" xfId="9367"/>
    <cellStyle name="_DEM-WP Revised (HC) Wild Horse 2006GRC_Electric Rev Req Model (2009 GRC) Revised 01-18-2010_DEM-WP(C) ENERG10C--ctn Mid-C_042010 2010GRC" xfId="9368"/>
    <cellStyle name="_DEM-WP Revised (HC) Wild Horse 2006GRC_Electric Rev Req Model (2010 GRC)" xfId="9369"/>
    <cellStyle name="_DEM-WP Revised (HC) Wild Horse 2006GRC_Electric Rev Req Model (2010 GRC) SF" xfId="9370"/>
    <cellStyle name="_DEM-WP Revised (HC) Wild Horse 2006GRC_Final Order Electric EXHIBIT A-1" xfId="457"/>
    <cellStyle name="_DEM-WP Revised (HC) Wild Horse 2006GRC_Final Order Electric EXHIBIT A-1 2" xfId="9371"/>
    <cellStyle name="_DEM-WP Revised (HC) Wild Horse 2006GRC_Final Order Electric EXHIBIT A-1 2 2" xfId="9372"/>
    <cellStyle name="_DEM-WP Revised (HC) Wild Horse 2006GRC_Final Order Electric EXHIBIT A-1 2 2 2" xfId="9373"/>
    <cellStyle name="_DEM-WP Revised (HC) Wild Horse 2006GRC_Final Order Electric EXHIBIT A-1 2 3" xfId="9374"/>
    <cellStyle name="_DEM-WP Revised (HC) Wild Horse 2006GRC_Final Order Electric EXHIBIT A-1 3" xfId="9375"/>
    <cellStyle name="_DEM-WP Revised (HC) Wild Horse 2006GRC_Final Order Electric EXHIBIT A-1 3 2" xfId="9376"/>
    <cellStyle name="_DEM-WP Revised (HC) Wild Horse 2006GRC_Final Order Electric EXHIBIT A-1 4" xfId="9377"/>
    <cellStyle name="_DEM-WP Revised (HC) Wild Horse 2006GRC_NIM Summary" xfId="9378"/>
    <cellStyle name="_DEM-WP Revised (HC) Wild Horse 2006GRC_NIM Summary 2" xfId="9379"/>
    <cellStyle name="_DEM-WP Revised (HC) Wild Horse 2006GRC_NIM Summary 2 2" xfId="9380"/>
    <cellStyle name="_DEM-WP Revised (HC) Wild Horse 2006GRC_NIM Summary 3" xfId="9381"/>
    <cellStyle name="_DEM-WP Revised (HC) Wild Horse 2006GRC_NIM Summary_DEM-WP(C) ENERG10C--ctn Mid-C_042010 2010GRC" xfId="9382"/>
    <cellStyle name="_DEM-WP Revised (HC) Wild Horse 2006GRC_Power Costs - Comparison bx Rbtl-Staff-Jt-PC" xfId="458"/>
    <cellStyle name="_DEM-WP Revised (HC) Wild Horse 2006GRC_Power Costs - Comparison bx Rbtl-Staff-Jt-PC 2" xfId="9383"/>
    <cellStyle name="_DEM-WP Revised (HC) Wild Horse 2006GRC_Power Costs - Comparison bx Rbtl-Staff-Jt-PC 2 2" xfId="9384"/>
    <cellStyle name="_DEM-WP Revised (HC) Wild Horse 2006GRC_Power Costs - Comparison bx Rbtl-Staff-Jt-PC 2 2 2" xfId="9385"/>
    <cellStyle name="_DEM-WP Revised (HC) Wild Horse 2006GRC_Power Costs - Comparison bx Rbtl-Staff-Jt-PC 2 3" xfId="9386"/>
    <cellStyle name="_DEM-WP Revised (HC) Wild Horse 2006GRC_Power Costs - Comparison bx Rbtl-Staff-Jt-PC 3" xfId="9387"/>
    <cellStyle name="_DEM-WP Revised (HC) Wild Horse 2006GRC_Power Costs - Comparison bx Rbtl-Staff-Jt-PC 3 2" xfId="9388"/>
    <cellStyle name="_DEM-WP Revised (HC) Wild Horse 2006GRC_Power Costs - Comparison bx Rbtl-Staff-Jt-PC 4" xfId="9389"/>
    <cellStyle name="_DEM-WP Revised (HC) Wild Horse 2006GRC_Power Costs - Comparison bx Rbtl-Staff-Jt-PC_DEM-WP(C) ENERG10C--ctn Mid-C_042010 2010GRC" xfId="9390"/>
    <cellStyle name="_DEM-WP Revised (HC) Wild Horse 2006GRC_Rebuttal Power Costs" xfId="459"/>
    <cellStyle name="_DEM-WP Revised (HC) Wild Horse 2006GRC_Rebuttal Power Costs 2" xfId="9391"/>
    <cellStyle name="_DEM-WP Revised (HC) Wild Horse 2006GRC_Rebuttal Power Costs 2 2" xfId="9392"/>
    <cellStyle name="_DEM-WP Revised (HC) Wild Horse 2006GRC_Rebuttal Power Costs 2 2 2" xfId="9393"/>
    <cellStyle name="_DEM-WP Revised (HC) Wild Horse 2006GRC_Rebuttal Power Costs 2 3" xfId="9394"/>
    <cellStyle name="_DEM-WP Revised (HC) Wild Horse 2006GRC_Rebuttal Power Costs 3" xfId="9395"/>
    <cellStyle name="_DEM-WP Revised (HC) Wild Horse 2006GRC_Rebuttal Power Costs 3 2" xfId="9396"/>
    <cellStyle name="_DEM-WP Revised (HC) Wild Horse 2006GRC_Rebuttal Power Costs 4" xfId="9397"/>
    <cellStyle name="_DEM-WP Revised (HC) Wild Horse 2006GRC_Rebuttal Power Costs_DEM-WP(C) ENERG10C--ctn Mid-C_042010 2010GRC" xfId="9398"/>
    <cellStyle name="_DEM-WP Revised (HC) Wild Horse 2006GRC_TENASKA REGULATORY ASSET" xfId="460"/>
    <cellStyle name="_DEM-WP Revised (HC) Wild Horse 2006GRC_TENASKA REGULATORY ASSET 2" xfId="9399"/>
    <cellStyle name="_DEM-WP Revised (HC) Wild Horse 2006GRC_TENASKA REGULATORY ASSET 2 2" xfId="9400"/>
    <cellStyle name="_DEM-WP Revised (HC) Wild Horse 2006GRC_TENASKA REGULATORY ASSET 2 2 2" xfId="9401"/>
    <cellStyle name="_DEM-WP Revised (HC) Wild Horse 2006GRC_TENASKA REGULATORY ASSET 2 3" xfId="9402"/>
    <cellStyle name="_DEM-WP Revised (HC) Wild Horse 2006GRC_TENASKA REGULATORY ASSET 3" xfId="9403"/>
    <cellStyle name="_DEM-WP Revised (HC) Wild Horse 2006GRC_TENASKA REGULATORY ASSET 3 2" xfId="9404"/>
    <cellStyle name="_DEM-WP Revised (HC) Wild Horse 2006GRC_TENASKA REGULATORY ASSET 4" xfId="9405"/>
    <cellStyle name="_x0013__DEM-WP(C) Colstrip 12 Coal Cost Forecast 2010GRC" xfId="9406"/>
    <cellStyle name="_x0013__DEM-WP(C) Colstrip 12 Coal Cost Forecast 2010GRC 2" xfId="9407"/>
    <cellStyle name="_DEM-WP(C) Colstrip FOR" xfId="461"/>
    <cellStyle name="_DEM-WP(C) Colstrip FOR 2" xfId="9408"/>
    <cellStyle name="_DEM-WP(C) Colstrip FOR 2 2" xfId="9409"/>
    <cellStyle name="_DEM-WP(C) Colstrip FOR 2 2 2" xfId="9410"/>
    <cellStyle name="_DEM-WP(C) Colstrip FOR 2 3" xfId="9411"/>
    <cellStyle name="_DEM-WP(C) Colstrip FOR 3" xfId="9412"/>
    <cellStyle name="_DEM-WP(C) Colstrip FOR 3 2" xfId="9413"/>
    <cellStyle name="_DEM-WP(C) Colstrip FOR 4" xfId="9414"/>
    <cellStyle name="_DEM-WP(C) Colstrip FOR 4 2" xfId="9415"/>
    <cellStyle name="_DEM-WP(C) Colstrip FOR 5" xfId="9416"/>
    <cellStyle name="_DEM-WP(C) Colstrip FOR 5 2" xfId="9417"/>
    <cellStyle name="_DEM-WP(C) Colstrip FOR 6" xfId="9418"/>
    <cellStyle name="_DEM-WP(C) Colstrip FOR 6 2" xfId="9419"/>
    <cellStyle name="_DEM-WP(C) Colstrip FOR Apr08 update" xfId="9420"/>
    <cellStyle name="_DEM-WP(C) Colstrip FOR_(C) WHE Proforma with ITC cash grant 10 Yr Amort_for rebuttal_120709" xfId="462"/>
    <cellStyle name="_DEM-WP(C) Colstrip FOR_(C) WHE Proforma with ITC cash grant 10 Yr Amort_for rebuttal_120709 2" xfId="9421"/>
    <cellStyle name="_DEM-WP(C) Colstrip FOR_(C) WHE Proforma with ITC cash grant 10 Yr Amort_for rebuttal_120709 2 2" xfId="9422"/>
    <cellStyle name="_DEM-WP(C) Colstrip FOR_(C) WHE Proforma with ITC cash grant 10 Yr Amort_for rebuttal_120709 2 2 2" xfId="9423"/>
    <cellStyle name="_DEM-WP(C) Colstrip FOR_(C) WHE Proforma with ITC cash grant 10 Yr Amort_for rebuttal_120709 2 3" xfId="9424"/>
    <cellStyle name="_DEM-WP(C) Colstrip FOR_(C) WHE Proforma with ITC cash grant 10 Yr Amort_for rebuttal_120709 3" xfId="9425"/>
    <cellStyle name="_DEM-WP(C) Colstrip FOR_(C) WHE Proforma with ITC cash grant 10 Yr Amort_for rebuttal_120709 3 2" xfId="9426"/>
    <cellStyle name="_DEM-WP(C) Colstrip FOR_(C) WHE Proforma with ITC cash grant 10 Yr Amort_for rebuttal_120709 4" xfId="9427"/>
    <cellStyle name="_DEM-WP(C) Colstrip FOR_(C) WHE Proforma with ITC cash grant 10 Yr Amort_for rebuttal_120709_DEM-WP(C) ENERG10C--ctn Mid-C_042010 2010GRC" xfId="9428"/>
    <cellStyle name="_DEM-WP(C) Colstrip FOR_16.07E Wild Horse Wind Expansionwrkingfile" xfId="463"/>
    <cellStyle name="_DEM-WP(C) Colstrip FOR_16.07E Wild Horse Wind Expansionwrkingfile 2" xfId="9429"/>
    <cellStyle name="_DEM-WP(C) Colstrip FOR_16.07E Wild Horse Wind Expansionwrkingfile 2 2" xfId="9430"/>
    <cellStyle name="_DEM-WP(C) Colstrip FOR_16.07E Wild Horse Wind Expansionwrkingfile 2 2 2" xfId="9431"/>
    <cellStyle name="_DEM-WP(C) Colstrip FOR_16.07E Wild Horse Wind Expansionwrkingfile 2 3" xfId="9432"/>
    <cellStyle name="_DEM-WP(C) Colstrip FOR_16.07E Wild Horse Wind Expansionwrkingfile 3" xfId="9433"/>
    <cellStyle name="_DEM-WP(C) Colstrip FOR_16.07E Wild Horse Wind Expansionwrkingfile 3 2" xfId="9434"/>
    <cellStyle name="_DEM-WP(C) Colstrip FOR_16.07E Wild Horse Wind Expansionwrkingfile 4" xfId="9435"/>
    <cellStyle name="_DEM-WP(C) Colstrip FOR_16.07E Wild Horse Wind Expansionwrkingfile SF" xfId="464"/>
    <cellStyle name="_DEM-WP(C) Colstrip FOR_16.07E Wild Horse Wind Expansionwrkingfile SF 2" xfId="9436"/>
    <cellStyle name="_DEM-WP(C) Colstrip FOR_16.07E Wild Horse Wind Expansionwrkingfile SF 2 2" xfId="9437"/>
    <cellStyle name="_DEM-WP(C) Colstrip FOR_16.07E Wild Horse Wind Expansionwrkingfile SF 2 2 2" xfId="9438"/>
    <cellStyle name="_DEM-WP(C) Colstrip FOR_16.07E Wild Horse Wind Expansionwrkingfile SF 2 3" xfId="9439"/>
    <cellStyle name="_DEM-WP(C) Colstrip FOR_16.07E Wild Horse Wind Expansionwrkingfile SF 3" xfId="9440"/>
    <cellStyle name="_DEM-WP(C) Colstrip FOR_16.07E Wild Horse Wind Expansionwrkingfile SF 3 2" xfId="9441"/>
    <cellStyle name="_DEM-WP(C) Colstrip FOR_16.07E Wild Horse Wind Expansionwrkingfile SF 4" xfId="9442"/>
    <cellStyle name="_DEM-WP(C) Colstrip FOR_16.07E Wild Horse Wind Expansionwrkingfile SF_DEM-WP(C) ENERG10C--ctn Mid-C_042010 2010GRC" xfId="9443"/>
    <cellStyle name="_DEM-WP(C) Colstrip FOR_16.07E Wild Horse Wind Expansionwrkingfile_DEM-WP(C) ENERG10C--ctn Mid-C_042010 2010GRC" xfId="9444"/>
    <cellStyle name="_DEM-WP(C) Colstrip FOR_16.37E Wild Horse Expansion DeferralRevwrkingfile SF" xfId="465"/>
    <cellStyle name="_DEM-WP(C) Colstrip FOR_16.37E Wild Horse Expansion DeferralRevwrkingfile SF 2" xfId="9445"/>
    <cellStyle name="_DEM-WP(C) Colstrip FOR_16.37E Wild Horse Expansion DeferralRevwrkingfile SF 2 2" xfId="9446"/>
    <cellStyle name="_DEM-WP(C) Colstrip FOR_16.37E Wild Horse Expansion DeferralRevwrkingfile SF 2 2 2" xfId="9447"/>
    <cellStyle name="_DEM-WP(C) Colstrip FOR_16.37E Wild Horse Expansion DeferralRevwrkingfile SF 2 3" xfId="9448"/>
    <cellStyle name="_DEM-WP(C) Colstrip FOR_16.37E Wild Horse Expansion DeferralRevwrkingfile SF 3" xfId="9449"/>
    <cellStyle name="_DEM-WP(C) Colstrip FOR_16.37E Wild Horse Expansion DeferralRevwrkingfile SF 3 2" xfId="9450"/>
    <cellStyle name="_DEM-WP(C) Colstrip FOR_16.37E Wild Horse Expansion DeferralRevwrkingfile SF 4" xfId="9451"/>
    <cellStyle name="_DEM-WP(C) Colstrip FOR_16.37E Wild Horse Expansion DeferralRevwrkingfile SF_DEM-WP(C) ENERG10C--ctn Mid-C_042010 2010GRC" xfId="9452"/>
    <cellStyle name="_DEM-WP(C) Colstrip FOR_Adj Bench DR 3 for Initial Briefs (Electric)" xfId="466"/>
    <cellStyle name="_DEM-WP(C) Colstrip FOR_Adj Bench DR 3 for Initial Briefs (Electric) 2" xfId="9453"/>
    <cellStyle name="_DEM-WP(C) Colstrip FOR_Adj Bench DR 3 for Initial Briefs (Electric) 2 2" xfId="9454"/>
    <cellStyle name="_DEM-WP(C) Colstrip FOR_Adj Bench DR 3 for Initial Briefs (Electric) 2 2 2" xfId="9455"/>
    <cellStyle name="_DEM-WP(C) Colstrip FOR_Adj Bench DR 3 for Initial Briefs (Electric) 2 3" xfId="9456"/>
    <cellStyle name="_DEM-WP(C) Colstrip FOR_Adj Bench DR 3 for Initial Briefs (Electric) 3" xfId="9457"/>
    <cellStyle name="_DEM-WP(C) Colstrip FOR_Adj Bench DR 3 for Initial Briefs (Electric) 3 2" xfId="9458"/>
    <cellStyle name="_DEM-WP(C) Colstrip FOR_Adj Bench DR 3 for Initial Briefs (Electric) 4" xfId="9459"/>
    <cellStyle name="_DEM-WP(C) Colstrip FOR_Adj Bench DR 3 for Initial Briefs (Electric)_DEM-WP(C) ENERG10C--ctn Mid-C_042010 2010GRC" xfId="9460"/>
    <cellStyle name="_DEM-WP(C) Colstrip FOR_Book2" xfId="467"/>
    <cellStyle name="_DEM-WP(C) Colstrip FOR_Book2 2" xfId="9461"/>
    <cellStyle name="_DEM-WP(C) Colstrip FOR_Book2 2 2" xfId="9462"/>
    <cellStyle name="_DEM-WP(C) Colstrip FOR_Book2 2 2 2" xfId="9463"/>
    <cellStyle name="_DEM-WP(C) Colstrip FOR_Book2 2 3" xfId="9464"/>
    <cellStyle name="_DEM-WP(C) Colstrip FOR_Book2 3" xfId="9465"/>
    <cellStyle name="_DEM-WP(C) Colstrip FOR_Book2 3 2" xfId="9466"/>
    <cellStyle name="_DEM-WP(C) Colstrip FOR_Book2 4" xfId="9467"/>
    <cellStyle name="_DEM-WP(C) Colstrip FOR_Book2_Adj Bench DR 3 for Initial Briefs (Electric)" xfId="468"/>
    <cellStyle name="_DEM-WP(C) Colstrip FOR_Book2_Adj Bench DR 3 for Initial Briefs (Electric) 2" xfId="9468"/>
    <cellStyle name="_DEM-WP(C) Colstrip FOR_Book2_Adj Bench DR 3 for Initial Briefs (Electric) 2 2" xfId="9469"/>
    <cellStyle name="_DEM-WP(C) Colstrip FOR_Book2_Adj Bench DR 3 for Initial Briefs (Electric) 2 2 2" xfId="9470"/>
    <cellStyle name="_DEM-WP(C) Colstrip FOR_Book2_Adj Bench DR 3 for Initial Briefs (Electric) 2 3" xfId="9471"/>
    <cellStyle name="_DEM-WP(C) Colstrip FOR_Book2_Adj Bench DR 3 for Initial Briefs (Electric) 3" xfId="9472"/>
    <cellStyle name="_DEM-WP(C) Colstrip FOR_Book2_Adj Bench DR 3 for Initial Briefs (Electric) 3 2" xfId="9473"/>
    <cellStyle name="_DEM-WP(C) Colstrip FOR_Book2_Adj Bench DR 3 for Initial Briefs (Electric) 4" xfId="9474"/>
    <cellStyle name="_DEM-WP(C) Colstrip FOR_Book2_Adj Bench DR 3 for Initial Briefs (Electric)_DEM-WP(C) ENERG10C--ctn Mid-C_042010 2010GRC" xfId="9475"/>
    <cellStyle name="_DEM-WP(C) Colstrip FOR_Book2_DEM-WP(C) ENERG10C--ctn Mid-C_042010 2010GRC" xfId="9476"/>
    <cellStyle name="_DEM-WP(C) Colstrip FOR_Book2_Electric Rev Req Model (2009 GRC) Rebuttal" xfId="469"/>
    <cellStyle name="_DEM-WP(C) Colstrip FOR_Book2_Electric Rev Req Model (2009 GRC) Rebuttal 2" xfId="9477"/>
    <cellStyle name="_DEM-WP(C) Colstrip FOR_Book2_Electric Rev Req Model (2009 GRC) Rebuttal 2 2" xfId="9478"/>
    <cellStyle name="_DEM-WP(C) Colstrip FOR_Book2_Electric Rev Req Model (2009 GRC) Rebuttal 2 2 2" xfId="9479"/>
    <cellStyle name="_DEM-WP(C) Colstrip FOR_Book2_Electric Rev Req Model (2009 GRC) Rebuttal 2 3" xfId="9480"/>
    <cellStyle name="_DEM-WP(C) Colstrip FOR_Book2_Electric Rev Req Model (2009 GRC) Rebuttal 3" xfId="9481"/>
    <cellStyle name="_DEM-WP(C) Colstrip FOR_Book2_Electric Rev Req Model (2009 GRC) Rebuttal 3 2" xfId="9482"/>
    <cellStyle name="_DEM-WP(C) Colstrip FOR_Book2_Electric Rev Req Model (2009 GRC) Rebuttal 4" xfId="9483"/>
    <cellStyle name="_DEM-WP(C) Colstrip FOR_Book2_Electric Rev Req Model (2009 GRC) Rebuttal REmoval of New  WH Solar AdjustMI" xfId="470"/>
    <cellStyle name="_DEM-WP(C) Colstrip FOR_Book2_Electric Rev Req Model (2009 GRC) Rebuttal REmoval of New  WH Solar AdjustMI 2" xfId="9484"/>
    <cellStyle name="_DEM-WP(C) Colstrip FOR_Book2_Electric Rev Req Model (2009 GRC) Rebuttal REmoval of New  WH Solar AdjustMI 2 2" xfId="9485"/>
    <cellStyle name="_DEM-WP(C) Colstrip FOR_Book2_Electric Rev Req Model (2009 GRC) Rebuttal REmoval of New  WH Solar AdjustMI 2 2 2" xfId="9486"/>
    <cellStyle name="_DEM-WP(C) Colstrip FOR_Book2_Electric Rev Req Model (2009 GRC) Rebuttal REmoval of New  WH Solar AdjustMI 2 3" xfId="9487"/>
    <cellStyle name="_DEM-WP(C) Colstrip FOR_Book2_Electric Rev Req Model (2009 GRC) Rebuttal REmoval of New  WH Solar AdjustMI 3" xfId="9488"/>
    <cellStyle name="_DEM-WP(C) Colstrip FOR_Book2_Electric Rev Req Model (2009 GRC) Rebuttal REmoval of New  WH Solar AdjustMI 3 2" xfId="9489"/>
    <cellStyle name="_DEM-WP(C) Colstrip FOR_Book2_Electric Rev Req Model (2009 GRC) Rebuttal REmoval of New  WH Solar AdjustMI 4" xfId="9490"/>
    <cellStyle name="_DEM-WP(C) Colstrip FOR_Book2_Electric Rev Req Model (2009 GRC) Rebuttal REmoval of New  WH Solar AdjustMI_DEM-WP(C) ENERG10C--ctn Mid-C_042010 2010GRC" xfId="9491"/>
    <cellStyle name="_DEM-WP(C) Colstrip FOR_Book2_Electric Rev Req Model (2009 GRC) Revised 01-18-2010" xfId="471"/>
    <cellStyle name="_DEM-WP(C) Colstrip FOR_Book2_Electric Rev Req Model (2009 GRC) Revised 01-18-2010 2" xfId="9492"/>
    <cellStyle name="_DEM-WP(C) Colstrip FOR_Book2_Electric Rev Req Model (2009 GRC) Revised 01-18-2010 2 2" xfId="9493"/>
    <cellStyle name="_DEM-WP(C) Colstrip FOR_Book2_Electric Rev Req Model (2009 GRC) Revised 01-18-2010 2 2 2" xfId="9494"/>
    <cellStyle name="_DEM-WP(C) Colstrip FOR_Book2_Electric Rev Req Model (2009 GRC) Revised 01-18-2010 2 3" xfId="9495"/>
    <cellStyle name="_DEM-WP(C) Colstrip FOR_Book2_Electric Rev Req Model (2009 GRC) Revised 01-18-2010 3" xfId="9496"/>
    <cellStyle name="_DEM-WP(C) Colstrip FOR_Book2_Electric Rev Req Model (2009 GRC) Revised 01-18-2010 3 2" xfId="9497"/>
    <cellStyle name="_DEM-WP(C) Colstrip FOR_Book2_Electric Rev Req Model (2009 GRC) Revised 01-18-2010 4" xfId="9498"/>
    <cellStyle name="_DEM-WP(C) Colstrip FOR_Book2_Electric Rev Req Model (2009 GRC) Revised 01-18-2010_DEM-WP(C) ENERG10C--ctn Mid-C_042010 2010GRC" xfId="9499"/>
    <cellStyle name="_DEM-WP(C) Colstrip FOR_Book2_Final Order Electric EXHIBIT A-1" xfId="472"/>
    <cellStyle name="_DEM-WP(C) Colstrip FOR_Book2_Final Order Electric EXHIBIT A-1 2" xfId="9500"/>
    <cellStyle name="_DEM-WP(C) Colstrip FOR_Book2_Final Order Electric EXHIBIT A-1 2 2" xfId="9501"/>
    <cellStyle name="_DEM-WP(C) Colstrip FOR_Book2_Final Order Electric EXHIBIT A-1 2 2 2" xfId="9502"/>
    <cellStyle name="_DEM-WP(C) Colstrip FOR_Book2_Final Order Electric EXHIBIT A-1 2 3" xfId="9503"/>
    <cellStyle name="_DEM-WP(C) Colstrip FOR_Book2_Final Order Electric EXHIBIT A-1 3" xfId="9504"/>
    <cellStyle name="_DEM-WP(C) Colstrip FOR_Book2_Final Order Electric EXHIBIT A-1 3 2" xfId="9505"/>
    <cellStyle name="_DEM-WP(C) Colstrip FOR_Book2_Final Order Electric EXHIBIT A-1 4" xfId="9506"/>
    <cellStyle name="_DEM-WP(C) Colstrip FOR_Colstrip 1&amp;2 Annual O&amp;M Budgets" xfId="9507"/>
    <cellStyle name="_DEM-WP(C) Colstrip FOR_Confidential Material" xfId="9508"/>
    <cellStyle name="_DEM-WP(C) Colstrip FOR_Confidential Material 2" xfId="9509"/>
    <cellStyle name="_DEM-WP(C) Colstrip FOR_DEM-WP(C) Colstrip 12 Coal Cost Forecast 2010GRC" xfId="9510"/>
    <cellStyle name="_DEM-WP(C) Colstrip FOR_DEM-WP(C) Colstrip 12 Coal Cost Forecast 2010GRC 2" xfId="9511"/>
    <cellStyle name="_DEM-WP(C) Colstrip FOR_DEM-WP(C) ENERG10C--ctn Mid-C_042010 2010GRC" xfId="9512"/>
    <cellStyle name="_DEM-WP(C) Colstrip FOR_DEM-WP(C) Production O&amp;M 2010GRC As-Filed" xfId="9513"/>
    <cellStyle name="_DEM-WP(C) Colstrip FOR_DEM-WP(C) Production O&amp;M 2010GRC As-Filed 2" xfId="9514"/>
    <cellStyle name="_DEM-WP(C) Colstrip FOR_DEM-WP(C) Production O&amp;M 2010GRC As-Filed 2 2" xfId="9515"/>
    <cellStyle name="_DEM-WP(C) Colstrip FOR_DEM-WP(C) Production O&amp;M 2010GRC As-Filed 3" xfId="9516"/>
    <cellStyle name="_DEM-WP(C) Colstrip FOR_DEM-WP(C) Production O&amp;M 2010GRC As-Filed 3 2" xfId="9517"/>
    <cellStyle name="_DEM-WP(C) Colstrip FOR_DEM-WP(C) Production O&amp;M 2010GRC As-Filed 4" xfId="9518"/>
    <cellStyle name="_DEM-WP(C) Colstrip FOR_DEM-WP(C) Production O&amp;M 2010GRC As-Filed 4 2" xfId="9519"/>
    <cellStyle name="_DEM-WP(C) Colstrip FOR_DEM-WP(C) Production O&amp;M 2010GRC As-Filed 5" xfId="9520"/>
    <cellStyle name="_DEM-WP(C) Colstrip FOR_DEM-WP(C) Production O&amp;M 2010GRC As-Filed 5 2" xfId="9521"/>
    <cellStyle name="_DEM-WP(C) Colstrip FOR_DEM-WP(C) Production O&amp;M 2010GRC As-Filed 6" xfId="9522"/>
    <cellStyle name="_DEM-WP(C) Colstrip FOR_DEM-WP(C) Production O&amp;M 2010GRC As-Filed 6 2" xfId="9523"/>
    <cellStyle name="_DEM-WP(C) Colstrip FOR_Electric Rev Req Model (2009 GRC) Rebuttal" xfId="473"/>
    <cellStyle name="_DEM-WP(C) Colstrip FOR_Electric Rev Req Model (2009 GRC) Rebuttal 2" xfId="9524"/>
    <cellStyle name="_DEM-WP(C) Colstrip FOR_Electric Rev Req Model (2009 GRC) Rebuttal 2 2" xfId="9525"/>
    <cellStyle name="_DEM-WP(C) Colstrip FOR_Electric Rev Req Model (2009 GRC) Rebuttal 2 2 2" xfId="9526"/>
    <cellStyle name="_DEM-WP(C) Colstrip FOR_Electric Rev Req Model (2009 GRC) Rebuttal 2 3" xfId="9527"/>
    <cellStyle name="_DEM-WP(C) Colstrip FOR_Electric Rev Req Model (2009 GRC) Rebuttal 3" xfId="9528"/>
    <cellStyle name="_DEM-WP(C) Colstrip FOR_Electric Rev Req Model (2009 GRC) Rebuttal 3 2" xfId="9529"/>
    <cellStyle name="_DEM-WP(C) Colstrip FOR_Electric Rev Req Model (2009 GRC) Rebuttal 4" xfId="9530"/>
    <cellStyle name="_DEM-WP(C) Colstrip FOR_Electric Rev Req Model (2009 GRC) Rebuttal REmoval of New  WH Solar AdjustMI" xfId="474"/>
    <cellStyle name="_DEM-WP(C) Colstrip FOR_Electric Rev Req Model (2009 GRC) Rebuttal REmoval of New  WH Solar AdjustMI 2" xfId="9531"/>
    <cellStyle name="_DEM-WP(C) Colstrip FOR_Electric Rev Req Model (2009 GRC) Rebuttal REmoval of New  WH Solar AdjustMI 2 2" xfId="9532"/>
    <cellStyle name="_DEM-WP(C) Colstrip FOR_Electric Rev Req Model (2009 GRC) Rebuttal REmoval of New  WH Solar AdjustMI 2 2 2" xfId="9533"/>
    <cellStyle name="_DEM-WP(C) Colstrip FOR_Electric Rev Req Model (2009 GRC) Rebuttal REmoval of New  WH Solar AdjustMI 2 3" xfId="9534"/>
    <cellStyle name="_DEM-WP(C) Colstrip FOR_Electric Rev Req Model (2009 GRC) Rebuttal REmoval of New  WH Solar AdjustMI 3" xfId="9535"/>
    <cellStyle name="_DEM-WP(C) Colstrip FOR_Electric Rev Req Model (2009 GRC) Rebuttal REmoval of New  WH Solar AdjustMI 3 2" xfId="9536"/>
    <cellStyle name="_DEM-WP(C) Colstrip FOR_Electric Rev Req Model (2009 GRC) Rebuttal REmoval of New  WH Solar AdjustMI 4" xfId="9537"/>
    <cellStyle name="_DEM-WP(C) Colstrip FOR_Electric Rev Req Model (2009 GRC) Rebuttal REmoval of New  WH Solar AdjustMI_DEM-WP(C) ENERG10C--ctn Mid-C_042010 2010GRC" xfId="9538"/>
    <cellStyle name="_DEM-WP(C) Colstrip FOR_Electric Rev Req Model (2009 GRC) Revised 01-18-2010" xfId="475"/>
    <cellStyle name="_DEM-WP(C) Colstrip FOR_Electric Rev Req Model (2009 GRC) Revised 01-18-2010 2" xfId="9539"/>
    <cellStyle name="_DEM-WP(C) Colstrip FOR_Electric Rev Req Model (2009 GRC) Revised 01-18-2010 2 2" xfId="9540"/>
    <cellStyle name="_DEM-WP(C) Colstrip FOR_Electric Rev Req Model (2009 GRC) Revised 01-18-2010 2 2 2" xfId="9541"/>
    <cellStyle name="_DEM-WP(C) Colstrip FOR_Electric Rev Req Model (2009 GRC) Revised 01-18-2010 2 3" xfId="9542"/>
    <cellStyle name="_DEM-WP(C) Colstrip FOR_Electric Rev Req Model (2009 GRC) Revised 01-18-2010 3" xfId="9543"/>
    <cellStyle name="_DEM-WP(C) Colstrip FOR_Electric Rev Req Model (2009 GRC) Revised 01-18-2010 3 2" xfId="9544"/>
    <cellStyle name="_DEM-WP(C) Colstrip FOR_Electric Rev Req Model (2009 GRC) Revised 01-18-2010 4" xfId="9545"/>
    <cellStyle name="_DEM-WP(C) Colstrip FOR_Electric Rev Req Model (2009 GRC) Revised 01-18-2010_DEM-WP(C) ENERG10C--ctn Mid-C_042010 2010GRC" xfId="9546"/>
    <cellStyle name="_DEM-WP(C) Colstrip FOR_Final Order Electric EXHIBIT A-1" xfId="476"/>
    <cellStyle name="_DEM-WP(C) Colstrip FOR_Final Order Electric EXHIBIT A-1 2" xfId="9547"/>
    <cellStyle name="_DEM-WP(C) Colstrip FOR_Final Order Electric EXHIBIT A-1 2 2" xfId="9548"/>
    <cellStyle name="_DEM-WP(C) Colstrip FOR_Final Order Electric EXHIBIT A-1 2 2 2" xfId="9549"/>
    <cellStyle name="_DEM-WP(C) Colstrip FOR_Final Order Electric EXHIBIT A-1 2 3" xfId="9550"/>
    <cellStyle name="_DEM-WP(C) Colstrip FOR_Final Order Electric EXHIBIT A-1 3" xfId="9551"/>
    <cellStyle name="_DEM-WP(C) Colstrip FOR_Final Order Electric EXHIBIT A-1 3 2" xfId="9552"/>
    <cellStyle name="_DEM-WP(C) Colstrip FOR_Final Order Electric EXHIBIT A-1 4" xfId="9553"/>
    <cellStyle name="_DEM-WP(C) Colstrip FOR_Rebuttal Power Costs" xfId="477"/>
    <cellStyle name="_DEM-WP(C) Colstrip FOR_Rebuttal Power Costs 2" xfId="9554"/>
    <cellStyle name="_DEM-WP(C) Colstrip FOR_Rebuttal Power Costs 2 2" xfId="9555"/>
    <cellStyle name="_DEM-WP(C) Colstrip FOR_Rebuttal Power Costs 2 2 2" xfId="9556"/>
    <cellStyle name="_DEM-WP(C) Colstrip FOR_Rebuttal Power Costs 2 3" xfId="9557"/>
    <cellStyle name="_DEM-WP(C) Colstrip FOR_Rebuttal Power Costs 3" xfId="9558"/>
    <cellStyle name="_DEM-WP(C) Colstrip FOR_Rebuttal Power Costs 3 2" xfId="9559"/>
    <cellStyle name="_DEM-WP(C) Colstrip FOR_Rebuttal Power Costs 4" xfId="9560"/>
    <cellStyle name="_DEM-WP(C) Colstrip FOR_Rebuttal Power Costs_Adj Bench DR 3 for Initial Briefs (Electric)" xfId="478"/>
    <cellStyle name="_DEM-WP(C) Colstrip FOR_Rebuttal Power Costs_Adj Bench DR 3 for Initial Briefs (Electric) 2" xfId="9561"/>
    <cellStyle name="_DEM-WP(C) Colstrip FOR_Rebuttal Power Costs_Adj Bench DR 3 for Initial Briefs (Electric) 2 2" xfId="9562"/>
    <cellStyle name="_DEM-WP(C) Colstrip FOR_Rebuttal Power Costs_Adj Bench DR 3 for Initial Briefs (Electric) 2 2 2" xfId="9563"/>
    <cellStyle name="_DEM-WP(C) Colstrip FOR_Rebuttal Power Costs_Adj Bench DR 3 for Initial Briefs (Electric) 2 3" xfId="9564"/>
    <cellStyle name="_DEM-WP(C) Colstrip FOR_Rebuttal Power Costs_Adj Bench DR 3 for Initial Briefs (Electric) 3" xfId="9565"/>
    <cellStyle name="_DEM-WP(C) Colstrip FOR_Rebuttal Power Costs_Adj Bench DR 3 for Initial Briefs (Electric) 3 2" xfId="9566"/>
    <cellStyle name="_DEM-WP(C) Colstrip FOR_Rebuttal Power Costs_Adj Bench DR 3 for Initial Briefs (Electric) 4" xfId="9567"/>
    <cellStyle name="_DEM-WP(C) Colstrip FOR_Rebuttal Power Costs_Adj Bench DR 3 for Initial Briefs (Electric)_DEM-WP(C) ENERG10C--ctn Mid-C_042010 2010GRC" xfId="9568"/>
    <cellStyle name="_DEM-WP(C) Colstrip FOR_Rebuttal Power Costs_DEM-WP(C) ENERG10C--ctn Mid-C_042010 2010GRC" xfId="9569"/>
    <cellStyle name="_DEM-WP(C) Colstrip FOR_Rebuttal Power Costs_Electric Rev Req Model (2009 GRC) Rebuttal" xfId="479"/>
    <cellStyle name="_DEM-WP(C) Colstrip FOR_Rebuttal Power Costs_Electric Rev Req Model (2009 GRC) Rebuttal 2" xfId="9570"/>
    <cellStyle name="_DEM-WP(C) Colstrip FOR_Rebuttal Power Costs_Electric Rev Req Model (2009 GRC) Rebuttal 2 2" xfId="9571"/>
    <cellStyle name="_DEM-WP(C) Colstrip FOR_Rebuttal Power Costs_Electric Rev Req Model (2009 GRC) Rebuttal 2 2 2" xfId="9572"/>
    <cellStyle name="_DEM-WP(C) Colstrip FOR_Rebuttal Power Costs_Electric Rev Req Model (2009 GRC) Rebuttal 2 3" xfId="9573"/>
    <cellStyle name="_DEM-WP(C) Colstrip FOR_Rebuttal Power Costs_Electric Rev Req Model (2009 GRC) Rebuttal 3" xfId="9574"/>
    <cellStyle name="_DEM-WP(C) Colstrip FOR_Rebuttal Power Costs_Electric Rev Req Model (2009 GRC) Rebuttal 3 2" xfId="9575"/>
    <cellStyle name="_DEM-WP(C) Colstrip FOR_Rebuttal Power Costs_Electric Rev Req Model (2009 GRC) Rebuttal 4" xfId="9576"/>
    <cellStyle name="_DEM-WP(C) Colstrip FOR_Rebuttal Power Costs_Electric Rev Req Model (2009 GRC) Rebuttal REmoval of New  WH Solar AdjustMI" xfId="480"/>
    <cellStyle name="_DEM-WP(C) Colstrip FOR_Rebuttal Power Costs_Electric Rev Req Model (2009 GRC) Rebuttal REmoval of New  WH Solar AdjustMI 2" xfId="9577"/>
    <cellStyle name="_DEM-WP(C) Colstrip FOR_Rebuttal Power Costs_Electric Rev Req Model (2009 GRC) Rebuttal REmoval of New  WH Solar AdjustMI 2 2" xfId="9578"/>
    <cellStyle name="_DEM-WP(C) Colstrip FOR_Rebuttal Power Costs_Electric Rev Req Model (2009 GRC) Rebuttal REmoval of New  WH Solar AdjustMI 2 2 2" xfId="9579"/>
    <cellStyle name="_DEM-WP(C) Colstrip FOR_Rebuttal Power Costs_Electric Rev Req Model (2009 GRC) Rebuttal REmoval of New  WH Solar AdjustMI 2 3" xfId="9580"/>
    <cellStyle name="_DEM-WP(C) Colstrip FOR_Rebuttal Power Costs_Electric Rev Req Model (2009 GRC) Rebuttal REmoval of New  WH Solar AdjustMI 3" xfId="9581"/>
    <cellStyle name="_DEM-WP(C) Colstrip FOR_Rebuttal Power Costs_Electric Rev Req Model (2009 GRC) Rebuttal REmoval of New  WH Solar AdjustMI 3 2" xfId="9582"/>
    <cellStyle name="_DEM-WP(C) Colstrip FOR_Rebuttal Power Costs_Electric Rev Req Model (2009 GRC) Rebuttal REmoval of New  WH Solar AdjustMI 4" xfId="9583"/>
    <cellStyle name="_DEM-WP(C) Colstrip FOR_Rebuttal Power Costs_Electric Rev Req Model (2009 GRC) Rebuttal REmoval of New  WH Solar AdjustMI_DEM-WP(C) ENERG10C--ctn Mid-C_042010 2010GRC" xfId="9584"/>
    <cellStyle name="_DEM-WP(C) Colstrip FOR_Rebuttal Power Costs_Electric Rev Req Model (2009 GRC) Revised 01-18-2010" xfId="481"/>
    <cellStyle name="_DEM-WP(C) Colstrip FOR_Rebuttal Power Costs_Electric Rev Req Model (2009 GRC) Revised 01-18-2010 2" xfId="9585"/>
    <cellStyle name="_DEM-WP(C) Colstrip FOR_Rebuttal Power Costs_Electric Rev Req Model (2009 GRC) Revised 01-18-2010 2 2" xfId="9586"/>
    <cellStyle name="_DEM-WP(C) Colstrip FOR_Rebuttal Power Costs_Electric Rev Req Model (2009 GRC) Revised 01-18-2010 2 2 2" xfId="9587"/>
    <cellStyle name="_DEM-WP(C) Colstrip FOR_Rebuttal Power Costs_Electric Rev Req Model (2009 GRC) Revised 01-18-2010 2 3" xfId="9588"/>
    <cellStyle name="_DEM-WP(C) Colstrip FOR_Rebuttal Power Costs_Electric Rev Req Model (2009 GRC) Revised 01-18-2010 3" xfId="9589"/>
    <cellStyle name="_DEM-WP(C) Colstrip FOR_Rebuttal Power Costs_Electric Rev Req Model (2009 GRC) Revised 01-18-2010 3 2" xfId="9590"/>
    <cellStyle name="_DEM-WP(C) Colstrip FOR_Rebuttal Power Costs_Electric Rev Req Model (2009 GRC) Revised 01-18-2010 4" xfId="9591"/>
    <cellStyle name="_DEM-WP(C) Colstrip FOR_Rebuttal Power Costs_Electric Rev Req Model (2009 GRC) Revised 01-18-2010_DEM-WP(C) ENERG10C--ctn Mid-C_042010 2010GRC" xfId="9592"/>
    <cellStyle name="_DEM-WP(C) Colstrip FOR_Rebuttal Power Costs_Final Order Electric EXHIBIT A-1" xfId="482"/>
    <cellStyle name="_DEM-WP(C) Colstrip FOR_Rebuttal Power Costs_Final Order Electric EXHIBIT A-1 2" xfId="9593"/>
    <cellStyle name="_DEM-WP(C) Colstrip FOR_Rebuttal Power Costs_Final Order Electric EXHIBIT A-1 2 2" xfId="9594"/>
    <cellStyle name="_DEM-WP(C) Colstrip FOR_Rebuttal Power Costs_Final Order Electric EXHIBIT A-1 2 2 2" xfId="9595"/>
    <cellStyle name="_DEM-WP(C) Colstrip FOR_Rebuttal Power Costs_Final Order Electric EXHIBIT A-1 2 3" xfId="9596"/>
    <cellStyle name="_DEM-WP(C) Colstrip FOR_Rebuttal Power Costs_Final Order Electric EXHIBIT A-1 3" xfId="9597"/>
    <cellStyle name="_DEM-WP(C) Colstrip FOR_Rebuttal Power Costs_Final Order Electric EXHIBIT A-1 3 2" xfId="9598"/>
    <cellStyle name="_DEM-WP(C) Colstrip FOR_Rebuttal Power Costs_Final Order Electric EXHIBIT A-1 4" xfId="9599"/>
    <cellStyle name="_DEM-WP(C) Colstrip FOR_TENASKA REGULATORY ASSET" xfId="483"/>
    <cellStyle name="_DEM-WP(C) Colstrip FOR_TENASKA REGULATORY ASSET 2" xfId="9600"/>
    <cellStyle name="_DEM-WP(C) Colstrip FOR_TENASKA REGULATORY ASSET 2 2" xfId="9601"/>
    <cellStyle name="_DEM-WP(C) Colstrip FOR_TENASKA REGULATORY ASSET 2 2 2" xfId="9602"/>
    <cellStyle name="_DEM-WP(C) Colstrip FOR_TENASKA REGULATORY ASSET 2 3" xfId="9603"/>
    <cellStyle name="_DEM-WP(C) Colstrip FOR_TENASKA REGULATORY ASSET 3" xfId="9604"/>
    <cellStyle name="_DEM-WP(C) Colstrip FOR_TENASKA REGULATORY ASSET 3 2" xfId="9605"/>
    <cellStyle name="_DEM-WP(C) Colstrip FOR_TENASKA REGULATORY ASSET 4" xfId="9606"/>
    <cellStyle name="_DEM-WP(C) Costs not in AURORA 2006GRC" xfId="484"/>
    <cellStyle name="_DEM-WP(C) Costs not in AURORA 2006GRC 2" xfId="485"/>
    <cellStyle name="_DEM-WP(C) Costs not in AURORA 2006GRC 2 2" xfId="9607"/>
    <cellStyle name="_DEM-WP(C) Costs not in AURORA 2006GRC 2 2 2" xfId="9608"/>
    <cellStyle name="_DEM-WP(C) Costs not in AURORA 2006GRC 2 2 2 2" xfId="9609"/>
    <cellStyle name="_DEM-WP(C) Costs not in AURORA 2006GRC 2 2 3" xfId="9610"/>
    <cellStyle name="_DEM-WP(C) Costs not in AURORA 2006GRC 2 3" xfId="9611"/>
    <cellStyle name="_DEM-WP(C) Costs not in AURORA 2006GRC 2 3 2" xfId="9612"/>
    <cellStyle name="_DEM-WP(C) Costs not in AURORA 2006GRC 2 4" xfId="9613"/>
    <cellStyle name="_DEM-WP(C) Costs not in AURORA 2006GRC 3" xfId="9614"/>
    <cellStyle name="_DEM-WP(C) Costs not in AURORA 2006GRC 3 2" xfId="9615"/>
    <cellStyle name="_DEM-WP(C) Costs not in AURORA 2006GRC 3 2 2" xfId="9616"/>
    <cellStyle name="_DEM-WP(C) Costs not in AURORA 2006GRC 3 3" xfId="9617"/>
    <cellStyle name="_DEM-WP(C) Costs not in AURORA 2006GRC 4" xfId="9618"/>
    <cellStyle name="_DEM-WP(C) Costs not in AURORA 2006GRC 4 2" xfId="9619"/>
    <cellStyle name="_DEM-WP(C) Costs not in AURORA 2006GRC 4 2 2" xfId="9620"/>
    <cellStyle name="_DEM-WP(C) Costs not in AURORA 2006GRC 4 3" xfId="9621"/>
    <cellStyle name="_DEM-WP(C) Costs not in AURORA 2006GRC 5" xfId="9622"/>
    <cellStyle name="_DEM-WP(C) Costs not in AURORA 2006GRC 5 2" xfId="9623"/>
    <cellStyle name="_DEM-WP(C) Costs not in AURORA 2006GRC 5 2 2" xfId="9624"/>
    <cellStyle name="_DEM-WP(C) Costs not in AURORA 2006GRC 5 3" xfId="9625"/>
    <cellStyle name="_DEM-WP(C) Costs not in AURORA 2006GRC 6" xfId="9626"/>
    <cellStyle name="_DEM-WP(C) Costs not in AURORA 2006GRC 6 2" xfId="9627"/>
    <cellStyle name="_DEM-WP(C) Costs not in AURORA 2006GRC 7" xfId="9628"/>
    <cellStyle name="_DEM-WP(C) Costs not in AURORA 2006GRC 7 2" xfId="9629"/>
    <cellStyle name="_DEM-WP(C) Costs not in AURORA 2006GRC 8" xfId="9630"/>
    <cellStyle name="_DEM-WP(C) Costs not in AURORA 2006GRC 8 2" xfId="9631"/>
    <cellStyle name="_DEM-WP(C) Costs not in AURORA 2006GRC 9" xfId="9632"/>
    <cellStyle name="_DEM-WP(C) Costs not in AURORA 2006GRC 9 2" xfId="9633"/>
    <cellStyle name="_DEM-WP(C) Costs not in AURORA 2006GRC_(C) WHE Proforma with ITC cash grant 10 Yr Amort_for deferral_102809" xfId="486"/>
    <cellStyle name="_DEM-WP(C) Costs not in AURORA 2006GRC_(C) WHE Proforma with ITC cash grant 10 Yr Amort_for deferral_102809 2" xfId="9634"/>
    <cellStyle name="_DEM-WP(C) Costs not in AURORA 2006GRC_(C) WHE Proforma with ITC cash grant 10 Yr Amort_for deferral_102809 2 2" xfId="9635"/>
    <cellStyle name="_DEM-WP(C) Costs not in AURORA 2006GRC_(C) WHE Proforma with ITC cash grant 10 Yr Amort_for deferral_102809 2 2 2" xfId="9636"/>
    <cellStyle name="_DEM-WP(C) Costs not in AURORA 2006GRC_(C) WHE Proforma with ITC cash grant 10 Yr Amort_for deferral_102809 2 3" xfId="9637"/>
    <cellStyle name="_DEM-WP(C) Costs not in AURORA 2006GRC_(C) WHE Proforma with ITC cash grant 10 Yr Amort_for deferral_102809 3" xfId="9638"/>
    <cellStyle name="_DEM-WP(C) Costs not in AURORA 2006GRC_(C) WHE Proforma with ITC cash grant 10 Yr Amort_for deferral_102809 3 2" xfId="9639"/>
    <cellStyle name="_DEM-WP(C) Costs not in AURORA 2006GRC_(C) WHE Proforma with ITC cash grant 10 Yr Amort_for deferral_102809 4" xfId="9640"/>
    <cellStyle name="_DEM-WP(C) Costs not in AURORA 2006GRC_(C) WHE Proforma with ITC cash grant 10 Yr Amort_for deferral_102809_16.07E Wild Horse Wind Expansionwrkingfile" xfId="487"/>
    <cellStyle name="_DEM-WP(C) Costs not in AURORA 2006GRC_(C) WHE Proforma with ITC cash grant 10 Yr Amort_for deferral_102809_16.07E Wild Horse Wind Expansionwrkingfile 2" xfId="9641"/>
    <cellStyle name="_DEM-WP(C) Costs not in AURORA 2006GRC_(C) WHE Proforma with ITC cash grant 10 Yr Amort_for deferral_102809_16.07E Wild Horse Wind Expansionwrkingfile 2 2" xfId="9642"/>
    <cellStyle name="_DEM-WP(C) Costs not in AURORA 2006GRC_(C) WHE Proforma with ITC cash grant 10 Yr Amort_for deferral_102809_16.07E Wild Horse Wind Expansionwrkingfile 2 2 2" xfId="9643"/>
    <cellStyle name="_DEM-WP(C) Costs not in AURORA 2006GRC_(C) WHE Proforma with ITC cash grant 10 Yr Amort_for deferral_102809_16.07E Wild Horse Wind Expansionwrkingfile 2 3" xfId="9644"/>
    <cellStyle name="_DEM-WP(C) Costs not in AURORA 2006GRC_(C) WHE Proforma with ITC cash grant 10 Yr Amort_for deferral_102809_16.07E Wild Horse Wind Expansionwrkingfile 3" xfId="9645"/>
    <cellStyle name="_DEM-WP(C) Costs not in AURORA 2006GRC_(C) WHE Proforma with ITC cash grant 10 Yr Amort_for deferral_102809_16.07E Wild Horse Wind Expansionwrkingfile 3 2" xfId="9646"/>
    <cellStyle name="_DEM-WP(C) Costs not in AURORA 2006GRC_(C) WHE Proforma with ITC cash grant 10 Yr Amort_for deferral_102809_16.07E Wild Horse Wind Expansionwrkingfile 4" xfId="9647"/>
    <cellStyle name="_DEM-WP(C) Costs not in AURORA 2006GRC_(C) WHE Proforma with ITC cash grant 10 Yr Amort_for deferral_102809_16.07E Wild Horse Wind Expansionwrkingfile SF" xfId="488"/>
    <cellStyle name="_DEM-WP(C) Costs not in AURORA 2006GRC_(C) WHE Proforma with ITC cash grant 10 Yr Amort_for deferral_102809_16.07E Wild Horse Wind Expansionwrkingfile SF 2" xfId="9648"/>
    <cellStyle name="_DEM-WP(C) Costs not in AURORA 2006GRC_(C) WHE Proforma with ITC cash grant 10 Yr Amort_for deferral_102809_16.07E Wild Horse Wind Expansionwrkingfile SF 2 2" xfId="9649"/>
    <cellStyle name="_DEM-WP(C) Costs not in AURORA 2006GRC_(C) WHE Proforma with ITC cash grant 10 Yr Amort_for deferral_102809_16.07E Wild Horse Wind Expansionwrkingfile SF 2 2 2" xfId="9650"/>
    <cellStyle name="_DEM-WP(C) Costs not in AURORA 2006GRC_(C) WHE Proforma with ITC cash grant 10 Yr Amort_for deferral_102809_16.07E Wild Horse Wind Expansionwrkingfile SF 2 3" xfId="9651"/>
    <cellStyle name="_DEM-WP(C) Costs not in AURORA 2006GRC_(C) WHE Proforma with ITC cash grant 10 Yr Amort_for deferral_102809_16.07E Wild Horse Wind Expansionwrkingfile SF 3" xfId="9652"/>
    <cellStyle name="_DEM-WP(C) Costs not in AURORA 2006GRC_(C) WHE Proforma with ITC cash grant 10 Yr Amort_for deferral_102809_16.07E Wild Horse Wind Expansionwrkingfile SF 3 2" xfId="9653"/>
    <cellStyle name="_DEM-WP(C) Costs not in AURORA 2006GRC_(C) WHE Proforma with ITC cash grant 10 Yr Amort_for deferral_102809_16.07E Wild Horse Wind Expansionwrkingfile SF 4" xfId="9654"/>
    <cellStyle name="_DEM-WP(C) Costs not in AURORA 2006GRC_(C) WHE Proforma with ITC cash grant 10 Yr Amort_for deferral_102809_16.07E Wild Horse Wind Expansionwrkingfile SF_DEM-WP(C) ENERG10C--ctn Mid-C_042010 2010GRC" xfId="9655"/>
    <cellStyle name="_DEM-WP(C) Costs not in AURORA 2006GRC_(C) WHE Proforma with ITC cash grant 10 Yr Amort_for deferral_102809_16.07E Wild Horse Wind Expansionwrkingfile_DEM-WP(C) ENERG10C--ctn Mid-C_042010 2010GRC" xfId="9656"/>
    <cellStyle name="_DEM-WP(C) Costs not in AURORA 2006GRC_(C) WHE Proforma with ITC cash grant 10 Yr Amort_for deferral_102809_16.37E Wild Horse Expansion DeferralRevwrkingfile SF" xfId="489"/>
    <cellStyle name="_DEM-WP(C) Costs not in AURORA 2006GRC_(C) WHE Proforma with ITC cash grant 10 Yr Amort_for deferral_102809_16.37E Wild Horse Expansion DeferralRevwrkingfile SF 2" xfId="9657"/>
    <cellStyle name="_DEM-WP(C) Costs not in AURORA 2006GRC_(C) WHE Proforma with ITC cash grant 10 Yr Amort_for deferral_102809_16.37E Wild Horse Expansion DeferralRevwrkingfile SF 2 2" xfId="9658"/>
    <cellStyle name="_DEM-WP(C) Costs not in AURORA 2006GRC_(C) WHE Proforma with ITC cash grant 10 Yr Amort_for deferral_102809_16.37E Wild Horse Expansion DeferralRevwrkingfile SF 2 2 2" xfId="9659"/>
    <cellStyle name="_DEM-WP(C) Costs not in AURORA 2006GRC_(C) WHE Proforma with ITC cash grant 10 Yr Amort_for deferral_102809_16.37E Wild Horse Expansion DeferralRevwrkingfile SF 2 3" xfId="9660"/>
    <cellStyle name="_DEM-WP(C) Costs not in AURORA 2006GRC_(C) WHE Proforma with ITC cash grant 10 Yr Amort_for deferral_102809_16.37E Wild Horse Expansion DeferralRevwrkingfile SF 3" xfId="9661"/>
    <cellStyle name="_DEM-WP(C) Costs not in AURORA 2006GRC_(C) WHE Proforma with ITC cash grant 10 Yr Amort_for deferral_102809_16.37E Wild Horse Expansion DeferralRevwrkingfile SF 3 2" xfId="9662"/>
    <cellStyle name="_DEM-WP(C) Costs not in AURORA 2006GRC_(C) WHE Proforma with ITC cash grant 10 Yr Amort_for deferral_102809_16.37E Wild Horse Expansion DeferralRevwrkingfile SF 4" xfId="9663"/>
    <cellStyle name="_DEM-WP(C) Costs not in AURORA 2006GRC_(C) WHE Proforma with ITC cash grant 10 Yr Amort_for deferral_102809_16.37E Wild Horse Expansion DeferralRevwrkingfile SF_DEM-WP(C) ENERG10C--ctn Mid-C_042010 2010GRC" xfId="9664"/>
    <cellStyle name="_DEM-WP(C) Costs not in AURORA 2006GRC_(C) WHE Proforma with ITC cash grant 10 Yr Amort_for deferral_102809_DEM-WP(C) ENERG10C--ctn Mid-C_042010 2010GRC" xfId="9665"/>
    <cellStyle name="_DEM-WP(C) Costs not in AURORA 2006GRC_(C) WHE Proforma with ITC cash grant 10 Yr Amort_for rebuttal_120709" xfId="490"/>
    <cellStyle name="_DEM-WP(C) Costs not in AURORA 2006GRC_(C) WHE Proforma with ITC cash grant 10 Yr Amort_for rebuttal_120709 2" xfId="9666"/>
    <cellStyle name="_DEM-WP(C) Costs not in AURORA 2006GRC_(C) WHE Proforma with ITC cash grant 10 Yr Amort_for rebuttal_120709 2 2" xfId="9667"/>
    <cellStyle name="_DEM-WP(C) Costs not in AURORA 2006GRC_(C) WHE Proforma with ITC cash grant 10 Yr Amort_for rebuttal_120709 2 2 2" xfId="9668"/>
    <cellStyle name="_DEM-WP(C) Costs not in AURORA 2006GRC_(C) WHE Proforma with ITC cash grant 10 Yr Amort_for rebuttal_120709 2 3" xfId="9669"/>
    <cellStyle name="_DEM-WP(C) Costs not in AURORA 2006GRC_(C) WHE Proforma with ITC cash grant 10 Yr Amort_for rebuttal_120709 3" xfId="9670"/>
    <cellStyle name="_DEM-WP(C) Costs not in AURORA 2006GRC_(C) WHE Proforma with ITC cash grant 10 Yr Amort_for rebuttal_120709 3 2" xfId="9671"/>
    <cellStyle name="_DEM-WP(C) Costs not in AURORA 2006GRC_(C) WHE Proforma with ITC cash grant 10 Yr Amort_for rebuttal_120709 4" xfId="9672"/>
    <cellStyle name="_DEM-WP(C) Costs not in AURORA 2006GRC_(C) WHE Proforma with ITC cash grant 10 Yr Amort_for rebuttal_120709_DEM-WP(C) ENERG10C--ctn Mid-C_042010 2010GRC" xfId="9673"/>
    <cellStyle name="_DEM-WP(C) Costs not in AURORA 2006GRC_04.07E Wild Horse Wind Expansion" xfId="491"/>
    <cellStyle name="_DEM-WP(C) Costs not in AURORA 2006GRC_04.07E Wild Horse Wind Expansion 2" xfId="9674"/>
    <cellStyle name="_DEM-WP(C) Costs not in AURORA 2006GRC_04.07E Wild Horse Wind Expansion 2 2" xfId="9675"/>
    <cellStyle name="_DEM-WP(C) Costs not in AURORA 2006GRC_04.07E Wild Horse Wind Expansion 2 2 2" xfId="9676"/>
    <cellStyle name="_DEM-WP(C) Costs not in AURORA 2006GRC_04.07E Wild Horse Wind Expansion 2 3" xfId="9677"/>
    <cellStyle name="_DEM-WP(C) Costs not in AURORA 2006GRC_04.07E Wild Horse Wind Expansion 3" xfId="9678"/>
    <cellStyle name="_DEM-WP(C) Costs not in AURORA 2006GRC_04.07E Wild Horse Wind Expansion 3 2" xfId="9679"/>
    <cellStyle name="_DEM-WP(C) Costs not in AURORA 2006GRC_04.07E Wild Horse Wind Expansion 4" xfId="9680"/>
    <cellStyle name="_DEM-WP(C) Costs not in AURORA 2006GRC_04.07E Wild Horse Wind Expansion_16.07E Wild Horse Wind Expansionwrkingfile" xfId="492"/>
    <cellStyle name="_DEM-WP(C) Costs not in AURORA 2006GRC_04.07E Wild Horse Wind Expansion_16.07E Wild Horse Wind Expansionwrkingfile 2" xfId="9681"/>
    <cellStyle name="_DEM-WP(C) Costs not in AURORA 2006GRC_04.07E Wild Horse Wind Expansion_16.07E Wild Horse Wind Expansionwrkingfile 2 2" xfId="9682"/>
    <cellStyle name="_DEM-WP(C) Costs not in AURORA 2006GRC_04.07E Wild Horse Wind Expansion_16.07E Wild Horse Wind Expansionwrkingfile 2 2 2" xfId="9683"/>
    <cellStyle name="_DEM-WP(C) Costs not in AURORA 2006GRC_04.07E Wild Horse Wind Expansion_16.07E Wild Horse Wind Expansionwrkingfile 2 3" xfId="9684"/>
    <cellStyle name="_DEM-WP(C) Costs not in AURORA 2006GRC_04.07E Wild Horse Wind Expansion_16.07E Wild Horse Wind Expansionwrkingfile 3" xfId="9685"/>
    <cellStyle name="_DEM-WP(C) Costs not in AURORA 2006GRC_04.07E Wild Horse Wind Expansion_16.07E Wild Horse Wind Expansionwrkingfile 3 2" xfId="9686"/>
    <cellStyle name="_DEM-WP(C) Costs not in AURORA 2006GRC_04.07E Wild Horse Wind Expansion_16.07E Wild Horse Wind Expansionwrkingfile 4" xfId="9687"/>
    <cellStyle name="_DEM-WP(C) Costs not in AURORA 2006GRC_04.07E Wild Horse Wind Expansion_16.07E Wild Horse Wind Expansionwrkingfile SF" xfId="493"/>
    <cellStyle name="_DEM-WP(C) Costs not in AURORA 2006GRC_04.07E Wild Horse Wind Expansion_16.07E Wild Horse Wind Expansionwrkingfile SF 2" xfId="9688"/>
    <cellStyle name="_DEM-WP(C) Costs not in AURORA 2006GRC_04.07E Wild Horse Wind Expansion_16.07E Wild Horse Wind Expansionwrkingfile SF 2 2" xfId="9689"/>
    <cellStyle name="_DEM-WP(C) Costs not in AURORA 2006GRC_04.07E Wild Horse Wind Expansion_16.07E Wild Horse Wind Expansionwrkingfile SF 2 2 2" xfId="9690"/>
    <cellStyle name="_DEM-WP(C) Costs not in AURORA 2006GRC_04.07E Wild Horse Wind Expansion_16.07E Wild Horse Wind Expansionwrkingfile SF 2 3" xfId="9691"/>
    <cellStyle name="_DEM-WP(C) Costs not in AURORA 2006GRC_04.07E Wild Horse Wind Expansion_16.07E Wild Horse Wind Expansionwrkingfile SF 3" xfId="9692"/>
    <cellStyle name="_DEM-WP(C) Costs not in AURORA 2006GRC_04.07E Wild Horse Wind Expansion_16.07E Wild Horse Wind Expansionwrkingfile SF 3 2" xfId="9693"/>
    <cellStyle name="_DEM-WP(C) Costs not in AURORA 2006GRC_04.07E Wild Horse Wind Expansion_16.07E Wild Horse Wind Expansionwrkingfile SF 4" xfId="9694"/>
    <cellStyle name="_DEM-WP(C) Costs not in AURORA 2006GRC_04.07E Wild Horse Wind Expansion_16.07E Wild Horse Wind Expansionwrkingfile SF_DEM-WP(C) ENERG10C--ctn Mid-C_042010 2010GRC" xfId="9695"/>
    <cellStyle name="_DEM-WP(C) Costs not in AURORA 2006GRC_04.07E Wild Horse Wind Expansion_16.07E Wild Horse Wind Expansionwrkingfile_DEM-WP(C) ENERG10C--ctn Mid-C_042010 2010GRC" xfId="9696"/>
    <cellStyle name="_DEM-WP(C) Costs not in AURORA 2006GRC_04.07E Wild Horse Wind Expansion_16.37E Wild Horse Expansion DeferralRevwrkingfile SF" xfId="494"/>
    <cellStyle name="_DEM-WP(C) Costs not in AURORA 2006GRC_04.07E Wild Horse Wind Expansion_16.37E Wild Horse Expansion DeferralRevwrkingfile SF 2" xfId="9697"/>
    <cellStyle name="_DEM-WP(C) Costs not in AURORA 2006GRC_04.07E Wild Horse Wind Expansion_16.37E Wild Horse Expansion DeferralRevwrkingfile SF 2 2" xfId="9698"/>
    <cellStyle name="_DEM-WP(C) Costs not in AURORA 2006GRC_04.07E Wild Horse Wind Expansion_16.37E Wild Horse Expansion DeferralRevwrkingfile SF 2 2 2" xfId="9699"/>
    <cellStyle name="_DEM-WP(C) Costs not in AURORA 2006GRC_04.07E Wild Horse Wind Expansion_16.37E Wild Horse Expansion DeferralRevwrkingfile SF 2 3" xfId="9700"/>
    <cellStyle name="_DEM-WP(C) Costs not in AURORA 2006GRC_04.07E Wild Horse Wind Expansion_16.37E Wild Horse Expansion DeferralRevwrkingfile SF 3" xfId="9701"/>
    <cellStyle name="_DEM-WP(C) Costs not in AURORA 2006GRC_04.07E Wild Horse Wind Expansion_16.37E Wild Horse Expansion DeferralRevwrkingfile SF 3 2" xfId="9702"/>
    <cellStyle name="_DEM-WP(C) Costs not in AURORA 2006GRC_04.07E Wild Horse Wind Expansion_16.37E Wild Horse Expansion DeferralRevwrkingfile SF 4" xfId="9703"/>
    <cellStyle name="_DEM-WP(C) Costs not in AURORA 2006GRC_04.07E Wild Horse Wind Expansion_16.37E Wild Horse Expansion DeferralRevwrkingfile SF_DEM-WP(C) ENERG10C--ctn Mid-C_042010 2010GRC" xfId="9704"/>
    <cellStyle name="_DEM-WP(C) Costs not in AURORA 2006GRC_04.07E Wild Horse Wind Expansion_DEM-WP(C) ENERG10C--ctn Mid-C_042010 2010GRC" xfId="9705"/>
    <cellStyle name="_DEM-WP(C) Costs not in AURORA 2006GRC_16.07E Wild Horse Wind Expansionwrkingfile" xfId="495"/>
    <cellStyle name="_DEM-WP(C) Costs not in AURORA 2006GRC_16.07E Wild Horse Wind Expansionwrkingfile 2" xfId="9706"/>
    <cellStyle name="_DEM-WP(C) Costs not in AURORA 2006GRC_16.07E Wild Horse Wind Expansionwrkingfile 2 2" xfId="9707"/>
    <cellStyle name="_DEM-WP(C) Costs not in AURORA 2006GRC_16.07E Wild Horse Wind Expansionwrkingfile 2 2 2" xfId="9708"/>
    <cellStyle name="_DEM-WP(C) Costs not in AURORA 2006GRC_16.07E Wild Horse Wind Expansionwrkingfile 2 3" xfId="9709"/>
    <cellStyle name="_DEM-WP(C) Costs not in AURORA 2006GRC_16.07E Wild Horse Wind Expansionwrkingfile 3" xfId="9710"/>
    <cellStyle name="_DEM-WP(C) Costs not in AURORA 2006GRC_16.07E Wild Horse Wind Expansionwrkingfile 3 2" xfId="9711"/>
    <cellStyle name="_DEM-WP(C) Costs not in AURORA 2006GRC_16.07E Wild Horse Wind Expansionwrkingfile 4" xfId="9712"/>
    <cellStyle name="_DEM-WP(C) Costs not in AURORA 2006GRC_16.07E Wild Horse Wind Expansionwrkingfile SF" xfId="496"/>
    <cellStyle name="_DEM-WP(C) Costs not in AURORA 2006GRC_16.07E Wild Horse Wind Expansionwrkingfile SF 2" xfId="9713"/>
    <cellStyle name="_DEM-WP(C) Costs not in AURORA 2006GRC_16.07E Wild Horse Wind Expansionwrkingfile SF 2 2" xfId="9714"/>
    <cellStyle name="_DEM-WP(C) Costs not in AURORA 2006GRC_16.07E Wild Horse Wind Expansionwrkingfile SF 2 2 2" xfId="9715"/>
    <cellStyle name="_DEM-WP(C) Costs not in AURORA 2006GRC_16.07E Wild Horse Wind Expansionwrkingfile SF 2 3" xfId="9716"/>
    <cellStyle name="_DEM-WP(C) Costs not in AURORA 2006GRC_16.07E Wild Horse Wind Expansionwrkingfile SF 3" xfId="9717"/>
    <cellStyle name="_DEM-WP(C) Costs not in AURORA 2006GRC_16.07E Wild Horse Wind Expansionwrkingfile SF 3 2" xfId="9718"/>
    <cellStyle name="_DEM-WP(C) Costs not in AURORA 2006GRC_16.07E Wild Horse Wind Expansionwrkingfile SF 4" xfId="9719"/>
    <cellStyle name="_DEM-WP(C) Costs not in AURORA 2006GRC_16.07E Wild Horse Wind Expansionwrkingfile SF_DEM-WP(C) ENERG10C--ctn Mid-C_042010 2010GRC" xfId="9720"/>
    <cellStyle name="_DEM-WP(C) Costs not in AURORA 2006GRC_16.07E Wild Horse Wind Expansionwrkingfile_DEM-WP(C) ENERG10C--ctn Mid-C_042010 2010GRC" xfId="9721"/>
    <cellStyle name="_DEM-WP(C) Costs not in AURORA 2006GRC_16.37E Wild Horse Expansion DeferralRevwrkingfile SF" xfId="497"/>
    <cellStyle name="_DEM-WP(C) Costs not in AURORA 2006GRC_16.37E Wild Horse Expansion DeferralRevwrkingfile SF 2" xfId="9722"/>
    <cellStyle name="_DEM-WP(C) Costs not in AURORA 2006GRC_16.37E Wild Horse Expansion DeferralRevwrkingfile SF 2 2" xfId="9723"/>
    <cellStyle name="_DEM-WP(C) Costs not in AURORA 2006GRC_16.37E Wild Horse Expansion DeferralRevwrkingfile SF 2 2 2" xfId="9724"/>
    <cellStyle name="_DEM-WP(C) Costs not in AURORA 2006GRC_16.37E Wild Horse Expansion DeferralRevwrkingfile SF 2 3" xfId="9725"/>
    <cellStyle name="_DEM-WP(C) Costs not in AURORA 2006GRC_16.37E Wild Horse Expansion DeferralRevwrkingfile SF 3" xfId="9726"/>
    <cellStyle name="_DEM-WP(C) Costs not in AURORA 2006GRC_16.37E Wild Horse Expansion DeferralRevwrkingfile SF 3 2" xfId="9727"/>
    <cellStyle name="_DEM-WP(C) Costs not in AURORA 2006GRC_16.37E Wild Horse Expansion DeferralRevwrkingfile SF 4" xfId="9728"/>
    <cellStyle name="_DEM-WP(C) Costs not in AURORA 2006GRC_16.37E Wild Horse Expansion DeferralRevwrkingfile SF_DEM-WP(C) ENERG10C--ctn Mid-C_042010 2010GRC" xfId="9729"/>
    <cellStyle name="_DEM-WP(C) Costs not in AURORA 2006GRC_2009 Compliance Filing PCA Exhibits for GRC" xfId="9730"/>
    <cellStyle name="_DEM-WP(C) Costs not in AURORA 2006GRC_2009 Compliance Filing PCA Exhibits for GRC 2" xfId="9731"/>
    <cellStyle name="_DEM-WP(C) Costs not in AURORA 2006GRC_2009 GRC Compl Filing - Exhibit D" xfId="498"/>
    <cellStyle name="_DEM-WP(C) Costs not in AURORA 2006GRC_2009 GRC Compl Filing - Exhibit D 2" xfId="9732"/>
    <cellStyle name="_DEM-WP(C) Costs not in AURORA 2006GRC_2009 GRC Compl Filing - Exhibit D 2 2" xfId="9733"/>
    <cellStyle name="_DEM-WP(C) Costs not in AURORA 2006GRC_2009 GRC Compl Filing - Exhibit D 3" xfId="9734"/>
    <cellStyle name="_DEM-WP(C) Costs not in AURORA 2006GRC_2009 GRC Compl Filing - Exhibit D_DEM-WP(C) ENERG10C--ctn Mid-C_042010 2010GRC" xfId="9735"/>
    <cellStyle name="_DEM-WP(C) Costs not in AURORA 2006GRC_3.01 Income Statement" xfId="499"/>
    <cellStyle name="_DEM-WP(C) Costs not in AURORA 2006GRC_4 31 Regulatory Assets and Liabilities  7 06- Exhibit D" xfId="500"/>
    <cellStyle name="_DEM-WP(C) Costs not in AURORA 2006GRC_4 31 Regulatory Assets and Liabilities  7 06- Exhibit D 2" xfId="9736"/>
    <cellStyle name="_DEM-WP(C) Costs not in AURORA 2006GRC_4 31 Regulatory Assets and Liabilities  7 06- Exhibit D 2 2" xfId="9737"/>
    <cellStyle name="_DEM-WP(C) Costs not in AURORA 2006GRC_4 31 Regulatory Assets and Liabilities  7 06- Exhibit D 2 2 2" xfId="9738"/>
    <cellStyle name="_DEM-WP(C) Costs not in AURORA 2006GRC_4 31 Regulatory Assets and Liabilities  7 06- Exhibit D 2 3" xfId="9739"/>
    <cellStyle name="_DEM-WP(C) Costs not in AURORA 2006GRC_4 31 Regulatory Assets and Liabilities  7 06- Exhibit D 3" xfId="9740"/>
    <cellStyle name="_DEM-WP(C) Costs not in AURORA 2006GRC_4 31 Regulatory Assets and Liabilities  7 06- Exhibit D 3 2" xfId="9741"/>
    <cellStyle name="_DEM-WP(C) Costs not in AURORA 2006GRC_4 31 Regulatory Assets and Liabilities  7 06- Exhibit D 4" xfId="9742"/>
    <cellStyle name="_DEM-WP(C) Costs not in AURORA 2006GRC_4 31 Regulatory Assets and Liabilities  7 06- Exhibit D_DEM-WP(C) ENERG10C--ctn Mid-C_042010 2010GRC" xfId="9743"/>
    <cellStyle name="_DEM-WP(C) Costs not in AURORA 2006GRC_4 31 Regulatory Assets and Liabilities  7 06- Exhibit D_NIM Summary" xfId="9744"/>
    <cellStyle name="_DEM-WP(C) Costs not in AURORA 2006GRC_4 31 Regulatory Assets and Liabilities  7 06- Exhibit D_NIM Summary 2" xfId="9745"/>
    <cellStyle name="_DEM-WP(C) Costs not in AURORA 2006GRC_4 31 Regulatory Assets and Liabilities  7 06- Exhibit D_NIM Summary 2 2" xfId="9746"/>
    <cellStyle name="_DEM-WP(C) Costs not in AURORA 2006GRC_4 31 Regulatory Assets and Liabilities  7 06- Exhibit D_NIM Summary 3" xfId="9747"/>
    <cellStyle name="_DEM-WP(C) Costs not in AURORA 2006GRC_4 31 Regulatory Assets and Liabilities  7 06- Exhibit D_NIM Summary_DEM-WP(C) ENERG10C--ctn Mid-C_042010 2010GRC" xfId="9748"/>
    <cellStyle name="_DEM-WP(C) Costs not in AURORA 2006GRC_4 31E Reg Asset  Liab and EXH D" xfId="9749"/>
    <cellStyle name="_DEM-WP(C) Costs not in AURORA 2006GRC_4 31E Reg Asset  Liab and EXH D _ Aug 10 Filing (2)" xfId="9750"/>
    <cellStyle name="_DEM-WP(C) Costs not in AURORA 2006GRC_4 31E Reg Asset  Liab and EXH D _ Aug 10 Filing (2) 2" xfId="9751"/>
    <cellStyle name="_DEM-WP(C) Costs not in AURORA 2006GRC_4 31E Reg Asset  Liab and EXH D 10" xfId="9752"/>
    <cellStyle name="_DEM-WP(C) Costs not in AURORA 2006GRC_4 31E Reg Asset  Liab and EXH D 11" xfId="9753"/>
    <cellStyle name="_DEM-WP(C) Costs not in AURORA 2006GRC_4 31E Reg Asset  Liab and EXH D 12" xfId="9754"/>
    <cellStyle name="_DEM-WP(C) Costs not in AURORA 2006GRC_4 31E Reg Asset  Liab and EXH D 13" xfId="9755"/>
    <cellStyle name="_DEM-WP(C) Costs not in AURORA 2006GRC_4 31E Reg Asset  Liab and EXH D 14" xfId="9756"/>
    <cellStyle name="_DEM-WP(C) Costs not in AURORA 2006GRC_4 31E Reg Asset  Liab and EXH D 15" xfId="9757"/>
    <cellStyle name="_DEM-WP(C) Costs not in AURORA 2006GRC_4 31E Reg Asset  Liab and EXH D 16" xfId="9758"/>
    <cellStyle name="_DEM-WP(C) Costs not in AURORA 2006GRC_4 31E Reg Asset  Liab and EXH D 17" xfId="9759"/>
    <cellStyle name="_DEM-WP(C) Costs not in AURORA 2006GRC_4 31E Reg Asset  Liab and EXH D 18" xfId="9760"/>
    <cellStyle name="_DEM-WP(C) Costs not in AURORA 2006GRC_4 31E Reg Asset  Liab and EXH D 19" xfId="9761"/>
    <cellStyle name="_DEM-WP(C) Costs not in AURORA 2006GRC_4 31E Reg Asset  Liab and EXH D 2" xfId="9762"/>
    <cellStyle name="_DEM-WP(C) Costs not in AURORA 2006GRC_4 31E Reg Asset  Liab and EXH D 20" xfId="9763"/>
    <cellStyle name="_DEM-WP(C) Costs not in AURORA 2006GRC_4 31E Reg Asset  Liab and EXH D 21" xfId="9764"/>
    <cellStyle name="_DEM-WP(C) Costs not in AURORA 2006GRC_4 31E Reg Asset  Liab and EXH D 22" xfId="9765"/>
    <cellStyle name="_DEM-WP(C) Costs not in AURORA 2006GRC_4 31E Reg Asset  Liab and EXH D 23" xfId="9766"/>
    <cellStyle name="_DEM-WP(C) Costs not in AURORA 2006GRC_4 31E Reg Asset  Liab and EXH D 24" xfId="9767"/>
    <cellStyle name="_DEM-WP(C) Costs not in AURORA 2006GRC_4 31E Reg Asset  Liab and EXH D 25" xfId="9768"/>
    <cellStyle name="_DEM-WP(C) Costs not in AURORA 2006GRC_4 31E Reg Asset  Liab and EXH D 26" xfId="9769"/>
    <cellStyle name="_DEM-WP(C) Costs not in AURORA 2006GRC_4 31E Reg Asset  Liab and EXH D 27" xfId="9770"/>
    <cellStyle name="_DEM-WP(C) Costs not in AURORA 2006GRC_4 31E Reg Asset  Liab and EXH D 28" xfId="9771"/>
    <cellStyle name="_DEM-WP(C) Costs not in AURORA 2006GRC_4 31E Reg Asset  Liab and EXH D 29" xfId="9772"/>
    <cellStyle name="_DEM-WP(C) Costs not in AURORA 2006GRC_4 31E Reg Asset  Liab and EXH D 3" xfId="9773"/>
    <cellStyle name="_DEM-WP(C) Costs not in AURORA 2006GRC_4 31E Reg Asset  Liab and EXH D 30" xfId="9774"/>
    <cellStyle name="_DEM-WP(C) Costs not in AURORA 2006GRC_4 31E Reg Asset  Liab and EXH D 31" xfId="9775"/>
    <cellStyle name="_DEM-WP(C) Costs not in AURORA 2006GRC_4 31E Reg Asset  Liab and EXH D 32" xfId="9776"/>
    <cellStyle name="_DEM-WP(C) Costs not in AURORA 2006GRC_4 31E Reg Asset  Liab and EXH D 33" xfId="9777"/>
    <cellStyle name="_DEM-WP(C) Costs not in AURORA 2006GRC_4 31E Reg Asset  Liab and EXH D 34" xfId="9778"/>
    <cellStyle name="_DEM-WP(C) Costs not in AURORA 2006GRC_4 31E Reg Asset  Liab and EXH D 35" xfId="9779"/>
    <cellStyle name="_DEM-WP(C) Costs not in AURORA 2006GRC_4 31E Reg Asset  Liab and EXH D 36" xfId="9780"/>
    <cellStyle name="_DEM-WP(C) Costs not in AURORA 2006GRC_4 31E Reg Asset  Liab and EXH D 4" xfId="9781"/>
    <cellStyle name="_DEM-WP(C) Costs not in AURORA 2006GRC_4 31E Reg Asset  Liab and EXH D 5" xfId="9782"/>
    <cellStyle name="_DEM-WP(C) Costs not in AURORA 2006GRC_4 31E Reg Asset  Liab and EXH D 6" xfId="9783"/>
    <cellStyle name="_DEM-WP(C) Costs not in AURORA 2006GRC_4 31E Reg Asset  Liab and EXH D 7" xfId="9784"/>
    <cellStyle name="_DEM-WP(C) Costs not in AURORA 2006GRC_4 31E Reg Asset  Liab and EXH D 8" xfId="9785"/>
    <cellStyle name="_DEM-WP(C) Costs not in AURORA 2006GRC_4 31E Reg Asset  Liab and EXH D 9" xfId="9786"/>
    <cellStyle name="_DEM-WP(C) Costs not in AURORA 2006GRC_4 32 Regulatory Assets and Liabilities  7 06- Exhibit D" xfId="501"/>
    <cellStyle name="_DEM-WP(C) Costs not in AURORA 2006GRC_4 32 Regulatory Assets and Liabilities  7 06- Exhibit D 2" xfId="9787"/>
    <cellStyle name="_DEM-WP(C) Costs not in AURORA 2006GRC_4 32 Regulatory Assets and Liabilities  7 06- Exhibit D 2 2" xfId="9788"/>
    <cellStyle name="_DEM-WP(C) Costs not in AURORA 2006GRC_4 32 Regulatory Assets and Liabilities  7 06- Exhibit D 2 2 2" xfId="9789"/>
    <cellStyle name="_DEM-WP(C) Costs not in AURORA 2006GRC_4 32 Regulatory Assets and Liabilities  7 06- Exhibit D 2 3" xfId="9790"/>
    <cellStyle name="_DEM-WP(C) Costs not in AURORA 2006GRC_4 32 Regulatory Assets and Liabilities  7 06- Exhibit D 3" xfId="9791"/>
    <cellStyle name="_DEM-WP(C) Costs not in AURORA 2006GRC_4 32 Regulatory Assets and Liabilities  7 06- Exhibit D 3 2" xfId="9792"/>
    <cellStyle name="_DEM-WP(C) Costs not in AURORA 2006GRC_4 32 Regulatory Assets and Liabilities  7 06- Exhibit D 4" xfId="9793"/>
    <cellStyle name="_DEM-WP(C) Costs not in AURORA 2006GRC_4 32 Regulatory Assets and Liabilities  7 06- Exhibit D_DEM-WP(C) ENERG10C--ctn Mid-C_042010 2010GRC" xfId="9794"/>
    <cellStyle name="_DEM-WP(C) Costs not in AURORA 2006GRC_4 32 Regulatory Assets and Liabilities  7 06- Exhibit D_DEM-WP(C) ENERG10C--ctn Mid-C_042010 2010GRC 2" xfId="9795"/>
    <cellStyle name="_DEM-WP(C) Costs not in AURORA 2006GRC_4 32 Regulatory Assets and Liabilities  7 06- Exhibit D_NIM Summary" xfId="9796"/>
    <cellStyle name="_DEM-WP(C) Costs not in AURORA 2006GRC_4 32 Regulatory Assets and Liabilities  7 06- Exhibit D_NIM Summary 2" xfId="9797"/>
    <cellStyle name="_DEM-WP(C) Costs not in AURORA 2006GRC_4 32 Regulatory Assets and Liabilities  7 06- Exhibit D_NIM Summary 2 2" xfId="9798"/>
    <cellStyle name="_DEM-WP(C) Costs not in AURORA 2006GRC_4 32 Regulatory Assets and Liabilities  7 06- Exhibit D_NIM Summary 2 2 2" xfId="9799"/>
    <cellStyle name="_DEM-WP(C) Costs not in AURORA 2006GRC_4 32 Regulatory Assets and Liabilities  7 06- Exhibit D_NIM Summary 2 3" xfId="9800"/>
    <cellStyle name="_DEM-WP(C) Costs not in AURORA 2006GRC_4 32 Regulatory Assets and Liabilities  7 06- Exhibit D_NIM Summary 3" xfId="9801"/>
    <cellStyle name="_DEM-WP(C) Costs not in AURORA 2006GRC_4 32 Regulatory Assets and Liabilities  7 06- Exhibit D_NIM Summary 3 2" xfId="9802"/>
    <cellStyle name="_DEM-WP(C) Costs not in AURORA 2006GRC_4 32 Regulatory Assets and Liabilities  7 06- Exhibit D_NIM Summary 4" xfId="9803"/>
    <cellStyle name="_DEM-WP(C) Costs not in AURORA 2006GRC_4 32 Regulatory Assets and Liabilities  7 06- Exhibit D_NIM Summary_DEM-WP(C) ENERG10C--ctn Mid-C_042010 2010GRC" xfId="9804"/>
    <cellStyle name="_DEM-WP(C) Costs not in AURORA 2006GRC_4 32 Regulatory Assets and Liabilities  7 06- Exhibit D_NIM Summary_DEM-WP(C) ENERG10C--ctn Mid-C_042010 2010GRC 2" xfId="9805"/>
    <cellStyle name="_DEM-WP(C) Costs not in AURORA 2006GRC_AURORA Total New" xfId="9806"/>
    <cellStyle name="_DEM-WP(C) Costs not in AURORA 2006GRC_AURORA Total New 2" xfId="9807"/>
    <cellStyle name="_DEM-WP(C) Costs not in AURORA 2006GRC_AURORA Total New 2 2" xfId="9808"/>
    <cellStyle name="_DEM-WP(C) Costs not in AURORA 2006GRC_AURORA Total New 2 2 2" xfId="9809"/>
    <cellStyle name="_DEM-WP(C) Costs not in AURORA 2006GRC_AURORA Total New 2 3" xfId="9810"/>
    <cellStyle name="_DEM-WP(C) Costs not in AURORA 2006GRC_AURORA Total New 3" xfId="9811"/>
    <cellStyle name="_DEM-WP(C) Costs not in AURORA 2006GRC_AURORA Total New 3 2" xfId="9812"/>
    <cellStyle name="_DEM-WP(C) Costs not in AURORA 2006GRC_AURORA Total New 4" xfId="9813"/>
    <cellStyle name="_DEM-WP(C) Costs not in AURORA 2006GRC_Book1" xfId="9814"/>
    <cellStyle name="_DEM-WP(C) Costs not in AURORA 2006GRC_Book2" xfId="502"/>
    <cellStyle name="_DEM-WP(C) Costs not in AURORA 2006GRC_Book2 2" xfId="9815"/>
    <cellStyle name="_DEM-WP(C) Costs not in AURORA 2006GRC_Book2 2 2" xfId="9816"/>
    <cellStyle name="_DEM-WP(C) Costs not in AURORA 2006GRC_Book2 2 2 2" xfId="9817"/>
    <cellStyle name="_DEM-WP(C) Costs not in AURORA 2006GRC_Book2 2 3" xfId="9818"/>
    <cellStyle name="_DEM-WP(C) Costs not in AURORA 2006GRC_Book2 3" xfId="9819"/>
    <cellStyle name="_DEM-WP(C) Costs not in AURORA 2006GRC_Book2 3 2" xfId="9820"/>
    <cellStyle name="_DEM-WP(C) Costs not in AURORA 2006GRC_Book2 4" xfId="9821"/>
    <cellStyle name="_DEM-WP(C) Costs not in AURORA 2006GRC_Book2_Adj Bench DR 3 for Initial Briefs (Electric)" xfId="503"/>
    <cellStyle name="_DEM-WP(C) Costs not in AURORA 2006GRC_Book2_Adj Bench DR 3 for Initial Briefs (Electric) 2" xfId="9822"/>
    <cellStyle name="_DEM-WP(C) Costs not in AURORA 2006GRC_Book2_Adj Bench DR 3 for Initial Briefs (Electric) 2 2" xfId="9823"/>
    <cellStyle name="_DEM-WP(C) Costs not in AURORA 2006GRC_Book2_Adj Bench DR 3 for Initial Briefs (Electric) 2 2 2" xfId="9824"/>
    <cellStyle name="_DEM-WP(C) Costs not in AURORA 2006GRC_Book2_Adj Bench DR 3 for Initial Briefs (Electric) 2 3" xfId="9825"/>
    <cellStyle name="_DEM-WP(C) Costs not in AURORA 2006GRC_Book2_Adj Bench DR 3 for Initial Briefs (Electric) 3" xfId="9826"/>
    <cellStyle name="_DEM-WP(C) Costs not in AURORA 2006GRC_Book2_Adj Bench DR 3 for Initial Briefs (Electric) 3 2" xfId="9827"/>
    <cellStyle name="_DEM-WP(C) Costs not in AURORA 2006GRC_Book2_Adj Bench DR 3 for Initial Briefs (Electric) 4" xfId="9828"/>
    <cellStyle name="_DEM-WP(C) Costs not in AURORA 2006GRC_Book2_Adj Bench DR 3 for Initial Briefs (Electric)_DEM-WP(C) ENERG10C--ctn Mid-C_042010 2010GRC" xfId="9829"/>
    <cellStyle name="_DEM-WP(C) Costs not in AURORA 2006GRC_Book2_Adj Bench DR 3 for Initial Briefs (Electric)_DEM-WP(C) ENERG10C--ctn Mid-C_042010 2010GRC 2" xfId="9830"/>
    <cellStyle name="_DEM-WP(C) Costs not in AURORA 2006GRC_Book2_DEM-WP(C) ENERG10C--ctn Mid-C_042010 2010GRC" xfId="9831"/>
    <cellStyle name="_DEM-WP(C) Costs not in AURORA 2006GRC_Book2_DEM-WP(C) ENERG10C--ctn Mid-C_042010 2010GRC 2" xfId="9832"/>
    <cellStyle name="_DEM-WP(C) Costs not in AURORA 2006GRC_Book2_Electric Rev Req Model (2009 GRC) Rebuttal" xfId="504"/>
    <cellStyle name="_DEM-WP(C) Costs not in AURORA 2006GRC_Book2_Electric Rev Req Model (2009 GRC) Rebuttal 2" xfId="9833"/>
    <cellStyle name="_DEM-WP(C) Costs not in AURORA 2006GRC_Book2_Electric Rev Req Model (2009 GRC) Rebuttal 2 2" xfId="9834"/>
    <cellStyle name="_DEM-WP(C) Costs not in AURORA 2006GRC_Book2_Electric Rev Req Model (2009 GRC) Rebuttal 2 2 2" xfId="9835"/>
    <cellStyle name="_DEM-WP(C) Costs not in AURORA 2006GRC_Book2_Electric Rev Req Model (2009 GRC) Rebuttal 2 3" xfId="9836"/>
    <cellStyle name="_DEM-WP(C) Costs not in AURORA 2006GRC_Book2_Electric Rev Req Model (2009 GRC) Rebuttal 3" xfId="9837"/>
    <cellStyle name="_DEM-WP(C) Costs not in AURORA 2006GRC_Book2_Electric Rev Req Model (2009 GRC) Rebuttal 3 2" xfId="9838"/>
    <cellStyle name="_DEM-WP(C) Costs not in AURORA 2006GRC_Book2_Electric Rev Req Model (2009 GRC) Rebuttal 4" xfId="9839"/>
    <cellStyle name="_DEM-WP(C) Costs not in AURORA 2006GRC_Book2_Electric Rev Req Model (2009 GRC) Rebuttal REmoval of New  WH Solar AdjustMI" xfId="505"/>
    <cellStyle name="_DEM-WP(C) Costs not in AURORA 2006GRC_Book2_Electric Rev Req Model (2009 GRC) Rebuttal REmoval of New  WH Solar AdjustMI 2" xfId="9840"/>
    <cellStyle name="_DEM-WP(C) Costs not in AURORA 2006GRC_Book2_Electric Rev Req Model (2009 GRC) Rebuttal REmoval of New  WH Solar AdjustMI 2 2" xfId="9841"/>
    <cellStyle name="_DEM-WP(C) Costs not in AURORA 2006GRC_Book2_Electric Rev Req Model (2009 GRC) Rebuttal REmoval of New  WH Solar AdjustMI 2 2 2" xfId="9842"/>
    <cellStyle name="_DEM-WP(C) Costs not in AURORA 2006GRC_Book2_Electric Rev Req Model (2009 GRC) Rebuttal REmoval of New  WH Solar AdjustMI 2 3" xfId="9843"/>
    <cellStyle name="_DEM-WP(C) Costs not in AURORA 2006GRC_Book2_Electric Rev Req Model (2009 GRC) Rebuttal REmoval of New  WH Solar AdjustMI 3" xfId="9844"/>
    <cellStyle name="_DEM-WP(C) Costs not in AURORA 2006GRC_Book2_Electric Rev Req Model (2009 GRC) Rebuttal REmoval of New  WH Solar AdjustMI 3 2" xfId="9845"/>
    <cellStyle name="_DEM-WP(C) Costs not in AURORA 2006GRC_Book2_Electric Rev Req Model (2009 GRC) Rebuttal REmoval of New  WH Solar AdjustMI 4" xfId="9846"/>
    <cellStyle name="_DEM-WP(C) Costs not in AURORA 2006GRC_Book2_Electric Rev Req Model (2009 GRC) Rebuttal REmoval of New  WH Solar AdjustMI_DEM-WP(C) ENERG10C--ctn Mid-C_042010 2010GRC" xfId="9847"/>
    <cellStyle name="_DEM-WP(C) Costs not in AURORA 2006GRC_Book2_Electric Rev Req Model (2009 GRC) Rebuttal REmoval of New  WH Solar AdjustMI_DEM-WP(C) ENERG10C--ctn Mid-C_042010 2010GRC 2" xfId="9848"/>
    <cellStyle name="_DEM-WP(C) Costs not in AURORA 2006GRC_Book2_Electric Rev Req Model (2009 GRC) Revised 01-18-2010" xfId="506"/>
    <cellStyle name="_DEM-WP(C) Costs not in AURORA 2006GRC_Book2_Electric Rev Req Model (2009 GRC) Revised 01-18-2010 2" xfId="9849"/>
    <cellStyle name="_DEM-WP(C) Costs not in AURORA 2006GRC_Book2_Electric Rev Req Model (2009 GRC) Revised 01-18-2010 2 2" xfId="9850"/>
    <cellStyle name="_DEM-WP(C) Costs not in AURORA 2006GRC_Book2_Electric Rev Req Model (2009 GRC) Revised 01-18-2010 2 2 2" xfId="9851"/>
    <cellStyle name="_DEM-WP(C) Costs not in AURORA 2006GRC_Book2_Electric Rev Req Model (2009 GRC) Revised 01-18-2010 2 3" xfId="9852"/>
    <cellStyle name="_DEM-WP(C) Costs not in AURORA 2006GRC_Book2_Electric Rev Req Model (2009 GRC) Revised 01-18-2010 3" xfId="9853"/>
    <cellStyle name="_DEM-WP(C) Costs not in AURORA 2006GRC_Book2_Electric Rev Req Model (2009 GRC) Revised 01-18-2010 3 2" xfId="9854"/>
    <cellStyle name="_DEM-WP(C) Costs not in AURORA 2006GRC_Book2_Electric Rev Req Model (2009 GRC) Revised 01-18-2010 4" xfId="9855"/>
    <cellStyle name="_DEM-WP(C) Costs not in AURORA 2006GRC_Book2_Electric Rev Req Model (2009 GRC) Revised 01-18-2010_DEM-WP(C) ENERG10C--ctn Mid-C_042010 2010GRC" xfId="9856"/>
    <cellStyle name="_DEM-WP(C) Costs not in AURORA 2006GRC_Book2_Electric Rev Req Model (2009 GRC) Revised 01-18-2010_DEM-WP(C) ENERG10C--ctn Mid-C_042010 2010GRC 2" xfId="9857"/>
    <cellStyle name="_DEM-WP(C) Costs not in AURORA 2006GRC_Book2_Final Order Electric EXHIBIT A-1" xfId="507"/>
    <cellStyle name="_DEM-WP(C) Costs not in AURORA 2006GRC_Book2_Final Order Electric EXHIBIT A-1 2" xfId="9858"/>
    <cellStyle name="_DEM-WP(C) Costs not in AURORA 2006GRC_Book2_Final Order Electric EXHIBIT A-1 2 2" xfId="9859"/>
    <cellStyle name="_DEM-WP(C) Costs not in AURORA 2006GRC_Book2_Final Order Electric EXHIBIT A-1 2 2 2" xfId="9860"/>
    <cellStyle name="_DEM-WP(C) Costs not in AURORA 2006GRC_Book2_Final Order Electric EXHIBIT A-1 2 3" xfId="9861"/>
    <cellStyle name="_DEM-WP(C) Costs not in AURORA 2006GRC_Book2_Final Order Electric EXHIBIT A-1 3" xfId="9862"/>
    <cellStyle name="_DEM-WP(C) Costs not in AURORA 2006GRC_Book2_Final Order Electric EXHIBIT A-1 3 2" xfId="9863"/>
    <cellStyle name="_DEM-WP(C) Costs not in AURORA 2006GRC_Book2_Final Order Electric EXHIBIT A-1 4" xfId="9864"/>
    <cellStyle name="_DEM-WP(C) Costs not in AURORA 2006GRC_Book4" xfId="508"/>
    <cellStyle name="_DEM-WP(C) Costs not in AURORA 2006GRC_Book4 2" xfId="9865"/>
    <cellStyle name="_DEM-WP(C) Costs not in AURORA 2006GRC_Book4 2 2" xfId="9866"/>
    <cellStyle name="_DEM-WP(C) Costs not in AURORA 2006GRC_Book4 2 2 2" xfId="9867"/>
    <cellStyle name="_DEM-WP(C) Costs not in AURORA 2006GRC_Book4 2 3" xfId="9868"/>
    <cellStyle name="_DEM-WP(C) Costs not in AURORA 2006GRC_Book4 3" xfId="9869"/>
    <cellStyle name="_DEM-WP(C) Costs not in AURORA 2006GRC_Book4 3 2" xfId="9870"/>
    <cellStyle name="_DEM-WP(C) Costs not in AURORA 2006GRC_Book4 4" xfId="9871"/>
    <cellStyle name="_DEM-WP(C) Costs not in AURORA 2006GRC_Book4_DEM-WP(C) ENERG10C--ctn Mid-C_042010 2010GRC" xfId="9872"/>
    <cellStyle name="_DEM-WP(C) Costs not in AURORA 2006GRC_Book4_DEM-WP(C) ENERG10C--ctn Mid-C_042010 2010GRC 2" xfId="9873"/>
    <cellStyle name="_DEM-WP(C) Costs not in AURORA 2006GRC_Book9" xfId="509"/>
    <cellStyle name="_DEM-WP(C) Costs not in AURORA 2006GRC_Book9 2" xfId="9874"/>
    <cellStyle name="_DEM-WP(C) Costs not in AURORA 2006GRC_Book9 2 2" xfId="9875"/>
    <cellStyle name="_DEM-WP(C) Costs not in AURORA 2006GRC_Book9 2 2 2" xfId="9876"/>
    <cellStyle name="_DEM-WP(C) Costs not in AURORA 2006GRC_Book9 2 3" xfId="9877"/>
    <cellStyle name="_DEM-WP(C) Costs not in AURORA 2006GRC_Book9 3" xfId="9878"/>
    <cellStyle name="_DEM-WP(C) Costs not in AURORA 2006GRC_Book9 3 2" xfId="9879"/>
    <cellStyle name="_DEM-WP(C) Costs not in AURORA 2006GRC_Book9 4" xfId="9880"/>
    <cellStyle name="_DEM-WP(C) Costs not in AURORA 2006GRC_Book9_DEM-WP(C) ENERG10C--ctn Mid-C_042010 2010GRC" xfId="9881"/>
    <cellStyle name="_DEM-WP(C) Costs not in AURORA 2006GRC_Book9_DEM-WP(C) ENERG10C--ctn Mid-C_042010 2010GRC 2" xfId="9882"/>
    <cellStyle name="_DEM-WP(C) Costs not in AURORA 2006GRC_Chelan PUD Power Costs (8-10)" xfId="9883"/>
    <cellStyle name="_DEM-WP(C) Costs not in AURORA 2006GRC_Chelan PUD Power Costs (8-10) 2" xfId="9884"/>
    <cellStyle name="_DEM-WP(C) Costs not in AURORA 2006GRC_DEM-WP(C) Chelan Power Costs" xfId="9885"/>
    <cellStyle name="_DEM-WP(C) Costs not in AURORA 2006GRC_DEM-WP(C) Chelan Power Costs 2" xfId="9886"/>
    <cellStyle name="_DEM-WP(C) Costs not in AURORA 2006GRC_DEM-WP(C) ENERG10C--ctn Mid-C_042010 2010GRC" xfId="9887"/>
    <cellStyle name="_DEM-WP(C) Costs not in AURORA 2006GRC_DEM-WP(C) ENERG10C--ctn Mid-C_042010 2010GRC 2" xfId="9888"/>
    <cellStyle name="_DEM-WP(C) Costs not in AURORA 2006GRC_DEM-WP(C) Gas Transport 2010GRC" xfId="9889"/>
    <cellStyle name="_DEM-WP(C) Costs not in AURORA 2006GRC_DEM-WP(C) Gas Transport 2010GRC 2" xfId="9890"/>
    <cellStyle name="_DEM-WP(C) Costs not in AURORA 2006GRC_Electric COS Inputs" xfId="9891"/>
    <cellStyle name="_DEM-WP(C) Costs not in AURORA 2006GRC_Electric COS Inputs 2" xfId="9892"/>
    <cellStyle name="_DEM-WP(C) Costs not in AURORA 2006GRC_Electric COS Inputs 2 2" xfId="9893"/>
    <cellStyle name="_DEM-WP(C) Costs not in AURORA 2006GRC_Electric COS Inputs 2 2 2" xfId="9894"/>
    <cellStyle name="_DEM-WP(C) Costs not in AURORA 2006GRC_Electric COS Inputs 2 2 2 2" xfId="9895"/>
    <cellStyle name="_DEM-WP(C) Costs not in AURORA 2006GRC_Electric COS Inputs 2 2 3" xfId="9896"/>
    <cellStyle name="_DEM-WP(C) Costs not in AURORA 2006GRC_Electric COS Inputs 2 3" xfId="9897"/>
    <cellStyle name="_DEM-WP(C) Costs not in AURORA 2006GRC_Electric COS Inputs 2 3 2" xfId="9898"/>
    <cellStyle name="_DEM-WP(C) Costs not in AURORA 2006GRC_Electric COS Inputs 2 3 2 2" xfId="9899"/>
    <cellStyle name="_DEM-WP(C) Costs not in AURORA 2006GRC_Electric COS Inputs 2 3 3" xfId="9900"/>
    <cellStyle name="_DEM-WP(C) Costs not in AURORA 2006GRC_Electric COS Inputs 2 4" xfId="9901"/>
    <cellStyle name="_DEM-WP(C) Costs not in AURORA 2006GRC_Electric COS Inputs 2 4 2" xfId="9902"/>
    <cellStyle name="_DEM-WP(C) Costs not in AURORA 2006GRC_Electric COS Inputs 2 4 2 2" xfId="9903"/>
    <cellStyle name="_DEM-WP(C) Costs not in AURORA 2006GRC_Electric COS Inputs 2 4 3" xfId="9904"/>
    <cellStyle name="_DEM-WP(C) Costs not in AURORA 2006GRC_Electric COS Inputs 2 5" xfId="9905"/>
    <cellStyle name="_DEM-WP(C) Costs not in AURORA 2006GRC_Electric COS Inputs 3" xfId="9906"/>
    <cellStyle name="_DEM-WP(C) Costs not in AURORA 2006GRC_Electric COS Inputs 3 2" xfId="9907"/>
    <cellStyle name="_DEM-WP(C) Costs not in AURORA 2006GRC_Electric COS Inputs 3 2 2" xfId="9908"/>
    <cellStyle name="_DEM-WP(C) Costs not in AURORA 2006GRC_Electric COS Inputs 3 3" xfId="9909"/>
    <cellStyle name="_DEM-WP(C) Costs not in AURORA 2006GRC_Electric COS Inputs 4" xfId="9910"/>
    <cellStyle name="_DEM-WP(C) Costs not in AURORA 2006GRC_Electric COS Inputs 4 2" xfId="9911"/>
    <cellStyle name="_DEM-WP(C) Costs not in AURORA 2006GRC_Electric COS Inputs 4 2 2" xfId="9912"/>
    <cellStyle name="_DEM-WP(C) Costs not in AURORA 2006GRC_Electric COS Inputs 4 3" xfId="9913"/>
    <cellStyle name="_DEM-WP(C) Costs not in AURORA 2006GRC_Electric COS Inputs 5" xfId="9914"/>
    <cellStyle name="_DEM-WP(C) Costs not in AURORA 2006GRC_Electric COS Inputs 5 2" xfId="9915"/>
    <cellStyle name="_DEM-WP(C) Costs not in AURORA 2006GRC_Electric COS Inputs 6" xfId="9916"/>
    <cellStyle name="_DEM-WP(C) Costs not in AURORA 2006GRC_Exh A-1 resulting from UE-112050 effective Jan 1 2012" xfId="9917"/>
    <cellStyle name="_DEM-WP(C) Costs not in AURORA 2006GRC_Exh A-1 resulting from UE-112050 effective Jan 1 2012 2" xfId="9918"/>
    <cellStyle name="_DEM-WP(C) Costs not in AURORA 2006GRC_Exh G - Klamath Peaker PPA fr C Locke 2-12" xfId="9919"/>
    <cellStyle name="_DEM-WP(C) Costs not in AURORA 2006GRC_Exh G - Klamath Peaker PPA fr C Locke 2-12 2" xfId="9920"/>
    <cellStyle name="_DEM-WP(C) Costs not in AURORA 2006GRC_Exhibit A-1 effective 4-1-11 fr S Free 12-11" xfId="9921"/>
    <cellStyle name="_DEM-WP(C) Costs not in AURORA 2006GRC_Exhibit A-1 effective 4-1-11 fr S Free 12-11 2" xfId="9922"/>
    <cellStyle name="_DEM-WP(C) Costs not in AURORA 2006GRC_LSRWEP LGIA like Acctg Petition Aug 2010" xfId="9923"/>
    <cellStyle name="_DEM-WP(C) Costs not in AURORA 2006GRC_LSRWEP LGIA like Acctg Petition Aug 2010 2" xfId="9924"/>
    <cellStyle name="_DEM-WP(C) Costs not in AURORA 2006GRC_Mint Farm Generation BPA" xfId="9925"/>
    <cellStyle name="_DEM-WP(C) Costs not in AURORA 2006GRC_NIM Summary" xfId="9926"/>
    <cellStyle name="_DEM-WP(C) Costs not in AURORA 2006GRC_NIM Summary 09GRC" xfId="9927"/>
    <cellStyle name="_DEM-WP(C) Costs not in AURORA 2006GRC_NIM Summary 09GRC 2" xfId="9928"/>
    <cellStyle name="_DEM-WP(C) Costs not in AURORA 2006GRC_NIM Summary 09GRC 2 2" xfId="9929"/>
    <cellStyle name="_DEM-WP(C) Costs not in AURORA 2006GRC_NIM Summary 09GRC 2 2 2" xfId="9930"/>
    <cellStyle name="_DEM-WP(C) Costs not in AURORA 2006GRC_NIM Summary 09GRC 2 3" xfId="9931"/>
    <cellStyle name="_DEM-WP(C) Costs not in AURORA 2006GRC_NIM Summary 09GRC 3" xfId="9932"/>
    <cellStyle name="_DEM-WP(C) Costs not in AURORA 2006GRC_NIM Summary 09GRC 3 2" xfId="9933"/>
    <cellStyle name="_DEM-WP(C) Costs not in AURORA 2006GRC_NIM Summary 09GRC 4" xfId="9934"/>
    <cellStyle name="_DEM-WP(C) Costs not in AURORA 2006GRC_NIM Summary 09GRC_DEM-WP(C) ENERG10C--ctn Mid-C_042010 2010GRC" xfId="9935"/>
    <cellStyle name="_DEM-WP(C) Costs not in AURORA 2006GRC_NIM Summary 09GRC_DEM-WP(C) ENERG10C--ctn Mid-C_042010 2010GRC 2" xfId="9936"/>
    <cellStyle name="_DEM-WP(C) Costs not in AURORA 2006GRC_NIM Summary 10" xfId="9937"/>
    <cellStyle name="_DEM-WP(C) Costs not in AURORA 2006GRC_NIM Summary 10 2" xfId="9938"/>
    <cellStyle name="_DEM-WP(C) Costs not in AURORA 2006GRC_NIM Summary 11" xfId="9939"/>
    <cellStyle name="_DEM-WP(C) Costs not in AURORA 2006GRC_NIM Summary 11 2" xfId="9940"/>
    <cellStyle name="_DEM-WP(C) Costs not in AURORA 2006GRC_NIM Summary 12" xfId="9941"/>
    <cellStyle name="_DEM-WP(C) Costs not in AURORA 2006GRC_NIM Summary 12 2" xfId="9942"/>
    <cellStyle name="_DEM-WP(C) Costs not in AURORA 2006GRC_NIM Summary 13" xfId="9943"/>
    <cellStyle name="_DEM-WP(C) Costs not in AURORA 2006GRC_NIM Summary 13 2" xfId="9944"/>
    <cellStyle name="_DEM-WP(C) Costs not in AURORA 2006GRC_NIM Summary 14" xfId="9945"/>
    <cellStyle name="_DEM-WP(C) Costs not in AURORA 2006GRC_NIM Summary 14 2" xfId="9946"/>
    <cellStyle name="_DEM-WP(C) Costs not in AURORA 2006GRC_NIM Summary 15" xfId="9947"/>
    <cellStyle name="_DEM-WP(C) Costs not in AURORA 2006GRC_NIM Summary 15 2" xfId="9948"/>
    <cellStyle name="_DEM-WP(C) Costs not in AURORA 2006GRC_NIM Summary 16" xfId="9949"/>
    <cellStyle name="_DEM-WP(C) Costs not in AURORA 2006GRC_NIM Summary 16 2" xfId="9950"/>
    <cellStyle name="_DEM-WP(C) Costs not in AURORA 2006GRC_NIM Summary 17" xfId="9951"/>
    <cellStyle name="_DEM-WP(C) Costs not in AURORA 2006GRC_NIM Summary 17 2" xfId="9952"/>
    <cellStyle name="_DEM-WP(C) Costs not in AURORA 2006GRC_NIM Summary 18" xfId="9953"/>
    <cellStyle name="_DEM-WP(C) Costs not in AURORA 2006GRC_NIM Summary 18 2" xfId="9954"/>
    <cellStyle name="_DEM-WP(C) Costs not in AURORA 2006GRC_NIM Summary 19" xfId="9955"/>
    <cellStyle name="_DEM-WP(C) Costs not in AURORA 2006GRC_NIM Summary 19 2" xfId="9956"/>
    <cellStyle name="_DEM-WP(C) Costs not in AURORA 2006GRC_NIM Summary 2" xfId="9957"/>
    <cellStyle name="_DEM-WP(C) Costs not in AURORA 2006GRC_NIM Summary 2 2" xfId="9958"/>
    <cellStyle name="_DEM-WP(C) Costs not in AURORA 2006GRC_NIM Summary 2 2 2" xfId="9959"/>
    <cellStyle name="_DEM-WP(C) Costs not in AURORA 2006GRC_NIM Summary 2 3" xfId="9960"/>
    <cellStyle name="_DEM-WP(C) Costs not in AURORA 2006GRC_NIM Summary 20" xfId="9961"/>
    <cellStyle name="_DEM-WP(C) Costs not in AURORA 2006GRC_NIM Summary 20 2" xfId="9962"/>
    <cellStyle name="_DEM-WP(C) Costs not in AURORA 2006GRC_NIM Summary 21" xfId="9963"/>
    <cellStyle name="_DEM-WP(C) Costs not in AURORA 2006GRC_NIM Summary 21 2" xfId="9964"/>
    <cellStyle name="_DEM-WP(C) Costs not in AURORA 2006GRC_NIM Summary 22" xfId="9965"/>
    <cellStyle name="_DEM-WP(C) Costs not in AURORA 2006GRC_NIM Summary 22 2" xfId="9966"/>
    <cellStyle name="_DEM-WP(C) Costs not in AURORA 2006GRC_NIM Summary 23" xfId="9967"/>
    <cellStyle name="_DEM-WP(C) Costs not in AURORA 2006GRC_NIM Summary 23 2" xfId="9968"/>
    <cellStyle name="_DEM-WP(C) Costs not in AURORA 2006GRC_NIM Summary 24" xfId="9969"/>
    <cellStyle name="_DEM-WP(C) Costs not in AURORA 2006GRC_NIM Summary 24 2" xfId="9970"/>
    <cellStyle name="_DEM-WP(C) Costs not in AURORA 2006GRC_NIM Summary 25" xfId="9971"/>
    <cellStyle name="_DEM-WP(C) Costs not in AURORA 2006GRC_NIM Summary 25 2" xfId="9972"/>
    <cellStyle name="_DEM-WP(C) Costs not in AURORA 2006GRC_NIM Summary 26" xfId="9973"/>
    <cellStyle name="_DEM-WP(C) Costs not in AURORA 2006GRC_NIM Summary 26 2" xfId="9974"/>
    <cellStyle name="_DEM-WP(C) Costs not in AURORA 2006GRC_NIM Summary 27" xfId="9975"/>
    <cellStyle name="_DEM-WP(C) Costs not in AURORA 2006GRC_NIM Summary 27 2" xfId="9976"/>
    <cellStyle name="_DEM-WP(C) Costs not in AURORA 2006GRC_NIM Summary 28" xfId="9977"/>
    <cellStyle name="_DEM-WP(C) Costs not in AURORA 2006GRC_NIM Summary 28 2" xfId="9978"/>
    <cellStyle name="_DEM-WP(C) Costs not in AURORA 2006GRC_NIM Summary 29" xfId="9979"/>
    <cellStyle name="_DEM-WP(C) Costs not in AURORA 2006GRC_NIM Summary 29 2" xfId="9980"/>
    <cellStyle name="_DEM-WP(C) Costs not in AURORA 2006GRC_NIM Summary 3" xfId="9981"/>
    <cellStyle name="_DEM-WP(C) Costs not in AURORA 2006GRC_NIM Summary 3 2" xfId="9982"/>
    <cellStyle name="_DEM-WP(C) Costs not in AURORA 2006GRC_NIM Summary 30" xfId="9983"/>
    <cellStyle name="_DEM-WP(C) Costs not in AURORA 2006GRC_NIM Summary 30 2" xfId="9984"/>
    <cellStyle name="_DEM-WP(C) Costs not in AURORA 2006GRC_NIM Summary 31" xfId="9985"/>
    <cellStyle name="_DEM-WP(C) Costs not in AURORA 2006GRC_NIM Summary 31 2" xfId="9986"/>
    <cellStyle name="_DEM-WP(C) Costs not in AURORA 2006GRC_NIM Summary 32" xfId="9987"/>
    <cellStyle name="_DEM-WP(C) Costs not in AURORA 2006GRC_NIM Summary 32 2" xfId="9988"/>
    <cellStyle name="_DEM-WP(C) Costs not in AURORA 2006GRC_NIM Summary 33" xfId="9989"/>
    <cellStyle name="_DEM-WP(C) Costs not in AURORA 2006GRC_NIM Summary 33 2" xfId="9990"/>
    <cellStyle name="_DEM-WP(C) Costs not in AURORA 2006GRC_NIM Summary 34" xfId="9991"/>
    <cellStyle name="_DEM-WP(C) Costs not in AURORA 2006GRC_NIM Summary 34 2" xfId="9992"/>
    <cellStyle name="_DEM-WP(C) Costs not in AURORA 2006GRC_NIM Summary 35" xfId="9993"/>
    <cellStyle name="_DEM-WP(C) Costs not in AURORA 2006GRC_NIM Summary 35 2" xfId="9994"/>
    <cellStyle name="_DEM-WP(C) Costs not in AURORA 2006GRC_NIM Summary 36" xfId="9995"/>
    <cellStyle name="_DEM-WP(C) Costs not in AURORA 2006GRC_NIM Summary 36 2" xfId="9996"/>
    <cellStyle name="_DEM-WP(C) Costs not in AURORA 2006GRC_NIM Summary 37" xfId="9997"/>
    <cellStyle name="_DEM-WP(C) Costs not in AURORA 2006GRC_NIM Summary 37 2" xfId="9998"/>
    <cellStyle name="_DEM-WP(C) Costs not in AURORA 2006GRC_NIM Summary 38" xfId="9999"/>
    <cellStyle name="_DEM-WP(C) Costs not in AURORA 2006GRC_NIM Summary 38 2" xfId="10000"/>
    <cellStyle name="_DEM-WP(C) Costs not in AURORA 2006GRC_NIM Summary 39" xfId="10001"/>
    <cellStyle name="_DEM-WP(C) Costs not in AURORA 2006GRC_NIM Summary 39 2" xfId="10002"/>
    <cellStyle name="_DEM-WP(C) Costs not in AURORA 2006GRC_NIM Summary 4" xfId="10003"/>
    <cellStyle name="_DEM-WP(C) Costs not in AURORA 2006GRC_NIM Summary 4 2" xfId="10004"/>
    <cellStyle name="_DEM-WP(C) Costs not in AURORA 2006GRC_NIM Summary 40" xfId="10005"/>
    <cellStyle name="_DEM-WP(C) Costs not in AURORA 2006GRC_NIM Summary 40 2" xfId="10006"/>
    <cellStyle name="_DEM-WP(C) Costs not in AURORA 2006GRC_NIM Summary 41" xfId="10007"/>
    <cellStyle name="_DEM-WP(C) Costs not in AURORA 2006GRC_NIM Summary 41 2" xfId="10008"/>
    <cellStyle name="_DEM-WP(C) Costs not in AURORA 2006GRC_NIM Summary 42" xfId="10009"/>
    <cellStyle name="_DEM-WP(C) Costs not in AURORA 2006GRC_NIM Summary 42 2" xfId="10010"/>
    <cellStyle name="_DEM-WP(C) Costs not in AURORA 2006GRC_NIM Summary 43" xfId="10011"/>
    <cellStyle name="_DEM-WP(C) Costs not in AURORA 2006GRC_NIM Summary 43 2" xfId="10012"/>
    <cellStyle name="_DEM-WP(C) Costs not in AURORA 2006GRC_NIM Summary 44" xfId="10013"/>
    <cellStyle name="_DEM-WP(C) Costs not in AURORA 2006GRC_NIM Summary 44 2" xfId="10014"/>
    <cellStyle name="_DEM-WP(C) Costs not in AURORA 2006GRC_NIM Summary 45" xfId="10015"/>
    <cellStyle name="_DEM-WP(C) Costs not in AURORA 2006GRC_NIM Summary 45 2" xfId="10016"/>
    <cellStyle name="_DEM-WP(C) Costs not in AURORA 2006GRC_NIM Summary 46" xfId="10017"/>
    <cellStyle name="_DEM-WP(C) Costs not in AURORA 2006GRC_NIM Summary 46 2" xfId="10018"/>
    <cellStyle name="_DEM-WP(C) Costs not in AURORA 2006GRC_NIM Summary 47" xfId="10019"/>
    <cellStyle name="_DEM-WP(C) Costs not in AURORA 2006GRC_NIM Summary 47 2" xfId="10020"/>
    <cellStyle name="_DEM-WP(C) Costs not in AURORA 2006GRC_NIM Summary 48" xfId="10021"/>
    <cellStyle name="_DEM-WP(C) Costs not in AURORA 2006GRC_NIM Summary 49" xfId="10022"/>
    <cellStyle name="_DEM-WP(C) Costs not in AURORA 2006GRC_NIM Summary 5" xfId="10023"/>
    <cellStyle name="_DEM-WP(C) Costs not in AURORA 2006GRC_NIM Summary 5 2" xfId="10024"/>
    <cellStyle name="_DEM-WP(C) Costs not in AURORA 2006GRC_NIM Summary 50" xfId="10025"/>
    <cellStyle name="_DEM-WP(C) Costs not in AURORA 2006GRC_NIM Summary 51" xfId="10026"/>
    <cellStyle name="_DEM-WP(C) Costs not in AURORA 2006GRC_NIM Summary 52" xfId="10027"/>
    <cellStyle name="_DEM-WP(C) Costs not in AURORA 2006GRC_NIM Summary 6" xfId="10028"/>
    <cellStyle name="_DEM-WP(C) Costs not in AURORA 2006GRC_NIM Summary 6 2" xfId="10029"/>
    <cellStyle name="_DEM-WP(C) Costs not in AURORA 2006GRC_NIM Summary 7" xfId="10030"/>
    <cellStyle name="_DEM-WP(C) Costs not in AURORA 2006GRC_NIM Summary 7 2" xfId="10031"/>
    <cellStyle name="_DEM-WP(C) Costs not in AURORA 2006GRC_NIM Summary 8" xfId="10032"/>
    <cellStyle name="_DEM-WP(C) Costs not in AURORA 2006GRC_NIM Summary 8 2" xfId="10033"/>
    <cellStyle name="_DEM-WP(C) Costs not in AURORA 2006GRC_NIM Summary 9" xfId="10034"/>
    <cellStyle name="_DEM-WP(C) Costs not in AURORA 2006GRC_NIM Summary 9 2" xfId="10035"/>
    <cellStyle name="_DEM-WP(C) Costs not in AURORA 2006GRC_NIM Summary_DEM-WP(C) ENERG10C--ctn Mid-C_042010 2010GRC" xfId="10036"/>
    <cellStyle name="_DEM-WP(C) Costs not in AURORA 2006GRC_NIM Summary_DEM-WP(C) ENERG10C--ctn Mid-C_042010 2010GRC 2" xfId="10037"/>
    <cellStyle name="_DEM-WP(C) Costs not in AURORA 2006GRC_PCA 10 -  Exhibit D Dec 2011" xfId="10038"/>
    <cellStyle name="_DEM-WP(C) Costs not in AURORA 2006GRC_PCA 10 -  Exhibit D Dec 2011 2" xfId="10039"/>
    <cellStyle name="_DEM-WP(C) Costs not in AURORA 2006GRC_PCA 10 -  Exhibit D from A Kellogg Jan 2011" xfId="10040"/>
    <cellStyle name="_DEM-WP(C) Costs not in AURORA 2006GRC_PCA 10 -  Exhibit D from A Kellogg Jan 2011 2" xfId="10041"/>
    <cellStyle name="_DEM-WP(C) Costs not in AURORA 2006GRC_PCA 10 -  Exhibit D from A Kellogg July 2011" xfId="10042"/>
    <cellStyle name="_DEM-WP(C) Costs not in AURORA 2006GRC_PCA 10 -  Exhibit D from A Kellogg July 2011 2" xfId="10043"/>
    <cellStyle name="_DEM-WP(C) Costs not in AURORA 2006GRC_PCA 10 -  Exhibit D from S Free Rcv'd 12-11" xfId="10044"/>
    <cellStyle name="_DEM-WP(C) Costs not in AURORA 2006GRC_PCA 10 -  Exhibit D from S Free Rcv'd 12-11 2" xfId="10045"/>
    <cellStyle name="_DEM-WP(C) Costs not in AURORA 2006GRC_PCA 11 -  Exhibit D Jan 2012 fr A Kellogg" xfId="10046"/>
    <cellStyle name="_DEM-WP(C) Costs not in AURORA 2006GRC_PCA 11 -  Exhibit D Jan 2012 fr A Kellogg 2" xfId="10047"/>
    <cellStyle name="_DEM-WP(C) Costs not in AURORA 2006GRC_PCA 11 -  Exhibit D Jan 2012 WF" xfId="10048"/>
    <cellStyle name="_DEM-WP(C) Costs not in AURORA 2006GRC_PCA 11 -  Exhibit D Jan 2012 WF 2" xfId="10049"/>
    <cellStyle name="_DEM-WP(C) Costs not in AURORA 2006GRC_PCA 9 -  Exhibit D April 2010" xfId="10050"/>
    <cellStyle name="_DEM-WP(C) Costs not in AURORA 2006GRC_PCA 9 -  Exhibit D April 2010 (3)" xfId="10051"/>
    <cellStyle name="_DEM-WP(C) Costs not in AURORA 2006GRC_PCA 9 -  Exhibit D April 2010 (3) 2" xfId="10052"/>
    <cellStyle name="_DEM-WP(C) Costs not in AURORA 2006GRC_PCA 9 -  Exhibit D April 2010 (3) 2 2" xfId="10053"/>
    <cellStyle name="_DEM-WP(C) Costs not in AURORA 2006GRC_PCA 9 -  Exhibit D April 2010 (3) 2 2 2" xfId="10054"/>
    <cellStyle name="_DEM-WP(C) Costs not in AURORA 2006GRC_PCA 9 -  Exhibit D April 2010 (3) 2 3" xfId="10055"/>
    <cellStyle name="_DEM-WP(C) Costs not in AURORA 2006GRC_PCA 9 -  Exhibit D April 2010 (3) 3" xfId="10056"/>
    <cellStyle name="_DEM-WP(C) Costs not in AURORA 2006GRC_PCA 9 -  Exhibit D April 2010 (3) 3 2" xfId="10057"/>
    <cellStyle name="_DEM-WP(C) Costs not in AURORA 2006GRC_PCA 9 -  Exhibit D April 2010 (3) 4" xfId="10058"/>
    <cellStyle name="_DEM-WP(C) Costs not in AURORA 2006GRC_PCA 9 -  Exhibit D April 2010 (3)_DEM-WP(C) ENERG10C--ctn Mid-C_042010 2010GRC" xfId="10059"/>
    <cellStyle name="_DEM-WP(C) Costs not in AURORA 2006GRC_PCA 9 -  Exhibit D April 2010 (3)_DEM-WP(C) ENERG10C--ctn Mid-C_042010 2010GRC 2" xfId="10060"/>
    <cellStyle name="_DEM-WP(C) Costs not in AURORA 2006GRC_PCA 9 -  Exhibit D April 2010 2" xfId="10061"/>
    <cellStyle name="_DEM-WP(C) Costs not in AURORA 2006GRC_PCA 9 -  Exhibit D April 2010 2 2" xfId="10062"/>
    <cellStyle name="_DEM-WP(C) Costs not in AURORA 2006GRC_PCA 9 -  Exhibit D April 2010 3" xfId="10063"/>
    <cellStyle name="_DEM-WP(C) Costs not in AURORA 2006GRC_PCA 9 -  Exhibit D April 2010 3 2" xfId="10064"/>
    <cellStyle name="_DEM-WP(C) Costs not in AURORA 2006GRC_PCA 9 -  Exhibit D April 2010 4" xfId="10065"/>
    <cellStyle name="_DEM-WP(C) Costs not in AURORA 2006GRC_PCA 9 -  Exhibit D April 2010 4 2" xfId="10066"/>
    <cellStyle name="_DEM-WP(C) Costs not in AURORA 2006GRC_PCA 9 -  Exhibit D April 2010 5" xfId="10067"/>
    <cellStyle name="_DEM-WP(C) Costs not in AURORA 2006GRC_PCA 9 -  Exhibit D April 2010 5 2" xfId="10068"/>
    <cellStyle name="_DEM-WP(C) Costs not in AURORA 2006GRC_PCA 9 -  Exhibit D April 2010 6" xfId="10069"/>
    <cellStyle name="_DEM-WP(C) Costs not in AURORA 2006GRC_PCA 9 -  Exhibit D April 2010 6 2" xfId="10070"/>
    <cellStyle name="_DEM-WP(C) Costs not in AURORA 2006GRC_PCA 9 -  Exhibit D April 2010 7" xfId="10071"/>
    <cellStyle name="_DEM-WP(C) Costs not in AURORA 2006GRC_PCA 9 -  Exhibit D Nov 2010" xfId="10072"/>
    <cellStyle name="_DEM-WP(C) Costs not in AURORA 2006GRC_PCA 9 -  Exhibit D Nov 2010 2" xfId="10073"/>
    <cellStyle name="_DEM-WP(C) Costs not in AURORA 2006GRC_PCA 9 -  Exhibit D Nov 2010 2 2" xfId="10074"/>
    <cellStyle name="_DEM-WP(C) Costs not in AURORA 2006GRC_PCA 9 -  Exhibit D Nov 2010 3" xfId="10075"/>
    <cellStyle name="_DEM-WP(C) Costs not in AURORA 2006GRC_PCA 9 - Exhibit D at August 2010" xfId="10076"/>
    <cellStyle name="_DEM-WP(C) Costs not in AURORA 2006GRC_PCA 9 - Exhibit D at August 2010 2" xfId="10077"/>
    <cellStyle name="_DEM-WP(C) Costs not in AURORA 2006GRC_PCA 9 - Exhibit D at August 2010 2 2" xfId="10078"/>
    <cellStyle name="_DEM-WP(C) Costs not in AURORA 2006GRC_PCA 9 - Exhibit D at August 2010 3" xfId="10079"/>
    <cellStyle name="_DEM-WP(C) Costs not in AURORA 2006GRC_PCA 9 - Exhibit D June 2010 GRC" xfId="10080"/>
    <cellStyle name="_DEM-WP(C) Costs not in AURORA 2006GRC_PCA 9 - Exhibit D June 2010 GRC 2" xfId="10081"/>
    <cellStyle name="_DEM-WP(C) Costs not in AURORA 2006GRC_PCA 9 - Exhibit D June 2010 GRC 2 2" xfId="10082"/>
    <cellStyle name="_DEM-WP(C) Costs not in AURORA 2006GRC_PCA 9 - Exhibit D June 2010 GRC 3" xfId="10083"/>
    <cellStyle name="_DEM-WP(C) Costs not in AURORA 2006GRC_Power Costs - Comparison bx Rbtl-Staff-Jt-PC" xfId="510"/>
    <cellStyle name="_DEM-WP(C) Costs not in AURORA 2006GRC_Power Costs - Comparison bx Rbtl-Staff-Jt-PC 2" xfId="10084"/>
    <cellStyle name="_DEM-WP(C) Costs not in AURORA 2006GRC_Power Costs - Comparison bx Rbtl-Staff-Jt-PC 2 2" xfId="10085"/>
    <cellStyle name="_DEM-WP(C) Costs not in AURORA 2006GRC_Power Costs - Comparison bx Rbtl-Staff-Jt-PC 2 2 2" xfId="10086"/>
    <cellStyle name="_DEM-WP(C) Costs not in AURORA 2006GRC_Power Costs - Comparison bx Rbtl-Staff-Jt-PC 2 3" xfId="10087"/>
    <cellStyle name="_DEM-WP(C) Costs not in AURORA 2006GRC_Power Costs - Comparison bx Rbtl-Staff-Jt-PC 3" xfId="10088"/>
    <cellStyle name="_DEM-WP(C) Costs not in AURORA 2006GRC_Power Costs - Comparison bx Rbtl-Staff-Jt-PC 3 2" xfId="10089"/>
    <cellStyle name="_DEM-WP(C) Costs not in AURORA 2006GRC_Power Costs - Comparison bx Rbtl-Staff-Jt-PC 4" xfId="10090"/>
    <cellStyle name="_DEM-WP(C) Costs not in AURORA 2006GRC_Power Costs - Comparison bx Rbtl-Staff-Jt-PC_Adj Bench DR 3 for Initial Briefs (Electric)" xfId="511"/>
    <cellStyle name="_DEM-WP(C) Costs not in AURORA 2006GRC_Power Costs - Comparison bx Rbtl-Staff-Jt-PC_Adj Bench DR 3 for Initial Briefs (Electric) 2" xfId="10091"/>
    <cellStyle name="_DEM-WP(C) Costs not in AURORA 2006GRC_Power Costs - Comparison bx Rbtl-Staff-Jt-PC_Adj Bench DR 3 for Initial Briefs (Electric) 2 2" xfId="10092"/>
    <cellStyle name="_DEM-WP(C) Costs not in AURORA 2006GRC_Power Costs - Comparison bx Rbtl-Staff-Jt-PC_Adj Bench DR 3 for Initial Briefs (Electric) 2 2 2" xfId="10093"/>
    <cellStyle name="_DEM-WP(C) Costs not in AURORA 2006GRC_Power Costs - Comparison bx Rbtl-Staff-Jt-PC_Adj Bench DR 3 for Initial Briefs (Electric) 2 3" xfId="10094"/>
    <cellStyle name="_DEM-WP(C) Costs not in AURORA 2006GRC_Power Costs - Comparison bx Rbtl-Staff-Jt-PC_Adj Bench DR 3 for Initial Briefs (Electric) 3" xfId="10095"/>
    <cellStyle name="_DEM-WP(C) Costs not in AURORA 2006GRC_Power Costs - Comparison bx Rbtl-Staff-Jt-PC_Adj Bench DR 3 for Initial Briefs (Electric) 3 2" xfId="10096"/>
    <cellStyle name="_DEM-WP(C) Costs not in AURORA 2006GRC_Power Costs - Comparison bx Rbtl-Staff-Jt-PC_Adj Bench DR 3 for Initial Briefs (Electric) 4" xfId="10097"/>
    <cellStyle name="_DEM-WP(C) Costs not in AURORA 2006GRC_Power Costs - Comparison bx Rbtl-Staff-Jt-PC_Adj Bench DR 3 for Initial Briefs (Electric)_DEM-WP(C) ENERG10C--ctn Mid-C_042010 2010GRC" xfId="10098"/>
    <cellStyle name="_DEM-WP(C) Costs not in AURORA 2006GRC_Power Costs - Comparison bx Rbtl-Staff-Jt-PC_Adj Bench DR 3 for Initial Briefs (Electric)_DEM-WP(C) ENERG10C--ctn Mid-C_042010 2010GRC 2" xfId="10099"/>
    <cellStyle name="_DEM-WP(C) Costs not in AURORA 2006GRC_Power Costs - Comparison bx Rbtl-Staff-Jt-PC_DEM-WP(C) ENERG10C--ctn Mid-C_042010 2010GRC" xfId="10100"/>
    <cellStyle name="_DEM-WP(C) Costs not in AURORA 2006GRC_Power Costs - Comparison bx Rbtl-Staff-Jt-PC_DEM-WP(C) ENERG10C--ctn Mid-C_042010 2010GRC 2" xfId="10101"/>
    <cellStyle name="_DEM-WP(C) Costs not in AURORA 2006GRC_Power Costs - Comparison bx Rbtl-Staff-Jt-PC_Electric Rev Req Model (2009 GRC) Rebuttal" xfId="512"/>
    <cellStyle name="_DEM-WP(C) Costs not in AURORA 2006GRC_Power Costs - Comparison bx Rbtl-Staff-Jt-PC_Electric Rev Req Model (2009 GRC) Rebuttal 2" xfId="10102"/>
    <cellStyle name="_DEM-WP(C) Costs not in AURORA 2006GRC_Power Costs - Comparison bx Rbtl-Staff-Jt-PC_Electric Rev Req Model (2009 GRC) Rebuttal 2 2" xfId="10103"/>
    <cellStyle name="_DEM-WP(C) Costs not in AURORA 2006GRC_Power Costs - Comparison bx Rbtl-Staff-Jt-PC_Electric Rev Req Model (2009 GRC) Rebuttal 2 2 2" xfId="10104"/>
    <cellStyle name="_DEM-WP(C) Costs not in AURORA 2006GRC_Power Costs - Comparison bx Rbtl-Staff-Jt-PC_Electric Rev Req Model (2009 GRC) Rebuttal 2 3" xfId="10105"/>
    <cellStyle name="_DEM-WP(C) Costs not in AURORA 2006GRC_Power Costs - Comparison bx Rbtl-Staff-Jt-PC_Electric Rev Req Model (2009 GRC) Rebuttal 3" xfId="10106"/>
    <cellStyle name="_DEM-WP(C) Costs not in AURORA 2006GRC_Power Costs - Comparison bx Rbtl-Staff-Jt-PC_Electric Rev Req Model (2009 GRC) Rebuttal 3 2" xfId="10107"/>
    <cellStyle name="_DEM-WP(C) Costs not in AURORA 2006GRC_Power Costs - Comparison bx Rbtl-Staff-Jt-PC_Electric Rev Req Model (2009 GRC) Rebuttal 4" xfId="10108"/>
    <cellStyle name="_DEM-WP(C) Costs not in AURORA 2006GRC_Power Costs - Comparison bx Rbtl-Staff-Jt-PC_Electric Rev Req Model (2009 GRC) Rebuttal REmoval of New  WH Solar AdjustMI" xfId="513"/>
    <cellStyle name="_DEM-WP(C) Costs not in AURORA 2006GRC_Power Costs - Comparison bx Rbtl-Staff-Jt-PC_Electric Rev Req Model (2009 GRC) Rebuttal REmoval of New  WH Solar AdjustMI 2" xfId="10109"/>
    <cellStyle name="_DEM-WP(C) Costs not in AURORA 2006GRC_Power Costs - Comparison bx Rbtl-Staff-Jt-PC_Electric Rev Req Model (2009 GRC) Rebuttal REmoval of New  WH Solar AdjustMI 2 2" xfId="10110"/>
    <cellStyle name="_DEM-WP(C) Costs not in AURORA 2006GRC_Power Costs - Comparison bx Rbtl-Staff-Jt-PC_Electric Rev Req Model (2009 GRC) Rebuttal REmoval of New  WH Solar AdjustMI 2 2 2" xfId="10111"/>
    <cellStyle name="_DEM-WP(C) Costs not in AURORA 2006GRC_Power Costs - Comparison bx Rbtl-Staff-Jt-PC_Electric Rev Req Model (2009 GRC) Rebuttal REmoval of New  WH Solar AdjustMI 2 3" xfId="10112"/>
    <cellStyle name="_DEM-WP(C) Costs not in AURORA 2006GRC_Power Costs - Comparison bx Rbtl-Staff-Jt-PC_Electric Rev Req Model (2009 GRC) Rebuttal REmoval of New  WH Solar AdjustMI 3" xfId="10113"/>
    <cellStyle name="_DEM-WP(C) Costs not in AURORA 2006GRC_Power Costs - Comparison bx Rbtl-Staff-Jt-PC_Electric Rev Req Model (2009 GRC) Rebuttal REmoval of New  WH Solar AdjustMI 3 2" xfId="10114"/>
    <cellStyle name="_DEM-WP(C) Costs not in AURORA 2006GRC_Power Costs - Comparison bx Rbtl-Staff-Jt-PC_Electric Rev Req Model (2009 GRC) Rebuttal REmoval of New  WH Solar AdjustMI 4" xfId="10115"/>
    <cellStyle name="_DEM-WP(C) Costs not in AURORA 2006GRC_Power Costs - Comparison bx Rbtl-Staff-Jt-PC_Electric Rev Req Model (2009 GRC) Rebuttal REmoval of New  WH Solar AdjustMI_DEM-WP(C) ENERG10C--ctn Mid-C_042010 2010GRC" xfId="10116"/>
    <cellStyle name="_DEM-WP(C) Costs not in AURORA 2006GRC_Power Costs - Comparison bx Rbtl-Staff-Jt-PC_Electric Rev Req Model (2009 GRC) Rebuttal REmoval of New  WH Solar AdjustMI_DEM-WP(C) ENERG10C--ctn Mid-C_042010 2010GRC 2" xfId="10117"/>
    <cellStyle name="_DEM-WP(C) Costs not in AURORA 2006GRC_Power Costs - Comparison bx Rbtl-Staff-Jt-PC_Electric Rev Req Model (2009 GRC) Revised 01-18-2010" xfId="514"/>
    <cellStyle name="_DEM-WP(C) Costs not in AURORA 2006GRC_Power Costs - Comparison bx Rbtl-Staff-Jt-PC_Electric Rev Req Model (2009 GRC) Revised 01-18-2010 2" xfId="10118"/>
    <cellStyle name="_DEM-WP(C) Costs not in AURORA 2006GRC_Power Costs - Comparison bx Rbtl-Staff-Jt-PC_Electric Rev Req Model (2009 GRC) Revised 01-18-2010 2 2" xfId="10119"/>
    <cellStyle name="_DEM-WP(C) Costs not in AURORA 2006GRC_Power Costs - Comparison bx Rbtl-Staff-Jt-PC_Electric Rev Req Model (2009 GRC) Revised 01-18-2010 2 2 2" xfId="10120"/>
    <cellStyle name="_DEM-WP(C) Costs not in AURORA 2006GRC_Power Costs - Comparison bx Rbtl-Staff-Jt-PC_Electric Rev Req Model (2009 GRC) Revised 01-18-2010 2 3" xfId="10121"/>
    <cellStyle name="_DEM-WP(C) Costs not in AURORA 2006GRC_Power Costs - Comparison bx Rbtl-Staff-Jt-PC_Electric Rev Req Model (2009 GRC) Revised 01-18-2010 3" xfId="10122"/>
    <cellStyle name="_DEM-WP(C) Costs not in AURORA 2006GRC_Power Costs - Comparison bx Rbtl-Staff-Jt-PC_Electric Rev Req Model (2009 GRC) Revised 01-18-2010 3 2" xfId="10123"/>
    <cellStyle name="_DEM-WP(C) Costs not in AURORA 2006GRC_Power Costs - Comparison bx Rbtl-Staff-Jt-PC_Electric Rev Req Model (2009 GRC) Revised 01-18-2010 4" xfId="10124"/>
    <cellStyle name="_DEM-WP(C) Costs not in AURORA 2006GRC_Power Costs - Comparison bx Rbtl-Staff-Jt-PC_Electric Rev Req Model (2009 GRC) Revised 01-18-2010_DEM-WP(C) ENERG10C--ctn Mid-C_042010 2010GRC" xfId="10125"/>
    <cellStyle name="_DEM-WP(C) Costs not in AURORA 2006GRC_Power Costs - Comparison bx Rbtl-Staff-Jt-PC_Electric Rev Req Model (2009 GRC) Revised 01-18-2010_DEM-WP(C) ENERG10C--ctn Mid-C_042010 2010GRC 2" xfId="10126"/>
    <cellStyle name="_DEM-WP(C) Costs not in AURORA 2006GRC_Power Costs - Comparison bx Rbtl-Staff-Jt-PC_Final Order Electric EXHIBIT A-1" xfId="515"/>
    <cellStyle name="_DEM-WP(C) Costs not in AURORA 2006GRC_Power Costs - Comparison bx Rbtl-Staff-Jt-PC_Final Order Electric EXHIBIT A-1 2" xfId="10127"/>
    <cellStyle name="_DEM-WP(C) Costs not in AURORA 2006GRC_Power Costs - Comparison bx Rbtl-Staff-Jt-PC_Final Order Electric EXHIBIT A-1 2 2" xfId="10128"/>
    <cellStyle name="_DEM-WP(C) Costs not in AURORA 2006GRC_Power Costs - Comparison bx Rbtl-Staff-Jt-PC_Final Order Electric EXHIBIT A-1 2 2 2" xfId="10129"/>
    <cellStyle name="_DEM-WP(C) Costs not in AURORA 2006GRC_Power Costs - Comparison bx Rbtl-Staff-Jt-PC_Final Order Electric EXHIBIT A-1 2 3" xfId="10130"/>
    <cellStyle name="_DEM-WP(C) Costs not in AURORA 2006GRC_Power Costs - Comparison bx Rbtl-Staff-Jt-PC_Final Order Electric EXHIBIT A-1 3" xfId="10131"/>
    <cellStyle name="_DEM-WP(C) Costs not in AURORA 2006GRC_Power Costs - Comparison bx Rbtl-Staff-Jt-PC_Final Order Electric EXHIBIT A-1 3 2" xfId="10132"/>
    <cellStyle name="_DEM-WP(C) Costs not in AURORA 2006GRC_Power Costs - Comparison bx Rbtl-Staff-Jt-PC_Final Order Electric EXHIBIT A-1 4" xfId="10133"/>
    <cellStyle name="_DEM-WP(C) Costs not in AURORA 2006GRC_Production Adj 4.37" xfId="10134"/>
    <cellStyle name="_DEM-WP(C) Costs not in AURORA 2006GRC_Production Adj 4.37 2" xfId="10135"/>
    <cellStyle name="_DEM-WP(C) Costs not in AURORA 2006GRC_Production Adj 4.37 2 2" xfId="10136"/>
    <cellStyle name="_DEM-WP(C) Costs not in AURORA 2006GRC_Production Adj 4.37 2 2 2" xfId="10137"/>
    <cellStyle name="_DEM-WP(C) Costs not in AURORA 2006GRC_Production Adj 4.37 2 3" xfId="10138"/>
    <cellStyle name="_DEM-WP(C) Costs not in AURORA 2006GRC_Production Adj 4.37 3" xfId="10139"/>
    <cellStyle name="_DEM-WP(C) Costs not in AURORA 2006GRC_Production Adj 4.37 3 2" xfId="10140"/>
    <cellStyle name="_DEM-WP(C) Costs not in AURORA 2006GRC_Production Adj 4.37 4" xfId="10141"/>
    <cellStyle name="_DEM-WP(C) Costs not in AURORA 2006GRC_Purchased Power Adj 4.03" xfId="10142"/>
    <cellStyle name="_DEM-WP(C) Costs not in AURORA 2006GRC_Purchased Power Adj 4.03 2" xfId="10143"/>
    <cellStyle name="_DEM-WP(C) Costs not in AURORA 2006GRC_Purchased Power Adj 4.03 2 2" xfId="10144"/>
    <cellStyle name="_DEM-WP(C) Costs not in AURORA 2006GRC_Purchased Power Adj 4.03 2 2 2" xfId="10145"/>
    <cellStyle name="_DEM-WP(C) Costs not in AURORA 2006GRC_Purchased Power Adj 4.03 2 3" xfId="10146"/>
    <cellStyle name="_DEM-WP(C) Costs not in AURORA 2006GRC_Purchased Power Adj 4.03 3" xfId="10147"/>
    <cellStyle name="_DEM-WP(C) Costs not in AURORA 2006GRC_Purchased Power Adj 4.03 3 2" xfId="10148"/>
    <cellStyle name="_DEM-WP(C) Costs not in AURORA 2006GRC_Purchased Power Adj 4.03 4" xfId="10149"/>
    <cellStyle name="_DEM-WP(C) Costs not in AURORA 2006GRC_Rebuttal Power Costs" xfId="516"/>
    <cellStyle name="_DEM-WP(C) Costs not in AURORA 2006GRC_Rebuttal Power Costs 2" xfId="10150"/>
    <cellStyle name="_DEM-WP(C) Costs not in AURORA 2006GRC_Rebuttal Power Costs 2 2" xfId="10151"/>
    <cellStyle name="_DEM-WP(C) Costs not in AURORA 2006GRC_Rebuttal Power Costs 2 2 2" xfId="10152"/>
    <cellStyle name="_DEM-WP(C) Costs not in AURORA 2006GRC_Rebuttal Power Costs 2 3" xfId="10153"/>
    <cellStyle name="_DEM-WP(C) Costs not in AURORA 2006GRC_Rebuttal Power Costs 3" xfId="10154"/>
    <cellStyle name="_DEM-WP(C) Costs not in AURORA 2006GRC_Rebuttal Power Costs 3 2" xfId="10155"/>
    <cellStyle name="_DEM-WP(C) Costs not in AURORA 2006GRC_Rebuttal Power Costs 4" xfId="10156"/>
    <cellStyle name="_DEM-WP(C) Costs not in AURORA 2006GRC_Rebuttal Power Costs_Adj Bench DR 3 for Initial Briefs (Electric)" xfId="517"/>
    <cellStyle name="_DEM-WP(C) Costs not in AURORA 2006GRC_Rebuttal Power Costs_Adj Bench DR 3 for Initial Briefs (Electric) 2" xfId="10157"/>
    <cellStyle name="_DEM-WP(C) Costs not in AURORA 2006GRC_Rebuttal Power Costs_Adj Bench DR 3 for Initial Briefs (Electric) 2 2" xfId="10158"/>
    <cellStyle name="_DEM-WP(C) Costs not in AURORA 2006GRC_Rebuttal Power Costs_Adj Bench DR 3 for Initial Briefs (Electric) 2 2 2" xfId="10159"/>
    <cellStyle name="_DEM-WP(C) Costs not in AURORA 2006GRC_Rebuttal Power Costs_Adj Bench DR 3 for Initial Briefs (Electric) 2 3" xfId="10160"/>
    <cellStyle name="_DEM-WP(C) Costs not in AURORA 2006GRC_Rebuttal Power Costs_Adj Bench DR 3 for Initial Briefs (Electric) 3" xfId="10161"/>
    <cellStyle name="_DEM-WP(C) Costs not in AURORA 2006GRC_Rebuttal Power Costs_Adj Bench DR 3 for Initial Briefs (Electric) 3 2" xfId="10162"/>
    <cellStyle name="_DEM-WP(C) Costs not in AURORA 2006GRC_Rebuttal Power Costs_Adj Bench DR 3 for Initial Briefs (Electric) 4" xfId="10163"/>
    <cellStyle name="_DEM-WP(C) Costs not in AURORA 2006GRC_Rebuttal Power Costs_Adj Bench DR 3 for Initial Briefs (Electric)_DEM-WP(C) ENERG10C--ctn Mid-C_042010 2010GRC" xfId="10164"/>
    <cellStyle name="_DEM-WP(C) Costs not in AURORA 2006GRC_Rebuttal Power Costs_Adj Bench DR 3 for Initial Briefs (Electric)_DEM-WP(C) ENERG10C--ctn Mid-C_042010 2010GRC 2" xfId="10165"/>
    <cellStyle name="_DEM-WP(C) Costs not in AURORA 2006GRC_Rebuttal Power Costs_DEM-WP(C) ENERG10C--ctn Mid-C_042010 2010GRC" xfId="10166"/>
    <cellStyle name="_DEM-WP(C) Costs not in AURORA 2006GRC_Rebuttal Power Costs_DEM-WP(C) ENERG10C--ctn Mid-C_042010 2010GRC 2" xfId="10167"/>
    <cellStyle name="_DEM-WP(C) Costs not in AURORA 2006GRC_Rebuttal Power Costs_Electric Rev Req Model (2009 GRC) Rebuttal" xfId="518"/>
    <cellStyle name="_DEM-WP(C) Costs not in AURORA 2006GRC_Rebuttal Power Costs_Electric Rev Req Model (2009 GRC) Rebuttal 2" xfId="10168"/>
    <cellStyle name="_DEM-WP(C) Costs not in AURORA 2006GRC_Rebuttal Power Costs_Electric Rev Req Model (2009 GRC) Rebuttal 2 2" xfId="10169"/>
    <cellStyle name="_DEM-WP(C) Costs not in AURORA 2006GRC_Rebuttal Power Costs_Electric Rev Req Model (2009 GRC) Rebuttal 2 2 2" xfId="10170"/>
    <cellStyle name="_DEM-WP(C) Costs not in AURORA 2006GRC_Rebuttal Power Costs_Electric Rev Req Model (2009 GRC) Rebuttal 2 3" xfId="10171"/>
    <cellStyle name="_DEM-WP(C) Costs not in AURORA 2006GRC_Rebuttal Power Costs_Electric Rev Req Model (2009 GRC) Rebuttal 3" xfId="10172"/>
    <cellStyle name="_DEM-WP(C) Costs not in AURORA 2006GRC_Rebuttal Power Costs_Electric Rev Req Model (2009 GRC) Rebuttal 3 2" xfId="10173"/>
    <cellStyle name="_DEM-WP(C) Costs not in AURORA 2006GRC_Rebuttal Power Costs_Electric Rev Req Model (2009 GRC) Rebuttal 4" xfId="10174"/>
    <cellStyle name="_DEM-WP(C) Costs not in AURORA 2006GRC_Rebuttal Power Costs_Electric Rev Req Model (2009 GRC) Rebuttal REmoval of New  WH Solar AdjustMI" xfId="519"/>
    <cellStyle name="_DEM-WP(C) Costs not in AURORA 2006GRC_Rebuttal Power Costs_Electric Rev Req Model (2009 GRC) Rebuttal REmoval of New  WH Solar AdjustMI 2" xfId="10175"/>
    <cellStyle name="_DEM-WP(C) Costs not in AURORA 2006GRC_Rebuttal Power Costs_Electric Rev Req Model (2009 GRC) Rebuttal REmoval of New  WH Solar AdjustMI 2 2" xfId="10176"/>
    <cellStyle name="_DEM-WP(C) Costs not in AURORA 2006GRC_Rebuttal Power Costs_Electric Rev Req Model (2009 GRC) Rebuttal REmoval of New  WH Solar AdjustMI 2 2 2" xfId="10177"/>
    <cellStyle name="_DEM-WP(C) Costs not in AURORA 2006GRC_Rebuttal Power Costs_Electric Rev Req Model (2009 GRC) Rebuttal REmoval of New  WH Solar AdjustMI 2 3" xfId="10178"/>
    <cellStyle name="_DEM-WP(C) Costs not in AURORA 2006GRC_Rebuttal Power Costs_Electric Rev Req Model (2009 GRC) Rebuttal REmoval of New  WH Solar AdjustMI 3" xfId="10179"/>
    <cellStyle name="_DEM-WP(C) Costs not in AURORA 2006GRC_Rebuttal Power Costs_Electric Rev Req Model (2009 GRC) Rebuttal REmoval of New  WH Solar AdjustMI 3 2" xfId="10180"/>
    <cellStyle name="_DEM-WP(C) Costs not in AURORA 2006GRC_Rebuttal Power Costs_Electric Rev Req Model (2009 GRC) Rebuttal REmoval of New  WH Solar AdjustMI 4" xfId="10181"/>
    <cellStyle name="_DEM-WP(C) Costs not in AURORA 2006GRC_Rebuttal Power Costs_Electric Rev Req Model (2009 GRC) Rebuttal REmoval of New  WH Solar AdjustMI_DEM-WP(C) ENERG10C--ctn Mid-C_042010 2010GRC" xfId="10182"/>
    <cellStyle name="_DEM-WP(C) Costs not in AURORA 2006GRC_Rebuttal Power Costs_Electric Rev Req Model (2009 GRC) Rebuttal REmoval of New  WH Solar AdjustMI_DEM-WP(C) ENERG10C--ctn Mid-C_042010 2010GRC 2" xfId="10183"/>
    <cellStyle name="_DEM-WP(C) Costs not in AURORA 2006GRC_Rebuttal Power Costs_Electric Rev Req Model (2009 GRC) Revised 01-18-2010" xfId="520"/>
    <cellStyle name="_DEM-WP(C) Costs not in AURORA 2006GRC_Rebuttal Power Costs_Electric Rev Req Model (2009 GRC) Revised 01-18-2010 2" xfId="10184"/>
    <cellStyle name="_DEM-WP(C) Costs not in AURORA 2006GRC_Rebuttal Power Costs_Electric Rev Req Model (2009 GRC) Revised 01-18-2010 2 2" xfId="10185"/>
    <cellStyle name="_DEM-WP(C) Costs not in AURORA 2006GRC_Rebuttal Power Costs_Electric Rev Req Model (2009 GRC) Revised 01-18-2010 2 2 2" xfId="10186"/>
    <cellStyle name="_DEM-WP(C) Costs not in AURORA 2006GRC_Rebuttal Power Costs_Electric Rev Req Model (2009 GRC) Revised 01-18-2010 2 3" xfId="10187"/>
    <cellStyle name="_DEM-WP(C) Costs not in AURORA 2006GRC_Rebuttal Power Costs_Electric Rev Req Model (2009 GRC) Revised 01-18-2010 3" xfId="10188"/>
    <cellStyle name="_DEM-WP(C) Costs not in AURORA 2006GRC_Rebuttal Power Costs_Electric Rev Req Model (2009 GRC) Revised 01-18-2010 3 2" xfId="10189"/>
    <cellStyle name="_DEM-WP(C) Costs not in AURORA 2006GRC_Rebuttal Power Costs_Electric Rev Req Model (2009 GRC) Revised 01-18-2010 4" xfId="10190"/>
    <cellStyle name="_DEM-WP(C) Costs not in AURORA 2006GRC_Rebuttal Power Costs_Electric Rev Req Model (2009 GRC) Revised 01-18-2010_DEM-WP(C) ENERG10C--ctn Mid-C_042010 2010GRC" xfId="10191"/>
    <cellStyle name="_DEM-WP(C) Costs not in AURORA 2006GRC_Rebuttal Power Costs_Electric Rev Req Model (2009 GRC) Revised 01-18-2010_DEM-WP(C) ENERG10C--ctn Mid-C_042010 2010GRC 2" xfId="10192"/>
    <cellStyle name="_DEM-WP(C) Costs not in AURORA 2006GRC_Rebuttal Power Costs_Final Order Electric EXHIBIT A-1" xfId="521"/>
    <cellStyle name="_DEM-WP(C) Costs not in AURORA 2006GRC_Rebuttal Power Costs_Final Order Electric EXHIBIT A-1 2" xfId="10193"/>
    <cellStyle name="_DEM-WP(C) Costs not in AURORA 2006GRC_Rebuttal Power Costs_Final Order Electric EXHIBIT A-1 2 2" xfId="10194"/>
    <cellStyle name="_DEM-WP(C) Costs not in AURORA 2006GRC_Rebuttal Power Costs_Final Order Electric EXHIBIT A-1 2 2 2" xfId="10195"/>
    <cellStyle name="_DEM-WP(C) Costs not in AURORA 2006GRC_Rebuttal Power Costs_Final Order Electric EXHIBIT A-1 2 3" xfId="10196"/>
    <cellStyle name="_DEM-WP(C) Costs not in AURORA 2006GRC_Rebuttal Power Costs_Final Order Electric EXHIBIT A-1 3" xfId="10197"/>
    <cellStyle name="_DEM-WP(C) Costs not in AURORA 2006GRC_Rebuttal Power Costs_Final Order Electric EXHIBIT A-1 3 2" xfId="10198"/>
    <cellStyle name="_DEM-WP(C) Costs not in AURORA 2006GRC_Rebuttal Power Costs_Final Order Electric EXHIBIT A-1 4" xfId="10199"/>
    <cellStyle name="_DEM-WP(C) Costs not in AURORA 2006GRC_ROR 5.02" xfId="10200"/>
    <cellStyle name="_DEM-WP(C) Costs not in AURORA 2006GRC_ROR 5.02 2" xfId="10201"/>
    <cellStyle name="_DEM-WP(C) Costs not in AURORA 2006GRC_ROR 5.02 2 2" xfId="10202"/>
    <cellStyle name="_DEM-WP(C) Costs not in AURORA 2006GRC_ROR 5.02 2 2 2" xfId="10203"/>
    <cellStyle name="_DEM-WP(C) Costs not in AURORA 2006GRC_ROR 5.02 2 3" xfId="10204"/>
    <cellStyle name="_DEM-WP(C) Costs not in AURORA 2006GRC_ROR 5.02 3" xfId="10205"/>
    <cellStyle name="_DEM-WP(C) Costs not in AURORA 2006GRC_ROR 5.02 3 2" xfId="10206"/>
    <cellStyle name="_DEM-WP(C) Costs not in AURORA 2006GRC_ROR 5.02 4" xfId="10207"/>
    <cellStyle name="_DEM-WP(C) Costs not in AURORA 2006GRC_Transmission Workbook for May BOD" xfId="10208"/>
    <cellStyle name="_DEM-WP(C) Costs not in AURORA 2006GRC_Transmission Workbook for May BOD 2" xfId="10209"/>
    <cellStyle name="_DEM-WP(C) Costs not in AURORA 2006GRC_Transmission Workbook for May BOD 2 2" xfId="10210"/>
    <cellStyle name="_DEM-WP(C) Costs not in AURORA 2006GRC_Transmission Workbook for May BOD 2 2 2" xfId="10211"/>
    <cellStyle name="_DEM-WP(C) Costs not in AURORA 2006GRC_Transmission Workbook for May BOD 2 3" xfId="10212"/>
    <cellStyle name="_DEM-WP(C) Costs not in AURORA 2006GRC_Transmission Workbook for May BOD 3" xfId="10213"/>
    <cellStyle name="_DEM-WP(C) Costs not in AURORA 2006GRC_Transmission Workbook for May BOD 3 2" xfId="10214"/>
    <cellStyle name="_DEM-WP(C) Costs not in AURORA 2006GRC_Transmission Workbook for May BOD 4" xfId="10215"/>
    <cellStyle name="_DEM-WP(C) Costs not in AURORA 2006GRC_Transmission Workbook for May BOD_DEM-WP(C) ENERG10C--ctn Mid-C_042010 2010GRC" xfId="10216"/>
    <cellStyle name="_DEM-WP(C) Costs not in AURORA 2006GRC_Transmission Workbook for May BOD_DEM-WP(C) ENERG10C--ctn Mid-C_042010 2010GRC 2" xfId="10217"/>
    <cellStyle name="_DEM-WP(C) Costs not in AURORA 2006GRC_Wind Integration 10GRC" xfId="10218"/>
    <cellStyle name="_DEM-WP(C) Costs not in AURORA 2006GRC_Wind Integration 10GRC 2" xfId="10219"/>
    <cellStyle name="_DEM-WP(C) Costs not in AURORA 2006GRC_Wind Integration 10GRC 2 2" xfId="10220"/>
    <cellStyle name="_DEM-WP(C) Costs not in AURORA 2006GRC_Wind Integration 10GRC 2 2 2" xfId="10221"/>
    <cellStyle name="_DEM-WP(C) Costs not in AURORA 2006GRC_Wind Integration 10GRC 2 3" xfId="10222"/>
    <cellStyle name="_DEM-WP(C) Costs not in AURORA 2006GRC_Wind Integration 10GRC 3" xfId="10223"/>
    <cellStyle name="_DEM-WP(C) Costs not in AURORA 2006GRC_Wind Integration 10GRC 3 2" xfId="10224"/>
    <cellStyle name="_DEM-WP(C) Costs not in AURORA 2006GRC_Wind Integration 10GRC 4" xfId="10225"/>
    <cellStyle name="_DEM-WP(C) Costs not in AURORA 2006GRC_Wind Integration 10GRC_DEM-WP(C) ENERG10C--ctn Mid-C_042010 2010GRC" xfId="10226"/>
    <cellStyle name="_DEM-WP(C) Costs not in AURORA 2006GRC_Wind Integration 10GRC_DEM-WP(C) ENERG10C--ctn Mid-C_042010 2010GRC 2" xfId="10227"/>
    <cellStyle name="_DEM-WP(C) Costs not in AURORA 2007GRC" xfId="522"/>
    <cellStyle name="_DEM-WP(C) Costs not in AURORA 2007GRC 2" xfId="10228"/>
    <cellStyle name="_DEM-WP(C) Costs not in AURORA 2007GRC 2 2" xfId="10229"/>
    <cellStyle name="_DEM-WP(C) Costs not in AURORA 2007GRC 2 2 2" xfId="10230"/>
    <cellStyle name="_DEM-WP(C) Costs not in AURORA 2007GRC 2 2 2 2" xfId="10231"/>
    <cellStyle name="_DEM-WP(C) Costs not in AURORA 2007GRC 2 2 3" xfId="10232"/>
    <cellStyle name="_DEM-WP(C) Costs not in AURORA 2007GRC 2 3" xfId="10233"/>
    <cellStyle name="_DEM-WP(C) Costs not in AURORA 2007GRC 2 3 2" xfId="10234"/>
    <cellStyle name="_DEM-WP(C) Costs not in AURORA 2007GRC 2 4" xfId="10235"/>
    <cellStyle name="_DEM-WP(C) Costs not in AURORA 2007GRC 3" xfId="10236"/>
    <cellStyle name="_DEM-WP(C) Costs not in AURORA 2007GRC 3 2" xfId="10237"/>
    <cellStyle name="_DEM-WP(C) Costs not in AURORA 2007GRC 4" xfId="10238"/>
    <cellStyle name="_DEM-WP(C) Costs not in AURORA 2007GRC Update" xfId="10239"/>
    <cellStyle name="_DEM-WP(C) Costs not in AURORA 2007GRC Update 2" xfId="10240"/>
    <cellStyle name="_DEM-WP(C) Costs not in AURORA 2007GRC Update 2 2" xfId="10241"/>
    <cellStyle name="_DEM-WP(C) Costs not in AURORA 2007GRC Update 2 2 2" xfId="10242"/>
    <cellStyle name="_DEM-WP(C) Costs not in AURORA 2007GRC Update 2 3" xfId="10243"/>
    <cellStyle name="_DEM-WP(C) Costs not in AURORA 2007GRC Update 3" xfId="10244"/>
    <cellStyle name="_DEM-WP(C) Costs not in AURORA 2007GRC Update 3 2" xfId="10245"/>
    <cellStyle name="_DEM-WP(C) Costs not in AURORA 2007GRC Update 4" xfId="10246"/>
    <cellStyle name="_DEM-WP(C) Costs not in AURORA 2007GRC Update_DEM-WP(C) ENERG10C--ctn Mid-C_042010 2010GRC" xfId="10247"/>
    <cellStyle name="_DEM-WP(C) Costs not in AURORA 2007GRC Update_DEM-WP(C) ENERG10C--ctn Mid-C_042010 2010GRC 2" xfId="10248"/>
    <cellStyle name="_DEM-WP(C) Costs not in AURORA 2007GRC Update_NIM Summary" xfId="10249"/>
    <cellStyle name="_DEM-WP(C) Costs not in AURORA 2007GRC Update_NIM Summary 2" xfId="10250"/>
    <cellStyle name="_DEM-WP(C) Costs not in AURORA 2007GRC Update_NIM Summary 2 2" xfId="10251"/>
    <cellStyle name="_DEM-WP(C) Costs not in AURORA 2007GRC Update_NIM Summary 2 2 2" xfId="10252"/>
    <cellStyle name="_DEM-WP(C) Costs not in AURORA 2007GRC Update_NIM Summary 2 3" xfId="10253"/>
    <cellStyle name="_DEM-WP(C) Costs not in AURORA 2007GRC Update_NIM Summary 3" xfId="10254"/>
    <cellStyle name="_DEM-WP(C) Costs not in AURORA 2007GRC Update_NIM Summary 3 2" xfId="10255"/>
    <cellStyle name="_DEM-WP(C) Costs not in AURORA 2007GRC Update_NIM Summary 4" xfId="10256"/>
    <cellStyle name="_DEM-WP(C) Costs not in AURORA 2007GRC Update_NIM Summary_DEM-WP(C) ENERG10C--ctn Mid-C_042010 2010GRC" xfId="10257"/>
    <cellStyle name="_DEM-WP(C) Costs not in AURORA 2007GRC Update_NIM Summary_DEM-WP(C) ENERG10C--ctn Mid-C_042010 2010GRC 2" xfId="10258"/>
    <cellStyle name="_DEM-WP(C) Costs not in AURORA 2007GRC_16.37E Wild Horse Expansion DeferralRevwrkingfile SF" xfId="523"/>
    <cellStyle name="_DEM-WP(C) Costs not in AURORA 2007GRC_16.37E Wild Horse Expansion DeferralRevwrkingfile SF 2" xfId="10259"/>
    <cellStyle name="_DEM-WP(C) Costs not in AURORA 2007GRC_16.37E Wild Horse Expansion DeferralRevwrkingfile SF 2 2" xfId="10260"/>
    <cellStyle name="_DEM-WP(C) Costs not in AURORA 2007GRC_16.37E Wild Horse Expansion DeferralRevwrkingfile SF 2 2 2" xfId="10261"/>
    <cellStyle name="_DEM-WP(C) Costs not in AURORA 2007GRC_16.37E Wild Horse Expansion DeferralRevwrkingfile SF 2 3" xfId="10262"/>
    <cellStyle name="_DEM-WP(C) Costs not in AURORA 2007GRC_16.37E Wild Horse Expansion DeferralRevwrkingfile SF 3" xfId="10263"/>
    <cellStyle name="_DEM-WP(C) Costs not in AURORA 2007GRC_16.37E Wild Horse Expansion DeferralRevwrkingfile SF 3 2" xfId="10264"/>
    <cellStyle name="_DEM-WP(C) Costs not in AURORA 2007GRC_16.37E Wild Horse Expansion DeferralRevwrkingfile SF 4" xfId="10265"/>
    <cellStyle name="_DEM-WP(C) Costs not in AURORA 2007GRC_16.37E Wild Horse Expansion DeferralRevwrkingfile SF_DEM-WP(C) ENERG10C--ctn Mid-C_042010 2010GRC" xfId="10266"/>
    <cellStyle name="_DEM-WP(C) Costs not in AURORA 2007GRC_16.37E Wild Horse Expansion DeferralRevwrkingfile SF_DEM-WP(C) ENERG10C--ctn Mid-C_042010 2010GRC 2" xfId="10267"/>
    <cellStyle name="_DEM-WP(C) Costs not in AURORA 2007GRC_2009 GRC Compl Filing - Exhibit D" xfId="524"/>
    <cellStyle name="_DEM-WP(C) Costs not in AURORA 2007GRC_2009 GRC Compl Filing - Exhibit D 2" xfId="10268"/>
    <cellStyle name="_DEM-WP(C) Costs not in AURORA 2007GRC_2009 GRC Compl Filing - Exhibit D 2 2" xfId="10269"/>
    <cellStyle name="_DEM-WP(C) Costs not in AURORA 2007GRC_2009 GRC Compl Filing - Exhibit D 2 2 2" xfId="10270"/>
    <cellStyle name="_DEM-WP(C) Costs not in AURORA 2007GRC_2009 GRC Compl Filing - Exhibit D 2 3" xfId="10271"/>
    <cellStyle name="_DEM-WP(C) Costs not in AURORA 2007GRC_2009 GRC Compl Filing - Exhibit D 3" xfId="10272"/>
    <cellStyle name="_DEM-WP(C) Costs not in AURORA 2007GRC_2009 GRC Compl Filing - Exhibit D 3 2" xfId="10273"/>
    <cellStyle name="_DEM-WP(C) Costs not in AURORA 2007GRC_2009 GRC Compl Filing - Exhibit D 4" xfId="10274"/>
    <cellStyle name="_DEM-WP(C) Costs not in AURORA 2007GRC_2009 GRC Compl Filing - Exhibit D_DEM-WP(C) ENERG10C--ctn Mid-C_042010 2010GRC" xfId="10275"/>
    <cellStyle name="_DEM-WP(C) Costs not in AURORA 2007GRC_2009 GRC Compl Filing - Exhibit D_DEM-WP(C) ENERG10C--ctn Mid-C_042010 2010GRC 2" xfId="10276"/>
    <cellStyle name="_DEM-WP(C) Costs not in AURORA 2007GRC_Adj Bench DR 3 for Initial Briefs (Electric)" xfId="525"/>
    <cellStyle name="_DEM-WP(C) Costs not in AURORA 2007GRC_Adj Bench DR 3 for Initial Briefs (Electric) 2" xfId="10277"/>
    <cellStyle name="_DEM-WP(C) Costs not in AURORA 2007GRC_Adj Bench DR 3 for Initial Briefs (Electric) 2 2" xfId="10278"/>
    <cellStyle name="_DEM-WP(C) Costs not in AURORA 2007GRC_Adj Bench DR 3 for Initial Briefs (Electric) 2 2 2" xfId="10279"/>
    <cellStyle name="_DEM-WP(C) Costs not in AURORA 2007GRC_Adj Bench DR 3 for Initial Briefs (Electric) 2 3" xfId="10280"/>
    <cellStyle name="_DEM-WP(C) Costs not in AURORA 2007GRC_Adj Bench DR 3 for Initial Briefs (Electric) 3" xfId="10281"/>
    <cellStyle name="_DEM-WP(C) Costs not in AURORA 2007GRC_Adj Bench DR 3 for Initial Briefs (Electric) 3 2" xfId="10282"/>
    <cellStyle name="_DEM-WP(C) Costs not in AURORA 2007GRC_Adj Bench DR 3 for Initial Briefs (Electric) 4" xfId="10283"/>
    <cellStyle name="_DEM-WP(C) Costs not in AURORA 2007GRC_Adj Bench DR 3 for Initial Briefs (Electric)_DEM-WP(C) ENERG10C--ctn Mid-C_042010 2010GRC" xfId="10284"/>
    <cellStyle name="_DEM-WP(C) Costs not in AURORA 2007GRC_Adj Bench DR 3 for Initial Briefs (Electric)_DEM-WP(C) ENERG10C--ctn Mid-C_042010 2010GRC 2" xfId="10285"/>
    <cellStyle name="_DEM-WP(C) Costs not in AURORA 2007GRC_Book1" xfId="10286"/>
    <cellStyle name="_DEM-WP(C) Costs not in AURORA 2007GRC_Book1 2" xfId="10287"/>
    <cellStyle name="_DEM-WP(C) Costs not in AURORA 2007GRC_Book2" xfId="526"/>
    <cellStyle name="_DEM-WP(C) Costs not in AURORA 2007GRC_Book2 2" xfId="10288"/>
    <cellStyle name="_DEM-WP(C) Costs not in AURORA 2007GRC_Book2 2 2" xfId="10289"/>
    <cellStyle name="_DEM-WP(C) Costs not in AURORA 2007GRC_Book2 2 2 2" xfId="10290"/>
    <cellStyle name="_DEM-WP(C) Costs not in AURORA 2007GRC_Book2 2 3" xfId="10291"/>
    <cellStyle name="_DEM-WP(C) Costs not in AURORA 2007GRC_Book2 3" xfId="10292"/>
    <cellStyle name="_DEM-WP(C) Costs not in AURORA 2007GRC_Book2 3 2" xfId="10293"/>
    <cellStyle name="_DEM-WP(C) Costs not in AURORA 2007GRC_Book2 4" xfId="10294"/>
    <cellStyle name="_DEM-WP(C) Costs not in AURORA 2007GRC_Book2_DEM-WP(C) ENERG10C--ctn Mid-C_042010 2010GRC" xfId="10295"/>
    <cellStyle name="_DEM-WP(C) Costs not in AURORA 2007GRC_Book2_DEM-WP(C) ENERG10C--ctn Mid-C_042010 2010GRC 2" xfId="10296"/>
    <cellStyle name="_DEM-WP(C) Costs not in AURORA 2007GRC_Book4" xfId="527"/>
    <cellStyle name="_DEM-WP(C) Costs not in AURORA 2007GRC_Book4 2" xfId="10297"/>
    <cellStyle name="_DEM-WP(C) Costs not in AURORA 2007GRC_Book4 2 2" xfId="10298"/>
    <cellStyle name="_DEM-WP(C) Costs not in AURORA 2007GRC_Book4 2 2 2" xfId="10299"/>
    <cellStyle name="_DEM-WP(C) Costs not in AURORA 2007GRC_Book4 2 3" xfId="10300"/>
    <cellStyle name="_DEM-WP(C) Costs not in AURORA 2007GRC_Book4 3" xfId="10301"/>
    <cellStyle name="_DEM-WP(C) Costs not in AURORA 2007GRC_Book4 3 2" xfId="10302"/>
    <cellStyle name="_DEM-WP(C) Costs not in AURORA 2007GRC_Book4 4" xfId="10303"/>
    <cellStyle name="_DEM-WP(C) Costs not in AURORA 2007GRC_Book4_DEM-WP(C) ENERG10C--ctn Mid-C_042010 2010GRC" xfId="10304"/>
    <cellStyle name="_DEM-WP(C) Costs not in AURORA 2007GRC_Book4_DEM-WP(C) ENERG10C--ctn Mid-C_042010 2010GRC 2" xfId="10305"/>
    <cellStyle name="_DEM-WP(C) Costs not in AURORA 2007GRC_DEM-WP(C) ENERG10C--ctn Mid-C_042010 2010GRC" xfId="10306"/>
    <cellStyle name="_DEM-WP(C) Costs not in AURORA 2007GRC_DEM-WP(C) ENERG10C--ctn Mid-C_042010 2010GRC 2" xfId="10307"/>
    <cellStyle name="_DEM-WP(C) Costs not in AURORA 2007GRC_Electric Rev Req Model (2009 GRC) " xfId="528"/>
    <cellStyle name="_DEM-WP(C) Costs not in AURORA 2007GRC_Electric Rev Req Model (2009 GRC)  2" xfId="10308"/>
    <cellStyle name="_DEM-WP(C) Costs not in AURORA 2007GRC_Electric Rev Req Model (2009 GRC)  2 2" xfId="10309"/>
    <cellStyle name="_DEM-WP(C) Costs not in AURORA 2007GRC_Electric Rev Req Model (2009 GRC)  2 2 2" xfId="10310"/>
    <cellStyle name="_DEM-WP(C) Costs not in AURORA 2007GRC_Electric Rev Req Model (2009 GRC)  2 3" xfId="10311"/>
    <cellStyle name="_DEM-WP(C) Costs not in AURORA 2007GRC_Electric Rev Req Model (2009 GRC)  3" xfId="10312"/>
    <cellStyle name="_DEM-WP(C) Costs not in AURORA 2007GRC_Electric Rev Req Model (2009 GRC)  3 2" xfId="10313"/>
    <cellStyle name="_DEM-WP(C) Costs not in AURORA 2007GRC_Electric Rev Req Model (2009 GRC)  4" xfId="10314"/>
    <cellStyle name="_DEM-WP(C) Costs not in AURORA 2007GRC_Electric Rev Req Model (2009 GRC) _DEM-WP(C) ENERG10C--ctn Mid-C_042010 2010GRC" xfId="10315"/>
    <cellStyle name="_DEM-WP(C) Costs not in AURORA 2007GRC_Electric Rev Req Model (2009 GRC) _DEM-WP(C) ENERG10C--ctn Mid-C_042010 2010GRC 2" xfId="10316"/>
    <cellStyle name="_DEM-WP(C) Costs not in AURORA 2007GRC_Electric Rev Req Model (2009 GRC) Rebuttal" xfId="529"/>
    <cellStyle name="_DEM-WP(C) Costs not in AURORA 2007GRC_Electric Rev Req Model (2009 GRC) Rebuttal 2" xfId="10317"/>
    <cellStyle name="_DEM-WP(C) Costs not in AURORA 2007GRC_Electric Rev Req Model (2009 GRC) Rebuttal 2 2" xfId="10318"/>
    <cellStyle name="_DEM-WP(C) Costs not in AURORA 2007GRC_Electric Rev Req Model (2009 GRC) Rebuttal 2 2 2" xfId="10319"/>
    <cellStyle name="_DEM-WP(C) Costs not in AURORA 2007GRC_Electric Rev Req Model (2009 GRC) Rebuttal 2 3" xfId="10320"/>
    <cellStyle name="_DEM-WP(C) Costs not in AURORA 2007GRC_Electric Rev Req Model (2009 GRC) Rebuttal 3" xfId="10321"/>
    <cellStyle name="_DEM-WP(C) Costs not in AURORA 2007GRC_Electric Rev Req Model (2009 GRC) Rebuttal 3 2" xfId="10322"/>
    <cellStyle name="_DEM-WP(C) Costs not in AURORA 2007GRC_Electric Rev Req Model (2009 GRC) Rebuttal 4" xfId="10323"/>
    <cellStyle name="_DEM-WP(C) Costs not in AURORA 2007GRC_Electric Rev Req Model (2009 GRC) Rebuttal REmoval of New  WH Solar AdjustMI" xfId="530"/>
    <cellStyle name="_DEM-WP(C) Costs not in AURORA 2007GRC_Electric Rev Req Model (2009 GRC) Rebuttal REmoval of New  WH Solar AdjustMI 2" xfId="10324"/>
    <cellStyle name="_DEM-WP(C) Costs not in AURORA 2007GRC_Electric Rev Req Model (2009 GRC) Rebuttal REmoval of New  WH Solar AdjustMI 2 2" xfId="10325"/>
    <cellStyle name="_DEM-WP(C) Costs not in AURORA 2007GRC_Electric Rev Req Model (2009 GRC) Rebuttal REmoval of New  WH Solar AdjustMI 2 2 2" xfId="10326"/>
    <cellStyle name="_DEM-WP(C) Costs not in AURORA 2007GRC_Electric Rev Req Model (2009 GRC) Rebuttal REmoval of New  WH Solar AdjustMI 2 3" xfId="10327"/>
    <cellStyle name="_DEM-WP(C) Costs not in AURORA 2007GRC_Electric Rev Req Model (2009 GRC) Rebuttal REmoval of New  WH Solar AdjustMI 3" xfId="10328"/>
    <cellStyle name="_DEM-WP(C) Costs not in AURORA 2007GRC_Electric Rev Req Model (2009 GRC) Rebuttal REmoval of New  WH Solar AdjustMI 3 2" xfId="10329"/>
    <cellStyle name="_DEM-WP(C) Costs not in AURORA 2007GRC_Electric Rev Req Model (2009 GRC) Rebuttal REmoval of New  WH Solar AdjustMI 4" xfId="10330"/>
    <cellStyle name="_DEM-WP(C) Costs not in AURORA 2007GRC_Electric Rev Req Model (2009 GRC) Rebuttal REmoval of New  WH Solar AdjustMI_DEM-WP(C) ENERG10C--ctn Mid-C_042010 2010GRC" xfId="10331"/>
    <cellStyle name="_DEM-WP(C) Costs not in AURORA 2007GRC_Electric Rev Req Model (2009 GRC) Rebuttal REmoval of New  WH Solar AdjustMI_DEM-WP(C) ENERG10C--ctn Mid-C_042010 2010GRC 2" xfId="10332"/>
    <cellStyle name="_DEM-WP(C) Costs not in AURORA 2007GRC_Electric Rev Req Model (2009 GRC) Revised 01-18-2010" xfId="531"/>
    <cellStyle name="_DEM-WP(C) Costs not in AURORA 2007GRC_Electric Rev Req Model (2009 GRC) Revised 01-18-2010 2" xfId="10333"/>
    <cellStyle name="_DEM-WP(C) Costs not in AURORA 2007GRC_Electric Rev Req Model (2009 GRC) Revised 01-18-2010 2 2" xfId="10334"/>
    <cellStyle name="_DEM-WP(C) Costs not in AURORA 2007GRC_Electric Rev Req Model (2009 GRC) Revised 01-18-2010 2 2 2" xfId="10335"/>
    <cellStyle name="_DEM-WP(C) Costs not in AURORA 2007GRC_Electric Rev Req Model (2009 GRC) Revised 01-18-2010 2 3" xfId="10336"/>
    <cellStyle name="_DEM-WP(C) Costs not in AURORA 2007GRC_Electric Rev Req Model (2009 GRC) Revised 01-18-2010 3" xfId="10337"/>
    <cellStyle name="_DEM-WP(C) Costs not in AURORA 2007GRC_Electric Rev Req Model (2009 GRC) Revised 01-18-2010 3 2" xfId="10338"/>
    <cellStyle name="_DEM-WP(C) Costs not in AURORA 2007GRC_Electric Rev Req Model (2009 GRC) Revised 01-18-2010 4" xfId="10339"/>
    <cellStyle name="_DEM-WP(C) Costs not in AURORA 2007GRC_Electric Rev Req Model (2009 GRC) Revised 01-18-2010_DEM-WP(C) ENERG10C--ctn Mid-C_042010 2010GRC" xfId="10340"/>
    <cellStyle name="_DEM-WP(C) Costs not in AURORA 2007GRC_Electric Rev Req Model (2009 GRC) Revised 01-18-2010_DEM-WP(C) ENERG10C--ctn Mid-C_042010 2010GRC 2" xfId="10341"/>
    <cellStyle name="_DEM-WP(C) Costs not in AURORA 2007GRC_Electric Rev Req Model (2010 GRC)" xfId="10342"/>
    <cellStyle name="_DEM-WP(C) Costs not in AURORA 2007GRC_Electric Rev Req Model (2010 GRC) 2" xfId="10343"/>
    <cellStyle name="_DEM-WP(C) Costs not in AURORA 2007GRC_Electric Rev Req Model (2010 GRC) SF" xfId="10344"/>
    <cellStyle name="_DEM-WP(C) Costs not in AURORA 2007GRC_Electric Rev Req Model (2010 GRC) SF 2" xfId="10345"/>
    <cellStyle name="_DEM-WP(C) Costs not in AURORA 2007GRC_Final Order Electric EXHIBIT A-1" xfId="532"/>
    <cellStyle name="_DEM-WP(C) Costs not in AURORA 2007GRC_Final Order Electric EXHIBIT A-1 2" xfId="10346"/>
    <cellStyle name="_DEM-WP(C) Costs not in AURORA 2007GRC_Final Order Electric EXHIBIT A-1 2 2" xfId="10347"/>
    <cellStyle name="_DEM-WP(C) Costs not in AURORA 2007GRC_Final Order Electric EXHIBIT A-1 2 2 2" xfId="10348"/>
    <cellStyle name="_DEM-WP(C) Costs not in AURORA 2007GRC_Final Order Electric EXHIBIT A-1 2 3" xfId="10349"/>
    <cellStyle name="_DEM-WP(C) Costs not in AURORA 2007GRC_Final Order Electric EXHIBIT A-1 3" xfId="10350"/>
    <cellStyle name="_DEM-WP(C) Costs not in AURORA 2007GRC_Final Order Electric EXHIBIT A-1 3 2" xfId="10351"/>
    <cellStyle name="_DEM-WP(C) Costs not in AURORA 2007GRC_Final Order Electric EXHIBIT A-1 4" xfId="10352"/>
    <cellStyle name="_DEM-WP(C) Costs not in AURORA 2007GRC_NIM Summary" xfId="10353"/>
    <cellStyle name="_DEM-WP(C) Costs not in AURORA 2007GRC_NIM Summary 2" xfId="10354"/>
    <cellStyle name="_DEM-WP(C) Costs not in AURORA 2007GRC_NIM Summary 2 2" xfId="10355"/>
    <cellStyle name="_DEM-WP(C) Costs not in AURORA 2007GRC_NIM Summary 2 2 2" xfId="10356"/>
    <cellStyle name="_DEM-WP(C) Costs not in AURORA 2007GRC_NIM Summary 2 3" xfId="10357"/>
    <cellStyle name="_DEM-WP(C) Costs not in AURORA 2007GRC_NIM Summary 3" xfId="10358"/>
    <cellStyle name="_DEM-WP(C) Costs not in AURORA 2007GRC_NIM Summary 3 2" xfId="10359"/>
    <cellStyle name="_DEM-WP(C) Costs not in AURORA 2007GRC_NIM Summary 4" xfId="10360"/>
    <cellStyle name="_DEM-WP(C) Costs not in AURORA 2007GRC_NIM Summary_DEM-WP(C) ENERG10C--ctn Mid-C_042010 2010GRC" xfId="10361"/>
    <cellStyle name="_DEM-WP(C) Costs not in AURORA 2007GRC_NIM Summary_DEM-WP(C) ENERG10C--ctn Mid-C_042010 2010GRC 2" xfId="10362"/>
    <cellStyle name="_DEM-WP(C) Costs not in AURORA 2007GRC_NIM+O&amp;M Monthly" xfId="10363"/>
    <cellStyle name="_DEM-WP(C) Costs not in AURORA 2007GRC_NIM+O&amp;M Monthly 2" xfId="10364"/>
    <cellStyle name="_DEM-WP(C) Costs not in AURORA 2007GRC_NIM+O&amp;M Monthly 2 2" xfId="10365"/>
    <cellStyle name="_DEM-WP(C) Costs not in AURORA 2007GRC_NIM+O&amp;M Monthly 3" xfId="10366"/>
    <cellStyle name="_DEM-WP(C) Costs not in AURORA 2007GRC_Power Costs - Comparison bx Rbtl-Staff-Jt-PC" xfId="533"/>
    <cellStyle name="_DEM-WP(C) Costs not in AURORA 2007GRC_Power Costs - Comparison bx Rbtl-Staff-Jt-PC 2" xfId="10367"/>
    <cellStyle name="_DEM-WP(C) Costs not in AURORA 2007GRC_Power Costs - Comparison bx Rbtl-Staff-Jt-PC 2 2" xfId="10368"/>
    <cellStyle name="_DEM-WP(C) Costs not in AURORA 2007GRC_Power Costs - Comparison bx Rbtl-Staff-Jt-PC 2 2 2" xfId="10369"/>
    <cellStyle name="_DEM-WP(C) Costs not in AURORA 2007GRC_Power Costs - Comparison bx Rbtl-Staff-Jt-PC 2 3" xfId="10370"/>
    <cellStyle name="_DEM-WP(C) Costs not in AURORA 2007GRC_Power Costs - Comparison bx Rbtl-Staff-Jt-PC 3" xfId="10371"/>
    <cellStyle name="_DEM-WP(C) Costs not in AURORA 2007GRC_Power Costs - Comparison bx Rbtl-Staff-Jt-PC 3 2" xfId="10372"/>
    <cellStyle name="_DEM-WP(C) Costs not in AURORA 2007GRC_Power Costs - Comparison bx Rbtl-Staff-Jt-PC 4" xfId="10373"/>
    <cellStyle name="_DEM-WP(C) Costs not in AURORA 2007GRC_Power Costs - Comparison bx Rbtl-Staff-Jt-PC_DEM-WP(C) ENERG10C--ctn Mid-C_042010 2010GRC" xfId="10374"/>
    <cellStyle name="_DEM-WP(C) Costs not in AURORA 2007GRC_Power Costs - Comparison bx Rbtl-Staff-Jt-PC_DEM-WP(C) ENERG10C--ctn Mid-C_042010 2010GRC 2" xfId="10375"/>
    <cellStyle name="_DEM-WP(C) Costs not in AURORA 2007GRC_Rebuttal Power Costs" xfId="534"/>
    <cellStyle name="_DEM-WP(C) Costs not in AURORA 2007GRC_Rebuttal Power Costs 2" xfId="10376"/>
    <cellStyle name="_DEM-WP(C) Costs not in AURORA 2007GRC_Rebuttal Power Costs 2 2" xfId="10377"/>
    <cellStyle name="_DEM-WP(C) Costs not in AURORA 2007GRC_Rebuttal Power Costs 2 2 2" xfId="10378"/>
    <cellStyle name="_DEM-WP(C) Costs not in AURORA 2007GRC_Rebuttal Power Costs 2 3" xfId="10379"/>
    <cellStyle name="_DEM-WP(C) Costs not in AURORA 2007GRC_Rebuttal Power Costs 3" xfId="10380"/>
    <cellStyle name="_DEM-WP(C) Costs not in AURORA 2007GRC_Rebuttal Power Costs 3 2" xfId="10381"/>
    <cellStyle name="_DEM-WP(C) Costs not in AURORA 2007GRC_Rebuttal Power Costs 4" xfId="10382"/>
    <cellStyle name="_DEM-WP(C) Costs not in AURORA 2007GRC_Rebuttal Power Costs_DEM-WP(C) ENERG10C--ctn Mid-C_042010 2010GRC" xfId="10383"/>
    <cellStyle name="_DEM-WP(C) Costs not in AURORA 2007GRC_Rebuttal Power Costs_DEM-WP(C) ENERG10C--ctn Mid-C_042010 2010GRC 2" xfId="10384"/>
    <cellStyle name="_DEM-WP(C) Costs not in AURORA 2007GRC_TENASKA REGULATORY ASSET" xfId="535"/>
    <cellStyle name="_DEM-WP(C) Costs not in AURORA 2007GRC_TENASKA REGULATORY ASSET 2" xfId="10385"/>
    <cellStyle name="_DEM-WP(C) Costs not in AURORA 2007GRC_TENASKA REGULATORY ASSET 2 2" xfId="10386"/>
    <cellStyle name="_DEM-WP(C) Costs not in AURORA 2007GRC_TENASKA REGULATORY ASSET 2 2 2" xfId="10387"/>
    <cellStyle name="_DEM-WP(C) Costs not in AURORA 2007GRC_TENASKA REGULATORY ASSET 2 3" xfId="10388"/>
    <cellStyle name="_DEM-WP(C) Costs not in AURORA 2007GRC_TENASKA REGULATORY ASSET 3" xfId="10389"/>
    <cellStyle name="_DEM-WP(C) Costs not in AURORA 2007GRC_TENASKA REGULATORY ASSET 3 2" xfId="10390"/>
    <cellStyle name="_DEM-WP(C) Costs not in AURORA 2007GRC_TENASKA REGULATORY ASSET 4" xfId="10391"/>
    <cellStyle name="_DEM-WP(C) Costs not in AURORA 2007PCORC" xfId="10392"/>
    <cellStyle name="_DEM-WP(C) Costs not in AURORA 2007PCORC 2" xfId="10393"/>
    <cellStyle name="_DEM-WP(C) Costs not in AURORA 2007PCORC 2 2" xfId="10394"/>
    <cellStyle name="_DEM-WP(C) Costs not in AURORA 2007PCORC 2 2 2" xfId="10395"/>
    <cellStyle name="_DEM-WP(C) Costs not in AURORA 2007PCORC 2 3" xfId="10396"/>
    <cellStyle name="_DEM-WP(C) Costs not in AURORA 2007PCORC 3" xfId="10397"/>
    <cellStyle name="_DEM-WP(C) Costs not in AURORA 2007PCORC 3 2" xfId="10398"/>
    <cellStyle name="_DEM-WP(C) Costs not in AURORA 2007PCORC 4" xfId="10399"/>
    <cellStyle name="_DEM-WP(C) Costs not in AURORA 2007PCORC_Chelan PUD Power Costs (8-10)" xfId="10400"/>
    <cellStyle name="_DEM-WP(C) Costs not in AURORA 2007PCORC_Chelan PUD Power Costs (8-10) 2" xfId="10401"/>
    <cellStyle name="_DEM-WP(C) Costs not in AURORA 2007PCORC_DEM-WP(C) ENERG10C--ctn Mid-C_042010 2010GRC" xfId="10402"/>
    <cellStyle name="_DEM-WP(C) Costs not in AURORA 2007PCORC_DEM-WP(C) ENERG10C--ctn Mid-C_042010 2010GRC 2" xfId="10403"/>
    <cellStyle name="_DEM-WP(C) Costs not in AURORA 2007PCORC_NIM Summary" xfId="10404"/>
    <cellStyle name="_DEM-WP(C) Costs not in AURORA 2007PCORC_NIM Summary 2" xfId="10405"/>
    <cellStyle name="_DEM-WP(C) Costs not in AURORA 2007PCORC_NIM Summary 2 2" xfId="10406"/>
    <cellStyle name="_DEM-WP(C) Costs not in AURORA 2007PCORC_NIM Summary 2 2 2" xfId="10407"/>
    <cellStyle name="_DEM-WP(C) Costs not in AURORA 2007PCORC_NIM Summary 2 3" xfId="10408"/>
    <cellStyle name="_DEM-WP(C) Costs not in AURORA 2007PCORC_NIM Summary 3" xfId="10409"/>
    <cellStyle name="_DEM-WP(C) Costs not in AURORA 2007PCORC_NIM Summary 3 2" xfId="10410"/>
    <cellStyle name="_DEM-WP(C) Costs not in AURORA 2007PCORC_NIM Summary 4" xfId="10411"/>
    <cellStyle name="_DEM-WP(C) Costs not in AURORA 2007PCORC_NIM Summary_DEM-WP(C) ENERG10C--ctn Mid-C_042010 2010GRC" xfId="10412"/>
    <cellStyle name="_DEM-WP(C) Costs not in AURORA 2007PCORC_NIM Summary_DEM-WP(C) ENERG10C--ctn Mid-C_042010 2010GRC 2" xfId="10413"/>
    <cellStyle name="_DEM-WP(C) Costs not in AURORA 2007PCORC-5.07Update" xfId="536"/>
    <cellStyle name="_DEM-WP(C) Costs not in AURORA 2007PCORC-5.07Update 2" xfId="10414"/>
    <cellStyle name="_DEM-WP(C) Costs not in AURORA 2007PCORC-5.07Update 2 2" xfId="10415"/>
    <cellStyle name="_DEM-WP(C) Costs not in AURORA 2007PCORC-5.07Update 2 2 2" xfId="10416"/>
    <cellStyle name="_DEM-WP(C) Costs not in AURORA 2007PCORC-5.07Update 2 2 2 2" xfId="10417"/>
    <cellStyle name="_DEM-WP(C) Costs not in AURORA 2007PCORC-5.07Update 2 2 3" xfId="10418"/>
    <cellStyle name="_DEM-WP(C) Costs not in AURORA 2007PCORC-5.07Update 2 3" xfId="10419"/>
    <cellStyle name="_DEM-WP(C) Costs not in AURORA 2007PCORC-5.07Update 2 3 2" xfId="10420"/>
    <cellStyle name="_DEM-WP(C) Costs not in AURORA 2007PCORC-5.07Update 2 4" xfId="10421"/>
    <cellStyle name="_DEM-WP(C) Costs not in AURORA 2007PCORC-5.07Update 3" xfId="10422"/>
    <cellStyle name="_DEM-WP(C) Costs not in AURORA 2007PCORC-5.07Update 3 2" xfId="10423"/>
    <cellStyle name="_DEM-WP(C) Costs not in AURORA 2007PCORC-5.07Update 3 2 2" xfId="10424"/>
    <cellStyle name="_DEM-WP(C) Costs not in AURORA 2007PCORC-5.07Update 4" xfId="10425"/>
    <cellStyle name="_DEM-WP(C) Costs not in AURORA 2007PCORC-5.07Update 4 2" xfId="10426"/>
    <cellStyle name="_DEM-WP(C) Costs not in AURORA 2007PCORC-5.07Update 4 3" xfId="10427"/>
    <cellStyle name="_DEM-WP(C) Costs not in AURORA 2007PCORC-5.07Update 5" xfId="10428"/>
    <cellStyle name="_DEM-WP(C) Costs not in AURORA 2007PCORC-5.07Update 5 2" xfId="10429"/>
    <cellStyle name="_DEM-WP(C) Costs not in AURORA 2007PCORC-5.07Update 6" xfId="10430"/>
    <cellStyle name="_DEM-WP(C) Costs not in AURORA 2007PCORC-5.07Update 6 2" xfId="10431"/>
    <cellStyle name="_DEM-WP(C) Costs not in AURORA 2007PCORC-5.07Update_16.37E Wild Horse Expansion DeferralRevwrkingfile SF" xfId="537"/>
    <cellStyle name="_DEM-WP(C) Costs not in AURORA 2007PCORC-5.07Update_16.37E Wild Horse Expansion DeferralRevwrkingfile SF 2" xfId="10432"/>
    <cellStyle name="_DEM-WP(C) Costs not in AURORA 2007PCORC-5.07Update_16.37E Wild Horse Expansion DeferralRevwrkingfile SF 2 2" xfId="10433"/>
    <cellStyle name="_DEM-WP(C) Costs not in AURORA 2007PCORC-5.07Update_16.37E Wild Horse Expansion DeferralRevwrkingfile SF 2 2 2" xfId="10434"/>
    <cellStyle name="_DEM-WP(C) Costs not in AURORA 2007PCORC-5.07Update_16.37E Wild Horse Expansion DeferralRevwrkingfile SF 2 3" xfId="10435"/>
    <cellStyle name="_DEM-WP(C) Costs not in AURORA 2007PCORC-5.07Update_16.37E Wild Horse Expansion DeferralRevwrkingfile SF 3" xfId="10436"/>
    <cellStyle name="_DEM-WP(C) Costs not in AURORA 2007PCORC-5.07Update_16.37E Wild Horse Expansion DeferralRevwrkingfile SF 3 2" xfId="10437"/>
    <cellStyle name="_DEM-WP(C) Costs not in AURORA 2007PCORC-5.07Update_16.37E Wild Horse Expansion DeferralRevwrkingfile SF 4" xfId="10438"/>
    <cellStyle name="_DEM-WP(C) Costs not in AURORA 2007PCORC-5.07Update_16.37E Wild Horse Expansion DeferralRevwrkingfile SF_DEM-WP(C) ENERG10C--ctn Mid-C_042010 2010GRC" xfId="10439"/>
    <cellStyle name="_DEM-WP(C) Costs not in AURORA 2007PCORC-5.07Update_16.37E Wild Horse Expansion DeferralRevwrkingfile SF_DEM-WP(C) ENERG10C--ctn Mid-C_042010 2010GRC 2" xfId="10440"/>
    <cellStyle name="_DEM-WP(C) Costs not in AURORA 2007PCORC-5.07Update_2009 GRC Compl Filing - Exhibit D" xfId="538"/>
    <cellStyle name="_DEM-WP(C) Costs not in AURORA 2007PCORC-5.07Update_2009 GRC Compl Filing - Exhibit D 2" xfId="10441"/>
    <cellStyle name="_DEM-WP(C) Costs not in AURORA 2007PCORC-5.07Update_2009 GRC Compl Filing - Exhibit D 2 2" xfId="10442"/>
    <cellStyle name="_DEM-WP(C) Costs not in AURORA 2007PCORC-5.07Update_2009 GRC Compl Filing - Exhibit D 2 2 2" xfId="10443"/>
    <cellStyle name="_DEM-WP(C) Costs not in AURORA 2007PCORC-5.07Update_2009 GRC Compl Filing - Exhibit D 2 3" xfId="10444"/>
    <cellStyle name="_DEM-WP(C) Costs not in AURORA 2007PCORC-5.07Update_2009 GRC Compl Filing - Exhibit D 3" xfId="10445"/>
    <cellStyle name="_DEM-WP(C) Costs not in AURORA 2007PCORC-5.07Update_2009 GRC Compl Filing - Exhibit D 3 2" xfId="10446"/>
    <cellStyle name="_DEM-WP(C) Costs not in AURORA 2007PCORC-5.07Update_2009 GRC Compl Filing - Exhibit D 4" xfId="10447"/>
    <cellStyle name="_DEM-WP(C) Costs not in AURORA 2007PCORC-5.07Update_2009 GRC Compl Filing - Exhibit D_DEM-WP(C) ENERG10C--ctn Mid-C_042010 2010GRC" xfId="10448"/>
    <cellStyle name="_DEM-WP(C) Costs not in AURORA 2007PCORC-5.07Update_2009 GRC Compl Filing - Exhibit D_DEM-WP(C) ENERG10C--ctn Mid-C_042010 2010GRC 2" xfId="10449"/>
    <cellStyle name="_DEM-WP(C) Costs not in AURORA 2007PCORC-5.07Update_Adj Bench DR 3 for Initial Briefs (Electric)" xfId="539"/>
    <cellStyle name="_DEM-WP(C) Costs not in AURORA 2007PCORC-5.07Update_Adj Bench DR 3 for Initial Briefs (Electric) 2" xfId="10450"/>
    <cellStyle name="_DEM-WP(C) Costs not in AURORA 2007PCORC-5.07Update_Adj Bench DR 3 for Initial Briefs (Electric) 2 2" xfId="10451"/>
    <cellStyle name="_DEM-WP(C) Costs not in AURORA 2007PCORC-5.07Update_Adj Bench DR 3 for Initial Briefs (Electric) 2 2 2" xfId="10452"/>
    <cellStyle name="_DEM-WP(C) Costs not in AURORA 2007PCORC-5.07Update_Adj Bench DR 3 for Initial Briefs (Electric) 2 3" xfId="10453"/>
    <cellStyle name="_DEM-WP(C) Costs not in AURORA 2007PCORC-5.07Update_Adj Bench DR 3 for Initial Briefs (Electric) 3" xfId="10454"/>
    <cellStyle name="_DEM-WP(C) Costs not in AURORA 2007PCORC-5.07Update_Adj Bench DR 3 for Initial Briefs (Electric) 3 2" xfId="10455"/>
    <cellStyle name="_DEM-WP(C) Costs not in AURORA 2007PCORC-5.07Update_Adj Bench DR 3 for Initial Briefs (Electric) 4" xfId="10456"/>
    <cellStyle name="_DEM-WP(C) Costs not in AURORA 2007PCORC-5.07Update_Adj Bench DR 3 for Initial Briefs (Electric)_DEM-WP(C) ENERG10C--ctn Mid-C_042010 2010GRC" xfId="10457"/>
    <cellStyle name="_DEM-WP(C) Costs not in AURORA 2007PCORC-5.07Update_Adj Bench DR 3 for Initial Briefs (Electric)_DEM-WP(C) ENERG10C--ctn Mid-C_042010 2010GRC 2" xfId="10458"/>
    <cellStyle name="_DEM-WP(C) Costs not in AURORA 2007PCORC-5.07Update_Book1" xfId="10459"/>
    <cellStyle name="_DEM-WP(C) Costs not in AURORA 2007PCORC-5.07Update_Book1 2" xfId="10460"/>
    <cellStyle name="_DEM-WP(C) Costs not in AURORA 2007PCORC-5.07Update_Book2" xfId="540"/>
    <cellStyle name="_DEM-WP(C) Costs not in AURORA 2007PCORC-5.07Update_Book2 2" xfId="10461"/>
    <cellStyle name="_DEM-WP(C) Costs not in AURORA 2007PCORC-5.07Update_Book2 2 2" xfId="10462"/>
    <cellStyle name="_DEM-WP(C) Costs not in AURORA 2007PCORC-5.07Update_Book2 2 2 2" xfId="10463"/>
    <cellStyle name="_DEM-WP(C) Costs not in AURORA 2007PCORC-5.07Update_Book2 2 3" xfId="10464"/>
    <cellStyle name="_DEM-WP(C) Costs not in AURORA 2007PCORC-5.07Update_Book2 3" xfId="10465"/>
    <cellStyle name="_DEM-WP(C) Costs not in AURORA 2007PCORC-5.07Update_Book2 3 2" xfId="10466"/>
    <cellStyle name="_DEM-WP(C) Costs not in AURORA 2007PCORC-5.07Update_Book2 4" xfId="10467"/>
    <cellStyle name="_DEM-WP(C) Costs not in AURORA 2007PCORC-5.07Update_Book2_DEM-WP(C) ENERG10C--ctn Mid-C_042010 2010GRC" xfId="10468"/>
    <cellStyle name="_DEM-WP(C) Costs not in AURORA 2007PCORC-5.07Update_Book2_DEM-WP(C) ENERG10C--ctn Mid-C_042010 2010GRC 2" xfId="10469"/>
    <cellStyle name="_DEM-WP(C) Costs not in AURORA 2007PCORC-5.07Update_Book4" xfId="541"/>
    <cellStyle name="_DEM-WP(C) Costs not in AURORA 2007PCORC-5.07Update_Book4 2" xfId="10470"/>
    <cellStyle name="_DEM-WP(C) Costs not in AURORA 2007PCORC-5.07Update_Book4 2 2" xfId="10471"/>
    <cellStyle name="_DEM-WP(C) Costs not in AURORA 2007PCORC-5.07Update_Book4 2 2 2" xfId="10472"/>
    <cellStyle name="_DEM-WP(C) Costs not in AURORA 2007PCORC-5.07Update_Book4 2 3" xfId="10473"/>
    <cellStyle name="_DEM-WP(C) Costs not in AURORA 2007PCORC-5.07Update_Book4 3" xfId="10474"/>
    <cellStyle name="_DEM-WP(C) Costs not in AURORA 2007PCORC-5.07Update_Book4 3 2" xfId="10475"/>
    <cellStyle name="_DEM-WP(C) Costs not in AURORA 2007PCORC-5.07Update_Book4 4" xfId="10476"/>
    <cellStyle name="_DEM-WP(C) Costs not in AURORA 2007PCORC-5.07Update_Book4_DEM-WP(C) ENERG10C--ctn Mid-C_042010 2010GRC" xfId="10477"/>
    <cellStyle name="_DEM-WP(C) Costs not in AURORA 2007PCORC-5.07Update_Book4_DEM-WP(C) ENERG10C--ctn Mid-C_042010 2010GRC 2" xfId="10478"/>
    <cellStyle name="_DEM-WP(C) Costs not in AURORA 2007PCORC-5.07Update_Chelan PUD Power Costs (8-10)" xfId="10479"/>
    <cellStyle name="_DEM-WP(C) Costs not in AURORA 2007PCORC-5.07Update_Chelan PUD Power Costs (8-10) 2" xfId="10480"/>
    <cellStyle name="_DEM-WP(C) Costs not in AURORA 2007PCORC-5.07Update_Colstrip 1&amp;2 Annual O&amp;M Budgets" xfId="10481"/>
    <cellStyle name="_DEM-WP(C) Costs not in AURORA 2007PCORC-5.07Update_Confidential Material" xfId="10482"/>
    <cellStyle name="_DEM-WP(C) Costs not in AURORA 2007PCORC-5.07Update_Confidential Material 2" xfId="10483"/>
    <cellStyle name="_DEM-WP(C) Costs not in AURORA 2007PCORC-5.07Update_DEM-WP(C) Colstrip 12 Coal Cost Forecast 2010GRC" xfId="10484"/>
    <cellStyle name="_DEM-WP(C) Costs not in AURORA 2007PCORC-5.07Update_DEM-WP(C) Colstrip 12 Coal Cost Forecast 2010GRC 2" xfId="10485"/>
    <cellStyle name="_DEM-WP(C) Costs not in AURORA 2007PCORC-5.07Update_DEM-WP(C) ENERG10C--ctn Mid-C_042010 2010GRC" xfId="10486"/>
    <cellStyle name="_DEM-WP(C) Costs not in AURORA 2007PCORC-5.07Update_DEM-WP(C) ENERG10C--ctn Mid-C_042010 2010GRC 2" xfId="10487"/>
    <cellStyle name="_DEM-WP(C) Costs not in AURORA 2007PCORC-5.07Update_DEM-WP(C) Production O&amp;M 2009GRC Rebuttal" xfId="542"/>
    <cellStyle name="_DEM-WP(C) Costs not in AURORA 2007PCORC-5.07Update_DEM-WP(C) Production O&amp;M 2009GRC Rebuttal 2" xfId="10488"/>
    <cellStyle name="_DEM-WP(C) Costs not in AURORA 2007PCORC-5.07Update_DEM-WP(C) Production O&amp;M 2009GRC Rebuttal 2 2" xfId="10489"/>
    <cellStyle name="_DEM-WP(C) Costs not in AURORA 2007PCORC-5.07Update_DEM-WP(C) Production O&amp;M 2009GRC Rebuttal 2 2 2" xfId="10490"/>
    <cellStyle name="_DEM-WP(C) Costs not in AURORA 2007PCORC-5.07Update_DEM-WP(C) Production O&amp;M 2009GRC Rebuttal 2 3" xfId="10491"/>
    <cellStyle name="_DEM-WP(C) Costs not in AURORA 2007PCORC-5.07Update_DEM-WP(C) Production O&amp;M 2009GRC Rebuttal 3" xfId="10492"/>
    <cellStyle name="_DEM-WP(C) Costs not in AURORA 2007PCORC-5.07Update_DEM-WP(C) Production O&amp;M 2009GRC Rebuttal 3 2" xfId="10493"/>
    <cellStyle name="_DEM-WP(C) Costs not in AURORA 2007PCORC-5.07Update_DEM-WP(C) Production O&amp;M 2009GRC Rebuttal 4" xfId="10494"/>
    <cellStyle name="_DEM-WP(C) Costs not in AURORA 2007PCORC-5.07Update_DEM-WP(C) Production O&amp;M 2009GRC Rebuttal_Adj Bench DR 3 for Initial Briefs (Electric)" xfId="543"/>
    <cellStyle name="_DEM-WP(C) Costs not in AURORA 2007PCORC-5.07Update_DEM-WP(C) Production O&amp;M 2009GRC Rebuttal_Adj Bench DR 3 for Initial Briefs (Electric) 2" xfId="10495"/>
    <cellStyle name="_DEM-WP(C) Costs not in AURORA 2007PCORC-5.07Update_DEM-WP(C) Production O&amp;M 2009GRC Rebuttal_Adj Bench DR 3 for Initial Briefs (Electric) 2 2" xfId="10496"/>
    <cellStyle name="_DEM-WP(C) Costs not in AURORA 2007PCORC-5.07Update_DEM-WP(C) Production O&amp;M 2009GRC Rebuttal_Adj Bench DR 3 for Initial Briefs (Electric) 2 2 2" xfId="10497"/>
    <cellStyle name="_DEM-WP(C) Costs not in AURORA 2007PCORC-5.07Update_DEM-WP(C) Production O&amp;M 2009GRC Rebuttal_Adj Bench DR 3 for Initial Briefs (Electric) 2 3" xfId="10498"/>
    <cellStyle name="_DEM-WP(C) Costs not in AURORA 2007PCORC-5.07Update_DEM-WP(C) Production O&amp;M 2009GRC Rebuttal_Adj Bench DR 3 for Initial Briefs (Electric) 3" xfId="10499"/>
    <cellStyle name="_DEM-WP(C) Costs not in AURORA 2007PCORC-5.07Update_DEM-WP(C) Production O&amp;M 2009GRC Rebuttal_Adj Bench DR 3 for Initial Briefs (Electric) 3 2" xfId="10500"/>
    <cellStyle name="_DEM-WP(C) Costs not in AURORA 2007PCORC-5.07Update_DEM-WP(C) Production O&amp;M 2009GRC Rebuttal_Adj Bench DR 3 for Initial Briefs (Electric) 4" xfId="10501"/>
    <cellStyle name="_DEM-WP(C) Costs not in AURORA 2007PCORC-5.07Update_DEM-WP(C) Production O&amp;M 2009GRC Rebuttal_Adj Bench DR 3 for Initial Briefs (Electric)_DEM-WP(C) ENERG10C--ctn Mid-C_042010 2010GRC" xfId="10502"/>
    <cellStyle name="_DEM-WP(C) Costs not in AURORA 2007PCORC-5.07Update_DEM-WP(C) Production O&amp;M 2009GRC Rebuttal_Adj Bench DR 3 for Initial Briefs (Electric)_DEM-WP(C) ENERG10C--ctn Mid-C_042010 2010GRC 2" xfId="10503"/>
    <cellStyle name="_DEM-WP(C) Costs not in AURORA 2007PCORC-5.07Update_DEM-WP(C) Production O&amp;M 2009GRC Rebuttal_Book2" xfId="544"/>
    <cellStyle name="_DEM-WP(C) Costs not in AURORA 2007PCORC-5.07Update_DEM-WP(C) Production O&amp;M 2009GRC Rebuttal_Book2 2" xfId="10504"/>
    <cellStyle name="_DEM-WP(C) Costs not in AURORA 2007PCORC-5.07Update_DEM-WP(C) Production O&amp;M 2009GRC Rebuttal_Book2 2 2" xfId="10505"/>
    <cellStyle name="_DEM-WP(C) Costs not in AURORA 2007PCORC-5.07Update_DEM-WP(C) Production O&amp;M 2009GRC Rebuttal_Book2 2 2 2" xfId="10506"/>
    <cellStyle name="_DEM-WP(C) Costs not in AURORA 2007PCORC-5.07Update_DEM-WP(C) Production O&amp;M 2009GRC Rebuttal_Book2 2 3" xfId="10507"/>
    <cellStyle name="_DEM-WP(C) Costs not in AURORA 2007PCORC-5.07Update_DEM-WP(C) Production O&amp;M 2009GRC Rebuttal_Book2 3" xfId="10508"/>
    <cellStyle name="_DEM-WP(C) Costs not in AURORA 2007PCORC-5.07Update_DEM-WP(C) Production O&amp;M 2009GRC Rebuttal_Book2 3 2" xfId="10509"/>
    <cellStyle name="_DEM-WP(C) Costs not in AURORA 2007PCORC-5.07Update_DEM-WP(C) Production O&amp;M 2009GRC Rebuttal_Book2 4" xfId="10510"/>
    <cellStyle name="_DEM-WP(C) Costs not in AURORA 2007PCORC-5.07Update_DEM-WP(C) Production O&amp;M 2009GRC Rebuttal_Book2_Adj Bench DR 3 for Initial Briefs (Electric)" xfId="545"/>
    <cellStyle name="_DEM-WP(C) Costs not in AURORA 2007PCORC-5.07Update_DEM-WP(C) Production O&amp;M 2009GRC Rebuttal_Book2_Adj Bench DR 3 for Initial Briefs (Electric) 2" xfId="10511"/>
    <cellStyle name="_DEM-WP(C) Costs not in AURORA 2007PCORC-5.07Update_DEM-WP(C) Production O&amp;M 2009GRC Rebuttal_Book2_Adj Bench DR 3 for Initial Briefs (Electric) 2 2" xfId="10512"/>
    <cellStyle name="_DEM-WP(C) Costs not in AURORA 2007PCORC-5.07Update_DEM-WP(C) Production O&amp;M 2009GRC Rebuttal_Book2_Adj Bench DR 3 for Initial Briefs (Electric) 2 2 2" xfId="10513"/>
    <cellStyle name="_DEM-WP(C) Costs not in AURORA 2007PCORC-5.07Update_DEM-WP(C) Production O&amp;M 2009GRC Rebuttal_Book2_Adj Bench DR 3 for Initial Briefs (Electric) 2 3" xfId="10514"/>
    <cellStyle name="_DEM-WP(C) Costs not in AURORA 2007PCORC-5.07Update_DEM-WP(C) Production O&amp;M 2009GRC Rebuttal_Book2_Adj Bench DR 3 for Initial Briefs (Electric) 3" xfId="10515"/>
    <cellStyle name="_DEM-WP(C) Costs not in AURORA 2007PCORC-5.07Update_DEM-WP(C) Production O&amp;M 2009GRC Rebuttal_Book2_Adj Bench DR 3 for Initial Briefs (Electric) 3 2" xfId="10516"/>
    <cellStyle name="_DEM-WP(C) Costs not in AURORA 2007PCORC-5.07Update_DEM-WP(C) Production O&amp;M 2009GRC Rebuttal_Book2_Adj Bench DR 3 for Initial Briefs (Electric) 4" xfId="10517"/>
    <cellStyle name="_DEM-WP(C) Costs not in AURORA 2007PCORC-5.07Update_DEM-WP(C) Production O&amp;M 2009GRC Rebuttal_Book2_Adj Bench DR 3 for Initial Briefs (Electric)_DEM-WP(C) ENERG10C--ctn Mid-C_042010 2010GRC" xfId="10518"/>
    <cellStyle name="_DEM-WP(C) Costs not in AURORA 2007PCORC-5.07Update_DEM-WP(C) Production O&amp;M 2009GRC Rebuttal_Book2_Adj Bench DR 3 for Initial Briefs (Electric)_DEM-WP(C) ENERG10C--ctn Mid-C_042010 2010GRC 2" xfId="10519"/>
    <cellStyle name="_DEM-WP(C) Costs not in AURORA 2007PCORC-5.07Update_DEM-WP(C) Production O&amp;M 2009GRC Rebuttal_Book2_DEM-WP(C) ENERG10C--ctn Mid-C_042010 2010GRC" xfId="10520"/>
    <cellStyle name="_DEM-WP(C) Costs not in AURORA 2007PCORC-5.07Update_DEM-WP(C) Production O&amp;M 2009GRC Rebuttal_Book2_DEM-WP(C) ENERG10C--ctn Mid-C_042010 2010GRC 2" xfId="10521"/>
    <cellStyle name="_DEM-WP(C) Costs not in AURORA 2007PCORC-5.07Update_DEM-WP(C) Production O&amp;M 2009GRC Rebuttal_Book2_Electric Rev Req Model (2009 GRC) Rebuttal" xfId="546"/>
    <cellStyle name="_DEM-WP(C) Costs not in AURORA 2007PCORC-5.07Update_DEM-WP(C) Production O&amp;M 2009GRC Rebuttal_Book2_Electric Rev Req Model (2009 GRC) Rebuttal 2" xfId="10522"/>
    <cellStyle name="_DEM-WP(C) Costs not in AURORA 2007PCORC-5.07Update_DEM-WP(C) Production O&amp;M 2009GRC Rebuttal_Book2_Electric Rev Req Model (2009 GRC) Rebuttal 2 2" xfId="10523"/>
    <cellStyle name="_DEM-WP(C) Costs not in AURORA 2007PCORC-5.07Update_DEM-WP(C) Production O&amp;M 2009GRC Rebuttal_Book2_Electric Rev Req Model (2009 GRC) Rebuttal 2 2 2" xfId="10524"/>
    <cellStyle name="_DEM-WP(C) Costs not in AURORA 2007PCORC-5.07Update_DEM-WP(C) Production O&amp;M 2009GRC Rebuttal_Book2_Electric Rev Req Model (2009 GRC) Rebuttal 2 3" xfId="10525"/>
    <cellStyle name="_DEM-WP(C) Costs not in AURORA 2007PCORC-5.07Update_DEM-WP(C) Production O&amp;M 2009GRC Rebuttal_Book2_Electric Rev Req Model (2009 GRC) Rebuttal 3" xfId="10526"/>
    <cellStyle name="_DEM-WP(C) Costs not in AURORA 2007PCORC-5.07Update_DEM-WP(C) Production O&amp;M 2009GRC Rebuttal_Book2_Electric Rev Req Model (2009 GRC) Rebuttal 3 2" xfId="10527"/>
    <cellStyle name="_DEM-WP(C) Costs not in AURORA 2007PCORC-5.07Update_DEM-WP(C) Production O&amp;M 2009GRC Rebuttal_Book2_Electric Rev Req Model (2009 GRC) Rebuttal 4" xfId="10528"/>
    <cellStyle name="_DEM-WP(C) Costs not in AURORA 2007PCORC-5.07Update_DEM-WP(C) Production O&amp;M 2009GRC Rebuttal_Book2_Electric Rev Req Model (2009 GRC) Rebuttal REmoval of New  WH Solar AdjustMI" xfId="547"/>
    <cellStyle name="_DEM-WP(C) Costs not in AURORA 2007PCORC-5.07Update_DEM-WP(C) Production O&amp;M 2009GRC Rebuttal_Book2_Electric Rev Req Model (2009 GRC) Rebuttal REmoval of New  WH Solar AdjustMI 2" xfId="10529"/>
    <cellStyle name="_DEM-WP(C) Costs not in AURORA 2007PCORC-5.07Update_DEM-WP(C) Production O&amp;M 2009GRC Rebuttal_Book2_Electric Rev Req Model (2009 GRC) Rebuttal REmoval of New  WH Solar AdjustMI 2 2" xfId="10530"/>
    <cellStyle name="_DEM-WP(C) Costs not in AURORA 2007PCORC-5.07Update_DEM-WP(C) Production O&amp;M 2009GRC Rebuttal_Book2_Electric Rev Req Model (2009 GRC) Rebuttal REmoval of New  WH Solar AdjustMI 2 2 2" xfId="10531"/>
    <cellStyle name="_DEM-WP(C) Costs not in AURORA 2007PCORC-5.07Update_DEM-WP(C) Production O&amp;M 2009GRC Rebuttal_Book2_Electric Rev Req Model (2009 GRC) Rebuttal REmoval of New  WH Solar AdjustMI 2 3" xfId="10532"/>
    <cellStyle name="_DEM-WP(C) Costs not in AURORA 2007PCORC-5.07Update_DEM-WP(C) Production O&amp;M 2009GRC Rebuttal_Book2_Electric Rev Req Model (2009 GRC) Rebuttal REmoval of New  WH Solar AdjustMI 3" xfId="10533"/>
    <cellStyle name="_DEM-WP(C) Costs not in AURORA 2007PCORC-5.07Update_DEM-WP(C) Production O&amp;M 2009GRC Rebuttal_Book2_Electric Rev Req Model (2009 GRC) Rebuttal REmoval of New  WH Solar AdjustMI 3 2" xfId="10534"/>
    <cellStyle name="_DEM-WP(C) Costs not in AURORA 2007PCORC-5.07Update_DEM-WP(C) Production O&amp;M 2009GRC Rebuttal_Book2_Electric Rev Req Model (2009 GRC) Rebuttal REmoval of New  WH Solar AdjustMI 4" xfId="10535"/>
    <cellStyle name="_DEM-WP(C) Costs not in AURORA 2007PCORC-5.07Update_DEM-WP(C) Production O&amp;M 2009GRC Rebuttal_Book2_Electric Rev Req Model (2009 GRC) Rebuttal REmoval of New  WH Solar AdjustMI_DEM-WP(C) ENERG10C--ctn Mid-C_042010 2010GRC" xfId="10536"/>
    <cellStyle name="_DEM-WP(C) Costs not in AURORA 2007PCORC-5.07Update_DEM-WP(C) Production O&amp;M 2009GRC Rebuttal_Book2_Electric Rev Req Model (2009 GRC) Rebuttal REmoval of New  WH Solar AdjustMI_DEM-WP(C) ENERG10C--ctn Mid-C_042010 2010GRC 2" xfId="10537"/>
    <cellStyle name="_DEM-WP(C) Costs not in AURORA 2007PCORC-5.07Update_DEM-WP(C) Production O&amp;M 2009GRC Rebuttal_Book2_Electric Rev Req Model (2009 GRC) Revised 01-18-2010" xfId="548"/>
    <cellStyle name="_DEM-WP(C) Costs not in AURORA 2007PCORC-5.07Update_DEM-WP(C) Production O&amp;M 2009GRC Rebuttal_Book2_Electric Rev Req Model (2009 GRC) Revised 01-18-2010 2" xfId="10538"/>
    <cellStyle name="_DEM-WP(C) Costs not in AURORA 2007PCORC-5.07Update_DEM-WP(C) Production O&amp;M 2009GRC Rebuttal_Book2_Electric Rev Req Model (2009 GRC) Revised 01-18-2010 2 2" xfId="10539"/>
    <cellStyle name="_DEM-WP(C) Costs not in AURORA 2007PCORC-5.07Update_DEM-WP(C) Production O&amp;M 2009GRC Rebuttal_Book2_Electric Rev Req Model (2009 GRC) Revised 01-18-2010 2 2 2" xfId="10540"/>
    <cellStyle name="_DEM-WP(C) Costs not in AURORA 2007PCORC-5.07Update_DEM-WP(C) Production O&amp;M 2009GRC Rebuttal_Book2_Electric Rev Req Model (2009 GRC) Revised 01-18-2010 2 3" xfId="10541"/>
    <cellStyle name="_DEM-WP(C) Costs not in AURORA 2007PCORC-5.07Update_DEM-WP(C) Production O&amp;M 2009GRC Rebuttal_Book2_Electric Rev Req Model (2009 GRC) Revised 01-18-2010 3" xfId="10542"/>
    <cellStyle name="_DEM-WP(C) Costs not in AURORA 2007PCORC-5.07Update_DEM-WP(C) Production O&amp;M 2009GRC Rebuttal_Book2_Electric Rev Req Model (2009 GRC) Revised 01-18-2010 3 2" xfId="10543"/>
    <cellStyle name="_DEM-WP(C) Costs not in AURORA 2007PCORC-5.07Update_DEM-WP(C) Production O&amp;M 2009GRC Rebuttal_Book2_Electric Rev Req Model (2009 GRC) Revised 01-18-2010 4" xfId="10544"/>
    <cellStyle name="_DEM-WP(C) Costs not in AURORA 2007PCORC-5.07Update_DEM-WP(C) Production O&amp;M 2009GRC Rebuttal_Book2_Electric Rev Req Model (2009 GRC) Revised 01-18-2010_DEM-WP(C) ENERG10C--ctn Mid-C_042010 2010GRC" xfId="10545"/>
    <cellStyle name="_DEM-WP(C) Costs not in AURORA 2007PCORC-5.07Update_DEM-WP(C) Production O&amp;M 2009GRC Rebuttal_Book2_Electric Rev Req Model (2009 GRC) Revised 01-18-2010_DEM-WP(C) ENERG10C--ctn Mid-C_042010 2010GRC 2" xfId="10546"/>
    <cellStyle name="_DEM-WP(C) Costs not in AURORA 2007PCORC-5.07Update_DEM-WP(C) Production O&amp;M 2009GRC Rebuttal_Book2_Final Order Electric EXHIBIT A-1" xfId="549"/>
    <cellStyle name="_DEM-WP(C) Costs not in AURORA 2007PCORC-5.07Update_DEM-WP(C) Production O&amp;M 2009GRC Rebuttal_Book2_Final Order Electric EXHIBIT A-1 2" xfId="10547"/>
    <cellStyle name="_DEM-WP(C) Costs not in AURORA 2007PCORC-5.07Update_DEM-WP(C) Production O&amp;M 2009GRC Rebuttal_Book2_Final Order Electric EXHIBIT A-1 2 2" xfId="10548"/>
    <cellStyle name="_DEM-WP(C) Costs not in AURORA 2007PCORC-5.07Update_DEM-WP(C) Production O&amp;M 2009GRC Rebuttal_Book2_Final Order Electric EXHIBIT A-1 2 2 2" xfId="10549"/>
    <cellStyle name="_DEM-WP(C) Costs not in AURORA 2007PCORC-5.07Update_DEM-WP(C) Production O&amp;M 2009GRC Rebuttal_Book2_Final Order Electric EXHIBIT A-1 2 3" xfId="10550"/>
    <cellStyle name="_DEM-WP(C) Costs not in AURORA 2007PCORC-5.07Update_DEM-WP(C) Production O&amp;M 2009GRC Rebuttal_Book2_Final Order Electric EXHIBIT A-1 3" xfId="10551"/>
    <cellStyle name="_DEM-WP(C) Costs not in AURORA 2007PCORC-5.07Update_DEM-WP(C) Production O&amp;M 2009GRC Rebuttal_Book2_Final Order Electric EXHIBIT A-1 3 2" xfId="10552"/>
    <cellStyle name="_DEM-WP(C) Costs not in AURORA 2007PCORC-5.07Update_DEM-WP(C) Production O&amp;M 2009GRC Rebuttal_Book2_Final Order Electric EXHIBIT A-1 4" xfId="10553"/>
    <cellStyle name="_DEM-WP(C) Costs not in AURORA 2007PCORC-5.07Update_DEM-WP(C) Production O&amp;M 2009GRC Rebuttal_DEM-WP(C) ENERG10C--ctn Mid-C_042010 2010GRC" xfId="10554"/>
    <cellStyle name="_DEM-WP(C) Costs not in AURORA 2007PCORC-5.07Update_DEM-WP(C) Production O&amp;M 2009GRC Rebuttal_DEM-WP(C) ENERG10C--ctn Mid-C_042010 2010GRC 2" xfId="10555"/>
    <cellStyle name="_DEM-WP(C) Costs not in AURORA 2007PCORC-5.07Update_DEM-WP(C) Production O&amp;M 2009GRC Rebuttal_Electric Rev Req Model (2009 GRC) Rebuttal" xfId="550"/>
    <cellStyle name="_DEM-WP(C) Costs not in AURORA 2007PCORC-5.07Update_DEM-WP(C) Production O&amp;M 2009GRC Rebuttal_Electric Rev Req Model (2009 GRC) Rebuttal 2" xfId="10556"/>
    <cellStyle name="_DEM-WP(C) Costs not in AURORA 2007PCORC-5.07Update_DEM-WP(C) Production O&amp;M 2009GRC Rebuttal_Electric Rev Req Model (2009 GRC) Rebuttal 2 2" xfId="10557"/>
    <cellStyle name="_DEM-WP(C) Costs not in AURORA 2007PCORC-5.07Update_DEM-WP(C) Production O&amp;M 2009GRC Rebuttal_Electric Rev Req Model (2009 GRC) Rebuttal 2 2 2" xfId="10558"/>
    <cellStyle name="_DEM-WP(C) Costs not in AURORA 2007PCORC-5.07Update_DEM-WP(C) Production O&amp;M 2009GRC Rebuttal_Electric Rev Req Model (2009 GRC) Rebuttal 2 3" xfId="10559"/>
    <cellStyle name="_DEM-WP(C) Costs not in AURORA 2007PCORC-5.07Update_DEM-WP(C) Production O&amp;M 2009GRC Rebuttal_Electric Rev Req Model (2009 GRC) Rebuttal 3" xfId="10560"/>
    <cellStyle name="_DEM-WP(C) Costs not in AURORA 2007PCORC-5.07Update_DEM-WP(C) Production O&amp;M 2009GRC Rebuttal_Electric Rev Req Model (2009 GRC) Rebuttal 3 2" xfId="10561"/>
    <cellStyle name="_DEM-WP(C) Costs not in AURORA 2007PCORC-5.07Update_DEM-WP(C) Production O&amp;M 2009GRC Rebuttal_Electric Rev Req Model (2009 GRC) Rebuttal 4" xfId="10562"/>
    <cellStyle name="_DEM-WP(C) Costs not in AURORA 2007PCORC-5.07Update_DEM-WP(C) Production O&amp;M 2009GRC Rebuttal_Electric Rev Req Model (2009 GRC) Rebuttal REmoval of New  WH Solar AdjustMI" xfId="551"/>
    <cellStyle name="_DEM-WP(C) Costs not in AURORA 2007PCORC-5.07Update_DEM-WP(C) Production O&amp;M 2009GRC Rebuttal_Electric Rev Req Model (2009 GRC) Rebuttal REmoval of New  WH Solar AdjustMI 2" xfId="10563"/>
    <cellStyle name="_DEM-WP(C) Costs not in AURORA 2007PCORC-5.07Update_DEM-WP(C) Production O&amp;M 2009GRC Rebuttal_Electric Rev Req Model (2009 GRC) Rebuttal REmoval of New  WH Solar AdjustMI 2 2" xfId="10564"/>
    <cellStyle name="_DEM-WP(C) Costs not in AURORA 2007PCORC-5.07Update_DEM-WP(C) Production O&amp;M 2009GRC Rebuttal_Electric Rev Req Model (2009 GRC) Rebuttal REmoval of New  WH Solar AdjustMI 2 2 2" xfId="10565"/>
    <cellStyle name="_DEM-WP(C) Costs not in AURORA 2007PCORC-5.07Update_DEM-WP(C) Production O&amp;M 2009GRC Rebuttal_Electric Rev Req Model (2009 GRC) Rebuttal REmoval of New  WH Solar AdjustMI 2 3" xfId="10566"/>
    <cellStyle name="_DEM-WP(C) Costs not in AURORA 2007PCORC-5.07Update_DEM-WP(C) Production O&amp;M 2009GRC Rebuttal_Electric Rev Req Model (2009 GRC) Rebuttal REmoval of New  WH Solar AdjustMI 3" xfId="10567"/>
    <cellStyle name="_DEM-WP(C) Costs not in AURORA 2007PCORC-5.07Update_DEM-WP(C) Production O&amp;M 2009GRC Rebuttal_Electric Rev Req Model (2009 GRC) Rebuttal REmoval of New  WH Solar AdjustMI 3 2" xfId="10568"/>
    <cellStyle name="_DEM-WP(C) Costs not in AURORA 2007PCORC-5.07Update_DEM-WP(C) Production O&amp;M 2009GRC Rebuttal_Electric Rev Req Model (2009 GRC) Rebuttal REmoval of New  WH Solar AdjustMI 4" xfId="10569"/>
    <cellStyle name="_DEM-WP(C) Costs not in AURORA 2007PCORC-5.07Update_DEM-WP(C) Production O&amp;M 2009GRC Rebuttal_Electric Rev Req Model (2009 GRC) Rebuttal REmoval of New  WH Solar AdjustMI_DEM-WP(C) ENERG10C--ctn Mid-C_042010 2010GRC" xfId="10570"/>
    <cellStyle name="_DEM-WP(C) Costs not in AURORA 2007PCORC-5.07Update_DEM-WP(C) Production O&amp;M 2009GRC Rebuttal_Electric Rev Req Model (2009 GRC) Rebuttal REmoval of New  WH Solar AdjustMI_DEM-WP(C) ENERG10C--ctn Mid-C_042010 2010GRC 2" xfId="10571"/>
    <cellStyle name="_DEM-WP(C) Costs not in AURORA 2007PCORC-5.07Update_DEM-WP(C) Production O&amp;M 2009GRC Rebuttal_Electric Rev Req Model (2009 GRC) Revised 01-18-2010" xfId="552"/>
    <cellStyle name="_DEM-WP(C) Costs not in AURORA 2007PCORC-5.07Update_DEM-WP(C) Production O&amp;M 2009GRC Rebuttal_Electric Rev Req Model (2009 GRC) Revised 01-18-2010 2" xfId="10572"/>
    <cellStyle name="_DEM-WP(C) Costs not in AURORA 2007PCORC-5.07Update_DEM-WP(C) Production O&amp;M 2009GRC Rebuttal_Electric Rev Req Model (2009 GRC) Revised 01-18-2010 2 2" xfId="10573"/>
    <cellStyle name="_DEM-WP(C) Costs not in AURORA 2007PCORC-5.07Update_DEM-WP(C) Production O&amp;M 2009GRC Rebuttal_Electric Rev Req Model (2009 GRC) Revised 01-18-2010 2 2 2" xfId="10574"/>
    <cellStyle name="_DEM-WP(C) Costs not in AURORA 2007PCORC-5.07Update_DEM-WP(C) Production O&amp;M 2009GRC Rebuttal_Electric Rev Req Model (2009 GRC) Revised 01-18-2010 2 3" xfId="10575"/>
    <cellStyle name="_DEM-WP(C) Costs not in AURORA 2007PCORC-5.07Update_DEM-WP(C) Production O&amp;M 2009GRC Rebuttal_Electric Rev Req Model (2009 GRC) Revised 01-18-2010 3" xfId="10576"/>
    <cellStyle name="_DEM-WP(C) Costs not in AURORA 2007PCORC-5.07Update_DEM-WP(C) Production O&amp;M 2009GRC Rebuttal_Electric Rev Req Model (2009 GRC) Revised 01-18-2010 3 2" xfId="10577"/>
    <cellStyle name="_DEM-WP(C) Costs not in AURORA 2007PCORC-5.07Update_DEM-WP(C) Production O&amp;M 2009GRC Rebuttal_Electric Rev Req Model (2009 GRC) Revised 01-18-2010 4" xfId="10578"/>
    <cellStyle name="_DEM-WP(C) Costs not in AURORA 2007PCORC-5.07Update_DEM-WP(C) Production O&amp;M 2009GRC Rebuttal_Electric Rev Req Model (2009 GRC) Revised 01-18-2010_DEM-WP(C) ENERG10C--ctn Mid-C_042010 2010GRC" xfId="10579"/>
    <cellStyle name="_DEM-WP(C) Costs not in AURORA 2007PCORC-5.07Update_DEM-WP(C) Production O&amp;M 2009GRC Rebuttal_Electric Rev Req Model (2009 GRC) Revised 01-18-2010_DEM-WP(C) ENERG10C--ctn Mid-C_042010 2010GRC 2" xfId="10580"/>
    <cellStyle name="_DEM-WP(C) Costs not in AURORA 2007PCORC-5.07Update_DEM-WP(C) Production O&amp;M 2009GRC Rebuttal_Final Order Electric EXHIBIT A-1" xfId="553"/>
    <cellStyle name="_DEM-WP(C) Costs not in AURORA 2007PCORC-5.07Update_DEM-WP(C) Production O&amp;M 2009GRC Rebuttal_Final Order Electric EXHIBIT A-1 2" xfId="10581"/>
    <cellStyle name="_DEM-WP(C) Costs not in AURORA 2007PCORC-5.07Update_DEM-WP(C) Production O&amp;M 2009GRC Rebuttal_Final Order Electric EXHIBIT A-1 2 2" xfId="10582"/>
    <cellStyle name="_DEM-WP(C) Costs not in AURORA 2007PCORC-5.07Update_DEM-WP(C) Production O&amp;M 2009GRC Rebuttal_Final Order Electric EXHIBIT A-1 2 2 2" xfId="10583"/>
    <cellStyle name="_DEM-WP(C) Costs not in AURORA 2007PCORC-5.07Update_DEM-WP(C) Production O&amp;M 2009GRC Rebuttal_Final Order Electric EXHIBIT A-1 2 3" xfId="10584"/>
    <cellStyle name="_DEM-WP(C) Costs not in AURORA 2007PCORC-5.07Update_DEM-WP(C) Production O&amp;M 2009GRC Rebuttal_Final Order Electric EXHIBIT A-1 3" xfId="10585"/>
    <cellStyle name="_DEM-WP(C) Costs not in AURORA 2007PCORC-5.07Update_DEM-WP(C) Production O&amp;M 2009GRC Rebuttal_Final Order Electric EXHIBIT A-1 3 2" xfId="10586"/>
    <cellStyle name="_DEM-WP(C) Costs not in AURORA 2007PCORC-5.07Update_DEM-WP(C) Production O&amp;M 2009GRC Rebuttal_Final Order Electric EXHIBIT A-1 4" xfId="10587"/>
    <cellStyle name="_DEM-WP(C) Costs not in AURORA 2007PCORC-5.07Update_DEM-WP(C) Production O&amp;M 2009GRC Rebuttal_Rebuttal Power Costs" xfId="554"/>
    <cellStyle name="_DEM-WP(C) Costs not in AURORA 2007PCORC-5.07Update_DEM-WP(C) Production O&amp;M 2009GRC Rebuttal_Rebuttal Power Costs 2" xfId="10588"/>
    <cellStyle name="_DEM-WP(C) Costs not in AURORA 2007PCORC-5.07Update_DEM-WP(C) Production O&amp;M 2009GRC Rebuttal_Rebuttal Power Costs 2 2" xfId="10589"/>
    <cellStyle name="_DEM-WP(C) Costs not in AURORA 2007PCORC-5.07Update_DEM-WP(C) Production O&amp;M 2009GRC Rebuttal_Rebuttal Power Costs 2 2 2" xfId="10590"/>
    <cellStyle name="_DEM-WP(C) Costs not in AURORA 2007PCORC-5.07Update_DEM-WP(C) Production O&amp;M 2009GRC Rebuttal_Rebuttal Power Costs 2 3" xfId="10591"/>
    <cellStyle name="_DEM-WP(C) Costs not in AURORA 2007PCORC-5.07Update_DEM-WP(C) Production O&amp;M 2009GRC Rebuttal_Rebuttal Power Costs 3" xfId="10592"/>
    <cellStyle name="_DEM-WP(C) Costs not in AURORA 2007PCORC-5.07Update_DEM-WP(C) Production O&amp;M 2009GRC Rebuttal_Rebuttal Power Costs 3 2" xfId="10593"/>
    <cellStyle name="_DEM-WP(C) Costs not in AURORA 2007PCORC-5.07Update_DEM-WP(C) Production O&amp;M 2009GRC Rebuttal_Rebuttal Power Costs 4" xfId="10594"/>
    <cellStyle name="_DEM-WP(C) Costs not in AURORA 2007PCORC-5.07Update_DEM-WP(C) Production O&amp;M 2009GRC Rebuttal_Rebuttal Power Costs_Adj Bench DR 3 for Initial Briefs (Electric)" xfId="555"/>
    <cellStyle name="_DEM-WP(C) Costs not in AURORA 2007PCORC-5.07Update_DEM-WP(C) Production O&amp;M 2009GRC Rebuttal_Rebuttal Power Costs_Adj Bench DR 3 for Initial Briefs (Electric) 2" xfId="10595"/>
    <cellStyle name="_DEM-WP(C) Costs not in AURORA 2007PCORC-5.07Update_DEM-WP(C) Production O&amp;M 2009GRC Rebuttal_Rebuttal Power Costs_Adj Bench DR 3 for Initial Briefs (Electric) 2 2" xfId="10596"/>
    <cellStyle name="_DEM-WP(C) Costs not in AURORA 2007PCORC-5.07Update_DEM-WP(C) Production O&amp;M 2009GRC Rebuttal_Rebuttal Power Costs_Adj Bench DR 3 for Initial Briefs (Electric) 2 2 2" xfId="10597"/>
    <cellStyle name="_DEM-WP(C) Costs not in AURORA 2007PCORC-5.07Update_DEM-WP(C) Production O&amp;M 2009GRC Rebuttal_Rebuttal Power Costs_Adj Bench DR 3 for Initial Briefs (Electric) 2 3" xfId="10598"/>
    <cellStyle name="_DEM-WP(C) Costs not in AURORA 2007PCORC-5.07Update_DEM-WP(C) Production O&amp;M 2009GRC Rebuttal_Rebuttal Power Costs_Adj Bench DR 3 for Initial Briefs (Electric) 3" xfId="10599"/>
    <cellStyle name="_DEM-WP(C) Costs not in AURORA 2007PCORC-5.07Update_DEM-WP(C) Production O&amp;M 2009GRC Rebuttal_Rebuttal Power Costs_Adj Bench DR 3 for Initial Briefs (Electric) 3 2" xfId="10600"/>
    <cellStyle name="_DEM-WP(C) Costs not in AURORA 2007PCORC-5.07Update_DEM-WP(C) Production O&amp;M 2009GRC Rebuttal_Rebuttal Power Costs_Adj Bench DR 3 for Initial Briefs (Electric) 4" xfId="10601"/>
    <cellStyle name="_DEM-WP(C) Costs not in AURORA 2007PCORC-5.07Update_DEM-WP(C) Production O&amp;M 2009GRC Rebuttal_Rebuttal Power Costs_Adj Bench DR 3 for Initial Briefs (Electric)_DEM-WP(C) ENERG10C--ctn Mid-C_042010 2010GRC" xfId="10602"/>
    <cellStyle name="_DEM-WP(C) Costs not in AURORA 2007PCORC-5.07Update_DEM-WP(C) Production O&amp;M 2009GRC Rebuttal_Rebuttal Power Costs_Adj Bench DR 3 for Initial Briefs (Electric)_DEM-WP(C) ENERG10C--ctn Mid-C_042010 2010GRC 2" xfId="10603"/>
    <cellStyle name="_DEM-WP(C) Costs not in AURORA 2007PCORC-5.07Update_DEM-WP(C) Production O&amp;M 2009GRC Rebuttal_Rebuttal Power Costs_DEM-WP(C) ENERG10C--ctn Mid-C_042010 2010GRC" xfId="10604"/>
    <cellStyle name="_DEM-WP(C) Costs not in AURORA 2007PCORC-5.07Update_DEM-WP(C) Production O&amp;M 2009GRC Rebuttal_Rebuttal Power Costs_DEM-WP(C) ENERG10C--ctn Mid-C_042010 2010GRC 2" xfId="10605"/>
    <cellStyle name="_DEM-WP(C) Costs not in AURORA 2007PCORC-5.07Update_DEM-WP(C) Production O&amp;M 2009GRC Rebuttal_Rebuttal Power Costs_Electric Rev Req Model (2009 GRC) Rebuttal" xfId="556"/>
    <cellStyle name="_DEM-WP(C) Costs not in AURORA 2007PCORC-5.07Update_DEM-WP(C) Production O&amp;M 2009GRC Rebuttal_Rebuttal Power Costs_Electric Rev Req Model (2009 GRC) Rebuttal 2" xfId="10606"/>
    <cellStyle name="_DEM-WP(C) Costs not in AURORA 2007PCORC-5.07Update_DEM-WP(C) Production O&amp;M 2009GRC Rebuttal_Rebuttal Power Costs_Electric Rev Req Model (2009 GRC) Rebuttal 2 2" xfId="10607"/>
    <cellStyle name="_DEM-WP(C) Costs not in AURORA 2007PCORC-5.07Update_DEM-WP(C) Production O&amp;M 2009GRC Rebuttal_Rebuttal Power Costs_Electric Rev Req Model (2009 GRC) Rebuttal 2 2 2" xfId="10608"/>
    <cellStyle name="_DEM-WP(C) Costs not in AURORA 2007PCORC-5.07Update_DEM-WP(C) Production O&amp;M 2009GRC Rebuttal_Rebuttal Power Costs_Electric Rev Req Model (2009 GRC) Rebuttal 2 3" xfId="10609"/>
    <cellStyle name="_DEM-WP(C) Costs not in AURORA 2007PCORC-5.07Update_DEM-WP(C) Production O&amp;M 2009GRC Rebuttal_Rebuttal Power Costs_Electric Rev Req Model (2009 GRC) Rebuttal 3" xfId="10610"/>
    <cellStyle name="_DEM-WP(C) Costs not in AURORA 2007PCORC-5.07Update_DEM-WP(C) Production O&amp;M 2009GRC Rebuttal_Rebuttal Power Costs_Electric Rev Req Model (2009 GRC) Rebuttal 3 2" xfId="10611"/>
    <cellStyle name="_DEM-WP(C) Costs not in AURORA 2007PCORC-5.07Update_DEM-WP(C) Production O&amp;M 2009GRC Rebuttal_Rebuttal Power Costs_Electric Rev Req Model (2009 GRC) Rebuttal 4" xfId="10612"/>
    <cellStyle name="_DEM-WP(C) Costs not in AURORA 2007PCORC-5.07Update_DEM-WP(C) Production O&amp;M 2009GRC Rebuttal_Rebuttal Power Costs_Electric Rev Req Model (2009 GRC) Rebuttal REmoval of New  WH Solar AdjustMI" xfId="557"/>
    <cellStyle name="_DEM-WP(C) Costs not in AURORA 2007PCORC-5.07Update_DEM-WP(C) Production O&amp;M 2009GRC Rebuttal_Rebuttal Power Costs_Electric Rev Req Model (2009 GRC) Rebuttal REmoval of New  WH Solar AdjustMI 2" xfId="10613"/>
    <cellStyle name="_DEM-WP(C) Costs not in AURORA 2007PCORC-5.07Update_DEM-WP(C) Production O&amp;M 2009GRC Rebuttal_Rebuttal Power Costs_Electric Rev Req Model (2009 GRC) Rebuttal REmoval of New  WH Solar AdjustMI 2 2" xfId="10614"/>
    <cellStyle name="_DEM-WP(C) Costs not in AURORA 2007PCORC-5.07Update_DEM-WP(C) Production O&amp;M 2009GRC Rebuttal_Rebuttal Power Costs_Electric Rev Req Model (2009 GRC) Rebuttal REmoval of New  WH Solar AdjustMI 2 2 2" xfId="10615"/>
    <cellStyle name="_DEM-WP(C) Costs not in AURORA 2007PCORC-5.07Update_DEM-WP(C) Production O&amp;M 2009GRC Rebuttal_Rebuttal Power Costs_Electric Rev Req Model (2009 GRC) Rebuttal REmoval of New  WH Solar AdjustMI 2 3" xfId="10616"/>
    <cellStyle name="_DEM-WP(C) Costs not in AURORA 2007PCORC-5.07Update_DEM-WP(C) Production O&amp;M 2009GRC Rebuttal_Rebuttal Power Costs_Electric Rev Req Model (2009 GRC) Rebuttal REmoval of New  WH Solar AdjustMI 3" xfId="10617"/>
    <cellStyle name="_DEM-WP(C) Costs not in AURORA 2007PCORC-5.07Update_DEM-WP(C) Production O&amp;M 2009GRC Rebuttal_Rebuttal Power Costs_Electric Rev Req Model (2009 GRC) Rebuttal REmoval of New  WH Solar AdjustMI 3 2" xfId="10618"/>
    <cellStyle name="_DEM-WP(C) Costs not in AURORA 2007PCORC-5.07Update_DEM-WP(C) Production O&amp;M 2009GRC Rebuttal_Rebuttal Power Costs_Electric Rev Req Model (2009 GRC) Rebuttal REmoval of New  WH Solar AdjustMI 4" xfId="10619"/>
    <cellStyle name="_DEM-WP(C) Costs not in AURORA 2007PCORC-5.07Update_DEM-WP(C) Production O&amp;M 2009GRC Rebuttal_Rebuttal Power Costs_Electric Rev Req Model (2009 GRC) Rebuttal REmoval of New  WH Solar AdjustMI_DEM-WP(C) ENERG10C--ctn Mid-C_042010 2010GRC" xfId="10620"/>
    <cellStyle name="_DEM-WP(C) Costs not in AURORA 2007PCORC-5.07Update_DEM-WP(C) Production O&amp;M 2009GRC Rebuttal_Rebuttal Power Costs_Electric Rev Req Model (2009 GRC) Rebuttal REmoval of New  WH Solar AdjustMI_DEM-WP(C) ENERG10C--ctn Mid-C_042010 2010GRC 2" xfId="10621"/>
    <cellStyle name="_DEM-WP(C) Costs not in AURORA 2007PCORC-5.07Update_DEM-WP(C) Production O&amp;M 2009GRC Rebuttal_Rebuttal Power Costs_Electric Rev Req Model (2009 GRC) Revised 01-18-2010" xfId="558"/>
    <cellStyle name="_DEM-WP(C) Costs not in AURORA 2007PCORC-5.07Update_DEM-WP(C) Production O&amp;M 2009GRC Rebuttal_Rebuttal Power Costs_Electric Rev Req Model (2009 GRC) Revised 01-18-2010 2" xfId="10622"/>
    <cellStyle name="_DEM-WP(C) Costs not in AURORA 2007PCORC-5.07Update_DEM-WP(C) Production O&amp;M 2009GRC Rebuttal_Rebuttal Power Costs_Electric Rev Req Model (2009 GRC) Revised 01-18-2010 2 2" xfId="10623"/>
    <cellStyle name="_DEM-WP(C) Costs not in AURORA 2007PCORC-5.07Update_DEM-WP(C) Production O&amp;M 2009GRC Rebuttal_Rebuttal Power Costs_Electric Rev Req Model (2009 GRC) Revised 01-18-2010 2 2 2" xfId="10624"/>
    <cellStyle name="_DEM-WP(C) Costs not in AURORA 2007PCORC-5.07Update_DEM-WP(C) Production O&amp;M 2009GRC Rebuttal_Rebuttal Power Costs_Electric Rev Req Model (2009 GRC) Revised 01-18-2010 2 3" xfId="10625"/>
    <cellStyle name="_DEM-WP(C) Costs not in AURORA 2007PCORC-5.07Update_DEM-WP(C) Production O&amp;M 2009GRC Rebuttal_Rebuttal Power Costs_Electric Rev Req Model (2009 GRC) Revised 01-18-2010 3" xfId="10626"/>
    <cellStyle name="_DEM-WP(C) Costs not in AURORA 2007PCORC-5.07Update_DEM-WP(C) Production O&amp;M 2009GRC Rebuttal_Rebuttal Power Costs_Electric Rev Req Model (2009 GRC) Revised 01-18-2010 3 2" xfId="10627"/>
    <cellStyle name="_DEM-WP(C) Costs not in AURORA 2007PCORC-5.07Update_DEM-WP(C) Production O&amp;M 2009GRC Rebuttal_Rebuttal Power Costs_Electric Rev Req Model (2009 GRC) Revised 01-18-2010 4" xfId="10628"/>
    <cellStyle name="_DEM-WP(C) Costs not in AURORA 2007PCORC-5.07Update_DEM-WP(C) Production O&amp;M 2009GRC Rebuttal_Rebuttal Power Costs_Electric Rev Req Model (2009 GRC) Revised 01-18-2010_DEM-WP(C) ENERG10C--ctn Mid-C_042010 2010GRC" xfId="10629"/>
    <cellStyle name="_DEM-WP(C) Costs not in AURORA 2007PCORC-5.07Update_DEM-WP(C) Production O&amp;M 2009GRC Rebuttal_Rebuttal Power Costs_Electric Rev Req Model (2009 GRC) Revised 01-18-2010_DEM-WP(C) ENERG10C--ctn Mid-C_042010 2010GRC 2" xfId="10630"/>
    <cellStyle name="_DEM-WP(C) Costs not in AURORA 2007PCORC-5.07Update_DEM-WP(C) Production O&amp;M 2009GRC Rebuttal_Rebuttal Power Costs_Final Order Electric EXHIBIT A-1" xfId="559"/>
    <cellStyle name="_DEM-WP(C) Costs not in AURORA 2007PCORC-5.07Update_DEM-WP(C) Production O&amp;M 2009GRC Rebuttal_Rebuttal Power Costs_Final Order Electric EXHIBIT A-1 2" xfId="10631"/>
    <cellStyle name="_DEM-WP(C) Costs not in AURORA 2007PCORC-5.07Update_DEM-WP(C) Production O&amp;M 2009GRC Rebuttal_Rebuttal Power Costs_Final Order Electric EXHIBIT A-1 2 2" xfId="10632"/>
    <cellStyle name="_DEM-WP(C) Costs not in AURORA 2007PCORC-5.07Update_DEM-WP(C) Production O&amp;M 2009GRC Rebuttal_Rebuttal Power Costs_Final Order Electric EXHIBIT A-1 2 2 2" xfId="10633"/>
    <cellStyle name="_DEM-WP(C) Costs not in AURORA 2007PCORC-5.07Update_DEM-WP(C) Production O&amp;M 2009GRC Rebuttal_Rebuttal Power Costs_Final Order Electric EXHIBIT A-1 2 3" xfId="10634"/>
    <cellStyle name="_DEM-WP(C) Costs not in AURORA 2007PCORC-5.07Update_DEM-WP(C) Production O&amp;M 2009GRC Rebuttal_Rebuttal Power Costs_Final Order Electric EXHIBIT A-1 3" xfId="10635"/>
    <cellStyle name="_DEM-WP(C) Costs not in AURORA 2007PCORC-5.07Update_DEM-WP(C) Production O&amp;M 2009GRC Rebuttal_Rebuttal Power Costs_Final Order Electric EXHIBIT A-1 3 2" xfId="10636"/>
    <cellStyle name="_DEM-WP(C) Costs not in AURORA 2007PCORC-5.07Update_DEM-WP(C) Production O&amp;M 2009GRC Rebuttal_Rebuttal Power Costs_Final Order Electric EXHIBIT A-1 4" xfId="10637"/>
    <cellStyle name="_DEM-WP(C) Costs not in AURORA 2007PCORC-5.07Update_DEM-WP(C) Production O&amp;M 2010GRC As-Filed" xfId="10638"/>
    <cellStyle name="_DEM-WP(C) Costs not in AURORA 2007PCORC-5.07Update_DEM-WP(C) Production O&amp;M 2010GRC As-Filed 2" xfId="10639"/>
    <cellStyle name="_DEM-WP(C) Costs not in AURORA 2007PCORC-5.07Update_DEM-WP(C) Production O&amp;M 2010GRC As-Filed 2 2" xfId="10640"/>
    <cellStyle name="_DEM-WP(C) Costs not in AURORA 2007PCORC-5.07Update_DEM-WP(C) Production O&amp;M 2010GRC As-Filed 3" xfId="10641"/>
    <cellStyle name="_DEM-WP(C) Costs not in AURORA 2007PCORC-5.07Update_DEM-WP(C) Production O&amp;M 2010GRC As-Filed 3 2" xfId="10642"/>
    <cellStyle name="_DEM-WP(C) Costs not in AURORA 2007PCORC-5.07Update_DEM-WP(C) Production O&amp;M 2010GRC As-Filed 4" xfId="10643"/>
    <cellStyle name="_DEM-WP(C) Costs not in AURORA 2007PCORC-5.07Update_DEM-WP(C) Production O&amp;M 2010GRC As-Filed 4 2" xfId="10644"/>
    <cellStyle name="_DEM-WP(C) Costs not in AURORA 2007PCORC-5.07Update_DEM-WP(C) Production O&amp;M 2010GRC As-Filed 5" xfId="10645"/>
    <cellStyle name="_DEM-WP(C) Costs not in AURORA 2007PCORC-5.07Update_DEM-WP(C) Production O&amp;M 2010GRC As-Filed 5 2" xfId="10646"/>
    <cellStyle name="_DEM-WP(C) Costs not in AURORA 2007PCORC-5.07Update_DEM-WP(C) Production O&amp;M 2010GRC As-Filed 6" xfId="10647"/>
    <cellStyle name="_DEM-WP(C) Costs not in AURORA 2007PCORC-5.07Update_DEM-WP(C) Production O&amp;M 2010GRC As-Filed 6 2" xfId="10648"/>
    <cellStyle name="_DEM-WP(C) Costs not in AURORA 2007PCORC-5.07Update_Electric Rev Req Model (2009 GRC) " xfId="560"/>
    <cellStyle name="_DEM-WP(C) Costs not in AURORA 2007PCORC-5.07Update_Electric Rev Req Model (2009 GRC)  2" xfId="10649"/>
    <cellStyle name="_DEM-WP(C) Costs not in AURORA 2007PCORC-5.07Update_Electric Rev Req Model (2009 GRC)  2 2" xfId="10650"/>
    <cellStyle name="_DEM-WP(C) Costs not in AURORA 2007PCORC-5.07Update_Electric Rev Req Model (2009 GRC)  2 2 2" xfId="10651"/>
    <cellStyle name="_DEM-WP(C) Costs not in AURORA 2007PCORC-5.07Update_Electric Rev Req Model (2009 GRC)  2 3" xfId="10652"/>
    <cellStyle name="_DEM-WP(C) Costs not in AURORA 2007PCORC-5.07Update_Electric Rev Req Model (2009 GRC)  3" xfId="10653"/>
    <cellStyle name="_DEM-WP(C) Costs not in AURORA 2007PCORC-5.07Update_Electric Rev Req Model (2009 GRC)  3 2" xfId="10654"/>
    <cellStyle name="_DEM-WP(C) Costs not in AURORA 2007PCORC-5.07Update_Electric Rev Req Model (2009 GRC)  4" xfId="10655"/>
    <cellStyle name="_DEM-WP(C) Costs not in AURORA 2007PCORC-5.07Update_Electric Rev Req Model (2009 GRC) _DEM-WP(C) ENERG10C--ctn Mid-C_042010 2010GRC" xfId="10656"/>
    <cellStyle name="_DEM-WP(C) Costs not in AURORA 2007PCORC-5.07Update_Electric Rev Req Model (2009 GRC) _DEM-WP(C) ENERG10C--ctn Mid-C_042010 2010GRC 2" xfId="10657"/>
    <cellStyle name="_DEM-WP(C) Costs not in AURORA 2007PCORC-5.07Update_Electric Rev Req Model (2009 GRC) Rebuttal" xfId="561"/>
    <cellStyle name="_DEM-WP(C) Costs not in AURORA 2007PCORC-5.07Update_Electric Rev Req Model (2009 GRC) Rebuttal 2" xfId="10658"/>
    <cellStyle name="_DEM-WP(C) Costs not in AURORA 2007PCORC-5.07Update_Electric Rev Req Model (2009 GRC) Rebuttal 2 2" xfId="10659"/>
    <cellStyle name="_DEM-WP(C) Costs not in AURORA 2007PCORC-5.07Update_Electric Rev Req Model (2009 GRC) Rebuttal 2 2 2" xfId="10660"/>
    <cellStyle name="_DEM-WP(C) Costs not in AURORA 2007PCORC-5.07Update_Electric Rev Req Model (2009 GRC) Rebuttal 2 3" xfId="10661"/>
    <cellStyle name="_DEM-WP(C) Costs not in AURORA 2007PCORC-5.07Update_Electric Rev Req Model (2009 GRC) Rebuttal 3" xfId="10662"/>
    <cellStyle name="_DEM-WP(C) Costs not in AURORA 2007PCORC-5.07Update_Electric Rev Req Model (2009 GRC) Rebuttal 3 2" xfId="10663"/>
    <cellStyle name="_DEM-WP(C) Costs not in AURORA 2007PCORC-5.07Update_Electric Rev Req Model (2009 GRC) Rebuttal 4" xfId="10664"/>
    <cellStyle name="_DEM-WP(C) Costs not in AURORA 2007PCORC-5.07Update_Electric Rev Req Model (2009 GRC) Rebuttal REmoval of New  WH Solar AdjustMI" xfId="562"/>
    <cellStyle name="_DEM-WP(C) Costs not in AURORA 2007PCORC-5.07Update_Electric Rev Req Model (2009 GRC) Rebuttal REmoval of New  WH Solar AdjustMI 2" xfId="10665"/>
    <cellStyle name="_DEM-WP(C) Costs not in AURORA 2007PCORC-5.07Update_Electric Rev Req Model (2009 GRC) Rebuttal REmoval of New  WH Solar AdjustMI 2 2" xfId="10666"/>
    <cellStyle name="_DEM-WP(C) Costs not in AURORA 2007PCORC-5.07Update_Electric Rev Req Model (2009 GRC) Rebuttal REmoval of New  WH Solar AdjustMI 2 2 2" xfId="10667"/>
    <cellStyle name="_DEM-WP(C) Costs not in AURORA 2007PCORC-5.07Update_Electric Rev Req Model (2009 GRC) Rebuttal REmoval of New  WH Solar AdjustMI 2 3" xfId="10668"/>
    <cellStyle name="_DEM-WP(C) Costs not in AURORA 2007PCORC-5.07Update_Electric Rev Req Model (2009 GRC) Rebuttal REmoval of New  WH Solar AdjustMI 3" xfId="10669"/>
    <cellStyle name="_DEM-WP(C) Costs not in AURORA 2007PCORC-5.07Update_Electric Rev Req Model (2009 GRC) Rebuttal REmoval of New  WH Solar AdjustMI 3 2" xfId="10670"/>
    <cellStyle name="_DEM-WP(C) Costs not in AURORA 2007PCORC-5.07Update_Electric Rev Req Model (2009 GRC) Rebuttal REmoval of New  WH Solar AdjustMI 4" xfId="10671"/>
    <cellStyle name="_DEM-WP(C) Costs not in AURORA 2007PCORC-5.07Update_Electric Rev Req Model (2009 GRC) Rebuttal REmoval of New  WH Solar AdjustMI_DEM-WP(C) ENERG10C--ctn Mid-C_042010 2010GRC" xfId="10672"/>
    <cellStyle name="_DEM-WP(C) Costs not in AURORA 2007PCORC-5.07Update_Electric Rev Req Model (2009 GRC) Rebuttal REmoval of New  WH Solar AdjustMI_DEM-WP(C) ENERG10C--ctn Mid-C_042010 2010GRC 2" xfId="10673"/>
    <cellStyle name="_DEM-WP(C) Costs not in AURORA 2007PCORC-5.07Update_Electric Rev Req Model (2009 GRC) Revised 01-18-2010" xfId="563"/>
    <cellStyle name="_DEM-WP(C) Costs not in AURORA 2007PCORC-5.07Update_Electric Rev Req Model (2009 GRC) Revised 01-18-2010 2" xfId="10674"/>
    <cellStyle name="_DEM-WP(C) Costs not in AURORA 2007PCORC-5.07Update_Electric Rev Req Model (2009 GRC) Revised 01-18-2010 2 2" xfId="10675"/>
    <cellStyle name="_DEM-WP(C) Costs not in AURORA 2007PCORC-5.07Update_Electric Rev Req Model (2009 GRC) Revised 01-18-2010 2 2 2" xfId="10676"/>
    <cellStyle name="_DEM-WP(C) Costs not in AURORA 2007PCORC-5.07Update_Electric Rev Req Model (2009 GRC) Revised 01-18-2010 2 3" xfId="10677"/>
    <cellStyle name="_DEM-WP(C) Costs not in AURORA 2007PCORC-5.07Update_Electric Rev Req Model (2009 GRC) Revised 01-18-2010 3" xfId="10678"/>
    <cellStyle name="_DEM-WP(C) Costs not in AURORA 2007PCORC-5.07Update_Electric Rev Req Model (2009 GRC) Revised 01-18-2010 3 2" xfId="10679"/>
    <cellStyle name="_DEM-WP(C) Costs not in AURORA 2007PCORC-5.07Update_Electric Rev Req Model (2009 GRC) Revised 01-18-2010 4" xfId="10680"/>
    <cellStyle name="_DEM-WP(C) Costs not in AURORA 2007PCORC-5.07Update_Electric Rev Req Model (2009 GRC) Revised 01-18-2010_DEM-WP(C) ENERG10C--ctn Mid-C_042010 2010GRC" xfId="10681"/>
    <cellStyle name="_DEM-WP(C) Costs not in AURORA 2007PCORC-5.07Update_Electric Rev Req Model (2009 GRC) Revised 01-18-2010_DEM-WP(C) ENERG10C--ctn Mid-C_042010 2010GRC 2" xfId="10682"/>
    <cellStyle name="_DEM-WP(C) Costs not in AURORA 2007PCORC-5.07Update_Electric Rev Req Model (2010 GRC)" xfId="10683"/>
    <cellStyle name="_DEM-WP(C) Costs not in AURORA 2007PCORC-5.07Update_Electric Rev Req Model (2010 GRC) 2" xfId="10684"/>
    <cellStyle name="_DEM-WP(C) Costs not in AURORA 2007PCORC-5.07Update_Electric Rev Req Model (2010 GRC) SF" xfId="10685"/>
    <cellStyle name="_DEM-WP(C) Costs not in AURORA 2007PCORC-5.07Update_Electric Rev Req Model (2010 GRC) SF 2" xfId="10686"/>
    <cellStyle name="_DEM-WP(C) Costs not in AURORA 2007PCORC-5.07Update_Final Order Electric EXHIBIT A-1" xfId="564"/>
    <cellStyle name="_DEM-WP(C) Costs not in AURORA 2007PCORC-5.07Update_Final Order Electric EXHIBIT A-1 2" xfId="10687"/>
    <cellStyle name="_DEM-WP(C) Costs not in AURORA 2007PCORC-5.07Update_Final Order Electric EXHIBIT A-1 2 2" xfId="10688"/>
    <cellStyle name="_DEM-WP(C) Costs not in AURORA 2007PCORC-5.07Update_Final Order Electric EXHIBIT A-1 2 2 2" xfId="10689"/>
    <cellStyle name="_DEM-WP(C) Costs not in AURORA 2007PCORC-5.07Update_Final Order Electric EXHIBIT A-1 2 3" xfId="10690"/>
    <cellStyle name="_DEM-WP(C) Costs not in AURORA 2007PCORC-5.07Update_Final Order Electric EXHIBIT A-1 3" xfId="10691"/>
    <cellStyle name="_DEM-WP(C) Costs not in AURORA 2007PCORC-5.07Update_Final Order Electric EXHIBIT A-1 3 2" xfId="10692"/>
    <cellStyle name="_DEM-WP(C) Costs not in AURORA 2007PCORC-5.07Update_Final Order Electric EXHIBIT A-1 4" xfId="10693"/>
    <cellStyle name="_DEM-WP(C) Costs not in AURORA 2007PCORC-5.07Update_NIM Summary" xfId="10694"/>
    <cellStyle name="_DEM-WP(C) Costs not in AURORA 2007PCORC-5.07Update_NIM Summary 09GRC" xfId="10695"/>
    <cellStyle name="_DEM-WP(C) Costs not in AURORA 2007PCORC-5.07Update_NIM Summary 09GRC 2" xfId="10696"/>
    <cellStyle name="_DEM-WP(C) Costs not in AURORA 2007PCORC-5.07Update_NIM Summary 09GRC 2 2" xfId="10697"/>
    <cellStyle name="_DEM-WP(C) Costs not in AURORA 2007PCORC-5.07Update_NIM Summary 09GRC 2 2 2" xfId="10698"/>
    <cellStyle name="_DEM-WP(C) Costs not in AURORA 2007PCORC-5.07Update_NIM Summary 09GRC 2 3" xfId="10699"/>
    <cellStyle name="_DEM-WP(C) Costs not in AURORA 2007PCORC-5.07Update_NIM Summary 09GRC 3" xfId="10700"/>
    <cellStyle name="_DEM-WP(C) Costs not in AURORA 2007PCORC-5.07Update_NIM Summary 09GRC 3 2" xfId="10701"/>
    <cellStyle name="_DEM-WP(C) Costs not in AURORA 2007PCORC-5.07Update_NIM Summary 09GRC 4" xfId="10702"/>
    <cellStyle name="_DEM-WP(C) Costs not in AURORA 2007PCORC-5.07Update_NIM Summary 09GRC_DEM-WP(C) ENERG10C--ctn Mid-C_042010 2010GRC" xfId="10703"/>
    <cellStyle name="_DEM-WP(C) Costs not in AURORA 2007PCORC-5.07Update_NIM Summary 09GRC_DEM-WP(C) ENERG10C--ctn Mid-C_042010 2010GRC 2" xfId="10704"/>
    <cellStyle name="_DEM-WP(C) Costs not in AURORA 2007PCORC-5.07Update_NIM Summary 09GRC_NIM Summary" xfId="10705"/>
    <cellStyle name="_DEM-WP(C) Costs not in AURORA 2007PCORC-5.07Update_NIM Summary 09GRC_NIM Summary 2" xfId="10706"/>
    <cellStyle name="_DEM-WP(C) Costs not in AURORA 2007PCORC-5.07Update_NIM Summary 09GRC_NIM Summary 2 2" xfId="10707"/>
    <cellStyle name="_DEM-WP(C) Costs not in AURORA 2007PCORC-5.07Update_NIM Summary 09GRC_NIM Summary 2 2 2" xfId="10708"/>
    <cellStyle name="_DEM-WP(C) Costs not in AURORA 2007PCORC-5.07Update_NIM Summary 09GRC_NIM Summary 2 3" xfId="10709"/>
    <cellStyle name="_DEM-WP(C) Costs not in AURORA 2007PCORC-5.07Update_NIM Summary 09GRC_NIM Summary 3" xfId="10710"/>
    <cellStyle name="_DEM-WP(C) Costs not in AURORA 2007PCORC-5.07Update_NIM Summary 09GRC_NIM Summary 3 2" xfId="10711"/>
    <cellStyle name="_DEM-WP(C) Costs not in AURORA 2007PCORC-5.07Update_NIM Summary 09GRC_NIM Summary 4" xfId="10712"/>
    <cellStyle name="_DEM-WP(C) Costs not in AURORA 2007PCORC-5.07Update_NIM Summary 09GRC_NIM Summary_DEM-WP(C) ENERG10C--ctn Mid-C_042010 2010GRC" xfId="10713"/>
    <cellStyle name="_DEM-WP(C) Costs not in AURORA 2007PCORC-5.07Update_NIM Summary 09GRC_NIM Summary_DEM-WP(C) ENERG10C--ctn Mid-C_042010 2010GRC 2" xfId="10714"/>
    <cellStyle name="_DEM-WP(C) Costs not in AURORA 2007PCORC-5.07Update_NIM Summary 10" xfId="10715"/>
    <cellStyle name="_DEM-WP(C) Costs not in AURORA 2007PCORC-5.07Update_NIM Summary 10 2" xfId="10716"/>
    <cellStyle name="_DEM-WP(C) Costs not in AURORA 2007PCORC-5.07Update_NIM Summary 11" xfId="10717"/>
    <cellStyle name="_DEM-WP(C) Costs not in AURORA 2007PCORC-5.07Update_NIM Summary 11 2" xfId="10718"/>
    <cellStyle name="_DEM-WP(C) Costs not in AURORA 2007PCORC-5.07Update_NIM Summary 12" xfId="10719"/>
    <cellStyle name="_DEM-WP(C) Costs not in AURORA 2007PCORC-5.07Update_NIM Summary 12 2" xfId="10720"/>
    <cellStyle name="_DEM-WP(C) Costs not in AURORA 2007PCORC-5.07Update_NIM Summary 13" xfId="10721"/>
    <cellStyle name="_DEM-WP(C) Costs not in AURORA 2007PCORC-5.07Update_NIM Summary 13 2" xfId="10722"/>
    <cellStyle name="_DEM-WP(C) Costs not in AURORA 2007PCORC-5.07Update_NIM Summary 14" xfId="10723"/>
    <cellStyle name="_DEM-WP(C) Costs not in AURORA 2007PCORC-5.07Update_NIM Summary 14 2" xfId="10724"/>
    <cellStyle name="_DEM-WP(C) Costs not in AURORA 2007PCORC-5.07Update_NIM Summary 15" xfId="10725"/>
    <cellStyle name="_DEM-WP(C) Costs not in AURORA 2007PCORC-5.07Update_NIM Summary 15 2" xfId="10726"/>
    <cellStyle name="_DEM-WP(C) Costs not in AURORA 2007PCORC-5.07Update_NIM Summary 16" xfId="10727"/>
    <cellStyle name="_DEM-WP(C) Costs not in AURORA 2007PCORC-5.07Update_NIM Summary 16 2" xfId="10728"/>
    <cellStyle name="_DEM-WP(C) Costs not in AURORA 2007PCORC-5.07Update_NIM Summary 17" xfId="10729"/>
    <cellStyle name="_DEM-WP(C) Costs not in AURORA 2007PCORC-5.07Update_NIM Summary 17 2" xfId="10730"/>
    <cellStyle name="_DEM-WP(C) Costs not in AURORA 2007PCORC-5.07Update_NIM Summary 18" xfId="10731"/>
    <cellStyle name="_DEM-WP(C) Costs not in AURORA 2007PCORC-5.07Update_NIM Summary 18 2" xfId="10732"/>
    <cellStyle name="_DEM-WP(C) Costs not in AURORA 2007PCORC-5.07Update_NIM Summary 19" xfId="10733"/>
    <cellStyle name="_DEM-WP(C) Costs not in AURORA 2007PCORC-5.07Update_NIM Summary 19 2" xfId="10734"/>
    <cellStyle name="_DEM-WP(C) Costs not in AURORA 2007PCORC-5.07Update_NIM Summary 2" xfId="10735"/>
    <cellStyle name="_DEM-WP(C) Costs not in AURORA 2007PCORC-5.07Update_NIM Summary 2 2" xfId="10736"/>
    <cellStyle name="_DEM-WP(C) Costs not in AURORA 2007PCORC-5.07Update_NIM Summary 2 2 2" xfId="10737"/>
    <cellStyle name="_DEM-WP(C) Costs not in AURORA 2007PCORC-5.07Update_NIM Summary 2 3" xfId="10738"/>
    <cellStyle name="_DEM-WP(C) Costs not in AURORA 2007PCORC-5.07Update_NIM Summary 20" xfId="10739"/>
    <cellStyle name="_DEM-WP(C) Costs not in AURORA 2007PCORC-5.07Update_NIM Summary 20 2" xfId="10740"/>
    <cellStyle name="_DEM-WP(C) Costs not in AURORA 2007PCORC-5.07Update_NIM Summary 21" xfId="10741"/>
    <cellStyle name="_DEM-WP(C) Costs not in AURORA 2007PCORC-5.07Update_NIM Summary 21 2" xfId="10742"/>
    <cellStyle name="_DEM-WP(C) Costs not in AURORA 2007PCORC-5.07Update_NIM Summary 22" xfId="10743"/>
    <cellStyle name="_DEM-WP(C) Costs not in AURORA 2007PCORC-5.07Update_NIM Summary 22 2" xfId="10744"/>
    <cellStyle name="_DEM-WP(C) Costs not in AURORA 2007PCORC-5.07Update_NIM Summary 23" xfId="10745"/>
    <cellStyle name="_DEM-WP(C) Costs not in AURORA 2007PCORC-5.07Update_NIM Summary 23 2" xfId="10746"/>
    <cellStyle name="_DEM-WP(C) Costs not in AURORA 2007PCORC-5.07Update_NIM Summary 24" xfId="10747"/>
    <cellStyle name="_DEM-WP(C) Costs not in AURORA 2007PCORC-5.07Update_NIM Summary 24 2" xfId="10748"/>
    <cellStyle name="_DEM-WP(C) Costs not in AURORA 2007PCORC-5.07Update_NIM Summary 25" xfId="10749"/>
    <cellStyle name="_DEM-WP(C) Costs not in AURORA 2007PCORC-5.07Update_NIM Summary 25 2" xfId="10750"/>
    <cellStyle name="_DEM-WP(C) Costs not in AURORA 2007PCORC-5.07Update_NIM Summary 26" xfId="10751"/>
    <cellStyle name="_DEM-WP(C) Costs not in AURORA 2007PCORC-5.07Update_NIM Summary 26 2" xfId="10752"/>
    <cellStyle name="_DEM-WP(C) Costs not in AURORA 2007PCORC-5.07Update_NIM Summary 27" xfId="10753"/>
    <cellStyle name="_DEM-WP(C) Costs not in AURORA 2007PCORC-5.07Update_NIM Summary 27 2" xfId="10754"/>
    <cellStyle name="_DEM-WP(C) Costs not in AURORA 2007PCORC-5.07Update_NIM Summary 28" xfId="10755"/>
    <cellStyle name="_DEM-WP(C) Costs not in AURORA 2007PCORC-5.07Update_NIM Summary 28 2" xfId="10756"/>
    <cellStyle name="_DEM-WP(C) Costs not in AURORA 2007PCORC-5.07Update_NIM Summary 29" xfId="10757"/>
    <cellStyle name="_DEM-WP(C) Costs not in AURORA 2007PCORC-5.07Update_NIM Summary 29 2" xfId="10758"/>
    <cellStyle name="_DEM-WP(C) Costs not in AURORA 2007PCORC-5.07Update_NIM Summary 3" xfId="10759"/>
    <cellStyle name="_DEM-WP(C) Costs not in AURORA 2007PCORC-5.07Update_NIM Summary 3 2" xfId="10760"/>
    <cellStyle name="_DEM-WP(C) Costs not in AURORA 2007PCORC-5.07Update_NIM Summary 30" xfId="10761"/>
    <cellStyle name="_DEM-WP(C) Costs not in AURORA 2007PCORC-5.07Update_NIM Summary 30 2" xfId="10762"/>
    <cellStyle name="_DEM-WP(C) Costs not in AURORA 2007PCORC-5.07Update_NIM Summary 31" xfId="10763"/>
    <cellStyle name="_DEM-WP(C) Costs not in AURORA 2007PCORC-5.07Update_NIM Summary 31 2" xfId="10764"/>
    <cellStyle name="_DEM-WP(C) Costs not in AURORA 2007PCORC-5.07Update_NIM Summary 32" xfId="10765"/>
    <cellStyle name="_DEM-WP(C) Costs not in AURORA 2007PCORC-5.07Update_NIM Summary 32 2" xfId="10766"/>
    <cellStyle name="_DEM-WP(C) Costs not in AURORA 2007PCORC-5.07Update_NIM Summary 33" xfId="10767"/>
    <cellStyle name="_DEM-WP(C) Costs not in AURORA 2007PCORC-5.07Update_NIM Summary 33 2" xfId="10768"/>
    <cellStyle name="_DEM-WP(C) Costs not in AURORA 2007PCORC-5.07Update_NIM Summary 34" xfId="10769"/>
    <cellStyle name="_DEM-WP(C) Costs not in AURORA 2007PCORC-5.07Update_NIM Summary 34 2" xfId="10770"/>
    <cellStyle name="_DEM-WP(C) Costs not in AURORA 2007PCORC-5.07Update_NIM Summary 35" xfId="10771"/>
    <cellStyle name="_DEM-WP(C) Costs not in AURORA 2007PCORC-5.07Update_NIM Summary 35 2" xfId="10772"/>
    <cellStyle name="_DEM-WP(C) Costs not in AURORA 2007PCORC-5.07Update_NIM Summary 36" xfId="10773"/>
    <cellStyle name="_DEM-WP(C) Costs not in AURORA 2007PCORC-5.07Update_NIM Summary 36 2" xfId="10774"/>
    <cellStyle name="_DEM-WP(C) Costs not in AURORA 2007PCORC-5.07Update_NIM Summary 37" xfId="10775"/>
    <cellStyle name="_DEM-WP(C) Costs not in AURORA 2007PCORC-5.07Update_NIM Summary 37 2" xfId="10776"/>
    <cellStyle name="_DEM-WP(C) Costs not in AURORA 2007PCORC-5.07Update_NIM Summary 38" xfId="10777"/>
    <cellStyle name="_DEM-WP(C) Costs not in AURORA 2007PCORC-5.07Update_NIM Summary 38 2" xfId="10778"/>
    <cellStyle name="_DEM-WP(C) Costs not in AURORA 2007PCORC-5.07Update_NIM Summary 39" xfId="10779"/>
    <cellStyle name="_DEM-WP(C) Costs not in AURORA 2007PCORC-5.07Update_NIM Summary 39 2" xfId="10780"/>
    <cellStyle name="_DEM-WP(C) Costs not in AURORA 2007PCORC-5.07Update_NIM Summary 4" xfId="10781"/>
    <cellStyle name="_DEM-WP(C) Costs not in AURORA 2007PCORC-5.07Update_NIM Summary 4 2" xfId="10782"/>
    <cellStyle name="_DEM-WP(C) Costs not in AURORA 2007PCORC-5.07Update_NIM Summary 40" xfId="10783"/>
    <cellStyle name="_DEM-WP(C) Costs not in AURORA 2007PCORC-5.07Update_NIM Summary 40 2" xfId="10784"/>
    <cellStyle name="_DEM-WP(C) Costs not in AURORA 2007PCORC-5.07Update_NIM Summary 41" xfId="10785"/>
    <cellStyle name="_DEM-WP(C) Costs not in AURORA 2007PCORC-5.07Update_NIM Summary 41 2" xfId="10786"/>
    <cellStyle name="_DEM-WP(C) Costs not in AURORA 2007PCORC-5.07Update_NIM Summary 42" xfId="10787"/>
    <cellStyle name="_DEM-WP(C) Costs not in AURORA 2007PCORC-5.07Update_NIM Summary 42 2" xfId="10788"/>
    <cellStyle name="_DEM-WP(C) Costs not in AURORA 2007PCORC-5.07Update_NIM Summary 43" xfId="10789"/>
    <cellStyle name="_DEM-WP(C) Costs not in AURORA 2007PCORC-5.07Update_NIM Summary 43 2" xfId="10790"/>
    <cellStyle name="_DEM-WP(C) Costs not in AURORA 2007PCORC-5.07Update_NIM Summary 44" xfId="10791"/>
    <cellStyle name="_DEM-WP(C) Costs not in AURORA 2007PCORC-5.07Update_NIM Summary 44 2" xfId="10792"/>
    <cellStyle name="_DEM-WP(C) Costs not in AURORA 2007PCORC-5.07Update_NIM Summary 45" xfId="10793"/>
    <cellStyle name="_DEM-WP(C) Costs not in AURORA 2007PCORC-5.07Update_NIM Summary 45 2" xfId="10794"/>
    <cellStyle name="_DEM-WP(C) Costs not in AURORA 2007PCORC-5.07Update_NIM Summary 46" xfId="10795"/>
    <cellStyle name="_DEM-WP(C) Costs not in AURORA 2007PCORC-5.07Update_NIM Summary 46 2" xfId="10796"/>
    <cellStyle name="_DEM-WP(C) Costs not in AURORA 2007PCORC-5.07Update_NIM Summary 47" xfId="10797"/>
    <cellStyle name="_DEM-WP(C) Costs not in AURORA 2007PCORC-5.07Update_NIM Summary 47 2" xfId="10798"/>
    <cellStyle name="_DEM-WP(C) Costs not in AURORA 2007PCORC-5.07Update_NIM Summary 48" xfId="10799"/>
    <cellStyle name="_DEM-WP(C) Costs not in AURORA 2007PCORC-5.07Update_NIM Summary 49" xfId="10800"/>
    <cellStyle name="_DEM-WP(C) Costs not in AURORA 2007PCORC-5.07Update_NIM Summary 5" xfId="10801"/>
    <cellStyle name="_DEM-WP(C) Costs not in AURORA 2007PCORC-5.07Update_NIM Summary 5 2" xfId="10802"/>
    <cellStyle name="_DEM-WP(C) Costs not in AURORA 2007PCORC-5.07Update_NIM Summary 50" xfId="10803"/>
    <cellStyle name="_DEM-WP(C) Costs not in AURORA 2007PCORC-5.07Update_NIM Summary 51" xfId="10804"/>
    <cellStyle name="_DEM-WP(C) Costs not in AURORA 2007PCORC-5.07Update_NIM Summary 52" xfId="10805"/>
    <cellStyle name="_DEM-WP(C) Costs not in AURORA 2007PCORC-5.07Update_NIM Summary 6" xfId="10806"/>
    <cellStyle name="_DEM-WP(C) Costs not in AURORA 2007PCORC-5.07Update_NIM Summary 6 2" xfId="10807"/>
    <cellStyle name="_DEM-WP(C) Costs not in AURORA 2007PCORC-5.07Update_NIM Summary 7" xfId="10808"/>
    <cellStyle name="_DEM-WP(C) Costs not in AURORA 2007PCORC-5.07Update_NIM Summary 7 2" xfId="10809"/>
    <cellStyle name="_DEM-WP(C) Costs not in AURORA 2007PCORC-5.07Update_NIM Summary 8" xfId="10810"/>
    <cellStyle name="_DEM-WP(C) Costs not in AURORA 2007PCORC-5.07Update_NIM Summary 8 2" xfId="10811"/>
    <cellStyle name="_DEM-WP(C) Costs not in AURORA 2007PCORC-5.07Update_NIM Summary 9" xfId="10812"/>
    <cellStyle name="_DEM-WP(C) Costs not in AURORA 2007PCORC-5.07Update_NIM Summary 9 2" xfId="10813"/>
    <cellStyle name="_DEM-WP(C) Costs not in AURORA 2007PCORC-5.07Update_NIM Summary_DEM-WP(C) ENERG10C--ctn Mid-C_042010 2010GRC" xfId="10814"/>
    <cellStyle name="_DEM-WP(C) Costs not in AURORA 2007PCORC-5.07Update_NIM Summary_DEM-WP(C) ENERG10C--ctn Mid-C_042010 2010GRC 2" xfId="10815"/>
    <cellStyle name="_DEM-WP(C) Costs not in AURORA 2007PCORC-5.07Update_NIM+O&amp;M Monthly" xfId="10816"/>
    <cellStyle name="_DEM-WP(C) Costs not in AURORA 2007PCORC-5.07Update_NIM+O&amp;M Monthly 2" xfId="10817"/>
    <cellStyle name="_DEM-WP(C) Costs not in AURORA 2007PCORC-5.07Update_NIM+O&amp;M Monthly 2 2" xfId="10818"/>
    <cellStyle name="_DEM-WP(C) Costs not in AURORA 2007PCORC-5.07Update_NIM+O&amp;M Monthly 3" xfId="10819"/>
    <cellStyle name="_DEM-WP(C) Costs not in AURORA 2007PCORC-5.07Update_Power Costs - Comparison bx Rbtl-Staff-Jt-PC" xfId="565"/>
    <cellStyle name="_DEM-WP(C) Costs not in AURORA 2007PCORC-5.07Update_Power Costs - Comparison bx Rbtl-Staff-Jt-PC 2" xfId="10820"/>
    <cellStyle name="_DEM-WP(C) Costs not in AURORA 2007PCORC-5.07Update_Power Costs - Comparison bx Rbtl-Staff-Jt-PC 2 2" xfId="10821"/>
    <cellStyle name="_DEM-WP(C) Costs not in AURORA 2007PCORC-5.07Update_Power Costs - Comparison bx Rbtl-Staff-Jt-PC 2 2 2" xfId="10822"/>
    <cellStyle name="_DEM-WP(C) Costs not in AURORA 2007PCORC-5.07Update_Power Costs - Comparison bx Rbtl-Staff-Jt-PC 2 3" xfId="10823"/>
    <cellStyle name="_DEM-WP(C) Costs not in AURORA 2007PCORC-5.07Update_Power Costs - Comparison bx Rbtl-Staff-Jt-PC 3" xfId="10824"/>
    <cellStyle name="_DEM-WP(C) Costs not in AURORA 2007PCORC-5.07Update_Power Costs - Comparison bx Rbtl-Staff-Jt-PC 3 2" xfId="10825"/>
    <cellStyle name="_DEM-WP(C) Costs not in AURORA 2007PCORC-5.07Update_Power Costs - Comparison bx Rbtl-Staff-Jt-PC 4" xfId="10826"/>
    <cellStyle name="_DEM-WP(C) Costs not in AURORA 2007PCORC-5.07Update_Power Costs - Comparison bx Rbtl-Staff-Jt-PC_DEM-WP(C) ENERG10C--ctn Mid-C_042010 2010GRC" xfId="10827"/>
    <cellStyle name="_DEM-WP(C) Costs not in AURORA 2007PCORC-5.07Update_Power Costs - Comparison bx Rbtl-Staff-Jt-PC_DEM-WP(C) ENERG10C--ctn Mid-C_042010 2010GRC 2" xfId="10828"/>
    <cellStyle name="_DEM-WP(C) Costs not in AURORA 2007PCORC-5.07Update_Rebuttal Power Costs" xfId="566"/>
    <cellStyle name="_DEM-WP(C) Costs not in AURORA 2007PCORC-5.07Update_Rebuttal Power Costs 2" xfId="10829"/>
    <cellStyle name="_DEM-WP(C) Costs not in AURORA 2007PCORC-5.07Update_Rebuttal Power Costs 2 2" xfId="10830"/>
    <cellStyle name="_DEM-WP(C) Costs not in AURORA 2007PCORC-5.07Update_Rebuttal Power Costs 2 2 2" xfId="10831"/>
    <cellStyle name="_DEM-WP(C) Costs not in AURORA 2007PCORC-5.07Update_Rebuttal Power Costs 2 3" xfId="10832"/>
    <cellStyle name="_DEM-WP(C) Costs not in AURORA 2007PCORC-5.07Update_Rebuttal Power Costs 3" xfId="10833"/>
    <cellStyle name="_DEM-WP(C) Costs not in AURORA 2007PCORC-5.07Update_Rebuttal Power Costs 3 2" xfId="10834"/>
    <cellStyle name="_DEM-WP(C) Costs not in AURORA 2007PCORC-5.07Update_Rebuttal Power Costs 4" xfId="10835"/>
    <cellStyle name="_DEM-WP(C) Costs not in AURORA 2007PCORC-5.07Update_Rebuttal Power Costs_DEM-WP(C) ENERG10C--ctn Mid-C_042010 2010GRC" xfId="10836"/>
    <cellStyle name="_DEM-WP(C) Costs not in AURORA 2007PCORC-5.07Update_Rebuttal Power Costs_DEM-WP(C) ENERG10C--ctn Mid-C_042010 2010GRC 2" xfId="10837"/>
    <cellStyle name="_DEM-WP(C) Costs not in AURORA 2007PCORC-5.07Update_TENASKA REGULATORY ASSET" xfId="567"/>
    <cellStyle name="_DEM-WP(C) Costs not in AURORA 2007PCORC-5.07Update_TENASKA REGULATORY ASSET 2" xfId="10838"/>
    <cellStyle name="_DEM-WP(C) Costs not in AURORA 2007PCORC-5.07Update_TENASKA REGULATORY ASSET 2 2" xfId="10839"/>
    <cellStyle name="_DEM-WP(C) Costs not in AURORA 2007PCORC-5.07Update_TENASKA REGULATORY ASSET 2 2 2" xfId="10840"/>
    <cellStyle name="_DEM-WP(C) Costs not in AURORA 2007PCORC-5.07Update_TENASKA REGULATORY ASSET 2 3" xfId="10841"/>
    <cellStyle name="_DEM-WP(C) Costs not in AURORA 2007PCORC-5.07Update_TENASKA REGULATORY ASSET 3" xfId="10842"/>
    <cellStyle name="_DEM-WP(C) Costs not in AURORA 2007PCORC-5.07Update_TENASKA REGULATORY ASSET 3 2" xfId="10843"/>
    <cellStyle name="_DEM-WP(C) Costs not in AURORA 2007PCORC-5.07Update_TENASKA REGULATORY ASSET 4" xfId="10844"/>
    <cellStyle name="_DEM-WP(C) Costs Not In AURORA 2009GRC" xfId="10845"/>
    <cellStyle name="_DEM-WP(C) Costs Not In AURORA 2009GRC 2" xfId="10846"/>
    <cellStyle name="_x0013__DEM-WP(C) ENERG10C--ctn Mid-C_042010 2010GRC" xfId="10847"/>
    <cellStyle name="_x0013__DEM-WP(C) ENERG10C--ctn Mid-C_042010 2010GRC 2" xfId="10848"/>
    <cellStyle name="_DEM-WP(C) Prod O&amp;M 2007GRC" xfId="568"/>
    <cellStyle name="_DEM-WP(C) Prod O&amp;M 2007GRC 2" xfId="10849"/>
    <cellStyle name="_DEM-WP(C) Prod O&amp;M 2007GRC 2 2" xfId="10850"/>
    <cellStyle name="_DEM-WP(C) Prod O&amp;M 2007GRC 2 2 2" xfId="10851"/>
    <cellStyle name="_DEM-WP(C) Prod O&amp;M 2007GRC 2 3" xfId="10852"/>
    <cellStyle name="_DEM-WP(C) Prod O&amp;M 2007GRC 3" xfId="10853"/>
    <cellStyle name="_DEM-WP(C) Prod O&amp;M 2007GRC 3 2" xfId="10854"/>
    <cellStyle name="_DEM-WP(C) Prod O&amp;M 2007GRC 3 2 2" xfId="10855"/>
    <cellStyle name="_DEM-WP(C) Prod O&amp;M 2007GRC 4" xfId="10856"/>
    <cellStyle name="_DEM-WP(C) Prod O&amp;M 2007GRC 4 2" xfId="10857"/>
    <cellStyle name="_DEM-WP(C) Prod O&amp;M 2007GRC 4 3" xfId="10858"/>
    <cellStyle name="_DEM-WP(C) Prod O&amp;M 2007GRC 5" xfId="10859"/>
    <cellStyle name="_DEM-WP(C) Prod O&amp;M 2007GRC 5 2" xfId="10860"/>
    <cellStyle name="_DEM-WP(C) Prod O&amp;M 2007GRC 6" xfId="10861"/>
    <cellStyle name="_DEM-WP(C) Prod O&amp;M 2007GRC 6 2" xfId="10862"/>
    <cellStyle name="_DEM-WP(C) Prod O&amp;M 2007GRC_Adj Bench DR 3 for Initial Briefs (Electric)" xfId="569"/>
    <cellStyle name="_DEM-WP(C) Prod O&amp;M 2007GRC_Adj Bench DR 3 for Initial Briefs (Electric) 2" xfId="10863"/>
    <cellStyle name="_DEM-WP(C) Prod O&amp;M 2007GRC_Adj Bench DR 3 for Initial Briefs (Electric) 2 2" xfId="10864"/>
    <cellStyle name="_DEM-WP(C) Prod O&amp;M 2007GRC_Adj Bench DR 3 for Initial Briefs (Electric) 2 2 2" xfId="10865"/>
    <cellStyle name="_DEM-WP(C) Prod O&amp;M 2007GRC_Adj Bench DR 3 for Initial Briefs (Electric) 2 3" xfId="10866"/>
    <cellStyle name="_DEM-WP(C) Prod O&amp;M 2007GRC_Adj Bench DR 3 for Initial Briefs (Electric) 3" xfId="10867"/>
    <cellStyle name="_DEM-WP(C) Prod O&amp;M 2007GRC_Adj Bench DR 3 for Initial Briefs (Electric) 3 2" xfId="10868"/>
    <cellStyle name="_DEM-WP(C) Prod O&amp;M 2007GRC_Adj Bench DR 3 for Initial Briefs (Electric) 4" xfId="10869"/>
    <cellStyle name="_DEM-WP(C) Prod O&amp;M 2007GRC_Adj Bench DR 3 for Initial Briefs (Electric)_DEM-WP(C) ENERG10C--ctn Mid-C_042010 2010GRC" xfId="10870"/>
    <cellStyle name="_DEM-WP(C) Prod O&amp;M 2007GRC_Adj Bench DR 3 for Initial Briefs (Electric)_DEM-WP(C) ENERG10C--ctn Mid-C_042010 2010GRC 2" xfId="10871"/>
    <cellStyle name="_DEM-WP(C) Prod O&amp;M 2007GRC_Book2" xfId="570"/>
    <cellStyle name="_DEM-WP(C) Prod O&amp;M 2007GRC_Book2 2" xfId="10872"/>
    <cellStyle name="_DEM-WP(C) Prod O&amp;M 2007GRC_Book2 2 2" xfId="10873"/>
    <cellStyle name="_DEM-WP(C) Prod O&amp;M 2007GRC_Book2 2 2 2" xfId="10874"/>
    <cellStyle name="_DEM-WP(C) Prod O&amp;M 2007GRC_Book2 2 3" xfId="10875"/>
    <cellStyle name="_DEM-WP(C) Prod O&amp;M 2007GRC_Book2 3" xfId="10876"/>
    <cellStyle name="_DEM-WP(C) Prod O&amp;M 2007GRC_Book2 3 2" xfId="10877"/>
    <cellStyle name="_DEM-WP(C) Prod O&amp;M 2007GRC_Book2 4" xfId="10878"/>
    <cellStyle name="_DEM-WP(C) Prod O&amp;M 2007GRC_Book2_Adj Bench DR 3 for Initial Briefs (Electric)" xfId="571"/>
    <cellStyle name="_DEM-WP(C) Prod O&amp;M 2007GRC_Book2_Adj Bench DR 3 for Initial Briefs (Electric) 2" xfId="10879"/>
    <cellStyle name="_DEM-WP(C) Prod O&amp;M 2007GRC_Book2_Adj Bench DR 3 for Initial Briefs (Electric) 2 2" xfId="10880"/>
    <cellStyle name="_DEM-WP(C) Prod O&amp;M 2007GRC_Book2_Adj Bench DR 3 for Initial Briefs (Electric) 2 2 2" xfId="10881"/>
    <cellStyle name="_DEM-WP(C) Prod O&amp;M 2007GRC_Book2_Adj Bench DR 3 for Initial Briefs (Electric) 2 3" xfId="10882"/>
    <cellStyle name="_DEM-WP(C) Prod O&amp;M 2007GRC_Book2_Adj Bench DR 3 for Initial Briefs (Electric) 3" xfId="10883"/>
    <cellStyle name="_DEM-WP(C) Prod O&amp;M 2007GRC_Book2_Adj Bench DR 3 for Initial Briefs (Electric) 3 2" xfId="10884"/>
    <cellStyle name="_DEM-WP(C) Prod O&amp;M 2007GRC_Book2_Adj Bench DR 3 for Initial Briefs (Electric) 4" xfId="10885"/>
    <cellStyle name="_DEM-WP(C) Prod O&amp;M 2007GRC_Book2_Adj Bench DR 3 for Initial Briefs (Electric)_DEM-WP(C) ENERG10C--ctn Mid-C_042010 2010GRC" xfId="10886"/>
    <cellStyle name="_DEM-WP(C) Prod O&amp;M 2007GRC_Book2_Adj Bench DR 3 for Initial Briefs (Electric)_DEM-WP(C) ENERG10C--ctn Mid-C_042010 2010GRC 2" xfId="10887"/>
    <cellStyle name="_DEM-WP(C) Prod O&amp;M 2007GRC_Book2_DEM-WP(C) ENERG10C--ctn Mid-C_042010 2010GRC" xfId="10888"/>
    <cellStyle name="_DEM-WP(C) Prod O&amp;M 2007GRC_Book2_DEM-WP(C) ENERG10C--ctn Mid-C_042010 2010GRC 2" xfId="10889"/>
    <cellStyle name="_DEM-WP(C) Prod O&amp;M 2007GRC_Book2_Electric Rev Req Model (2009 GRC) Rebuttal" xfId="572"/>
    <cellStyle name="_DEM-WP(C) Prod O&amp;M 2007GRC_Book2_Electric Rev Req Model (2009 GRC) Rebuttal 2" xfId="10890"/>
    <cellStyle name="_DEM-WP(C) Prod O&amp;M 2007GRC_Book2_Electric Rev Req Model (2009 GRC) Rebuttal 2 2" xfId="10891"/>
    <cellStyle name="_DEM-WP(C) Prod O&amp;M 2007GRC_Book2_Electric Rev Req Model (2009 GRC) Rebuttal 2 2 2" xfId="10892"/>
    <cellStyle name="_DEM-WP(C) Prod O&amp;M 2007GRC_Book2_Electric Rev Req Model (2009 GRC) Rebuttal 2 3" xfId="10893"/>
    <cellStyle name="_DEM-WP(C) Prod O&amp;M 2007GRC_Book2_Electric Rev Req Model (2009 GRC) Rebuttal 3" xfId="10894"/>
    <cellStyle name="_DEM-WP(C) Prod O&amp;M 2007GRC_Book2_Electric Rev Req Model (2009 GRC) Rebuttal 3 2" xfId="10895"/>
    <cellStyle name="_DEM-WP(C) Prod O&amp;M 2007GRC_Book2_Electric Rev Req Model (2009 GRC) Rebuttal 4" xfId="10896"/>
    <cellStyle name="_DEM-WP(C) Prod O&amp;M 2007GRC_Book2_Electric Rev Req Model (2009 GRC) Rebuttal REmoval of New  WH Solar AdjustMI" xfId="573"/>
    <cellStyle name="_DEM-WP(C) Prod O&amp;M 2007GRC_Book2_Electric Rev Req Model (2009 GRC) Rebuttal REmoval of New  WH Solar AdjustMI 2" xfId="10897"/>
    <cellStyle name="_DEM-WP(C) Prod O&amp;M 2007GRC_Book2_Electric Rev Req Model (2009 GRC) Rebuttal REmoval of New  WH Solar AdjustMI 2 2" xfId="10898"/>
    <cellStyle name="_DEM-WP(C) Prod O&amp;M 2007GRC_Book2_Electric Rev Req Model (2009 GRC) Rebuttal REmoval of New  WH Solar AdjustMI 2 2 2" xfId="10899"/>
    <cellStyle name="_DEM-WP(C) Prod O&amp;M 2007GRC_Book2_Electric Rev Req Model (2009 GRC) Rebuttal REmoval of New  WH Solar AdjustMI 2 3" xfId="10900"/>
    <cellStyle name="_DEM-WP(C) Prod O&amp;M 2007GRC_Book2_Electric Rev Req Model (2009 GRC) Rebuttal REmoval of New  WH Solar AdjustMI 3" xfId="10901"/>
    <cellStyle name="_DEM-WP(C) Prod O&amp;M 2007GRC_Book2_Electric Rev Req Model (2009 GRC) Rebuttal REmoval of New  WH Solar AdjustMI 3 2" xfId="10902"/>
    <cellStyle name="_DEM-WP(C) Prod O&amp;M 2007GRC_Book2_Electric Rev Req Model (2009 GRC) Rebuttal REmoval of New  WH Solar AdjustMI 4" xfId="10903"/>
    <cellStyle name="_DEM-WP(C) Prod O&amp;M 2007GRC_Book2_Electric Rev Req Model (2009 GRC) Rebuttal REmoval of New  WH Solar AdjustMI_DEM-WP(C) ENERG10C--ctn Mid-C_042010 2010GRC" xfId="10904"/>
    <cellStyle name="_DEM-WP(C) Prod O&amp;M 2007GRC_Book2_Electric Rev Req Model (2009 GRC) Rebuttal REmoval of New  WH Solar AdjustMI_DEM-WP(C) ENERG10C--ctn Mid-C_042010 2010GRC 2" xfId="10905"/>
    <cellStyle name="_DEM-WP(C) Prod O&amp;M 2007GRC_Book2_Electric Rev Req Model (2009 GRC) Revised 01-18-2010" xfId="574"/>
    <cellStyle name="_DEM-WP(C) Prod O&amp;M 2007GRC_Book2_Electric Rev Req Model (2009 GRC) Revised 01-18-2010 2" xfId="10906"/>
    <cellStyle name="_DEM-WP(C) Prod O&amp;M 2007GRC_Book2_Electric Rev Req Model (2009 GRC) Revised 01-18-2010 2 2" xfId="10907"/>
    <cellStyle name="_DEM-WP(C) Prod O&amp;M 2007GRC_Book2_Electric Rev Req Model (2009 GRC) Revised 01-18-2010 2 2 2" xfId="10908"/>
    <cellStyle name="_DEM-WP(C) Prod O&amp;M 2007GRC_Book2_Electric Rev Req Model (2009 GRC) Revised 01-18-2010 2 3" xfId="10909"/>
    <cellStyle name="_DEM-WP(C) Prod O&amp;M 2007GRC_Book2_Electric Rev Req Model (2009 GRC) Revised 01-18-2010 3" xfId="10910"/>
    <cellStyle name="_DEM-WP(C) Prod O&amp;M 2007GRC_Book2_Electric Rev Req Model (2009 GRC) Revised 01-18-2010 3 2" xfId="10911"/>
    <cellStyle name="_DEM-WP(C) Prod O&amp;M 2007GRC_Book2_Electric Rev Req Model (2009 GRC) Revised 01-18-2010 4" xfId="10912"/>
    <cellStyle name="_DEM-WP(C) Prod O&amp;M 2007GRC_Book2_Electric Rev Req Model (2009 GRC) Revised 01-18-2010_DEM-WP(C) ENERG10C--ctn Mid-C_042010 2010GRC" xfId="10913"/>
    <cellStyle name="_DEM-WP(C) Prod O&amp;M 2007GRC_Book2_Electric Rev Req Model (2009 GRC) Revised 01-18-2010_DEM-WP(C) ENERG10C--ctn Mid-C_042010 2010GRC 2" xfId="10914"/>
    <cellStyle name="_DEM-WP(C) Prod O&amp;M 2007GRC_Book2_Final Order Electric EXHIBIT A-1" xfId="575"/>
    <cellStyle name="_DEM-WP(C) Prod O&amp;M 2007GRC_Book2_Final Order Electric EXHIBIT A-1 2" xfId="10915"/>
    <cellStyle name="_DEM-WP(C) Prod O&amp;M 2007GRC_Book2_Final Order Electric EXHIBIT A-1 2 2" xfId="10916"/>
    <cellStyle name="_DEM-WP(C) Prod O&amp;M 2007GRC_Book2_Final Order Electric EXHIBIT A-1 2 2 2" xfId="10917"/>
    <cellStyle name="_DEM-WP(C) Prod O&amp;M 2007GRC_Book2_Final Order Electric EXHIBIT A-1 2 3" xfId="10918"/>
    <cellStyle name="_DEM-WP(C) Prod O&amp;M 2007GRC_Book2_Final Order Electric EXHIBIT A-1 3" xfId="10919"/>
    <cellStyle name="_DEM-WP(C) Prod O&amp;M 2007GRC_Book2_Final Order Electric EXHIBIT A-1 3 2" xfId="10920"/>
    <cellStyle name="_DEM-WP(C) Prod O&amp;M 2007GRC_Book2_Final Order Electric EXHIBIT A-1 4" xfId="10921"/>
    <cellStyle name="_DEM-WP(C) Prod O&amp;M 2007GRC_Colstrip 1&amp;2 Annual O&amp;M Budgets" xfId="10922"/>
    <cellStyle name="_DEM-WP(C) Prod O&amp;M 2007GRC_Confidential Material" xfId="10923"/>
    <cellStyle name="_DEM-WP(C) Prod O&amp;M 2007GRC_Confidential Material 2" xfId="10924"/>
    <cellStyle name="_DEM-WP(C) Prod O&amp;M 2007GRC_DEM-WP(C) Colstrip 12 Coal Cost Forecast 2010GRC" xfId="10925"/>
    <cellStyle name="_DEM-WP(C) Prod O&amp;M 2007GRC_DEM-WP(C) Colstrip 12 Coal Cost Forecast 2010GRC 2" xfId="10926"/>
    <cellStyle name="_DEM-WP(C) Prod O&amp;M 2007GRC_DEM-WP(C) ENERG10C--ctn Mid-C_042010 2010GRC" xfId="10927"/>
    <cellStyle name="_DEM-WP(C) Prod O&amp;M 2007GRC_DEM-WP(C) ENERG10C--ctn Mid-C_042010 2010GRC 2" xfId="10928"/>
    <cellStyle name="_DEM-WP(C) Prod O&amp;M 2007GRC_DEM-WP(C) Production O&amp;M 2010GRC As-Filed" xfId="10929"/>
    <cellStyle name="_DEM-WP(C) Prod O&amp;M 2007GRC_DEM-WP(C) Production O&amp;M 2010GRC As-Filed 2" xfId="10930"/>
    <cellStyle name="_DEM-WP(C) Prod O&amp;M 2007GRC_DEM-WP(C) Production O&amp;M 2010GRC As-Filed 2 2" xfId="10931"/>
    <cellStyle name="_DEM-WP(C) Prod O&amp;M 2007GRC_DEM-WP(C) Production O&amp;M 2010GRC As-Filed 3" xfId="10932"/>
    <cellStyle name="_DEM-WP(C) Prod O&amp;M 2007GRC_DEM-WP(C) Production O&amp;M 2010GRC As-Filed 3 2" xfId="10933"/>
    <cellStyle name="_DEM-WP(C) Prod O&amp;M 2007GRC_DEM-WP(C) Production O&amp;M 2010GRC As-Filed 4" xfId="10934"/>
    <cellStyle name="_DEM-WP(C) Prod O&amp;M 2007GRC_DEM-WP(C) Production O&amp;M 2010GRC As-Filed 4 2" xfId="10935"/>
    <cellStyle name="_DEM-WP(C) Prod O&amp;M 2007GRC_DEM-WP(C) Production O&amp;M 2010GRC As-Filed 5" xfId="10936"/>
    <cellStyle name="_DEM-WP(C) Prod O&amp;M 2007GRC_DEM-WP(C) Production O&amp;M 2010GRC As-Filed 5 2" xfId="10937"/>
    <cellStyle name="_DEM-WP(C) Prod O&amp;M 2007GRC_DEM-WP(C) Production O&amp;M 2010GRC As-Filed 6" xfId="10938"/>
    <cellStyle name="_DEM-WP(C) Prod O&amp;M 2007GRC_DEM-WP(C) Production O&amp;M 2010GRC As-Filed 6 2" xfId="10939"/>
    <cellStyle name="_DEM-WP(C) Prod O&amp;M 2007GRC_Electric Rev Req Model (2009 GRC) Rebuttal" xfId="576"/>
    <cellStyle name="_DEM-WP(C) Prod O&amp;M 2007GRC_Electric Rev Req Model (2009 GRC) Rebuttal 2" xfId="10940"/>
    <cellStyle name="_DEM-WP(C) Prod O&amp;M 2007GRC_Electric Rev Req Model (2009 GRC) Rebuttal 2 2" xfId="10941"/>
    <cellStyle name="_DEM-WP(C) Prod O&amp;M 2007GRC_Electric Rev Req Model (2009 GRC) Rebuttal 2 2 2" xfId="10942"/>
    <cellStyle name="_DEM-WP(C) Prod O&amp;M 2007GRC_Electric Rev Req Model (2009 GRC) Rebuttal 2 3" xfId="10943"/>
    <cellStyle name="_DEM-WP(C) Prod O&amp;M 2007GRC_Electric Rev Req Model (2009 GRC) Rebuttal 3" xfId="10944"/>
    <cellStyle name="_DEM-WP(C) Prod O&amp;M 2007GRC_Electric Rev Req Model (2009 GRC) Rebuttal 3 2" xfId="10945"/>
    <cellStyle name="_DEM-WP(C) Prod O&amp;M 2007GRC_Electric Rev Req Model (2009 GRC) Rebuttal 4" xfId="10946"/>
    <cellStyle name="_DEM-WP(C) Prod O&amp;M 2007GRC_Electric Rev Req Model (2009 GRC) Rebuttal REmoval of New  WH Solar AdjustMI" xfId="577"/>
    <cellStyle name="_DEM-WP(C) Prod O&amp;M 2007GRC_Electric Rev Req Model (2009 GRC) Rebuttal REmoval of New  WH Solar AdjustMI 2" xfId="10947"/>
    <cellStyle name="_DEM-WP(C) Prod O&amp;M 2007GRC_Electric Rev Req Model (2009 GRC) Rebuttal REmoval of New  WH Solar AdjustMI 2 2" xfId="10948"/>
    <cellStyle name="_DEM-WP(C) Prod O&amp;M 2007GRC_Electric Rev Req Model (2009 GRC) Rebuttal REmoval of New  WH Solar AdjustMI 2 2 2" xfId="10949"/>
    <cellStyle name="_DEM-WP(C) Prod O&amp;M 2007GRC_Electric Rev Req Model (2009 GRC) Rebuttal REmoval of New  WH Solar AdjustMI 2 3" xfId="10950"/>
    <cellStyle name="_DEM-WP(C) Prod O&amp;M 2007GRC_Electric Rev Req Model (2009 GRC) Rebuttal REmoval of New  WH Solar AdjustMI 3" xfId="10951"/>
    <cellStyle name="_DEM-WP(C) Prod O&amp;M 2007GRC_Electric Rev Req Model (2009 GRC) Rebuttal REmoval of New  WH Solar AdjustMI 3 2" xfId="10952"/>
    <cellStyle name="_DEM-WP(C) Prod O&amp;M 2007GRC_Electric Rev Req Model (2009 GRC) Rebuttal REmoval of New  WH Solar AdjustMI 4" xfId="10953"/>
    <cellStyle name="_DEM-WP(C) Prod O&amp;M 2007GRC_Electric Rev Req Model (2009 GRC) Rebuttal REmoval of New  WH Solar AdjustMI_DEM-WP(C) ENERG10C--ctn Mid-C_042010 2010GRC" xfId="10954"/>
    <cellStyle name="_DEM-WP(C) Prod O&amp;M 2007GRC_Electric Rev Req Model (2009 GRC) Rebuttal REmoval of New  WH Solar AdjustMI_DEM-WP(C) ENERG10C--ctn Mid-C_042010 2010GRC 2" xfId="10955"/>
    <cellStyle name="_DEM-WP(C) Prod O&amp;M 2007GRC_Electric Rev Req Model (2009 GRC) Revised 01-18-2010" xfId="578"/>
    <cellStyle name="_DEM-WP(C) Prod O&amp;M 2007GRC_Electric Rev Req Model (2009 GRC) Revised 01-18-2010 2" xfId="10956"/>
    <cellStyle name="_DEM-WP(C) Prod O&amp;M 2007GRC_Electric Rev Req Model (2009 GRC) Revised 01-18-2010 2 2" xfId="10957"/>
    <cellStyle name="_DEM-WP(C) Prod O&amp;M 2007GRC_Electric Rev Req Model (2009 GRC) Revised 01-18-2010 2 2 2" xfId="10958"/>
    <cellStyle name="_DEM-WP(C) Prod O&amp;M 2007GRC_Electric Rev Req Model (2009 GRC) Revised 01-18-2010 2 3" xfId="10959"/>
    <cellStyle name="_DEM-WP(C) Prod O&amp;M 2007GRC_Electric Rev Req Model (2009 GRC) Revised 01-18-2010 3" xfId="10960"/>
    <cellStyle name="_DEM-WP(C) Prod O&amp;M 2007GRC_Electric Rev Req Model (2009 GRC) Revised 01-18-2010 3 2" xfId="10961"/>
    <cellStyle name="_DEM-WP(C) Prod O&amp;M 2007GRC_Electric Rev Req Model (2009 GRC) Revised 01-18-2010 4" xfId="10962"/>
    <cellStyle name="_DEM-WP(C) Prod O&amp;M 2007GRC_Electric Rev Req Model (2009 GRC) Revised 01-18-2010_DEM-WP(C) ENERG10C--ctn Mid-C_042010 2010GRC" xfId="10963"/>
    <cellStyle name="_DEM-WP(C) Prod O&amp;M 2007GRC_Electric Rev Req Model (2009 GRC) Revised 01-18-2010_DEM-WP(C) ENERG10C--ctn Mid-C_042010 2010GRC 2" xfId="10964"/>
    <cellStyle name="_DEM-WP(C) Prod O&amp;M 2007GRC_Final Order Electric EXHIBIT A-1" xfId="579"/>
    <cellStyle name="_DEM-WP(C) Prod O&amp;M 2007GRC_Final Order Electric EXHIBIT A-1 2" xfId="10965"/>
    <cellStyle name="_DEM-WP(C) Prod O&amp;M 2007GRC_Final Order Electric EXHIBIT A-1 2 2" xfId="10966"/>
    <cellStyle name="_DEM-WP(C) Prod O&amp;M 2007GRC_Final Order Electric EXHIBIT A-1 2 2 2" xfId="10967"/>
    <cellStyle name="_DEM-WP(C) Prod O&amp;M 2007GRC_Final Order Electric EXHIBIT A-1 2 3" xfId="10968"/>
    <cellStyle name="_DEM-WP(C) Prod O&amp;M 2007GRC_Final Order Electric EXHIBIT A-1 3" xfId="10969"/>
    <cellStyle name="_DEM-WP(C) Prod O&amp;M 2007GRC_Final Order Electric EXHIBIT A-1 3 2" xfId="10970"/>
    <cellStyle name="_DEM-WP(C) Prod O&amp;M 2007GRC_Final Order Electric EXHIBIT A-1 4" xfId="10971"/>
    <cellStyle name="_DEM-WP(C) Prod O&amp;M 2007GRC_Rebuttal Power Costs" xfId="580"/>
    <cellStyle name="_DEM-WP(C) Prod O&amp;M 2007GRC_Rebuttal Power Costs 2" xfId="10972"/>
    <cellStyle name="_DEM-WP(C) Prod O&amp;M 2007GRC_Rebuttal Power Costs 2 2" xfId="10973"/>
    <cellStyle name="_DEM-WP(C) Prod O&amp;M 2007GRC_Rebuttal Power Costs 2 2 2" xfId="10974"/>
    <cellStyle name="_DEM-WP(C) Prod O&amp;M 2007GRC_Rebuttal Power Costs 2 3" xfId="10975"/>
    <cellStyle name="_DEM-WP(C) Prod O&amp;M 2007GRC_Rebuttal Power Costs 3" xfId="10976"/>
    <cellStyle name="_DEM-WP(C) Prod O&amp;M 2007GRC_Rebuttal Power Costs 3 2" xfId="10977"/>
    <cellStyle name="_DEM-WP(C) Prod O&amp;M 2007GRC_Rebuttal Power Costs 4" xfId="10978"/>
    <cellStyle name="_DEM-WP(C) Prod O&amp;M 2007GRC_Rebuttal Power Costs_Adj Bench DR 3 for Initial Briefs (Electric)" xfId="581"/>
    <cellStyle name="_DEM-WP(C) Prod O&amp;M 2007GRC_Rebuttal Power Costs_Adj Bench DR 3 for Initial Briefs (Electric) 2" xfId="10979"/>
    <cellStyle name="_DEM-WP(C) Prod O&amp;M 2007GRC_Rebuttal Power Costs_Adj Bench DR 3 for Initial Briefs (Electric) 2 2" xfId="10980"/>
    <cellStyle name="_DEM-WP(C) Prod O&amp;M 2007GRC_Rebuttal Power Costs_Adj Bench DR 3 for Initial Briefs (Electric) 2 2 2" xfId="10981"/>
    <cellStyle name="_DEM-WP(C) Prod O&amp;M 2007GRC_Rebuttal Power Costs_Adj Bench DR 3 for Initial Briefs (Electric) 2 3" xfId="10982"/>
    <cellStyle name="_DEM-WP(C) Prod O&amp;M 2007GRC_Rebuttal Power Costs_Adj Bench DR 3 for Initial Briefs (Electric) 3" xfId="10983"/>
    <cellStyle name="_DEM-WP(C) Prod O&amp;M 2007GRC_Rebuttal Power Costs_Adj Bench DR 3 for Initial Briefs (Electric) 3 2" xfId="10984"/>
    <cellStyle name="_DEM-WP(C) Prod O&amp;M 2007GRC_Rebuttal Power Costs_Adj Bench DR 3 for Initial Briefs (Electric) 4" xfId="10985"/>
    <cellStyle name="_DEM-WP(C) Prod O&amp;M 2007GRC_Rebuttal Power Costs_Adj Bench DR 3 for Initial Briefs (Electric)_DEM-WP(C) ENERG10C--ctn Mid-C_042010 2010GRC" xfId="10986"/>
    <cellStyle name="_DEM-WP(C) Prod O&amp;M 2007GRC_Rebuttal Power Costs_Adj Bench DR 3 for Initial Briefs (Electric)_DEM-WP(C) ENERG10C--ctn Mid-C_042010 2010GRC 2" xfId="10987"/>
    <cellStyle name="_DEM-WP(C) Prod O&amp;M 2007GRC_Rebuttal Power Costs_DEM-WP(C) ENERG10C--ctn Mid-C_042010 2010GRC" xfId="10988"/>
    <cellStyle name="_DEM-WP(C) Prod O&amp;M 2007GRC_Rebuttal Power Costs_DEM-WP(C) ENERG10C--ctn Mid-C_042010 2010GRC 2" xfId="10989"/>
    <cellStyle name="_DEM-WP(C) Prod O&amp;M 2007GRC_Rebuttal Power Costs_Electric Rev Req Model (2009 GRC) Rebuttal" xfId="582"/>
    <cellStyle name="_DEM-WP(C) Prod O&amp;M 2007GRC_Rebuttal Power Costs_Electric Rev Req Model (2009 GRC) Rebuttal 2" xfId="10990"/>
    <cellStyle name="_DEM-WP(C) Prod O&amp;M 2007GRC_Rebuttal Power Costs_Electric Rev Req Model (2009 GRC) Rebuttal 2 2" xfId="10991"/>
    <cellStyle name="_DEM-WP(C) Prod O&amp;M 2007GRC_Rebuttal Power Costs_Electric Rev Req Model (2009 GRC) Rebuttal 2 2 2" xfId="10992"/>
    <cellStyle name="_DEM-WP(C) Prod O&amp;M 2007GRC_Rebuttal Power Costs_Electric Rev Req Model (2009 GRC) Rebuttal 2 3" xfId="10993"/>
    <cellStyle name="_DEM-WP(C) Prod O&amp;M 2007GRC_Rebuttal Power Costs_Electric Rev Req Model (2009 GRC) Rebuttal 3" xfId="10994"/>
    <cellStyle name="_DEM-WP(C) Prod O&amp;M 2007GRC_Rebuttal Power Costs_Electric Rev Req Model (2009 GRC) Rebuttal 3 2" xfId="10995"/>
    <cellStyle name="_DEM-WP(C) Prod O&amp;M 2007GRC_Rebuttal Power Costs_Electric Rev Req Model (2009 GRC) Rebuttal 4" xfId="10996"/>
    <cellStyle name="_DEM-WP(C) Prod O&amp;M 2007GRC_Rebuttal Power Costs_Electric Rev Req Model (2009 GRC) Rebuttal REmoval of New  WH Solar AdjustMI" xfId="583"/>
    <cellStyle name="_DEM-WP(C) Prod O&amp;M 2007GRC_Rebuttal Power Costs_Electric Rev Req Model (2009 GRC) Rebuttal REmoval of New  WH Solar AdjustMI 2" xfId="10997"/>
    <cellStyle name="_DEM-WP(C) Prod O&amp;M 2007GRC_Rebuttal Power Costs_Electric Rev Req Model (2009 GRC) Rebuttal REmoval of New  WH Solar AdjustMI 2 2" xfId="10998"/>
    <cellStyle name="_DEM-WP(C) Prod O&amp;M 2007GRC_Rebuttal Power Costs_Electric Rev Req Model (2009 GRC) Rebuttal REmoval of New  WH Solar AdjustMI 2 2 2" xfId="10999"/>
    <cellStyle name="_DEM-WP(C) Prod O&amp;M 2007GRC_Rebuttal Power Costs_Electric Rev Req Model (2009 GRC) Rebuttal REmoval of New  WH Solar AdjustMI 2 3" xfId="11000"/>
    <cellStyle name="_DEM-WP(C) Prod O&amp;M 2007GRC_Rebuttal Power Costs_Electric Rev Req Model (2009 GRC) Rebuttal REmoval of New  WH Solar AdjustMI 3" xfId="11001"/>
    <cellStyle name="_DEM-WP(C) Prod O&amp;M 2007GRC_Rebuttal Power Costs_Electric Rev Req Model (2009 GRC) Rebuttal REmoval of New  WH Solar AdjustMI 3 2" xfId="11002"/>
    <cellStyle name="_DEM-WP(C) Prod O&amp;M 2007GRC_Rebuttal Power Costs_Electric Rev Req Model (2009 GRC) Rebuttal REmoval of New  WH Solar AdjustMI 4" xfId="11003"/>
    <cellStyle name="_DEM-WP(C) Prod O&amp;M 2007GRC_Rebuttal Power Costs_Electric Rev Req Model (2009 GRC) Rebuttal REmoval of New  WH Solar AdjustMI_DEM-WP(C) ENERG10C--ctn Mid-C_042010 2010GRC" xfId="11004"/>
    <cellStyle name="_DEM-WP(C) Prod O&amp;M 2007GRC_Rebuttal Power Costs_Electric Rev Req Model (2009 GRC) Rebuttal REmoval of New  WH Solar AdjustMI_DEM-WP(C) ENERG10C--ctn Mid-C_042010 2010GRC 2" xfId="11005"/>
    <cellStyle name="_DEM-WP(C) Prod O&amp;M 2007GRC_Rebuttal Power Costs_Electric Rev Req Model (2009 GRC) Revised 01-18-2010" xfId="584"/>
    <cellStyle name="_DEM-WP(C) Prod O&amp;M 2007GRC_Rebuttal Power Costs_Electric Rev Req Model (2009 GRC) Revised 01-18-2010 2" xfId="11006"/>
    <cellStyle name="_DEM-WP(C) Prod O&amp;M 2007GRC_Rebuttal Power Costs_Electric Rev Req Model (2009 GRC) Revised 01-18-2010 2 2" xfId="11007"/>
    <cellStyle name="_DEM-WP(C) Prod O&amp;M 2007GRC_Rebuttal Power Costs_Electric Rev Req Model (2009 GRC) Revised 01-18-2010 2 2 2" xfId="11008"/>
    <cellStyle name="_DEM-WP(C) Prod O&amp;M 2007GRC_Rebuttal Power Costs_Electric Rev Req Model (2009 GRC) Revised 01-18-2010 2 3" xfId="11009"/>
    <cellStyle name="_DEM-WP(C) Prod O&amp;M 2007GRC_Rebuttal Power Costs_Electric Rev Req Model (2009 GRC) Revised 01-18-2010 3" xfId="11010"/>
    <cellStyle name="_DEM-WP(C) Prod O&amp;M 2007GRC_Rebuttal Power Costs_Electric Rev Req Model (2009 GRC) Revised 01-18-2010 3 2" xfId="11011"/>
    <cellStyle name="_DEM-WP(C) Prod O&amp;M 2007GRC_Rebuttal Power Costs_Electric Rev Req Model (2009 GRC) Revised 01-18-2010 4" xfId="11012"/>
    <cellStyle name="_DEM-WP(C) Prod O&amp;M 2007GRC_Rebuttal Power Costs_Electric Rev Req Model (2009 GRC) Revised 01-18-2010_DEM-WP(C) ENERG10C--ctn Mid-C_042010 2010GRC" xfId="11013"/>
    <cellStyle name="_DEM-WP(C) Prod O&amp;M 2007GRC_Rebuttal Power Costs_Electric Rev Req Model (2009 GRC) Revised 01-18-2010_DEM-WP(C) ENERG10C--ctn Mid-C_042010 2010GRC 2" xfId="11014"/>
    <cellStyle name="_DEM-WP(C) Prod O&amp;M 2007GRC_Rebuttal Power Costs_Final Order Electric EXHIBIT A-1" xfId="585"/>
    <cellStyle name="_DEM-WP(C) Prod O&amp;M 2007GRC_Rebuttal Power Costs_Final Order Electric EXHIBIT A-1 2" xfId="11015"/>
    <cellStyle name="_DEM-WP(C) Prod O&amp;M 2007GRC_Rebuttal Power Costs_Final Order Electric EXHIBIT A-1 2 2" xfId="11016"/>
    <cellStyle name="_DEM-WP(C) Prod O&amp;M 2007GRC_Rebuttal Power Costs_Final Order Electric EXHIBIT A-1 2 2 2" xfId="11017"/>
    <cellStyle name="_DEM-WP(C) Prod O&amp;M 2007GRC_Rebuttal Power Costs_Final Order Electric EXHIBIT A-1 2 3" xfId="11018"/>
    <cellStyle name="_DEM-WP(C) Prod O&amp;M 2007GRC_Rebuttal Power Costs_Final Order Electric EXHIBIT A-1 3" xfId="11019"/>
    <cellStyle name="_DEM-WP(C) Prod O&amp;M 2007GRC_Rebuttal Power Costs_Final Order Electric EXHIBIT A-1 3 2" xfId="11020"/>
    <cellStyle name="_DEM-WP(C) Prod O&amp;M 2007GRC_Rebuttal Power Costs_Final Order Electric EXHIBIT A-1 4" xfId="11021"/>
    <cellStyle name="_x0013__DEM-WP(C) Production O&amp;M 2010GRC As-Filed" xfId="11022"/>
    <cellStyle name="_x0013__DEM-WP(C) Production O&amp;M 2010GRC As-Filed 2" xfId="11023"/>
    <cellStyle name="_x0013__DEM-WP(C) Production O&amp;M 2010GRC As-Filed 2 2" xfId="11024"/>
    <cellStyle name="_x0013__DEM-WP(C) Production O&amp;M 2010GRC As-Filed 3" xfId="11025"/>
    <cellStyle name="_x0013__DEM-WP(C) Production O&amp;M 2010GRC As-Filed 3 2" xfId="11026"/>
    <cellStyle name="_x0013__DEM-WP(C) Production O&amp;M 2010GRC As-Filed 4" xfId="11027"/>
    <cellStyle name="_x0013__DEM-WP(C) Production O&amp;M 2010GRC As-Filed 4 2" xfId="11028"/>
    <cellStyle name="_x0013__DEM-WP(C) Production O&amp;M 2010GRC As-Filed 5" xfId="11029"/>
    <cellStyle name="_x0013__DEM-WP(C) Production O&amp;M 2010GRC As-Filed 5 2" xfId="11030"/>
    <cellStyle name="_x0013__DEM-WP(C) Production O&amp;M 2010GRC As-Filed 6" xfId="11031"/>
    <cellStyle name="_x0013__DEM-WP(C) Production O&amp;M 2010GRC As-Filed 6 2" xfId="11032"/>
    <cellStyle name="_DEM-WP(C) Rate Year Sumas by Month Update Corrected" xfId="586"/>
    <cellStyle name="_DEM-WP(C) Rate Year Sumas by Month Update Corrected 2" xfId="11033"/>
    <cellStyle name="_DEM-WP(C) ST Power Contracts 3102008" xfId="11034"/>
    <cellStyle name="_DEM-WP(C) ST Power Contracts 3102008 2" xfId="11035"/>
    <cellStyle name="_DEM-WP(C) ST Power Contracts 3102008 2 2" xfId="11036"/>
    <cellStyle name="_DEM-WP(C) ST Power Contracts 3102008 2 2 2" xfId="11037"/>
    <cellStyle name="_DEM-WP(C) ST Power Contracts 3102008 2 2 2 2" xfId="11038"/>
    <cellStyle name="_DEM-WP(C) ST Power Contracts 3102008 2 2 3" xfId="11039"/>
    <cellStyle name="_DEM-WP(C) ST Power Contracts 3102008 2 3" xfId="11040"/>
    <cellStyle name="_DEM-WP(C) ST Power Contracts 3102008 2 3 2" xfId="11041"/>
    <cellStyle name="_DEM-WP(C) ST Power Contracts 3102008 2 4" xfId="11042"/>
    <cellStyle name="_DEM-WP(C) ST Power Contracts 3102008 3" xfId="11043"/>
    <cellStyle name="_DEM-WP(C) ST Power Contracts 3102008 3 2" xfId="11044"/>
    <cellStyle name="_DEM-WP(C) ST Power Contracts 3102008 3 2 2" xfId="11045"/>
    <cellStyle name="_DEM-WP(C) ST Power Contracts 3102008 3 3" xfId="11046"/>
    <cellStyle name="_DEM-WP(C) ST Power Contracts 3102008 4" xfId="11047"/>
    <cellStyle name="_DEM-WP(C) ST Power Contracts 3102008 4 2" xfId="11048"/>
    <cellStyle name="_DEM-WP(C) ST Power Contracts 3102008 4 2 2" xfId="11049"/>
    <cellStyle name="_DEM-WP(C) ST Power Contracts 3102008 4 3" xfId="11050"/>
    <cellStyle name="_DEM-WP(C) ST Power Contracts 3102008 5" xfId="11051"/>
    <cellStyle name="_DEM-WP(C) ST Power Contracts 3102008 5 2" xfId="11052"/>
    <cellStyle name="_DEM-WP(C) ST Power Contracts 3102008 5 2 2" xfId="11053"/>
    <cellStyle name="_DEM-WP(C) ST Power Contracts 3102008 5 3" xfId="11054"/>
    <cellStyle name="_DEM-WP(C) ST Power Contracts 3102008 6" xfId="11055"/>
    <cellStyle name="_DEM-WP(C) Sumas Proforma 11.14.07" xfId="587"/>
    <cellStyle name="_DEM-WP(C) Sumas Proforma 11.14.07 2" xfId="11056"/>
    <cellStyle name="_DEM-WP(C) Sumas Proforma 11.5.07" xfId="588"/>
    <cellStyle name="_DEM-WP(C) Sumas Proforma 11.5.07 2" xfId="11057"/>
    <cellStyle name="_DEM-WP(C) Wells_Power_Cost" xfId="11058"/>
    <cellStyle name="_DEM-WP(C) Wells_Power_Cost 2" xfId="11059"/>
    <cellStyle name="_DEM-WP(C) Wells_Power_Cost 2 2" xfId="11060"/>
    <cellStyle name="_DEM-WP(C) Wells_Power_Cost 2 2 2" xfId="11061"/>
    <cellStyle name="_DEM-WP(C) Wells_Power_Cost 2 3" xfId="11062"/>
    <cellStyle name="_DEM-WP(C) Wells_Power_Cost 3" xfId="11063"/>
    <cellStyle name="_DEM-WP(C) Wells_Power_Cost 3 2" xfId="11064"/>
    <cellStyle name="_DEM-WP(C) Westside Hydro Data_051007" xfId="589"/>
    <cellStyle name="_DEM-WP(C) Westside Hydro Data_051007 2" xfId="11065"/>
    <cellStyle name="_DEM-WP(C) Westside Hydro Data_051007 2 2" xfId="11066"/>
    <cellStyle name="_DEM-WP(C) Westside Hydro Data_051007 2 2 2" xfId="11067"/>
    <cellStyle name="_DEM-WP(C) Westside Hydro Data_051007 2 3" xfId="11068"/>
    <cellStyle name="_DEM-WP(C) Westside Hydro Data_051007 3" xfId="11069"/>
    <cellStyle name="_DEM-WP(C) Westside Hydro Data_051007 3 2" xfId="11070"/>
    <cellStyle name="_DEM-WP(C) Westside Hydro Data_051007 4" xfId="11071"/>
    <cellStyle name="_DEM-WP(C) Westside Hydro Data_051007_16.37E Wild Horse Expansion DeferralRevwrkingfile SF" xfId="590"/>
    <cellStyle name="_DEM-WP(C) Westside Hydro Data_051007_16.37E Wild Horse Expansion DeferralRevwrkingfile SF 2" xfId="11072"/>
    <cellStyle name="_DEM-WP(C) Westside Hydro Data_051007_16.37E Wild Horse Expansion DeferralRevwrkingfile SF 2 2" xfId="11073"/>
    <cellStyle name="_DEM-WP(C) Westside Hydro Data_051007_16.37E Wild Horse Expansion DeferralRevwrkingfile SF 2 2 2" xfId="11074"/>
    <cellStyle name="_DEM-WP(C) Westside Hydro Data_051007_16.37E Wild Horse Expansion DeferralRevwrkingfile SF 2 3" xfId="11075"/>
    <cellStyle name="_DEM-WP(C) Westside Hydro Data_051007_16.37E Wild Horse Expansion DeferralRevwrkingfile SF 3" xfId="11076"/>
    <cellStyle name="_DEM-WP(C) Westside Hydro Data_051007_16.37E Wild Horse Expansion DeferralRevwrkingfile SF 3 2" xfId="11077"/>
    <cellStyle name="_DEM-WP(C) Westside Hydro Data_051007_16.37E Wild Horse Expansion DeferralRevwrkingfile SF 4" xfId="11078"/>
    <cellStyle name="_DEM-WP(C) Westside Hydro Data_051007_16.37E Wild Horse Expansion DeferralRevwrkingfile SF_DEM-WP(C) ENERG10C--ctn Mid-C_042010 2010GRC" xfId="11079"/>
    <cellStyle name="_DEM-WP(C) Westside Hydro Data_051007_16.37E Wild Horse Expansion DeferralRevwrkingfile SF_DEM-WP(C) ENERG10C--ctn Mid-C_042010 2010GRC 2" xfId="11080"/>
    <cellStyle name="_DEM-WP(C) Westside Hydro Data_051007_2009 GRC Compl Filing - Exhibit D" xfId="591"/>
    <cellStyle name="_DEM-WP(C) Westside Hydro Data_051007_2009 GRC Compl Filing - Exhibit D 2" xfId="11081"/>
    <cellStyle name="_DEM-WP(C) Westside Hydro Data_051007_2009 GRC Compl Filing - Exhibit D 2 2" xfId="11082"/>
    <cellStyle name="_DEM-WP(C) Westside Hydro Data_051007_2009 GRC Compl Filing - Exhibit D 2 2 2" xfId="11083"/>
    <cellStyle name="_DEM-WP(C) Westside Hydro Data_051007_2009 GRC Compl Filing - Exhibit D 2 3" xfId="11084"/>
    <cellStyle name="_DEM-WP(C) Westside Hydro Data_051007_2009 GRC Compl Filing - Exhibit D 3" xfId="11085"/>
    <cellStyle name="_DEM-WP(C) Westside Hydro Data_051007_2009 GRC Compl Filing - Exhibit D 3 2" xfId="11086"/>
    <cellStyle name="_DEM-WP(C) Westside Hydro Data_051007_2009 GRC Compl Filing - Exhibit D 4" xfId="11087"/>
    <cellStyle name="_DEM-WP(C) Westside Hydro Data_051007_2009 GRC Compl Filing - Exhibit D_DEM-WP(C) ENERG10C--ctn Mid-C_042010 2010GRC" xfId="11088"/>
    <cellStyle name="_DEM-WP(C) Westside Hydro Data_051007_2009 GRC Compl Filing - Exhibit D_DEM-WP(C) ENERG10C--ctn Mid-C_042010 2010GRC 2" xfId="11089"/>
    <cellStyle name="_DEM-WP(C) Westside Hydro Data_051007_Adj Bench DR 3 for Initial Briefs (Electric)" xfId="592"/>
    <cellStyle name="_DEM-WP(C) Westside Hydro Data_051007_Adj Bench DR 3 for Initial Briefs (Electric) 2" xfId="11090"/>
    <cellStyle name="_DEM-WP(C) Westside Hydro Data_051007_Adj Bench DR 3 for Initial Briefs (Electric) 2 2" xfId="11091"/>
    <cellStyle name="_DEM-WP(C) Westside Hydro Data_051007_Adj Bench DR 3 for Initial Briefs (Electric) 2 2 2" xfId="11092"/>
    <cellStyle name="_DEM-WP(C) Westside Hydro Data_051007_Adj Bench DR 3 for Initial Briefs (Electric) 2 3" xfId="11093"/>
    <cellStyle name="_DEM-WP(C) Westside Hydro Data_051007_Adj Bench DR 3 for Initial Briefs (Electric) 3" xfId="11094"/>
    <cellStyle name="_DEM-WP(C) Westside Hydro Data_051007_Adj Bench DR 3 for Initial Briefs (Electric) 3 2" xfId="11095"/>
    <cellStyle name="_DEM-WP(C) Westside Hydro Data_051007_Adj Bench DR 3 for Initial Briefs (Electric) 4" xfId="11096"/>
    <cellStyle name="_DEM-WP(C) Westside Hydro Data_051007_Adj Bench DR 3 for Initial Briefs (Electric)_DEM-WP(C) ENERG10C--ctn Mid-C_042010 2010GRC" xfId="11097"/>
    <cellStyle name="_DEM-WP(C) Westside Hydro Data_051007_Adj Bench DR 3 for Initial Briefs (Electric)_DEM-WP(C) ENERG10C--ctn Mid-C_042010 2010GRC 2" xfId="11098"/>
    <cellStyle name="_DEM-WP(C) Westside Hydro Data_051007_Book1" xfId="11099"/>
    <cellStyle name="_DEM-WP(C) Westside Hydro Data_051007_Book1 2" xfId="11100"/>
    <cellStyle name="_DEM-WP(C) Westside Hydro Data_051007_Book2" xfId="593"/>
    <cellStyle name="_DEM-WP(C) Westside Hydro Data_051007_Book2 2" xfId="11101"/>
    <cellStyle name="_DEM-WP(C) Westside Hydro Data_051007_Book2 2 2" xfId="11102"/>
    <cellStyle name="_DEM-WP(C) Westside Hydro Data_051007_Book2 2 2 2" xfId="11103"/>
    <cellStyle name="_DEM-WP(C) Westside Hydro Data_051007_Book2 2 3" xfId="11104"/>
    <cellStyle name="_DEM-WP(C) Westside Hydro Data_051007_Book2 3" xfId="11105"/>
    <cellStyle name="_DEM-WP(C) Westside Hydro Data_051007_Book2 3 2" xfId="11106"/>
    <cellStyle name="_DEM-WP(C) Westside Hydro Data_051007_Book2 4" xfId="11107"/>
    <cellStyle name="_DEM-WP(C) Westside Hydro Data_051007_Book2_DEM-WP(C) ENERG10C--ctn Mid-C_042010 2010GRC" xfId="11108"/>
    <cellStyle name="_DEM-WP(C) Westside Hydro Data_051007_Book2_DEM-WP(C) ENERG10C--ctn Mid-C_042010 2010GRC 2" xfId="11109"/>
    <cellStyle name="_DEM-WP(C) Westside Hydro Data_051007_Book4" xfId="594"/>
    <cellStyle name="_DEM-WP(C) Westside Hydro Data_051007_Book4 2" xfId="11110"/>
    <cellStyle name="_DEM-WP(C) Westside Hydro Data_051007_Book4 2 2" xfId="11111"/>
    <cellStyle name="_DEM-WP(C) Westside Hydro Data_051007_Book4 2 2 2" xfId="11112"/>
    <cellStyle name="_DEM-WP(C) Westside Hydro Data_051007_Book4 2 3" xfId="11113"/>
    <cellStyle name="_DEM-WP(C) Westside Hydro Data_051007_Book4 3" xfId="11114"/>
    <cellStyle name="_DEM-WP(C) Westside Hydro Data_051007_Book4 3 2" xfId="11115"/>
    <cellStyle name="_DEM-WP(C) Westside Hydro Data_051007_Book4 4" xfId="11116"/>
    <cellStyle name="_DEM-WP(C) Westside Hydro Data_051007_Book4_DEM-WP(C) ENERG10C--ctn Mid-C_042010 2010GRC" xfId="11117"/>
    <cellStyle name="_DEM-WP(C) Westside Hydro Data_051007_Book4_DEM-WP(C) ENERG10C--ctn Mid-C_042010 2010GRC 2" xfId="11118"/>
    <cellStyle name="_DEM-WP(C) Westside Hydro Data_051007_DEM-WP(C) ENERG10C--ctn Mid-C_042010 2010GRC" xfId="11119"/>
    <cellStyle name="_DEM-WP(C) Westside Hydro Data_051007_DEM-WP(C) ENERG10C--ctn Mid-C_042010 2010GRC 2" xfId="11120"/>
    <cellStyle name="_DEM-WP(C) Westside Hydro Data_051007_Electric Rev Req Model (2009 GRC) " xfId="595"/>
    <cellStyle name="_DEM-WP(C) Westside Hydro Data_051007_Electric Rev Req Model (2009 GRC)  2" xfId="11121"/>
    <cellStyle name="_DEM-WP(C) Westside Hydro Data_051007_Electric Rev Req Model (2009 GRC)  2 2" xfId="11122"/>
    <cellStyle name="_DEM-WP(C) Westside Hydro Data_051007_Electric Rev Req Model (2009 GRC)  2 2 2" xfId="11123"/>
    <cellStyle name="_DEM-WP(C) Westside Hydro Data_051007_Electric Rev Req Model (2009 GRC)  2 3" xfId="11124"/>
    <cellStyle name="_DEM-WP(C) Westside Hydro Data_051007_Electric Rev Req Model (2009 GRC)  3" xfId="11125"/>
    <cellStyle name="_DEM-WP(C) Westside Hydro Data_051007_Electric Rev Req Model (2009 GRC)  3 2" xfId="11126"/>
    <cellStyle name="_DEM-WP(C) Westside Hydro Data_051007_Electric Rev Req Model (2009 GRC)  4" xfId="11127"/>
    <cellStyle name="_DEM-WP(C) Westside Hydro Data_051007_Electric Rev Req Model (2009 GRC) _DEM-WP(C) ENERG10C--ctn Mid-C_042010 2010GRC" xfId="11128"/>
    <cellStyle name="_DEM-WP(C) Westside Hydro Data_051007_Electric Rev Req Model (2009 GRC) _DEM-WP(C) ENERG10C--ctn Mid-C_042010 2010GRC 2" xfId="11129"/>
    <cellStyle name="_DEM-WP(C) Westside Hydro Data_051007_Electric Rev Req Model (2009 GRC) Rebuttal" xfId="596"/>
    <cellStyle name="_DEM-WP(C) Westside Hydro Data_051007_Electric Rev Req Model (2009 GRC) Rebuttal 2" xfId="11130"/>
    <cellStyle name="_DEM-WP(C) Westside Hydro Data_051007_Electric Rev Req Model (2009 GRC) Rebuttal 2 2" xfId="11131"/>
    <cellStyle name="_DEM-WP(C) Westside Hydro Data_051007_Electric Rev Req Model (2009 GRC) Rebuttal 2 2 2" xfId="11132"/>
    <cellStyle name="_DEM-WP(C) Westside Hydro Data_051007_Electric Rev Req Model (2009 GRC) Rebuttal 2 3" xfId="11133"/>
    <cellStyle name="_DEM-WP(C) Westside Hydro Data_051007_Electric Rev Req Model (2009 GRC) Rebuttal 3" xfId="11134"/>
    <cellStyle name="_DEM-WP(C) Westside Hydro Data_051007_Electric Rev Req Model (2009 GRC) Rebuttal 3 2" xfId="11135"/>
    <cellStyle name="_DEM-WP(C) Westside Hydro Data_051007_Electric Rev Req Model (2009 GRC) Rebuttal 4" xfId="11136"/>
    <cellStyle name="_DEM-WP(C) Westside Hydro Data_051007_Electric Rev Req Model (2009 GRC) Rebuttal REmoval of New  WH Solar AdjustMI" xfId="597"/>
    <cellStyle name="_DEM-WP(C) Westside Hydro Data_051007_Electric Rev Req Model (2009 GRC) Rebuttal REmoval of New  WH Solar AdjustMI 2" xfId="11137"/>
    <cellStyle name="_DEM-WP(C) Westside Hydro Data_051007_Electric Rev Req Model (2009 GRC) Rebuttal REmoval of New  WH Solar AdjustMI 2 2" xfId="11138"/>
    <cellStyle name="_DEM-WP(C) Westside Hydro Data_051007_Electric Rev Req Model (2009 GRC) Rebuttal REmoval of New  WH Solar AdjustMI 2 2 2" xfId="11139"/>
    <cellStyle name="_DEM-WP(C) Westside Hydro Data_051007_Electric Rev Req Model (2009 GRC) Rebuttal REmoval of New  WH Solar AdjustMI 2 3" xfId="11140"/>
    <cellStyle name="_DEM-WP(C) Westside Hydro Data_051007_Electric Rev Req Model (2009 GRC) Rebuttal REmoval of New  WH Solar AdjustMI 3" xfId="11141"/>
    <cellStyle name="_DEM-WP(C) Westside Hydro Data_051007_Electric Rev Req Model (2009 GRC) Rebuttal REmoval of New  WH Solar AdjustMI 3 2" xfId="11142"/>
    <cellStyle name="_DEM-WP(C) Westside Hydro Data_051007_Electric Rev Req Model (2009 GRC) Rebuttal REmoval of New  WH Solar AdjustMI 4" xfId="11143"/>
    <cellStyle name="_DEM-WP(C) Westside Hydro Data_051007_Electric Rev Req Model (2009 GRC) Rebuttal REmoval of New  WH Solar AdjustMI_DEM-WP(C) ENERG10C--ctn Mid-C_042010 2010GRC" xfId="11144"/>
    <cellStyle name="_DEM-WP(C) Westside Hydro Data_051007_Electric Rev Req Model (2009 GRC) Rebuttal REmoval of New  WH Solar AdjustMI_DEM-WP(C) ENERG10C--ctn Mid-C_042010 2010GRC 2" xfId="11145"/>
    <cellStyle name="_DEM-WP(C) Westside Hydro Data_051007_Electric Rev Req Model (2009 GRC) Revised 01-18-2010" xfId="598"/>
    <cellStyle name="_DEM-WP(C) Westside Hydro Data_051007_Electric Rev Req Model (2009 GRC) Revised 01-18-2010 2" xfId="11146"/>
    <cellStyle name="_DEM-WP(C) Westside Hydro Data_051007_Electric Rev Req Model (2009 GRC) Revised 01-18-2010 2 2" xfId="11147"/>
    <cellStyle name="_DEM-WP(C) Westside Hydro Data_051007_Electric Rev Req Model (2009 GRC) Revised 01-18-2010 2 2 2" xfId="11148"/>
    <cellStyle name="_DEM-WP(C) Westside Hydro Data_051007_Electric Rev Req Model (2009 GRC) Revised 01-18-2010 2 3" xfId="11149"/>
    <cellStyle name="_DEM-WP(C) Westside Hydro Data_051007_Electric Rev Req Model (2009 GRC) Revised 01-18-2010 3" xfId="11150"/>
    <cellStyle name="_DEM-WP(C) Westside Hydro Data_051007_Electric Rev Req Model (2009 GRC) Revised 01-18-2010 3 2" xfId="11151"/>
    <cellStyle name="_DEM-WP(C) Westside Hydro Data_051007_Electric Rev Req Model (2009 GRC) Revised 01-18-2010 4" xfId="11152"/>
    <cellStyle name="_DEM-WP(C) Westside Hydro Data_051007_Electric Rev Req Model (2009 GRC) Revised 01-18-2010_DEM-WP(C) ENERG10C--ctn Mid-C_042010 2010GRC" xfId="11153"/>
    <cellStyle name="_DEM-WP(C) Westside Hydro Data_051007_Electric Rev Req Model (2009 GRC) Revised 01-18-2010_DEM-WP(C) ENERG10C--ctn Mid-C_042010 2010GRC 2" xfId="11154"/>
    <cellStyle name="_DEM-WP(C) Westside Hydro Data_051007_Electric Rev Req Model (2010 GRC)" xfId="11155"/>
    <cellStyle name="_DEM-WP(C) Westside Hydro Data_051007_Electric Rev Req Model (2010 GRC) 2" xfId="11156"/>
    <cellStyle name="_DEM-WP(C) Westside Hydro Data_051007_Electric Rev Req Model (2010 GRC) SF" xfId="11157"/>
    <cellStyle name="_DEM-WP(C) Westside Hydro Data_051007_Electric Rev Req Model (2010 GRC) SF 2" xfId="11158"/>
    <cellStyle name="_DEM-WP(C) Westside Hydro Data_051007_Final Order Electric EXHIBIT A-1" xfId="599"/>
    <cellStyle name="_DEM-WP(C) Westside Hydro Data_051007_Final Order Electric EXHIBIT A-1 2" xfId="11159"/>
    <cellStyle name="_DEM-WP(C) Westside Hydro Data_051007_Final Order Electric EXHIBIT A-1 2 2" xfId="11160"/>
    <cellStyle name="_DEM-WP(C) Westside Hydro Data_051007_Final Order Electric EXHIBIT A-1 2 2 2" xfId="11161"/>
    <cellStyle name="_DEM-WP(C) Westside Hydro Data_051007_Final Order Electric EXHIBIT A-1 2 3" xfId="11162"/>
    <cellStyle name="_DEM-WP(C) Westside Hydro Data_051007_Final Order Electric EXHIBIT A-1 3" xfId="11163"/>
    <cellStyle name="_DEM-WP(C) Westside Hydro Data_051007_Final Order Electric EXHIBIT A-1 3 2" xfId="11164"/>
    <cellStyle name="_DEM-WP(C) Westside Hydro Data_051007_Final Order Electric EXHIBIT A-1 4" xfId="11165"/>
    <cellStyle name="_DEM-WP(C) Westside Hydro Data_051007_NIM Summary" xfId="11166"/>
    <cellStyle name="_DEM-WP(C) Westside Hydro Data_051007_NIM Summary 2" xfId="11167"/>
    <cellStyle name="_DEM-WP(C) Westside Hydro Data_051007_NIM Summary 2 2" xfId="11168"/>
    <cellStyle name="_DEM-WP(C) Westside Hydro Data_051007_NIM Summary 2 2 2" xfId="11169"/>
    <cellStyle name="_DEM-WP(C) Westside Hydro Data_051007_NIM Summary 2 3" xfId="11170"/>
    <cellStyle name="_DEM-WP(C) Westside Hydro Data_051007_NIM Summary 3" xfId="11171"/>
    <cellStyle name="_DEM-WP(C) Westside Hydro Data_051007_NIM Summary 3 2" xfId="11172"/>
    <cellStyle name="_DEM-WP(C) Westside Hydro Data_051007_NIM Summary 4" xfId="11173"/>
    <cellStyle name="_DEM-WP(C) Westside Hydro Data_051007_NIM Summary_DEM-WP(C) ENERG10C--ctn Mid-C_042010 2010GRC" xfId="11174"/>
    <cellStyle name="_DEM-WP(C) Westside Hydro Data_051007_NIM Summary_DEM-WP(C) ENERG10C--ctn Mid-C_042010 2010GRC 2" xfId="11175"/>
    <cellStyle name="_DEM-WP(C) Westside Hydro Data_051007_Power Costs - Comparison bx Rbtl-Staff-Jt-PC" xfId="600"/>
    <cellStyle name="_DEM-WP(C) Westside Hydro Data_051007_Power Costs - Comparison bx Rbtl-Staff-Jt-PC 2" xfId="11176"/>
    <cellStyle name="_DEM-WP(C) Westside Hydro Data_051007_Power Costs - Comparison bx Rbtl-Staff-Jt-PC 2 2" xfId="11177"/>
    <cellStyle name="_DEM-WP(C) Westside Hydro Data_051007_Power Costs - Comparison bx Rbtl-Staff-Jt-PC 2 2 2" xfId="11178"/>
    <cellStyle name="_DEM-WP(C) Westside Hydro Data_051007_Power Costs - Comparison bx Rbtl-Staff-Jt-PC 2 3" xfId="11179"/>
    <cellStyle name="_DEM-WP(C) Westside Hydro Data_051007_Power Costs - Comparison bx Rbtl-Staff-Jt-PC 3" xfId="11180"/>
    <cellStyle name="_DEM-WP(C) Westside Hydro Data_051007_Power Costs - Comparison bx Rbtl-Staff-Jt-PC 3 2" xfId="11181"/>
    <cellStyle name="_DEM-WP(C) Westside Hydro Data_051007_Power Costs - Comparison bx Rbtl-Staff-Jt-PC 4" xfId="11182"/>
    <cellStyle name="_DEM-WP(C) Westside Hydro Data_051007_Power Costs - Comparison bx Rbtl-Staff-Jt-PC_DEM-WP(C) ENERG10C--ctn Mid-C_042010 2010GRC" xfId="11183"/>
    <cellStyle name="_DEM-WP(C) Westside Hydro Data_051007_Power Costs - Comparison bx Rbtl-Staff-Jt-PC_DEM-WP(C) ENERG10C--ctn Mid-C_042010 2010GRC 2" xfId="11184"/>
    <cellStyle name="_DEM-WP(C) Westside Hydro Data_051007_Rebuttal Power Costs" xfId="601"/>
    <cellStyle name="_DEM-WP(C) Westside Hydro Data_051007_Rebuttal Power Costs 2" xfId="11185"/>
    <cellStyle name="_DEM-WP(C) Westside Hydro Data_051007_Rebuttal Power Costs 2 2" xfId="11186"/>
    <cellStyle name="_DEM-WP(C) Westside Hydro Data_051007_Rebuttal Power Costs 2 2 2" xfId="11187"/>
    <cellStyle name="_DEM-WP(C) Westside Hydro Data_051007_Rebuttal Power Costs 2 3" xfId="11188"/>
    <cellStyle name="_DEM-WP(C) Westside Hydro Data_051007_Rebuttal Power Costs 3" xfId="11189"/>
    <cellStyle name="_DEM-WP(C) Westside Hydro Data_051007_Rebuttal Power Costs 3 2" xfId="11190"/>
    <cellStyle name="_DEM-WP(C) Westside Hydro Data_051007_Rebuttal Power Costs 4" xfId="11191"/>
    <cellStyle name="_DEM-WP(C) Westside Hydro Data_051007_Rebuttal Power Costs_DEM-WP(C) ENERG10C--ctn Mid-C_042010 2010GRC" xfId="11192"/>
    <cellStyle name="_DEM-WP(C) Westside Hydro Data_051007_Rebuttal Power Costs_DEM-WP(C) ENERG10C--ctn Mid-C_042010 2010GRC 2" xfId="11193"/>
    <cellStyle name="_DEM-WP(C) Westside Hydro Data_051007_TENASKA REGULATORY ASSET" xfId="602"/>
    <cellStyle name="_DEM-WP(C) Westside Hydro Data_051007_TENASKA REGULATORY ASSET 2" xfId="11194"/>
    <cellStyle name="_DEM-WP(C) Westside Hydro Data_051007_TENASKA REGULATORY ASSET 2 2" xfId="11195"/>
    <cellStyle name="_DEM-WP(C) Westside Hydro Data_051007_TENASKA REGULATORY ASSET 2 2 2" xfId="11196"/>
    <cellStyle name="_DEM-WP(C) Westside Hydro Data_051007_TENASKA REGULATORY ASSET 2 3" xfId="11197"/>
    <cellStyle name="_DEM-WP(C) Westside Hydro Data_051007_TENASKA REGULATORY ASSET 3" xfId="11198"/>
    <cellStyle name="_DEM-WP(C) Westside Hydro Data_051007_TENASKA REGULATORY ASSET 3 2" xfId="11199"/>
    <cellStyle name="_DEM-WP(C) Westside Hydro Data_051007_TENASKA REGULATORY ASSET 4" xfId="11200"/>
    <cellStyle name="_Elec Peak Capacity Need_2008-2029_032709_Wind 5% Cap" xfId="11201"/>
    <cellStyle name="_Elec Peak Capacity Need_2008-2029_032709_Wind 5% Cap 2" xfId="11202"/>
    <cellStyle name="_Elec Peak Capacity Need_2008-2029_032709_Wind 5% Cap 2 2" xfId="11203"/>
    <cellStyle name="_Elec Peak Capacity Need_2008-2029_032709_Wind 5% Cap 2 2 2" xfId="11204"/>
    <cellStyle name="_Elec Peak Capacity Need_2008-2029_032709_Wind 5% Cap 2 2 2 2" xfId="11205"/>
    <cellStyle name="_Elec Peak Capacity Need_2008-2029_032709_Wind 5% Cap 2 2 3" xfId="11206"/>
    <cellStyle name="_Elec Peak Capacity Need_2008-2029_032709_Wind 5% Cap 2 3" xfId="11207"/>
    <cellStyle name="_Elec Peak Capacity Need_2008-2029_032709_Wind 5% Cap 2 3 2" xfId="11208"/>
    <cellStyle name="_Elec Peak Capacity Need_2008-2029_032709_Wind 5% Cap 2 4" xfId="11209"/>
    <cellStyle name="_Elec Peak Capacity Need_2008-2029_032709_Wind 5% Cap 3" xfId="11210"/>
    <cellStyle name="_Elec Peak Capacity Need_2008-2029_032709_Wind 5% Cap 3 2" xfId="11211"/>
    <cellStyle name="_Elec Peak Capacity Need_2008-2029_032709_Wind 5% Cap 4" xfId="11212"/>
    <cellStyle name="_Elec Peak Capacity Need_2008-2029_032709_Wind 5% Cap_DEM-WP(C) ENERG10C--ctn Mid-C_042010 2010GRC" xfId="11213"/>
    <cellStyle name="_Elec Peak Capacity Need_2008-2029_032709_Wind 5% Cap_DEM-WP(C) ENERG10C--ctn Mid-C_042010 2010GRC 2" xfId="11214"/>
    <cellStyle name="_Elec Peak Capacity Need_2008-2029_032709_Wind 5% Cap_NIM Summary" xfId="11215"/>
    <cellStyle name="_Elec Peak Capacity Need_2008-2029_032709_Wind 5% Cap_NIM Summary 2" xfId="11216"/>
    <cellStyle name="_Elec Peak Capacity Need_2008-2029_032709_Wind 5% Cap_NIM Summary 2 2" xfId="11217"/>
    <cellStyle name="_Elec Peak Capacity Need_2008-2029_032709_Wind 5% Cap_NIM Summary 2 2 2" xfId="11218"/>
    <cellStyle name="_Elec Peak Capacity Need_2008-2029_032709_Wind 5% Cap_NIM Summary 2 3" xfId="11219"/>
    <cellStyle name="_Elec Peak Capacity Need_2008-2029_032709_Wind 5% Cap_NIM Summary 3" xfId="11220"/>
    <cellStyle name="_Elec Peak Capacity Need_2008-2029_032709_Wind 5% Cap_NIM Summary 3 2" xfId="11221"/>
    <cellStyle name="_Elec Peak Capacity Need_2008-2029_032709_Wind 5% Cap_NIM Summary 4" xfId="11222"/>
    <cellStyle name="_Elec Peak Capacity Need_2008-2029_032709_Wind 5% Cap_NIM Summary_DEM-WP(C) ENERG10C--ctn Mid-C_042010 2010GRC" xfId="11223"/>
    <cellStyle name="_Elec Peak Capacity Need_2008-2029_032709_Wind 5% Cap_NIM Summary_DEM-WP(C) ENERG10C--ctn Mid-C_042010 2010GRC 2" xfId="11224"/>
    <cellStyle name="_Elec Peak Capacity Need_2008-2029_032709_Wind 5% Cap-ST-Adj-PJP1" xfId="11225"/>
    <cellStyle name="_Elec Peak Capacity Need_2008-2029_032709_Wind 5% Cap-ST-Adj-PJP1 2" xfId="11226"/>
    <cellStyle name="_Elec Peak Capacity Need_2008-2029_032709_Wind 5% Cap-ST-Adj-PJP1 2 2" xfId="11227"/>
    <cellStyle name="_Elec Peak Capacity Need_2008-2029_032709_Wind 5% Cap-ST-Adj-PJP1 2 2 2" xfId="11228"/>
    <cellStyle name="_Elec Peak Capacity Need_2008-2029_032709_Wind 5% Cap-ST-Adj-PJP1 2 2 2 2" xfId="11229"/>
    <cellStyle name="_Elec Peak Capacity Need_2008-2029_032709_Wind 5% Cap-ST-Adj-PJP1 2 2 3" xfId="11230"/>
    <cellStyle name="_Elec Peak Capacity Need_2008-2029_032709_Wind 5% Cap-ST-Adj-PJP1 2 3" xfId="11231"/>
    <cellStyle name="_Elec Peak Capacity Need_2008-2029_032709_Wind 5% Cap-ST-Adj-PJP1 2 3 2" xfId="11232"/>
    <cellStyle name="_Elec Peak Capacity Need_2008-2029_032709_Wind 5% Cap-ST-Adj-PJP1 2 4" xfId="11233"/>
    <cellStyle name="_Elec Peak Capacity Need_2008-2029_032709_Wind 5% Cap-ST-Adj-PJP1 3" xfId="11234"/>
    <cellStyle name="_Elec Peak Capacity Need_2008-2029_032709_Wind 5% Cap-ST-Adj-PJP1 3 2" xfId="11235"/>
    <cellStyle name="_Elec Peak Capacity Need_2008-2029_032709_Wind 5% Cap-ST-Adj-PJP1 4" xfId="11236"/>
    <cellStyle name="_Elec Peak Capacity Need_2008-2029_032709_Wind 5% Cap-ST-Adj-PJP1_DEM-WP(C) ENERG10C--ctn Mid-C_042010 2010GRC" xfId="11237"/>
    <cellStyle name="_Elec Peak Capacity Need_2008-2029_032709_Wind 5% Cap-ST-Adj-PJP1_DEM-WP(C) ENERG10C--ctn Mid-C_042010 2010GRC 2" xfId="11238"/>
    <cellStyle name="_Elec Peak Capacity Need_2008-2029_032709_Wind 5% Cap-ST-Adj-PJP1_NIM Summary" xfId="11239"/>
    <cellStyle name="_Elec Peak Capacity Need_2008-2029_032709_Wind 5% Cap-ST-Adj-PJP1_NIM Summary 2" xfId="11240"/>
    <cellStyle name="_Elec Peak Capacity Need_2008-2029_032709_Wind 5% Cap-ST-Adj-PJP1_NIM Summary 2 2" xfId="11241"/>
    <cellStyle name="_Elec Peak Capacity Need_2008-2029_032709_Wind 5% Cap-ST-Adj-PJP1_NIM Summary 2 2 2" xfId="11242"/>
    <cellStyle name="_Elec Peak Capacity Need_2008-2029_032709_Wind 5% Cap-ST-Adj-PJP1_NIM Summary 2 3" xfId="11243"/>
    <cellStyle name="_Elec Peak Capacity Need_2008-2029_032709_Wind 5% Cap-ST-Adj-PJP1_NIM Summary 3" xfId="11244"/>
    <cellStyle name="_Elec Peak Capacity Need_2008-2029_032709_Wind 5% Cap-ST-Adj-PJP1_NIM Summary 3 2" xfId="11245"/>
    <cellStyle name="_Elec Peak Capacity Need_2008-2029_032709_Wind 5% Cap-ST-Adj-PJP1_NIM Summary 4" xfId="11246"/>
    <cellStyle name="_Elec Peak Capacity Need_2008-2029_032709_Wind 5% Cap-ST-Adj-PJP1_NIM Summary_DEM-WP(C) ENERG10C--ctn Mid-C_042010 2010GRC" xfId="11247"/>
    <cellStyle name="_Elec Peak Capacity Need_2008-2029_032709_Wind 5% Cap-ST-Adj-PJP1_NIM Summary_DEM-WP(C) ENERG10C--ctn Mid-C_042010 2010GRC 2" xfId="11248"/>
    <cellStyle name="_Elec Peak Capacity Need_2008-2029_120908_Wind 5% Cap_Low" xfId="11249"/>
    <cellStyle name="_Elec Peak Capacity Need_2008-2029_120908_Wind 5% Cap_Low 2" xfId="11250"/>
    <cellStyle name="_Elec Peak Capacity Need_2008-2029_120908_Wind 5% Cap_Low 2 2" xfId="11251"/>
    <cellStyle name="_Elec Peak Capacity Need_2008-2029_120908_Wind 5% Cap_Low 2 2 2" xfId="11252"/>
    <cellStyle name="_Elec Peak Capacity Need_2008-2029_120908_Wind 5% Cap_Low 2 2 2 2" xfId="11253"/>
    <cellStyle name="_Elec Peak Capacity Need_2008-2029_120908_Wind 5% Cap_Low 2 2 3" xfId="11254"/>
    <cellStyle name="_Elec Peak Capacity Need_2008-2029_120908_Wind 5% Cap_Low 2 3" xfId="11255"/>
    <cellStyle name="_Elec Peak Capacity Need_2008-2029_120908_Wind 5% Cap_Low 2 3 2" xfId="11256"/>
    <cellStyle name="_Elec Peak Capacity Need_2008-2029_120908_Wind 5% Cap_Low 2 4" xfId="11257"/>
    <cellStyle name="_Elec Peak Capacity Need_2008-2029_120908_Wind 5% Cap_Low 3" xfId="11258"/>
    <cellStyle name="_Elec Peak Capacity Need_2008-2029_120908_Wind 5% Cap_Low 3 2" xfId="11259"/>
    <cellStyle name="_Elec Peak Capacity Need_2008-2029_120908_Wind 5% Cap_Low 4" xfId="11260"/>
    <cellStyle name="_Elec Peak Capacity Need_2008-2029_120908_Wind 5% Cap_Low_DEM-WP(C) ENERG10C--ctn Mid-C_042010 2010GRC" xfId="11261"/>
    <cellStyle name="_Elec Peak Capacity Need_2008-2029_120908_Wind 5% Cap_Low_DEM-WP(C) ENERG10C--ctn Mid-C_042010 2010GRC 2" xfId="11262"/>
    <cellStyle name="_Elec Peak Capacity Need_2008-2029_120908_Wind 5% Cap_Low_NIM Summary" xfId="11263"/>
    <cellStyle name="_Elec Peak Capacity Need_2008-2029_120908_Wind 5% Cap_Low_NIM Summary 2" xfId="11264"/>
    <cellStyle name="_Elec Peak Capacity Need_2008-2029_120908_Wind 5% Cap_Low_NIM Summary 2 2" xfId="11265"/>
    <cellStyle name="_Elec Peak Capacity Need_2008-2029_120908_Wind 5% Cap_Low_NIM Summary 2 2 2" xfId="11266"/>
    <cellStyle name="_Elec Peak Capacity Need_2008-2029_120908_Wind 5% Cap_Low_NIM Summary 2 3" xfId="11267"/>
    <cellStyle name="_Elec Peak Capacity Need_2008-2029_120908_Wind 5% Cap_Low_NIM Summary 3" xfId="11268"/>
    <cellStyle name="_Elec Peak Capacity Need_2008-2029_120908_Wind 5% Cap_Low_NIM Summary 3 2" xfId="11269"/>
    <cellStyle name="_Elec Peak Capacity Need_2008-2029_120908_Wind 5% Cap_Low_NIM Summary 4" xfId="11270"/>
    <cellStyle name="_Elec Peak Capacity Need_2008-2029_120908_Wind 5% Cap_Low_NIM Summary_DEM-WP(C) ENERG10C--ctn Mid-C_042010 2010GRC" xfId="11271"/>
    <cellStyle name="_Elec Peak Capacity Need_2008-2029_120908_Wind 5% Cap_Low_NIM Summary_DEM-WP(C) ENERG10C--ctn Mid-C_042010 2010GRC 2" xfId="11272"/>
    <cellStyle name="_Elec Peak Capacity Need_2008-2029_Wind 5% Cap_050809" xfId="11273"/>
    <cellStyle name="_Elec Peak Capacity Need_2008-2029_Wind 5% Cap_050809 2" xfId="11274"/>
    <cellStyle name="_Elec Peak Capacity Need_2008-2029_Wind 5% Cap_050809 2 2" xfId="11275"/>
    <cellStyle name="_Elec Peak Capacity Need_2008-2029_Wind 5% Cap_050809 2 2 2" xfId="11276"/>
    <cellStyle name="_Elec Peak Capacity Need_2008-2029_Wind 5% Cap_050809 2 2 2 2" xfId="11277"/>
    <cellStyle name="_Elec Peak Capacity Need_2008-2029_Wind 5% Cap_050809 2 2 3" xfId="11278"/>
    <cellStyle name="_Elec Peak Capacity Need_2008-2029_Wind 5% Cap_050809 2 3" xfId="11279"/>
    <cellStyle name="_Elec Peak Capacity Need_2008-2029_Wind 5% Cap_050809 2 3 2" xfId="11280"/>
    <cellStyle name="_Elec Peak Capacity Need_2008-2029_Wind 5% Cap_050809 2 4" xfId="11281"/>
    <cellStyle name="_Elec Peak Capacity Need_2008-2029_Wind 5% Cap_050809 3" xfId="11282"/>
    <cellStyle name="_Elec Peak Capacity Need_2008-2029_Wind 5% Cap_050809 3 2" xfId="11283"/>
    <cellStyle name="_Elec Peak Capacity Need_2008-2029_Wind 5% Cap_050809 4" xfId="11284"/>
    <cellStyle name="_Elec Peak Capacity Need_2008-2029_Wind 5% Cap_050809_DEM-WP(C) ENERG10C--ctn Mid-C_042010 2010GRC" xfId="11285"/>
    <cellStyle name="_Elec Peak Capacity Need_2008-2029_Wind 5% Cap_050809_DEM-WP(C) ENERG10C--ctn Mid-C_042010 2010GRC 2" xfId="11286"/>
    <cellStyle name="_Elec Peak Capacity Need_2008-2029_Wind 5% Cap_050809_NIM Summary" xfId="11287"/>
    <cellStyle name="_Elec Peak Capacity Need_2008-2029_Wind 5% Cap_050809_NIM Summary 2" xfId="11288"/>
    <cellStyle name="_Elec Peak Capacity Need_2008-2029_Wind 5% Cap_050809_NIM Summary 2 2" xfId="11289"/>
    <cellStyle name="_Elec Peak Capacity Need_2008-2029_Wind 5% Cap_050809_NIM Summary 2 2 2" xfId="11290"/>
    <cellStyle name="_Elec Peak Capacity Need_2008-2029_Wind 5% Cap_050809_NIM Summary 2 3" xfId="11291"/>
    <cellStyle name="_Elec Peak Capacity Need_2008-2029_Wind 5% Cap_050809_NIM Summary 3" xfId="11292"/>
    <cellStyle name="_Elec Peak Capacity Need_2008-2029_Wind 5% Cap_050809_NIM Summary 3 2" xfId="11293"/>
    <cellStyle name="_Elec Peak Capacity Need_2008-2029_Wind 5% Cap_050809_NIM Summary 4" xfId="11294"/>
    <cellStyle name="_Elec Peak Capacity Need_2008-2029_Wind 5% Cap_050809_NIM Summary_DEM-WP(C) ENERG10C--ctn Mid-C_042010 2010GRC" xfId="11295"/>
    <cellStyle name="_Elec Peak Capacity Need_2008-2029_Wind 5% Cap_050809_NIM Summary_DEM-WP(C) ENERG10C--ctn Mid-C_042010 2010GRC 2" xfId="11296"/>
    <cellStyle name="_x0013__Electric Rev Req Model (2009 GRC) " xfId="603"/>
    <cellStyle name="_x0013__Electric Rev Req Model (2009 GRC)  2" xfId="11297"/>
    <cellStyle name="_x0013__Electric Rev Req Model (2009 GRC)  2 2" xfId="11298"/>
    <cellStyle name="_x0013__Electric Rev Req Model (2009 GRC)  2 2 2" xfId="11299"/>
    <cellStyle name="_x0013__Electric Rev Req Model (2009 GRC)  2 3" xfId="11300"/>
    <cellStyle name="_x0013__Electric Rev Req Model (2009 GRC)  3" xfId="11301"/>
    <cellStyle name="_x0013__Electric Rev Req Model (2009 GRC)  3 2" xfId="11302"/>
    <cellStyle name="_x0013__Electric Rev Req Model (2009 GRC)  4" xfId="11303"/>
    <cellStyle name="_x0013__Electric Rev Req Model (2009 GRC) _DEM-WP(C) ENERG10C--ctn Mid-C_042010 2010GRC" xfId="11304"/>
    <cellStyle name="_x0013__Electric Rev Req Model (2009 GRC) _DEM-WP(C) ENERG10C--ctn Mid-C_042010 2010GRC 2" xfId="11305"/>
    <cellStyle name="_x0013__Electric Rev Req Model (2009 GRC) Rebuttal" xfId="604"/>
    <cellStyle name="_x0013__Electric Rev Req Model (2009 GRC) Rebuttal 2" xfId="11306"/>
    <cellStyle name="_x0013__Electric Rev Req Model (2009 GRC) Rebuttal 2 2" xfId="11307"/>
    <cellStyle name="_x0013__Electric Rev Req Model (2009 GRC) Rebuttal 2 2 2" xfId="11308"/>
    <cellStyle name="_x0013__Electric Rev Req Model (2009 GRC) Rebuttal 2 3" xfId="11309"/>
    <cellStyle name="_x0013__Electric Rev Req Model (2009 GRC) Rebuttal 3" xfId="11310"/>
    <cellStyle name="_x0013__Electric Rev Req Model (2009 GRC) Rebuttal 3 2" xfId="11311"/>
    <cellStyle name="_x0013__Electric Rev Req Model (2009 GRC) Rebuttal 4" xfId="11312"/>
    <cellStyle name="_x0013__Electric Rev Req Model (2009 GRC) Rebuttal REmoval of New  WH Solar AdjustMI" xfId="605"/>
    <cellStyle name="_x0013__Electric Rev Req Model (2009 GRC) Rebuttal REmoval of New  WH Solar AdjustMI 2" xfId="11313"/>
    <cellStyle name="_x0013__Electric Rev Req Model (2009 GRC) Rebuttal REmoval of New  WH Solar AdjustMI 2 2" xfId="11314"/>
    <cellStyle name="_x0013__Electric Rev Req Model (2009 GRC) Rebuttal REmoval of New  WH Solar AdjustMI 2 2 2" xfId="11315"/>
    <cellStyle name="_x0013__Electric Rev Req Model (2009 GRC) Rebuttal REmoval of New  WH Solar AdjustMI 2 3" xfId="11316"/>
    <cellStyle name="_x0013__Electric Rev Req Model (2009 GRC) Rebuttal REmoval of New  WH Solar AdjustMI 3" xfId="11317"/>
    <cellStyle name="_x0013__Electric Rev Req Model (2009 GRC) Rebuttal REmoval of New  WH Solar AdjustMI 3 2" xfId="11318"/>
    <cellStyle name="_x0013__Electric Rev Req Model (2009 GRC) Rebuttal REmoval of New  WH Solar AdjustMI 4" xfId="11319"/>
    <cellStyle name="_x0013__Electric Rev Req Model (2009 GRC) Rebuttal REmoval of New  WH Solar AdjustMI_DEM-WP(C) ENERG10C--ctn Mid-C_042010 2010GRC" xfId="11320"/>
    <cellStyle name="_x0013__Electric Rev Req Model (2009 GRC) Rebuttal REmoval of New  WH Solar AdjustMI_DEM-WP(C) ENERG10C--ctn Mid-C_042010 2010GRC 2" xfId="11321"/>
    <cellStyle name="_x0013__Electric Rev Req Model (2009 GRC) Revised 01-18-2010" xfId="606"/>
    <cellStyle name="_x0013__Electric Rev Req Model (2009 GRC) Revised 01-18-2010 2" xfId="11322"/>
    <cellStyle name="_x0013__Electric Rev Req Model (2009 GRC) Revised 01-18-2010 2 2" xfId="11323"/>
    <cellStyle name="_x0013__Electric Rev Req Model (2009 GRC) Revised 01-18-2010 2 2 2" xfId="11324"/>
    <cellStyle name="_x0013__Electric Rev Req Model (2009 GRC) Revised 01-18-2010 2 3" xfId="11325"/>
    <cellStyle name="_x0013__Electric Rev Req Model (2009 GRC) Revised 01-18-2010 3" xfId="11326"/>
    <cellStyle name="_x0013__Electric Rev Req Model (2009 GRC) Revised 01-18-2010 3 2" xfId="11327"/>
    <cellStyle name="_x0013__Electric Rev Req Model (2009 GRC) Revised 01-18-2010 4" xfId="11328"/>
    <cellStyle name="_x0013__Electric Rev Req Model (2009 GRC) Revised 01-18-2010_DEM-WP(C) ENERG10C--ctn Mid-C_042010 2010GRC" xfId="11329"/>
    <cellStyle name="_x0013__Electric Rev Req Model (2009 GRC) Revised 01-18-2010_DEM-WP(C) ENERG10C--ctn Mid-C_042010 2010GRC 2" xfId="11330"/>
    <cellStyle name="_x0013__Electric Rev Req Model (2010 GRC)" xfId="11331"/>
    <cellStyle name="_x0013__Electric Rev Req Model (2010 GRC) 2" xfId="11332"/>
    <cellStyle name="_x0013__Electric Rev Req Model (2010 GRC) SF" xfId="11333"/>
    <cellStyle name="_x0013__Electric Rev Req Model (2010 GRC) SF 2" xfId="11334"/>
    <cellStyle name="_ENCOGEN_WBOOK" xfId="11335"/>
    <cellStyle name="_ENCOGEN_WBOOK 2" xfId="11336"/>
    <cellStyle name="_ENCOGEN_WBOOK 2 2" xfId="11337"/>
    <cellStyle name="_ENCOGEN_WBOOK 2 2 2" xfId="11338"/>
    <cellStyle name="_ENCOGEN_WBOOK 2 3" xfId="11339"/>
    <cellStyle name="_ENCOGEN_WBOOK 3" xfId="11340"/>
    <cellStyle name="_ENCOGEN_WBOOK 3 2" xfId="11341"/>
    <cellStyle name="_ENCOGEN_WBOOK 4" xfId="11342"/>
    <cellStyle name="_ENCOGEN_WBOOK_DEM-WP(C) ENERG10C--ctn Mid-C_042010 2010GRC" xfId="11343"/>
    <cellStyle name="_ENCOGEN_WBOOK_DEM-WP(C) ENERG10C--ctn Mid-C_042010 2010GRC 2" xfId="11344"/>
    <cellStyle name="_ENCOGEN_WBOOK_NIM Summary" xfId="11345"/>
    <cellStyle name="_ENCOGEN_WBOOK_NIM Summary 2" xfId="11346"/>
    <cellStyle name="_ENCOGEN_WBOOK_NIM Summary 2 2" xfId="11347"/>
    <cellStyle name="_ENCOGEN_WBOOK_NIM Summary 2 2 2" xfId="11348"/>
    <cellStyle name="_ENCOGEN_WBOOK_NIM Summary 2 3" xfId="11349"/>
    <cellStyle name="_ENCOGEN_WBOOK_NIM Summary 3" xfId="11350"/>
    <cellStyle name="_ENCOGEN_WBOOK_NIM Summary 3 2" xfId="11351"/>
    <cellStyle name="_ENCOGEN_WBOOK_NIM Summary 4" xfId="11352"/>
    <cellStyle name="_ENCOGEN_WBOOK_NIM Summary_DEM-WP(C) ENERG10C--ctn Mid-C_042010 2010GRC" xfId="11353"/>
    <cellStyle name="_ENCOGEN_WBOOK_NIM Summary_DEM-WP(C) ENERG10C--ctn Mid-C_042010 2010GRC 2" xfId="11354"/>
    <cellStyle name="_x0013__Final Order Electric EXHIBIT A-1" xfId="607"/>
    <cellStyle name="_x0013__Final Order Electric EXHIBIT A-1 2" xfId="11355"/>
    <cellStyle name="_x0013__Final Order Electric EXHIBIT A-1 2 2" xfId="11356"/>
    <cellStyle name="_x0013__Final Order Electric EXHIBIT A-1 2 2 2" xfId="11357"/>
    <cellStyle name="_x0013__Final Order Electric EXHIBIT A-1 2 3" xfId="11358"/>
    <cellStyle name="_x0013__Final Order Electric EXHIBIT A-1 3" xfId="11359"/>
    <cellStyle name="_x0013__Final Order Electric EXHIBIT A-1 3 2" xfId="11360"/>
    <cellStyle name="_x0013__Final Order Electric EXHIBIT A-1 4" xfId="11361"/>
    <cellStyle name="_Fixed Gas Transport 1 19 09" xfId="608"/>
    <cellStyle name="_Fixed Gas Transport 1 19 09 2" xfId="11362"/>
    <cellStyle name="_Fixed Gas Transport 1 19 09 2 2" xfId="11363"/>
    <cellStyle name="_Fixed Gas Transport 1 19 09 2 2 2" xfId="11364"/>
    <cellStyle name="_Fixed Gas Transport 1 19 09 2 2 2 2" xfId="11365"/>
    <cellStyle name="_Fixed Gas Transport 1 19 09 2 2 3" xfId="11366"/>
    <cellStyle name="_Fixed Gas Transport 1 19 09 2 3" xfId="11367"/>
    <cellStyle name="_Fixed Gas Transport 1 19 09 2 3 2" xfId="11368"/>
    <cellStyle name="_Fixed Gas Transport 1 19 09 2 4" xfId="11369"/>
    <cellStyle name="_Fixed Gas Transport 1 19 09 3" xfId="11370"/>
    <cellStyle name="_Fixed Gas Transport 1 19 09 3 2" xfId="11371"/>
    <cellStyle name="_Fixed Gas Transport 1 19 09 4" xfId="11372"/>
    <cellStyle name="_Fixed Gas Transport 1 19 09_DEM-WP(C) ENERG10C--ctn Mid-C_042010 2010GRC" xfId="11373"/>
    <cellStyle name="_Fixed Gas Transport 1 19 09_DEM-WP(C) ENERG10C--ctn Mid-C_042010 2010GRC 2" xfId="11374"/>
    <cellStyle name="_Fuel Prices 4-14" xfId="609"/>
    <cellStyle name="_Fuel Prices 4-14 10" xfId="11375"/>
    <cellStyle name="_Fuel Prices 4-14 10 2" xfId="11376"/>
    <cellStyle name="_Fuel Prices 4-14 2" xfId="610"/>
    <cellStyle name="_Fuel Prices 4-14 2 2" xfId="11377"/>
    <cellStyle name="_Fuel Prices 4-14 2 2 2" xfId="11378"/>
    <cellStyle name="_Fuel Prices 4-14 2 2 2 2" xfId="11379"/>
    <cellStyle name="_Fuel Prices 4-14 2 2 3" xfId="11380"/>
    <cellStyle name="_Fuel Prices 4-14 2 3" xfId="11381"/>
    <cellStyle name="_Fuel Prices 4-14 2 3 2" xfId="11382"/>
    <cellStyle name="_Fuel Prices 4-14 2 4" xfId="11383"/>
    <cellStyle name="_Fuel Prices 4-14 3" xfId="11384"/>
    <cellStyle name="_Fuel Prices 4-14 3 2" xfId="11385"/>
    <cellStyle name="_Fuel Prices 4-14 3 2 2" xfId="11386"/>
    <cellStyle name="_Fuel Prices 4-14 3 3" xfId="11387"/>
    <cellStyle name="_Fuel Prices 4-14 4" xfId="11388"/>
    <cellStyle name="_Fuel Prices 4-14 4 2" xfId="11389"/>
    <cellStyle name="_Fuel Prices 4-14 4 2 2" xfId="11390"/>
    <cellStyle name="_Fuel Prices 4-14 4 2 2 2" xfId="11391"/>
    <cellStyle name="_Fuel Prices 4-14 4 2 3" xfId="11392"/>
    <cellStyle name="_Fuel Prices 4-14 4 3" xfId="11393"/>
    <cellStyle name="_Fuel Prices 4-14 4 3 2" xfId="11394"/>
    <cellStyle name="_Fuel Prices 4-14 4 4" xfId="11395"/>
    <cellStyle name="_Fuel Prices 4-14 5" xfId="11396"/>
    <cellStyle name="_Fuel Prices 4-14 5 2" xfId="11397"/>
    <cellStyle name="_Fuel Prices 4-14 5 2 2" xfId="11398"/>
    <cellStyle name="_Fuel Prices 4-14 5 2 2 2" xfId="11399"/>
    <cellStyle name="_Fuel Prices 4-14 5 2 3" xfId="11400"/>
    <cellStyle name="_Fuel Prices 4-14 5 2 4" xfId="11401"/>
    <cellStyle name="_Fuel Prices 4-14 5 3" xfId="11402"/>
    <cellStyle name="_Fuel Prices 4-14 5 3 2" xfId="11403"/>
    <cellStyle name="_Fuel Prices 4-14 5 3 3" xfId="11404"/>
    <cellStyle name="_Fuel Prices 4-14 5 4" xfId="11405"/>
    <cellStyle name="_Fuel Prices 4-14 6" xfId="11406"/>
    <cellStyle name="_Fuel Prices 4-14 6 2" xfId="11407"/>
    <cellStyle name="_Fuel Prices 4-14 6 2 2" xfId="11408"/>
    <cellStyle name="_Fuel Prices 4-14 6 2 2 2" xfId="11409"/>
    <cellStyle name="_Fuel Prices 4-14 6 2 3" xfId="11410"/>
    <cellStyle name="_Fuel Prices 4-14 6 3" xfId="11411"/>
    <cellStyle name="_Fuel Prices 4-14 6 3 2" xfId="11412"/>
    <cellStyle name="_Fuel Prices 4-14 6 4" xfId="11413"/>
    <cellStyle name="_Fuel Prices 4-14 7" xfId="11414"/>
    <cellStyle name="_Fuel Prices 4-14 7 2" xfId="11415"/>
    <cellStyle name="_Fuel Prices 4-14 7 2 2" xfId="11416"/>
    <cellStyle name="_Fuel Prices 4-14 7 3" xfId="11417"/>
    <cellStyle name="_Fuel Prices 4-14 8" xfId="11418"/>
    <cellStyle name="_Fuel Prices 4-14 8 2" xfId="11419"/>
    <cellStyle name="_Fuel Prices 4-14 8 2 2" xfId="11420"/>
    <cellStyle name="_Fuel Prices 4-14 8 3" xfId="11421"/>
    <cellStyle name="_Fuel Prices 4-14 9" xfId="11422"/>
    <cellStyle name="_Fuel Prices 4-14 9 2" xfId="11423"/>
    <cellStyle name="_Fuel Prices 4-14 9 2 2" xfId="11424"/>
    <cellStyle name="_Fuel Prices 4-14 9 3" xfId="11425"/>
    <cellStyle name="_Fuel Prices 4-14_04 07E Wild Horse Wind Expansion (C) (2)" xfId="611"/>
    <cellStyle name="_Fuel Prices 4-14_04 07E Wild Horse Wind Expansion (C) (2) 2" xfId="11426"/>
    <cellStyle name="_Fuel Prices 4-14_04 07E Wild Horse Wind Expansion (C) (2) 2 2" xfId="11427"/>
    <cellStyle name="_Fuel Prices 4-14_04 07E Wild Horse Wind Expansion (C) (2) 2 2 2" xfId="11428"/>
    <cellStyle name="_Fuel Prices 4-14_04 07E Wild Horse Wind Expansion (C) (2) 2 3" xfId="11429"/>
    <cellStyle name="_Fuel Prices 4-14_04 07E Wild Horse Wind Expansion (C) (2) 3" xfId="11430"/>
    <cellStyle name="_Fuel Prices 4-14_04 07E Wild Horse Wind Expansion (C) (2) 3 2" xfId="11431"/>
    <cellStyle name="_Fuel Prices 4-14_04 07E Wild Horse Wind Expansion (C) (2) 4" xfId="11432"/>
    <cellStyle name="_Fuel Prices 4-14_04 07E Wild Horse Wind Expansion (C) (2)_Adj Bench DR 3 for Initial Briefs (Electric)" xfId="612"/>
    <cellStyle name="_Fuel Prices 4-14_04 07E Wild Horse Wind Expansion (C) (2)_Adj Bench DR 3 for Initial Briefs (Electric) 2" xfId="11433"/>
    <cellStyle name="_Fuel Prices 4-14_04 07E Wild Horse Wind Expansion (C) (2)_Adj Bench DR 3 for Initial Briefs (Electric) 2 2" xfId="11434"/>
    <cellStyle name="_Fuel Prices 4-14_04 07E Wild Horse Wind Expansion (C) (2)_Adj Bench DR 3 for Initial Briefs (Electric) 2 2 2" xfId="11435"/>
    <cellStyle name="_Fuel Prices 4-14_04 07E Wild Horse Wind Expansion (C) (2)_Adj Bench DR 3 for Initial Briefs (Electric) 2 3" xfId="11436"/>
    <cellStyle name="_Fuel Prices 4-14_04 07E Wild Horse Wind Expansion (C) (2)_Adj Bench DR 3 for Initial Briefs (Electric) 3" xfId="11437"/>
    <cellStyle name="_Fuel Prices 4-14_04 07E Wild Horse Wind Expansion (C) (2)_Adj Bench DR 3 for Initial Briefs (Electric) 3 2" xfId="11438"/>
    <cellStyle name="_Fuel Prices 4-14_04 07E Wild Horse Wind Expansion (C) (2)_Adj Bench DR 3 for Initial Briefs (Electric) 4" xfId="11439"/>
    <cellStyle name="_Fuel Prices 4-14_04 07E Wild Horse Wind Expansion (C) (2)_Adj Bench DR 3 for Initial Briefs (Electric)_DEM-WP(C) ENERG10C--ctn Mid-C_042010 2010GRC" xfId="11440"/>
    <cellStyle name="_Fuel Prices 4-14_04 07E Wild Horse Wind Expansion (C) (2)_Adj Bench DR 3 for Initial Briefs (Electric)_DEM-WP(C) ENERG10C--ctn Mid-C_042010 2010GRC 2" xfId="11441"/>
    <cellStyle name="_Fuel Prices 4-14_04 07E Wild Horse Wind Expansion (C) (2)_Book1" xfId="11442"/>
    <cellStyle name="_Fuel Prices 4-14_04 07E Wild Horse Wind Expansion (C) (2)_Book1 2" xfId="11443"/>
    <cellStyle name="_Fuel Prices 4-14_04 07E Wild Horse Wind Expansion (C) (2)_DEM-WP(C) ENERG10C--ctn Mid-C_042010 2010GRC" xfId="11444"/>
    <cellStyle name="_Fuel Prices 4-14_04 07E Wild Horse Wind Expansion (C) (2)_DEM-WP(C) ENERG10C--ctn Mid-C_042010 2010GRC 2" xfId="11445"/>
    <cellStyle name="_Fuel Prices 4-14_04 07E Wild Horse Wind Expansion (C) (2)_Electric Rev Req Model (2009 GRC) " xfId="613"/>
    <cellStyle name="_Fuel Prices 4-14_04 07E Wild Horse Wind Expansion (C) (2)_Electric Rev Req Model (2009 GRC)  2" xfId="11446"/>
    <cellStyle name="_Fuel Prices 4-14_04 07E Wild Horse Wind Expansion (C) (2)_Electric Rev Req Model (2009 GRC)  2 2" xfId="11447"/>
    <cellStyle name="_Fuel Prices 4-14_04 07E Wild Horse Wind Expansion (C) (2)_Electric Rev Req Model (2009 GRC)  2 2 2" xfId="11448"/>
    <cellStyle name="_Fuel Prices 4-14_04 07E Wild Horse Wind Expansion (C) (2)_Electric Rev Req Model (2009 GRC)  2 3" xfId="11449"/>
    <cellStyle name="_Fuel Prices 4-14_04 07E Wild Horse Wind Expansion (C) (2)_Electric Rev Req Model (2009 GRC)  3" xfId="11450"/>
    <cellStyle name="_Fuel Prices 4-14_04 07E Wild Horse Wind Expansion (C) (2)_Electric Rev Req Model (2009 GRC)  3 2" xfId="11451"/>
    <cellStyle name="_Fuel Prices 4-14_04 07E Wild Horse Wind Expansion (C) (2)_Electric Rev Req Model (2009 GRC)  4" xfId="11452"/>
    <cellStyle name="_Fuel Prices 4-14_04 07E Wild Horse Wind Expansion (C) (2)_Electric Rev Req Model (2009 GRC) _DEM-WP(C) ENERG10C--ctn Mid-C_042010 2010GRC" xfId="11453"/>
    <cellStyle name="_Fuel Prices 4-14_04 07E Wild Horse Wind Expansion (C) (2)_Electric Rev Req Model (2009 GRC) _DEM-WP(C) ENERG10C--ctn Mid-C_042010 2010GRC 2" xfId="11454"/>
    <cellStyle name="_Fuel Prices 4-14_04 07E Wild Horse Wind Expansion (C) (2)_Electric Rev Req Model (2009 GRC) Rebuttal" xfId="614"/>
    <cellStyle name="_Fuel Prices 4-14_04 07E Wild Horse Wind Expansion (C) (2)_Electric Rev Req Model (2009 GRC) Rebuttal 2" xfId="11455"/>
    <cellStyle name="_Fuel Prices 4-14_04 07E Wild Horse Wind Expansion (C) (2)_Electric Rev Req Model (2009 GRC) Rebuttal 2 2" xfId="11456"/>
    <cellStyle name="_Fuel Prices 4-14_04 07E Wild Horse Wind Expansion (C) (2)_Electric Rev Req Model (2009 GRC) Rebuttal 2 2 2" xfId="11457"/>
    <cellStyle name="_Fuel Prices 4-14_04 07E Wild Horse Wind Expansion (C) (2)_Electric Rev Req Model (2009 GRC) Rebuttal 2 3" xfId="11458"/>
    <cellStyle name="_Fuel Prices 4-14_04 07E Wild Horse Wind Expansion (C) (2)_Electric Rev Req Model (2009 GRC) Rebuttal 3" xfId="11459"/>
    <cellStyle name="_Fuel Prices 4-14_04 07E Wild Horse Wind Expansion (C) (2)_Electric Rev Req Model (2009 GRC) Rebuttal 3 2" xfId="11460"/>
    <cellStyle name="_Fuel Prices 4-14_04 07E Wild Horse Wind Expansion (C) (2)_Electric Rev Req Model (2009 GRC) Rebuttal 4" xfId="11461"/>
    <cellStyle name="_Fuel Prices 4-14_04 07E Wild Horse Wind Expansion (C) (2)_Electric Rev Req Model (2009 GRC) Rebuttal REmoval of New  WH Solar AdjustMI" xfId="615"/>
    <cellStyle name="_Fuel Prices 4-14_04 07E Wild Horse Wind Expansion (C) (2)_Electric Rev Req Model (2009 GRC) Rebuttal REmoval of New  WH Solar AdjustMI 2" xfId="11462"/>
    <cellStyle name="_Fuel Prices 4-14_04 07E Wild Horse Wind Expansion (C) (2)_Electric Rev Req Model (2009 GRC) Rebuttal REmoval of New  WH Solar AdjustMI 2 2" xfId="11463"/>
    <cellStyle name="_Fuel Prices 4-14_04 07E Wild Horse Wind Expansion (C) (2)_Electric Rev Req Model (2009 GRC) Rebuttal REmoval of New  WH Solar AdjustMI 2 2 2" xfId="11464"/>
    <cellStyle name="_Fuel Prices 4-14_04 07E Wild Horse Wind Expansion (C) (2)_Electric Rev Req Model (2009 GRC) Rebuttal REmoval of New  WH Solar AdjustMI 2 3" xfId="11465"/>
    <cellStyle name="_Fuel Prices 4-14_04 07E Wild Horse Wind Expansion (C) (2)_Electric Rev Req Model (2009 GRC) Rebuttal REmoval of New  WH Solar AdjustMI 3" xfId="11466"/>
    <cellStyle name="_Fuel Prices 4-14_04 07E Wild Horse Wind Expansion (C) (2)_Electric Rev Req Model (2009 GRC) Rebuttal REmoval of New  WH Solar AdjustMI 3 2" xfId="11467"/>
    <cellStyle name="_Fuel Prices 4-14_04 07E Wild Horse Wind Expansion (C) (2)_Electric Rev Req Model (2009 GRC) Rebuttal REmoval of New  WH Solar AdjustMI 4" xfId="11468"/>
    <cellStyle name="_Fuel Prices 4-14_04 07E Wild Horse Wind Expansion (C) (2)_Electric Rev Req Model (2009 GRC) Rebuttal REmoval of New  WH Solar AdjustMI_DEM-WP(C) ENERG10C--ctn Mid-C_042010 2010GRC" xfId="11469"/>
    <cellStyle name="_Fuel Prices 4-14_04 07E Wild Horse Wind Expansion (C) (2)_Electric Rev Req Model (2009 GRC) Rebuttal REmoval of New  WH Solar AdjustMI_DEM-WP(C) ENERG10C--ctn Mid-C_042010 2010GRC 2" xfId="11470"/>
    <cellStyle name="_Fuel Prices 4-14_04 07E Wild Horse Wind Expansion (C) (2)_Electric Rev Req Model (2009 GRC) Revised 01-18-2010" xfId="616"/>
    <cellStyle name="_Fuel Prices 4-14_04 07E Wild Horse Wind Expansion (C) (2)_Electric Rev Req Model (2009 GRC) Revised 01-18-2010 2" xfId="11471"/>
    <cellStyle name="_Fuel Prices 4-14_04 07E Wild Horse Wind Expansion (C) (2)_Electric Rev Req Model (2009 GRC) Revised 01-18-2010 2 2" xfId="11472"/>
    <cellStyle name="_Fuel Prices 4-14_04 07E Wild Horse Wind Expansion (C) (2)_Electric Rev Req Model (2009 GRC) Revised 01-18-2010 2 2 2" xfId="11473"/>
    <cellStyle name="_Fuel Prices 4-14_04 07E Wild Horse Wind Expansion (C) (2)_Electric Rev Req Model (2009 GRC) Revised 01-18-2010 2 3" xfId="11474"/>
    <cellStyle name="_Fuel Prices 4-14_04 07E Wild Horse Wind Expansion (C) (2)_Electric Rev Req Model (2009 GRC) Revised 01-18-2010 3" xfId="11475"/>
    <cellStyle name="_Fuel Prices 4-14_04 07E Wild Horse Wind Expansion (C) (2)_Electric Rev Req Model (2009 GRC) Revised 01-18-2010 3 2" xfId="11476"/>
    <cellStyle name="_Fuel Prices 4-14_04 07E Wild Horse Wind Expansion (C) (2)_Electric Rev Req Model (2009 GRC) Revised 01-18-2010 4" xfId="11477"/>
    <cellStyle name="_Fuel Prices 4-14_04 07E Wild Horse Wind Expansion (C) (2)_Electric Rev Req Model (2009 GRC) Revised 01-18-2010_DEM-WP(C) ENERG10C--ctn Mid-C_042010 2010GRC" xfId="11478"/>
    <cellStyle name="_Fuel Prices 4-14_04 07E Wild Horse Wind Expansion (C) (2)_Electric Rev Req Model (2009 GRC) Revised 01-18-2010_DEM-WP(C) ENERG10C--ctn Mid-C_042010 2010GRC 2" xfId="11479"/>
    <cellStyle name="_Fuel Prices 4-14_04 07E Wild Horse Wind Expansion (C) (2)_Electric Rev Req Model (2010 GRC)" xfId="11480"/>
    <cellStyle name="_Fuel Prices 4-14_04 07E Wild Horse Wind Expansion (C) (2)_Electric Rev Req Model (2010 GRC) 2" xfId="11481"/>
    <cellStyle name="_Fuel Prices 4-14_04 07E Wild Horse Wind Expansion (C) (2)_Electric Rev Req Model (2010 GRC) SF" xfId="11482"/>
    <cellStyle name="_Fuel Prices 4-14_04 07E Wild Horse Wind Expansion (C) (2)_Electric Rev Req Model (2010 GRC) SF 2" xfId="11483"/>
    <cellStyle name="_Fuel Prices 4-14_04 07E Wild Horse Wind Expansion (C) (2)_Final Order Electric EXHIBIT A-1" xfId="617"/>
    <cellStyle name="_Fuel Prices 4-14_04 07E Wild Horse Wind Expansion (C) (2)_Final Order Electric EXHIBIT A-1 2" xfId="11484"/>
    <cellStyle name="_Fuel Prices 4-14_04 07E Wild Horse Wind Expansion (C) (2)_Final Order Electric EXHIBIT A-1 2 2" xfId="11485"/>
    <cellStyle name="_Fuel Prices 4-14_04 07E Wild Horse Wind Expansion (C) (2)_Final Order Electric EXHIBIT A-1 2 2 2" xfId="11486"/>
    <cellStyle name="_Fuel Prices 4-14_04 07E Wild Horse Wind Expansion (C) (2)_Final Order Electric EXHIBIT A-1 2 3" xfId="11487"/>
    <cellStyle name="_Fuel Prices 4-14_04 07E Wild Horse Wind Expansion (C) (2)_Final Order Electric EXHIBIT A-1 3" xfId="11488"/>
    <cellStyle name="_Fuel Prices 4-14_04 07E Wild Horse Wind Expansion (C) (2)_Final Order Electric EXHIBIT A-1 3 2" xfId="11489"/>
    <cellStyle name="_Fuel Prices 4-14_04 07E Wild Horse Wind Expansion (C) (2)_Final Order Electric EXHIBIT A-1 4" xfId="11490"/>
    <cellStyle name="_Fuel Prices 4-14_04 07E Wild Horse Wind Expansion (C) (2)_TENASKA REGULATORY ASSET" xfId="618"/>
    <cellStyle name="_Fuel Prices 4-14_04 07E Wild Horse Wind Expansion (C) (2)_TENASKA REGULATORY ASSET 2" xfId="11491"/>
    <cellStyle name="_Fuel Prices 4-14_04 07E Wild Horse Wind Expansion (C) (2)_TENASKA REGULATORY ASSET 2 2" xfId="11492"/>
    <cellStyle name="_Fuel Prices 4-14_04 07E Wild Horse Wind Expansion (C) (2)_TENASKA REGULATORY ASSET 2 2 2" xfId="11493"/>
    <cellStyle name="_Fuel Prices 4-14_04 07E Wild Horse Wind Expansion (C) (2)_TENASKA REGULATORY ASSET 2 3" xfId="11494"/>
    <cellStyle name="_Fuel Prices 4-14_04 07E Wild Horse Wind Expansion (C) (2)_TENASKA REGULATORY ASSET 3" xfId="11495"/>
    <cellStyle name="_Fuel Prices 4-14_04 07E Wild Horse Wind Expansion (C) (2)_TENASKA REGULATORY ASSET 3 2" xfId="11496"/>
    <cellStyle name="_Fuel Prices 4-14_04 07E Wild Horse Wind Expansion (C) (2)_TENASKA REGULATORY ASSET 4" xfId="11497"/>
    <cellStyle name="_Fuel Prices 4-14_16.37E Wild Horse Expansion DeferralRevwrkingfile SF" xfId="619"/>
    <cellStyle name="_Fuel Prices 4-14_16.37E Wild Horse Expansion DeferralRevwrkingfile SF 2" xfId="11498"/>
    <cellStyle name="_Fuel Prices 4-14_16.37E Wild Horse Expansion DeferralRevwrkingfile SF 2 2" xfId="11499"/>
    <cellStyle name="_Fuel Prices 4-14_16.37E Wild Horse Expansion DeferralRevwrkingfile SF 2 2 2" xfId="11500"/>
    <cellStyle name="_Fuel Prices 4-14_16.37E Wild Horse Expansion DeferralRevwrkingfile SF 2 3" xfId="11501"/>
    <cellStyle name="_Fuel Prices 4-14_16.37E Wild Horse Expansion DeferralRevwrkingfile SF 3" xfId="11502"/>
    <cellStyle name="_Fuel Prices 4-14_16.37E Wild Horse Expansion DeferralRevwrkingfile SF 3 2" xfId="11503"/>
    <cellStyle name="_Fuel Prices 4-14_16.37E Wild Horse Expansion DeferralRevwrkingfile SF 4" xfId="11504"/>
    <cellStyle name="_Fuel Prices 4-14_16.37E Wild Horse Expansion DeferralRevwrkingfile SF_DEM-WP(C) ENERG10C--ctn Mid-C_042010 2010GRC" xfId="11505"/>
    <cellStyle name="_Fuel Prices 4-14_16.37E Wild Horse Expansion DeferralRevwrkingfile SF_DEM-WP(C) ENERG10C--ctn Mid-C_042010 2010GRC 2" xfId="11506"/>
    <cellStyle name="_Fuel Prices 4-14_2009 Compliance Filing PCA Exhibits for GRC" xfId="11507"/>
    <cellStyle name="_Fuel Prices 4-14_2009 Compliance Filing PCA Exhibits for GRC 2" xfId="11508"/>
    <cellStyle name="_Fuel Prices 4-14_2009 Compliance Filing PCA Exhibits for GRC 2 2" xfId="11509"/>
    <cellStyle name="_Fuel Prices 4-14_2009 Compliance Filing PCA Exhibits for GRC 3" xfId="11510"/>
    <cellStyle name="_Fuel Prices 4-14_2009 GRC Compl Filing - Exhibit D" xfId="620"/>
    <cellStyle name="_Fuel Prices 4-14_2009 GRC Compl Filing - Exhibit D 2" xfId="11511"/>
    <cellStyle name="_Fuel Prices 4-14_2009 GRC Compl Filing - Exhibit D 2 2" xfId="11512"/>
    <cellStyle name="_Fuel Prices 4-14_2009 GRC Compl Filing - Exhibit D 2 2 2" xfId="11513"/>
    <cellStyle name="_Fuel Prices 4-14_2009 GRC Compl Filing - Exhibit D 2 3" xfId="11514"/>
    <cellStyle name="_Fuel Prices 4-14_2009 GRC Compl Filing - Exhibit D 3" xfId="11515"/>
    <cellStyle name="_Fuel Prices 4-14_2009 GRC Compl Filing - Exhibit D 3 2" xfId="11516"/>
    <cellStyle name="_Fuel Prices 4-14_2009 GRC Compl Filing - Exhibit D 4" xfId="11517"/>
    <cellStyle name="_Fuel Prices 4-14_2009 GRC Compl Filing - Exhibit D_DEM-WP(C) ENERG10C--ctn Mid-C_042010 2010GRC" xfId="11518"/>
    <cellStyle name="_Fuel Prices 4-14_2009 GRC Compl Filing - Exhibit D_DEM-WP(C) ENERG10C--ctn Mid-C_042010 2010GRC 2" xfId="11519"/>
    <cellStyle name="_Fuel Prices 4-14_3.01 Income Statement" xfId="621"/>
    <cellStyle name="_Fuel Prices 4-14_4 31 Regulatory Assets and Liabilities  7 06- Exhibit D" xfId="622"/>
    <cellStyle name="_Fuel Prices 4-14_4 31 Regulatory Assets and Liabilities  7 06- Exhibit D 2" xfId="11520"/>
    <cellStyle name="_Fuel Prices 4-14_4 31 Regulatory Assets and Liabilities  7 06- Exhibit D 2 2" xfId="11521"/>
    <cellStyle name="_Fuel Prices 4-14_4 31 Regulatory Assets and Liabilities  7 06- Exhibit D 2 2 2" xfId="11522"/>
    <cellStyle name="_Fuel Prices 4-14_4 31 Regulatory Assets and Liabilities  7 06- Exhibit D 2 2 2 2" xfId="11523"/>
    <cellStyle name="_Fuel Prices 4-14_4 31 Regulatory Assets and Liabilities  7 06- Exhibit D 2 2 3" xfId="11524"/>
    <cellStyle name="_Fuel Prices 4-14_4 31 Regulatory Assets and Liabilities  7 06- Exhibit D 2 3" xfId="11525"/>
    <cellStyle name="_Fuel Prices 4-14_4 31 Regulatory Assets and Liabilities  7 06- Exhibit D 3" xfId="11526"/>
    <cellStyle name="_Fuel Prices 4-14_4 31 Regulatory Assets and Liabilities  7 06- Exhibit D 3 2" xfId="11527"/>
    <cellStyle name="_Fuel Prices 4-14_4 31 Regulatory Assets and Liabilities  7 06- Exhibit D 4" xfId="11528"/>
    <cellStyle name="_Fuel Prices 4-14_4 31 Regulatory Assets and Liabilities  7 06- Exhibit D_DEM-WP(C) ENERG10C--ctn Mid-C_042010 2010GRC" xfId="11529"/>
    <cellStyle name="_Fuel Prices 4-14_4 31 Regulatory Assets and Liabilities  7 06- Exhibit D_DEM-WP(C) ENERG10C--ctn Mid-C_042010 2010GRC 2" xfId="11530"/>
    <cellStyle name="_Fuel Prices 4-14_4 31 Regulatory Assets and Liabilities  7 06- Exhibit D_NIM Summary" xfId="11531"/>
    <cellStyle name="_Fuel Prices 4-14_4 31 Regulatory Assets and Liabilities  7 06- Exhibit D_NIM Summary 2" xfId="11532"/>
    <cellStyle name="_Fuel Prices 4-14_4 31 Regulatory Assets and Liabilities  7 06- Exhibit D_NIM Summary 2 2" xfId="11533"/>
    <cellStyle name="_Fuel Prices 4-14_4 31 Regulatory Assets and Liabilities  7 06- Exhibit D_NIM Summary 2 2 2" xfId="11534"/>
    <cellStyle name="_Fuel Prices 4-14_4 31 Regulatory Assets and Liabilities  7 06- Exhibit D_NIM Summary 2 3" xfId="11535"/>
    <cellStyle name="_Fuel Prices 4-14_4 31 Regulatory Assets and Liabilities  7 06- Exhibit D_NIM Summary 3" xfId="11536"/>
    <cellStyle name="_Fuel Prices 4-14_4 31 Regulatory Assets and Liabilities  7 06- Exhibit D_NIM Summary 3 2" xfId="11537"/>
    <cellStyle name="_Fuel Prices 4-14_4 31 Regulatory Assets and Liabilities  7 06- Exhibit D_NIM Summary 4" xfId="11538"/>
    <cellStyle name="_Fuel Prices 4-14_4 31 Regulatory Assets and Liabilities  7 06- Exhibit D_NIM Summary_DEM-WP(C) ENERG10C--ctn Mid-C_042010 2010GRC" xfId="11539"/>
    <cellStyle name="_Fuel Prices 4-14_4 31 Regulatory Assets and Liabilities  7 06- Exhibit D_NIM Summary_DEM-WP(C) ENERG10C--ctn Mid-C_042010 2010GRC 2" xfId="11540"/>
    <cellStyle name="_Fuel Prices 4-14_4 31 Regulatory Assets and Liabilities  7 06- Exhibit D_NIM+O&amp;M" xfId="11541"/>
    <cellStyle name="_Fuel Prices 4-14_4 31 Regulatory Assets and Liabilities  7 06- Exhibit D_NIM+O&amp;M 2" xfId="11542"/>
    <cellStyle name="_Fuel Prices 4-14_4 31 Regulatory Assets and Liabilities  7 06- Exhibit D_NIM+O&amp;M 2 2" xfId="11543"/>
    <cellStyle name="_Fuel Prices 4-14_4 31 Regulatory Assets and Liabilities  7 06- Exhibit D_NIM+O&amp;M 3" xfId="11544"/>
    <cellStyle name="_Fuel Prices 4-14_4 31 Regulatory Assets and Liabilities  7 06- Exhibit D_NIM+O&amp;M Monthly" xfId="11545"/>
    <cellStyle name="_Fuel Prices 4-14_4 31 Regulatory Assets and Liabilities  7 06- Exhibit D_NIM+O&amp;M Monthly 2" xfId="11546"/>
    <cellStyle name="_Fuel Prices 4-14_4 31 Regulatory Assets and Liabilities  7 06- Exhibit D_NIM+O&amp;M Monthly 2 2" xfId="11547"/>
    <cellStyle name="_Fuel Prices 4-14_4 31 Regulatory Assets and Liabilities  7 06- Exhibit D_NIM+O&amp;M Monthly 3" xfId="11548"/>
    <cellStyle name="_Fuel Prices 4-14_4 31E Reg Asset  Liab and EXH D" xfId="11549"/>
    <cellStyle name="_Fuel Prices 4-14_4 31E Reg Asset  Liab and EXH D _ Aug 10 Filing (2)" xfId="11550"/>
    <cellStyle name="_Fuel Prices 4-14_4 31E Reg Asset  Liab and EXH D _ Aug 10 Filing (2) 2" xfId="11551"/>
    <cellStyle name="_Fuel Prices 4-14_4 31E Reg Asset  Liab and EXH D _ Aug 10 Filing (2) 2 2" xfId="11552"/>
    <cellStyle name="_Fuel Prices 4-14_4 31E Reg Asset  Liab and EXH D _ Aug 10 Filing (2) 3" xfId="11553"/>
    <cellStyle name="_Fuel Prices 4-14_4 31E Reg Asset  Liab and EXH D 10" xfId="11554"/>
    <cellStyle name="_Fuel Prices 4-14_4 31E Reg Asset  Liab and EXH D 10 2" xfId="11555"/>
    <cellStyle name="_Fuel Prices 4-14_4 31E Reg Asset  Liab and EXH D 11" xfId="11556"/>
    <cellStyle name="_Fuel Prices 4-14_4 31E Reg Asset  Liab and EXH D 11 2" xfId="11557"/>
    <cellStyle name="_Fuel Prices 4-14_4 31E Reg Asset  Liab and EXH D 12" xfId="11558"/>
    <cellStyle name="_Fuel Prices 4-14_4 31E Reg Asset  Liab and EXH D 12 2" xfId="11559"/>
    <cellStyle name="_Fuel Prices 4-14_4 31E Reg Asset  Liab and EXH D 13" xfId="11560"/>
    <cellStyle name="_Fuel Prices 4-14_4 31E Reg Asset  Liab and EXH D 13 2" xfId="11561"/>
    <cellStyle name="_Fuel Prices 4-14_4 31E Reg Asset  Liab and EXH D 14" xfId="11562"/>
    <cellStyle name="_Fuel Prices 4-14_4 31E Reg Asset  Liab and EXH D 14 2" xfId="11563"/>
    <cellStyle name="_Fuel Prices 4-14_4 31E Reg Asset  Liab and EXH D 15" xfId="11564"/>
    <cellStyle name="_Fuel Prices 4-14_4 31E Reg Asset  Liab and EXH D 15 2" xfId="11565"/>
    <cellStyle name="_Fuel Prices 4-14_4 31E Reg Asset  Liab and EXH D 16" xfId="11566"/>
    <cellStyle name="_Fuel Prices 4-14_4 31E Reg Asset  Liab and EXH D 16 2" xfId="11567"/>
    <cellStyle name="_Fuel Prices 4-14_4 31E Reg Asset  Liab and EXH D 17" xfId="11568"/>
    <cellStyle name="_Fuel Prices 4-14_4 31E Reg Asset  Liab and EXH D 17 2" xfId="11569"/>
    <cellStyle name="_Fuel Prices 4-14_4 31E Reg Asset  Liab and EXH D 18" xfId="11570"/>
    <cellStyle name="_Fuel Prices 4-14_4 31E Reg Asset  Liab and EXH D 18 2" xfId="11571"/>
    <cellStyle name="_Fuel Prices 4-14_4 31E Reg Asset  Liab and EXH D 19" xfId="11572"/>
    <cellStyle name="_Fuel Prices 4-14_4 31E Reg Asset  Liab and EXH D 19 2" xfId="11573"/>
    <cellStyle name="_Fuel Prices 4-14_4 31E Reg Asset  Liab and EXH D 2" xfId="11574"/>
    <cellStyle name="_Fuel Prices 4-14_4 31E Reg Asset  Liab and EXH D 2 2" xfId="11575"/>
    <cellStyle name="_Fuel Prices 4-14_4 31E Reg Asset  Liab and EXH D 20" xfId="11576"/>
    <cellStyle name="_Fuel Prices 4-14_4 31E Reg Asset  Liab and EXH D 20 2" xfId="11577"/>
    <cellStyle name="_Fuel Prices 4-14_4 31E Reg Asset  Liab and EXH D 21" xfId="11578"/>
    <cellStyle name="_Fuel Prices 4-14_4 31E Reg Asset  Liab and EXH D 21 2" xfId="11579"/>
    <cellStyle name="_Fuel Prices 4-14_4 31E Reg Asset  Liab and EXH D 22" xfId="11580"/>
    <cellStyle name="_Fuel Prices 4-14_4 31E Reg Asset  Liab and EXH D 22 2" xfId="11581"/>
    <cellStyle name="_Fuel Prices 4-14_4 31E Reg Asset  Liab and EXH D 23" xfId="11582"/>
    <cellStyle name="_Fuel Prices 4-14_4 31E Reg Asset  Liab and EXH D 23 2" xfId="11583"/>
    <cellStyle name="_Fuel Prices 4-14_4 31E Reg Asset  Liab and EXH D 24" xfId="11584"/>
    <cellStyle name="_Fuel Prices 4-14_4 31E Reg Asset  Liab and EXH D 24 2" xfId="11585"/>
    <cellStyle name="_Fuel Prices 4-14_4 31E Reg Asset  Liab and EXH D 25" xfId="11586"/>
    <cellStyle name="_Fuel Prices 4-14_4 31E Reg Asset  Liab and EXH D 25 2" xfId="11587"/>
    <cellStyle name="_Fuel Prices 4-14_4 31E Reg Asset  Liab and EXH D 26" xfId="11588"/>
    <cellStyle name="_Fuel Prices 4-14_4 31E Reg Asset  Liab and EXH D 26 2" xfId="11589"/>
    <cellStyle name="_Fuel Prices 4-14_4 31E Reg Asset  Liab and EXH D 27" xfId="11590"/>
    <cellStyle name="_Fuel Prices 4-14_4 31E Reg Asset  Liab and EXH D 27 2" xfId="11591"/>
    <cellStyle name="_Fuel Prices 4-14_4 31E Reg Asset  Liab and EXH D 28" xfId="11592"/>
    <cellStyle name="_Fuel Prices 4-14_4 31E Reg Asset  Liab and EXH D 28 2" xfId="11593"/>
    <cellStyle name="_Fuel Prices 4-14_4 31E Reg Asset  Liab and EXH D 29" xfId="11594"/>
    <cellStyle name="_Fuel Prices 4-14_4 31E Reg Asset  Liab and EXH D 29 2" xfId="11595"/>
    <cellStyle name="_Fuel Prices 4-14_4 31E Reg Asset  Liab and EXH D 3" xfId="11596"/>
    <cellStyle name="_Fuel Prices 4-14_4 31E Reg Asset  Liab and EXH D 3 2" xfId="11597"/>
    <cellStyle name="_Fuel Prices 4-14_4 31E Reg Asset  Liab and EXH D 30" xfId="11598"/>
    <cellStyle name="_Fuel Prices 4-14_4 31E Reg Asset  Liab and EXH D 30 2" xfId="11599"/>
    <cellStyle name="_Fuel Prices 4-14_4 31E Reg Asset  Liab and EXH D 31" xfId="11600"/>
    <cellStyle name="_Fuel Prices 4-14_4 31E Reg Asset  Liab and EXH D 32" xfId="11601"/>
    <cellStyle name="_Fuel Prices 4-14_4 31E Reg Asset  Liab and EXH D 33" xfId="11602"/>
    <cellStyle name="_Fuel Prices 4-14_4 31E Reg Asset  Liab and EXH D 34" xfId="11603"/>
    <cellStyle name="_Fuel Prices 4-14_4 31E Reg Asset  Liab and EXH D 35" xfId="11604"/>
    <cellStyle name="_Fuel Prices 4-14_4 31E Reg Asset  Liab and EXH D 36" xfId="11605"/>
    <cellStyle name="_Fuel Prices 4-14_4 31E Reg Asset  Liab and EXH D 4" xfId="11606"/>
    <cellStyle name="_Fuel Prices 4-14_4 31E Reg Asset  Liab and EXH D 4 2" xfId="11607"/>
    <cellStyle name="_Fuel Prices 4-14_4 31E Reg Asset  Liab and EXH D 5" xfId="11608"/>
    <cellStyle name="_Fuel Prices 4-14_4 31E Reg Asset  Liab and EXH D 5 2" xfId="11609"/>
    <cellStyle name="_Fuel Prices 4-14_4 31E Reg Asset  Liab and EXH D 6" xfId="11610"/>
    <cellStyle name="_Fuel Prices 4-14_4 31E Reg Asset  Liab and EXH D 6 2" xfId="11611"/>
    <cellStyle name="_Fuel Prices 4-14_4 31E Reg Asset  Liab and EXH D 7" xfId="11612"/>
    <cellStyle name="_Fuel Prices 4-14_4 31E Reg Asset  Liab and EXH D 7 2" xfId="11613"/>
    <cellStyle name="_Fuel Prices 4-14_4 31E Reg Asset  Liab and EXH D 8" xfId="11614"/>
    <cellStyle name="_Fuel Prices 4-14_4 31E Reg Asset  Liab and EXH D 8 2" xfId="11615"/>
    <cellStyle name="_Fuel Prices 4-14_4 31E Reg Asset  Liab and EXH D 9" xfId="11616"/>
    <cellStyle name="_Fuel Prices 4-14_4 31E Reg Asset  Liab and EXH D 9 2" xfId="11617"/>
    <cellStyle name="_Fuel Prices 4-14_4 32 Regulatory Assets and Liabilities  7 06- Exhibit D" xfId="623"/>
    <cellStyle name="_Fuel Prices 4-14_4 32 Regulatory Assets and Liabilities  7 06- Exhibit D 2" xfId="11618"/>
    <cellStyle name="_Fuel Prices 4-14_4 32 Regulatory Assets and Liabilities  7 06- Exhibit D 2 2" xfId="11619"/>
    <cellStyle name="_Fuel Prices 4-14_4 32 Regulatory Assets and Liabilities  7 06- Exhibit D 2 2 2" xfId="11620"/>
    <cellStyle name="_Fuel Prices 4-14_4 32 Regulatory Assets and Liabilities  7 06- Exhibit D 2 2 2 2" xfId="11621"/>
    <cellStyle name="_Fuel Prices 4-14_4 32 Regulatory Assets and Liabilities  7 06- Exhibit D 2 2 3" xfId="11622"/>
    <cellStyle name="_Fuel Prices 4-14_4 32 Regulatory Assets and Liabilities  7 06- Exhibit D 2 3" xfId="11623"/>
    <cellStyle name="_Fuel Prices 4-14_4 32 Regulatory Assets and Liabilities  7 06- Exhibit D 3" xfId="11624"/>
    <cellStyle name="_Fuel Prices 4-14_4 32 Regulatory Assets and Liabilities  7 06- Exhibit D 3 2" xfId="11625"/>
    <cellStyle name="_Fuel Prices 4-14_4 32 Regulatory Assets and Liabilities  7 06- Exhibit D 4" xfId="11626"/>
    <cellStyle name="_Fuel Prices 4-14_4 32 Regulatory Assets and Liabilities  7 06- Exhibit D_DEM-WP(C) ENERG10C--ctn Mid-C_042010 2010GRC" xfId="11627"/>
    <cellStyle name="_Fuel Prices 4-14_4 32 Regulatory Assets and Liabilities  7 06- Exhibit D_DEM-WP(C) ENERG10C--ctn Mid-C_042010 2010GRC 2" xfId="11628"/>
    <cellStyle name="_Fuel Prices 4-14_4 32 Regulatory Assets and Liabilities  7 06- Exhibit D_NIM Summary" xfId="11629"/>
    <cellStyle name="_Fuel Prices 4-14_4 32 Regulatory Assets and Liabilities  7 06- Exhibit D_NIM Summary 2" xfId="11630"/>
    <cellStyle name="_Fuel Prices 4-14_4 32 Regulatory Assets and Liabilities  7 06- Exhibit D_NIM Summary 2 2" xfId="11631"/>
    <cellStyle name="_Fuel Prices 4-14_4 32 Regulatory Assets and Liabilities  7 06- Exhibit D_NIM Summary 2 2 2" xfId="11632"/>
    <cellStyle name="_Fuel Prices 4-14_4 32 Regulatory Assets and Liabilities  7 06- Exhibit D_NIM Summary 2 3" xfId="11633"/>
    <cellStyle name="_Fuel Prices 4-14_4 32 Regulatory Assets and Liabilities  7 06- Exhibit D_NIM Summary 3" xfId="11634"/>
    <cellStyle name="_Fuel Prices 4-14_4 32 Regulatory Assets and Liabilities  7 06- Exhibit D_NIM Summary 3 2" xfId="11635"/>
    <cellStyle name="_Fuel Prices 4-14_4 32 Regulatory Assets and Liabilities  7 06- Exhibit D_NIM Summary 4" xfId="11636"/>
    <cellStyle name="_Fuel Prices 4-14_4 32 Regulatory Assets and Liabilities  7 06- Exhibit D_NIM Summary_DEM-WP(C) ENERG10C--ctn Mid-C_042010 2010GRC" xfId="11637"/>
    <cellStyle name="_Fuel Prices 4-14_4 32 Regulatory Assets and Liabilities  7 06- Exhibit D_NIM Summary_DEM-WP(C) ENERG10C--ctn Mid-C_042010 2010GRC 2" xfId="11638"/>
    <cellStyle name="_Fuel Prices 4-14_4 32 Regulatory Assets and Liabilities  7 06- Exhibit D_NIM+O&amp;M" xfId="11639"/>
    <cellStyle name="_Fuel Prices 4-14_4 32 Regulatory Assets and Liabilities  7 06- Exhibit D_NIM+O&amp;M 2" xfId="11640"/>
    <cellStyle name="_Fuel Prices 4-14_4 32 Regulatory Assets and Liabilities  7 06- Exhibit D_NIM+O&amp;M 2 2" xfId="11641"/>
    <cellStyle name="_Fuel Prices 4-14_4 32 Regulatory Assets and Liabilities  7 06- Exhibit D_NIM+O&amp;M 3" xfId="11642"/>
    <cellStyle name="_Fuel Prices 4-14_4 32 Regulatory Assets and Liabilities  7 06- Exhibit D_NIM+O&amp;M Monthly" xfId="11643"/>
    <cellStyle name="_Fuel Prices 4-14_4 32 Regulatory Assets and Liabilities  7 06- Exhibit D_NIM+O&amp;M Monthly 2" xfId="11644"/>
    <cellStyle name="_Fuel Prices 4-14_4 32 Regulatory Assets and Liabilities  7 06- Exhibit D_NIM+O&amp;M Monthly 2 2" xfId="11645"/>
    <cellStyle name="_Fuel Prices 4-14_4 32 Regulatory Assets and Liabilities  7 06- Exhibit D_NIM+O&amp;M Monthly 3" xfId="11646"/>
    <cellStyle name="_Fuel Prices 4-14_AURORA Total New" xfId="11647"/>
    <cellStyle name="_Fuel Prices 4-14_AURORA Total New 2" xfId="11648"/>
    <cellStyle name="_Fuel Prices 4-14_AURORA Total New 2 2" xfId="11649"/>
    <cellStyle name="_Fuel Prices 4-14_AURORA Total New 2 2 2" xfId="11650"/>
    <cellStyle name="_Fuel Prices 4-14_AURORA Total New 2 3" xfId="11651"/>
    <cellStyle name="_Fuel Prices 4-14_AURORA Total New 3" xfId="11652"/>
    <cellStyle name="_Fuel Prices 4-14_AURORA Total New 3 2" xfId="11653"/>
    <cellStyle name="_Fuel Prices 4-14_AURORA Total New 4" xfId="11654"/>
    <cellStyle name="_Fuel Prices 4-14_Book2" xfId="624"/>
    <cellStyle name="_Fuel Prices 4-14_Book2 2" xfId="11655"/>
    <cellStyle name="_Fuel Prices 4-14_Book2 2 2" xfId="11656"/>
    <cellStyle name="_Fuel Prices 4-14_Book2 2 2 2" xfId="11657"/>
    <cellStyle name="_Fuel Prices 4-14_Book2 2 3" xfId="11658"/>
    <cellStyle name="_Fuel Prices 4-14_Book2 3" xfId="11659"/>
    <cellStyle name="_Fuel Prices 4-14_Book2 3 2" xfId="11660"/>
    <cellStyle name="_Fuel Prices 4-14_Book2 4" xfId="11661"/>
    <cellStyle name="_Fuel Prices 4-14_Book2_Adj Bench DR 3 for Initial Briefs (Electric)" xfId="625"/>
    <cellStyle name="_Fuel Prices 4-14_Book2_Adj Bench DR 3 for Initial Briefs (Electric) 2" xfId="11662"/>
    <cellStyle name="_Fuel Prices 4-14_Book2_Adj Bench DR 3 for Initial Briefs (Electric) 2 2" xfId="11663"/>
    <cellStyle name="_Fuel Prices 4-14_Book2_Adj Bench DR 3 for Initial Briefs (Electric) 2 2 2" xfId="11664"/>
    <cellStyle name="_Fuel Prices 4-14_Book2_Adj Bench DR 3 for Initial Briefs (Electric) 2 3" xfId="11665"/>
    <cellStyle name="_Fuel Prices 4-14_Book2_Adj Bench DR 3 for Initial Briefs (Electric) 3" xfId="11666"/>
    <cellStyle name="_Fuel Prices 4-14_Book2_Adj Bench DR 3 for Initial Briefs (Electric) 3 2" xfId="11667"/>
    <cellStyle name="_Fuel Prices 4-14_Book2_Adj Bench DR 3 for Initial Briefs (Electric) 4" xfId="11668"/>
    <cellStyle name="_Fuel Prices 4-14_Book2_Adj Bench DR 3 for Initial Briefs (Electric)_DEM-WP(C) ENERG10C--ctn Mid-C_042010 2010GRC" xfId="11669"/>
    <cellStyle name="_Fuel Prices 4-14_Book2_Adj Bench DR 3 for Initial Briefs (Electric)_DEM-WP(C) ENERG10C--ctn Mid-C_042010 2010GRC 2" xfId="11670"/>
    <cellStyle name="_Fuel Prices 4-14_Book2_DEM-WP(C) ENERG10C--ctn Mid-C_042010 2010GRC" xfId="11671"/>
    <cellStyle name="_Fuel Prices 4-14_Book2_DEM-WP(C) ENERG10C--ctn Mid-C_042010 2010GRC 2" xfId="11672"/>
    <cellStyle name="_Fuel Prices 4-14_Book2_Electric Rev Req Model (2009 GRC) Rebuttal" xfId="626"/>
    <cellStyle name="_Fuel Prices 4-14_Book2_Electric Rev Req Model (2009 GRC) Rebuttal 2" xfId="11673"/>
    <cellStyle name="_Fuel Prices 4-14_Book2_Electric Rev Req Model (2009 GRC) Rebuttal 2 2" xfId="11674"/>
    <cellStyle name="_Fuel Prices 4-14_Book2_Electric Rev Req Model (2009 GRC) Rebuttal 2 2 2" xfId="11675"/>
    <cellStyle name="_Fuel Prices 4-14_Book2_Electric Rev Req Model (2009 GRC) Rebuttal 2 3" xfId="11676"/>
    <cellStyle name="_Fuel Prices 4-14_Book2_Electric Rev Req Model (2009 GRC) Rebuttal 3" xfId="11677"/>
    <cellStyle name="_Fuel Prices 4-14_Book2_Electric Rev Req Model (2009 GRC) Rebuttal 3 2" xfId="11678"/>
    <cellStyle name="_Fuel Prices 4-14_Book2_Electric Rev Req Model (2009 GRC) Rebuttal 4" xfId="11679"/>
    <cellStyle name="_Fuel Prices 4-14_Book2_Electric Rev Req Model (2009 GRC) Rebuttal REmoval of New  WH Solar AdjustMI" xfId="627"/>
    <cellStyle name="_Fuel Prices 4-14_Book2_Electric Rev Req Model (2009 GRC) Rebuttal REmoval of New  WH Solar AdjustMI 2" xfId="11680"/>
    <cellStyle name="_Fuel Prices 4-14_Book2_Electric Rev Req Model (2009 GRC) Rebuttal REmoval of New  WH Solar AdjustMI 2 2" xfId="11681"/>
    <cellStyle name="_Fuel Prices 4-14_Book2_Electric Rev Req Model (2009 GRC) Rebuttal REmoval of New  WH Solar AdjustMI 2 2 2" xfId="11682"/>
    <cellStyle name="_Fuel Prices 4-14_Book2_Electric Rev Req Model (2009 GRC) Rebuttal REmoval of New  WH Solar AdjustMI 2 3" xfId="11683"/>
    <cellStyle name="_Fuel Prices 4-14_Book2_Electric Rev Req Model (2009 GRC) Rebuttal REmoval of New  WH Solar AdjustMI 3" xfId="11684"/>
    <cellStyle name="_Fuel Prices 4-14_Book2_Electric Rev Req Model (2009 GRC) Rebuttal REmoval of New  WH Solar AdjustMI 3 2" xfId="11685"/>
    <cellStyle name="_Fuel Prices 4-14_Book2_Electric Rev Req Model (2009 GRC) Rebuttal REmoval of New  WH Solar AdjustMI 4" xfId="11686"/>
    <cellStyle name="_Fuel Prices 4-14_Book2_Electric Rev Req Model (2009 GRC) Rebuttal REmoval of New  WH Solar AdjustMI_DEM-WP(C) ENERG10C--ctn Mid-C_042010 2010GRC" xfId="11687"/>
    <cellStyle name="_Fuel Prices 4-14_Book2_Electric Rev Req Model (2009 GRC) Rebuttal REmoval of New  WH Solar AdjustMI_DEM-WP(C) ENERG10C--ctn Mid-C_042010 2010GRC 2" xfId="11688"/>
    <cellStyle name="_Fuel Prices 4-14_Book2_Electric Rev Req Model (2009 GRC) Revised 01-18-2010" xfId="628"/>
    <cellStyle name="_Fuel Prices 4-14_Book2_Electric Rev Req Model (2009 GRC) Revised 01-18-2010 2" xfId="11689"/>
    <cellStyle name="_Fuel Prices 4-14_Book2_Electric Rev Req Model (2009 GRC) Revised 01-18-2010 2 2" xfId="11690"/>
    <cellStyle name="_Fuel Prices 4-14_Book2_Electric Rev Req Model (2009 GRC) Revised 01-18-2010 2 2 2" xfId="11691"/>
    <cellStyle name="_Fuel Prices 4-14_Book2_Electric Rev Req Model (2009 GRC) Revised 01-18-2010 2 3" xfId="11692"/>
    <cellStyle name="_Fuel Prices 4-14_Book2_Electric Rev Req Model (2009 GRC) Revised 01-18-2010 3" xfId="11693"/>
    <cellStyle name="_Fuel Prices 4-14_Book2_Electric Rev Req Model (2009 GRC) Revised 01-18-2010 3 2" xfId="11694"/>
    <cellStyle name="_Fuel Prices 4-14_Book2_Electric Rev Req Model (2009 GRC) Revised 01-18-2010 4" xfId="11695"/>
    <cellStyle name="_Fuel Prices 4-14_Book2_Electric Rev Req Model (2009 GRC) Revised 01-18-2010_DEM-WP(C) ENERG10C--ctn Mid-C_042010 2010GRC" xfId="11696"/>
    <cellStyle name="_Fuel Prices 4-14_Book2_Electric Rev Req Model (2009 GRC) Revised 01-18-2010_DEM-WP(C) ENERG10C--ctn Mid-C_042010 2010GRC 2" xfId="11697"/>
    <cellStyle name="_Fuel Prices 4-14_Book2_Final Order Electric EXHIBIT A-1" xfId="629"/>
    <cellStyle name="_Fuel Prices 4-14_Book2_Final Order Electric EXHIBIT A-1 2" xfId="11698"/>
    <cellStyle name="_Fuel Prices 4-14_Book2_Final Order Electric EXHIBIT A-1 2 2" xfId="11699"/>
    <cellStyle name="_Fuel Prices 4-14_Book2_Final Order Electric EXHIBIT A-1 2 2 2" xfId="11700"/>
    <cellStyle name="_Fuel Prices 4-14_Book2_Final Order Electric EXHIBIT A-1 2 3" xfId="11701"/>
    <cellStyle name="_Fuel Prices 4-14_Book2_Final Order Electric EXHIBIT A-1 3" xfId="11702"/>
    <cellStyle name="_Fuel Prices 4-14_Book2_Final Order Electric EXHIBIT A-1 3 2" xfId="11703"/>
    <cellStyle name="_Fuel Prices 4-14_Book2_Final Order Electric EXHIBIT A-1 4" xfId="11704"/>
    <cellStyle name="_Fuel Prices 4-14_Book4" xfId="630"/>
    <cellStyle name="_Fuel Prices 4-14_Book4 2" xfId="11705"/>
    <cellStyle name="_Fuel Prices 4-14_Book4 2 2" xfId="11706"/>
    <cellStyle name="_Fuel Prices 4-14_Book4 2 2 2" xfId="11707"/>
    <cellStyle name="_Fuel Prices 4-14_Book4 2 3" xfId="11708"/>
    <cellStyle name="_Fuel Prices 4-14_Book4 3" xfId="11709"/>
    <cellStyle name="_Fuel Prices 4-14_Book4 3 2" xfId="11710"/>
    <cellStyle name="_Fuel Prices 4-14_Book4 4" xfId="11711"/>
    <cellStyle name="_Fuel Prices 4-14_Book4_DEM-WP(C) ENERG10C--ctn Mid-C_042010 2010GRC" xfId="11712"/>
    <cellStyle name="_Fuel Prices 4-14_Book4_DEM-WP(C) ENERG10C--ctn Mid-C_042010 2010GRC 2" xfId="11713"/>
    <cellStyle name="_Fuel Prices 4-14_Book9" xfId="631"/>
    <cellStyle name="_Fuel Prices 4-14_Book9 2" xfId="11714"/>
    <cellStyle name="_Fuel Prices 4-14_Book9 2 2" xfId="11715"/>
    <cellStyle name="_Fuel Prices 4-14_Book9 2 2 2" xfId="11716"/>
    <cellStyle name="_Fuel Prices 4-14_Book9 2 3" xfId="11717"/>
    <cellStyle name="_Fuel Prices 4-14_Book9 3" xfId="11718"/>
    <cellStyle name="_Fuel Prices 4-14_Book9 3 2" xfId="11719"/>
    <cellStyle name="_Fuel Prices 4-14_Book9 4" xfId="11720"/>
    <cellStyle name="_Fuel Prices 4-14_Book9_DEM-WP(C) ENERG10C--ctn Mid-C_042010 2010GRC" xfId="11721"/>
    <cellStyle name="_Fuel Prices 4-14_Book9_DEM-WP(C) ENERG10C--ctn Mid-C_042010 2010GRC 2" xfId="11722"/>
    <cellStyle name="_Fuel Prices 4-14_Chelan PUD Power Costs (8-10)" xfId="11723"/>
    <cellStyle name="_Fuel Prices 4-14_Chelan PUD Power Costs (8-10) 2" xfId="11724"/>
    <cellStyle name="_Fuel Prices 4-14_DEM-WP(C) Chelan Power Costs" xfId="11725"/>
    <cellStyle name="_Fuel Prices 4-14_DEM-WP(C) Chelan Power Costs 2" xfId="11726"/>
    <cellStyle name="_Fuel Prices 4-14_DEM-WP(C) Chelan Power Costs 2 2" xfId="11727"/>
    <cellStyle name="_Fuel Prices 4-14_DEM-WP(C) Chelan Power Costs 3" xfId="11728"/>
    <cellStyle name="_Fuel Prices 4-14_DEM-WP(C) ENERG10C--ctn Mid-C_042010 2010GRC" xfId="11729"/>
    <cellStyle name="_Fuel Prices 4-14_DEM-WP(C) ENERG10C--ctn Mid-C_042010 2010GRC 2" xfId="11730"/>
    <cellStyle name="_Fuel Prices 4-14_DEM-WP(C) Gas Transport 2010GRC" xfId="11731"/>
    <cellStyle name="_Fuel Prices 4-14_DEM-WP(C) Gas Transport 2010GRC 2" xfId="11732"/>
    <cellStyle name="_Fuel Prices 4-14_DEM-WP(C) Gas Transport 2010GRC 2 2" xfId="11733"/>
    <cellStyle name="_Fuel Prices 4-14_DEM-WP(C) Gas Transport 2010GRC 3" xfId="11734"/>
    <cellStyle name="_Fuel Prices 4-14_Direct Assignment Distribution Plant 2008" xfId="11735"/>
    <cellStyle name="_Fuel Prices 4-14_Direct Assignment Distribution Plant 2008 2" xfId="11736"/>
    <cellStyle name="_Fuel Prices 4-14_Direct Assignment Distribution Plant 2008 2 2" xfId="11737"/>
    <cellStyle name="_Fuel Prices 4-14_Direct Assignment Distribution Plant 2008 2 2 2" xfId="11738"/>
    <cellStyle name="_Fuel Prices 4-14_Direct Assignment Distribution Plant 2008 2 2 2 2" xfId="11739"/>
    <cellStyle name="_Fuel Prices 4-14_Direct Assignment Distribution Plant 2008 2 2 3" xfId="11740"/>
    <cellStyle name="_Fuel Prices 4-14_Direct Assignment Distribution Plant 2008 2 3" xfId="11741"/>
    <cellStyle name="_Fuel Prices 4-14_Direct Assignment Distribution Plant 2008 2 3 2" xfId="11742"/>
    <cellStyle name="_Fuel Prices 4-14_Direct Assignment Distribution Plant 2008 2 3 2 2" xfId="11743"/>
    <cellStyle name="_Fuel Prices 4-14_Direct Assignment Distribution Plant 2008 2 3 3" xfId="11744"/>
    <cellStyle name="_Fuel Prices 4-14_Direct Assignment Distribution Plant 2008 2 4" xfId="11745"/>
    <cellStyle name="_Fuel Prices 4-14_Direct Assignment Distribution Plant 2008 2 4 2" xfId="11746"/>
    <cellStyle name="_Fuel Prices 4-14_Direct Assignment Distribution Plant 2008 2 4 2 2" xfId="11747"/>
    <cellStyle name="_Fuel Prices 4-14_Direct Assignment Distribution Plant 2008 2 4 3" xfId="11748"/>
    <cellStyle name="_Fuel Prices 4-14_Direct Assignment Distribution Plant 2008 2 5" xfId="11749"/>
    <cellStyle name="_Fuel Prices 4-14_Direct Assignment Distribution Plant 2008 3" xfId="11750"/>
    <cellStyle name="_Fuel Prices 4-14_Direct Assignment Distribution Plant 2008 3 2" xfId="11751"/>
    <cellStyle name="_Fuel Prices 4-14_Direct Assignment Distribution Plant 2008 3 2 2" xfId="11752"/>
    <cellStyle name="_Fuel Prices 4-14_Direct Assignment Distribution Plant 2008 3 3" xfId="11753"/>
    <cellStyle name="_Fuel Prices 4-14_Direct Assignment Distribution Plant 2008 4" xfId="11754"/>
    <cellStyle name="_Fuel Prices 4-14_Direct Assignment Distribution Plant 2008 4 2" xfId="11755"/>
    <cellStyle name="_Fuel Prices 4-14_Direct Assignment Distribution Plant 2008 4 2 2" xfId="11756"/>
    <cellStyle name="_Fuel Prices 4-14_Direct Assignment Distribution Plant 2008 4 3" xfId="11757"/>
    <cellStyle name="_Fuel Prices 4-14_Direct Assignment Distribution Plant 2008 5" xfId="11758"/>
    <cellStyle name="_Fuel Prices 4-14_Direct Assignment Distribution Plant 2008 5 2" xfId="11759"/>
    <cellStyle name="_Fuel Prices 4-14_Direct Assignment Distribution Plant 2008 6" xfId="11760"/>
    <cellStyle name="_Fuel Prices 4-14_Electric COS Inputs" xfId="11761"/>
    <cellStyle name="_Fuel Prices 4-14_Electric COS Inputs 2" xfId="11762"/>
    <cellStyle name="_Fuel Prices 4-14_Electric COS Inputs 2 2" xfId="11763"/>
    <cellStyle name="_Fuel Prices 4-14_Electric COS Inputs 2 2 2" xfId="11764"/>
    <cellStyle name="_Fuel Prices 4-14_Electric COS Inputs 2 2 2 2" xfId="11765"/>
    <cellStyle name="_Fuel Prices 4-14_Electric COS Inputs 2 2 3" xfId="11766"/>
    <cellStyle name="_Fuel Prices 4-14_Electric COS Inputs 2 3" xfId="11767"/>
    <cellStyle name="_Fuel Prices 4-14_Electric COS Inputs 2 3 2" xfId="11768"/>
    <cellStyle name="_Fuel Prices 4-14_Electric COS Inputs 2 3 2 2" xfId="11769"/>
    <cellStyle name="_Fuel Prices 4-14_Electric COS Inputs 2 3 3" xfId="11770"/>
    <cellStyle name="_Fuel Prices 4-14_Electric COS Inputs 2 4" xfId="11771"/>
    <cellStyle name="_Fuel Prices 4-14_Electric COS Inputs 2 4 2" xfId="11772"/>
    <cellStyle name="_Fuel Prices 4-14_Electric COS Inputs 2 4 2 2" xfId="11773"/>
    <cellStyle name="_Fuel Prices 4-14_Electric COS Inputs 2 4 3" xfId="11774"/>
    <cellStyle name="_Fuel Prices 4-14_Electric COS Inputs 2 5" xfId="11775"/>
    <cellStyle name="_Fuel Prices 4-14_Electric COS Inputs 3" xfId="11776"/>
    <cellStyle name="_Fuel Prices 4-14_Electric COS Inputs 3 2" xfId="11777"/>
    <cellStyle name="_Fuel Prices 4-14_Electric COS Inputs 3 2 2" xfId="11778"/>
    <cellStyle name="_Fuel Prices 4-14_Electric COS Inputs 3 3" xfId="11779"/>
    <cellStyle name="_Fuel Prices 4-14_Electric COS Inputs 4" xfId="11780"/>
    <cellStyle name="_Fuel Prices 4-14_Electric COS Inputs 4 2" xfId="11781"/>
    <cellStyle name="_Fuel Prices 4-14_Electric COS Inputs 4 2 2" xfId="11782"/>
    <cellStyle name="_Fuel Prices 4-14_Electric COS Inputs 4 3" xfId="11783"/>
    <cellStyle name="_Fuel Prices 4-14_Electric COS Inputs 5" xfId="11784"/>
    <cellStyle name="_Fuel Prices 4-14_Electric COS Inputs 5 2" xfId="11785"/>
    <cellStyle name="_Fuel Prices 4-14_Electric COS Inputs 6" xfId="11786"/>
    <cellStyle name="_Fuel Prices 4-14_Electric Rate Spread and Rate Design 3.23.09" xfId="11787"/>
    <cellStyle name="_Fuel Prices 4-14_Electric Rate Spread and Rate Design 3.23.09 2" xfId="11788"/>
    <cellStyle name="_Fuel Prices 4-14_Electric Rate Spread and Rate Design 3.23.09 2 2" xfId="11789"/>
    <cellStyle name="_Fuel Prices 4-14_Electric Rate Spread and Rate Design 3.23.09 2 2 2" xfId="11790"/>
    <cellStyle name="_Fuel Prices 4-14_Electric Rate Spread and Rate Design 3.23.09 2 2 2 2" xfId="11791"/>
    <cellStyle name="_Fuel Prices 4-14_Electric Rate Spread and Rate Design 3.23.09 2 2 3" xfId="11792"/>
    <cellStyle name="_Fuel Prices 4-14_Electric Rate Spread and Rate Design 3.23.09 2 3" xfId="11793"/>
    <cellStyle name="_Fuel Prices 4-14_Electric Rate Spread and Rate Design 3.23.09 2 3 2" xfId="11794"/>
    <cellStyle name="_Fuel Prices 4-14_Electric Rate Spread and Rate Design 3.23.09 2 3 2 2" xfId="11795"/>
    <cellStyle name="_Fuel Prices 4-14_Electric Rate Spread and Rate Design 3.23.09 2 3 3" xfId="11796"/>
    <cellStyle name="_Fuel Prices 4-14_Electric Rate Spread and Rate Design 3.23.09 2 4" xfId="11797"/>
    <cellStyle name="_Fuel Prices 4-14_Electric Rate Spread and Rate Design 3.23.09 2 4 2" xfId="11798"/>
    <cellStyle name="_Fuel Prices 4-14_Electric Rate Spread and Rate Design 3.23.09 2 4 2 2" xfId="11799"/>
    <cellStyle name="_Fuel Prices 4-14_Electric Rate Spread and Rate Design 3.23.09 2 4 3" xfId="11800"/>
    <cellStyle name="_Fuel Prices 4-14_Electric Rate Spread and Rate Design 3.23.09 2 5" xfId="11801"/>
    <cellStyle name="_Fuel Prices 4-14_Electric Rate Spread and Rate Design 3.23.09 3" xfId="11802"/>
    <cellStyle name="_Fuel Prices 4-14_Electric Rate Spread and Rate Design 3.23.09 3 2" xfId="11803"/>
    <cellStyle name="_Fuel Prices 4-14_Electric Rate Spread and Rate Design 3.23.09 3 2 2" xfId="11804"/>
    <cellStyle name="_Fuel Prices 4-14_Electric Rate Spread and Rate Design 3.23.09 3 3" xfId="11805"/>
    <cellStyle name="_Fuel Prices 4-14_Electric Rate Spread and Rate Design 3.23.09 4" xfId="11806"/>
    <cellStyle name="_Fuel Prices 4-14_Electric Rate Spread and Rate Design 3.23.09 4 2" xfId="11807"/>
    <cellStyle name="_Fuel Prices 4-14_Electric Rate Spread and Rate Design 3.23.09 4 2 2" xfId="11808"/>
    <cellStyle name="_Fuel Prices 4-14_Electric Rate Spread and Rate Design 3.23.09 4 3" xfId="11809"/>
    <cellStyle name="_Fuel Prices 4-14_Electric Rate Spread and Rate Design 3.23.09 5" xfId="11810"/>
    <cellStyle name="_Fuel Prices 4-14_Electric Rate Spread and Rate Design 3.23.09 5 2" xfId="11811"/>
    <cellStyle name="_Fuel Prices 4-14_Electric Rate Spread and Rate Design 3.23.09 6" xfId="11812"/>
    <cellStyle name="_Fuel Prices 4-14_Exh A-1 resulting from UE-112050 effective Jan 1 2012" xfId="11813"/>
    <cellStyle name="_Fuel Prices 4-14_Exh A-1 resulting from UE-112050 effective Jan 1 2012 2" xfId="11814"/>
    <cellStyle name="_Fuel Prices 4-14_Exh G - Klamath Peaker PPA fr C Locke 2-12" xfId="11815"/>
    <cellStyle name="_Fuel Prices 4-14_Exh G - Klamath Peaker PPA fr C Locke 2-12 2" xfId="11816"/>
    <cellStyle name="_Fuel Prices 4-14_Exhibit A-1 effective 4-1-11 fr S Free 12-11" xfId="11817"/>
    <cellStyle name="_Fuel Prices 4-14_Exhibit A-1 effective 4-1-11 fr S Free 12-11 2" xfId="11818"/>
    <cellStyle name="_Fuel Prices 4-14_INPUTS" xfId="11819"/>
    <cellStyle name="_Fuel Prices 4-14_INPUTS 2" xfId="11820"/>
    <cellStyle name="_Fuel Prices 4-14_INPUTS 2 2" xfId="11821"/>
    <cellStyle name="_Fuel Prices 4-14_INPUTS 2 2 2" xfId="11822"/>
    <cellStyle name="_Fuel Prices 4-14_INPUTS 2 2 2 2" xfId="11823"/>
    <cellStyle name="_Fuel Prices 4-14_INPUTS 2 2 3" xfId="11824"/>
    <cellStyle name="_Fuel Prices 4-14_INPUTS 2 3" xfId="11825"/>
    <cellStyle name="_Fuel Prices 4-14_INPUTS 2 3 2" xfId="11826"/>
    <cellStyle name="_Fuel Prices 4-14_INPUTS 2 3 2 2" xfId="11827"/>
    <cellStyle name="_Fuel Prices 4-14_INPUTS 2 3 3" xfId="11828"/>
    <cellStyle name="_Fuel Prices 4-14_INPUTS 2 4" xfId="11829"/>
    <cellStyle name="_Fuel Prices 4-14_INPUTS 2 4 2" xfId="11830"/>
    <cellStyle name="_Fuel Prices 4-14_INPUTS 2 4 2 2" xfId="11831"/>
    <cellStyle name="_Fuel Prices 4-14_INPUTS 2 4 3" xfId="11832"/>
    <cellStyle name="_Fuel Prices 4-14_INPUTS 2 5" xfId="11833"/>
    <cellStyle name="_Fuel Prices 4-14_INPUTS 3" xfId="11834"/>
    <cellStyle name="_Fuel Prices 4-14_INPUTS 3 2" xfId="11835"/>
    <cellStyle name="_Fuel Prices 4-14_INPUTS 3 2 2" xfId="11836"/>
    <cellStyle name="_Fuel Prices 4-14_INPUTS 3 3" xfId="11837"/>
    <cellStyle name="_Fuel Prices 4-14_INPUTS 4" xfId="11838"/>
    <cellStyle name="_Fuel Prices 4-14_INPUTS 4 2" xfId="11839"/>
    <cellStyle name="_Fuel Prices 4-14_INPUTS 4 2 2" xfId="11840"/>
    <cellStyle name="_Fuel Prices 4-14_INPUTS 4 3" xfId="11841"/>
    <cellStyle name="_Fuel Prices 4-14_INPUTS 5" xfId="11842"/>
    <cellStyle name="_Fuel Prices 4-14_INPUTS 5 2" xfId="11843"/>
    <cellStyle name="_Fuel Prices 4-14_INPUTS 6" xfId="11844"/>
    <cellStyle name="_Fuel Prices 4-14_Leased Transformer &amp; Substation Plant &amp; Rev 12-2009" xfId="11845"/>
    <cellStyle name="_Fuel Prices 4-14_Leased Transformer &amp; Substation Plant &amp; Rev 12-2009 2" xfId="11846"/>
    <cellStyle name="_Fuel Prices 4-14_Leased Transformer &amp; Substation Plant &amp; Rev 12-2009 2 2" xfId="11847"/>
    <cellStyle name="_Fuel Prices 4-14_Leased Transformer &amp; Substation Plant &amp; Rev 12-2009 2 2 2" xfId="11848"/>
    <cellStyle name="_Fuel Prices 4-14_Leased Transformer &amp; Substation Plant &amp; Rev 12-2009 2 2 2 2" xfId="11849"/>
    <cellStyle name="_Fuel Prices 4-14_Leased Transformer &amp; Substation Plant &amp; Rev 12-2009 2 2 3" xfId="11850"/>
    <cellStyle name="_Fuel Prices 4-14_Leased Transformer &amp; Substation Plant &amp; Rev 12-2009 2 3" xfId="11851"/>
    <cellStyle name="_Fuel Prices 4-14_Leased Transformer &amp; Substation Plant &amp; Rev 12-2009 2 3 2" xfId="11852"/>
    <cellStyle name="_Fuel Prices 4-14_Leased Transformer &amp; Substation Plant &amp; Rev 12-2009 2 3 2 2" xfId="11853"/>
    <cellStyle name="_Fuel Prices 4-14_Leased Transformer &amp; Substation Plant &amp; Rev 12-2009 2 3 3" xfId="11854"/>
    <cellStyle name="_Fuel Prices 4-14_Leased Transformer &amp; Substation Plant &amp; Rev 12-2009 2 4" xfId="11855"/>
    <cellStyle name="_Fuel Prices 4-14_Leased Transformer &amp; Substation Plant &amp; Rev 12-2009 2 4 2" xfId="11856"/>
    <cellStyle name="_Fuel Prices 4-14_Leased Transformer &amp; Substation Plant &amp; Rev 12-2009 2 4 2 2" xfId="11857"/>
    <cellStyle name="_Fuel Prices 4-14_Leased Transformer &amp; Substation Plant &amp; Rev 12-2009 2 4 3" xfId="11858"/>
    <cellStyle name="_Fuel Prices 4-14_Leased Transformer &amp; Substation Plant &amp; Rev 12-2009 2 5" xfId="11859"/>
    <cellStyle name="_Fuel Prices 4-14_Leased Transformer &amp; Substation Plant &amp; Rev 12-2009 3" xfId="11860"/>
    <cellStyle name="_Fuel Prices 4-14_Leased Transformer &amp; Substation Plant &amp; Rev 12-2009 3 2" xfId="11861"/>
    <cellStyle name="_Fuel Prices 4-14_Leased Transformer &amp; Substation Plant &amp; Rev 12-2009 3 2 2" xfId="11862"/>
    <cellStyle name="_Fuel Prices 4-14_Leased Transformer &amp; Substation Plant &amp; Rev 12-2009 3 3" xfId="11863"/>
    <cellStyle name="_Fuel Prices 4-14_Leased Transformer &amp; Substation Plant &amp; Rev 12-2009 4" xfId="11864"/>
    <cellStyle name="_Fuel Prices 4-14_Leased Transformer &amp; Substation Plant &amp; Rev 12-2009 4 2" xfId="11865"/>
    <cellStyle name="_Fuel Prices 4-14_Leased Transformer &amp; Substation Plant &amp; Rev 12-2009 4 2 2" xfId="11866"/>
    <cellStyle name="_Fuel Prices 4-14_Leased Transformer &amp; Substation Plant &amp; Rev 12-2009 4 3" xfId="11867"/>
    <cellStyle name="_Fuel Prices 4-14_Leased Transformer &amp; Substation Plant &amp; Rev 12-2009 5" xfId="11868"/>
    <cellStyle name="_Fuel Prices 4-14_Leased Transformer &amp; Substation Plant &amp; Rev 12-2009 5 2" xfId="11869"/>
    <cellStyle name="_Fuel Prices 4-14_Leased Transformer &amp; Substation Plant &amp; Rev 12-2009 6" xfId="11870"/>
    <cellStyle name="_Fuel Prices 4-14_Mint Farm Generation BPA" xfId="11871"/>
    <cellStyle name="_Fuel Prices 4-14_NIM Summary" xfId="11872"/>
    <cellStyle name="_Fuel Prices 4-14_NIM Summary 09GRC" xfId="11873"/>
    <cellStyle name="_Fuel Prices 4-14_NIM Summary 09GRC 2" xfId="11874"/>
    <cellStyle name="_Fuel Prices 4-14_NIM Summary 09GRC 2 2" xfId="11875"/>
    <cellStyle name="_Fuel Prices 4-14_NIM Summary 09GRC 2 2 2" xfId="11876"/>
    <cellStyle name="_Fuel Prices 4-14_NIM Summary 09GRC 2 3" xfId="11877"/>
    <cellStyle name="_Fuel Prices 4-14_NIM Summary 09GRC 3" xfId="11878"/>
    <cellStyle name="_Fuel Prices 4-14_NIM Summary 09GRC 3 2" xfId="11879"/>
    <cellStyle name="_Fuel Prices 4-14_NIM Summary 09GRC 4" xfId="11880"/>
    <cellStyle name="_Fuel Prices 4-14_NIM Summary 09GRC_DEM-WP(C) ENERG10C--ctn Mid-C_042010 2010GRC" xfId="11881"/>
    <cellStyle name="_Fuel Prices 4-14_NIM Summary 09GRC_DEM-WP(C) ENERG10C--ctn Mid-C_042010 2010GRC 2" xfId="11882"/>
    <cellStyle name="_Fuel Prices 4-14_NIM Summary 10" xfId="11883"/>
    <cellStyle name="_Fuel Prices 4-14_NIM Summary 10 2" xfId="11884"/>
    <cellStyle name="_Fuel Prices 4-14_NIM Summary 11" xfId="11885"/>
    <cellStyle name="_Fuel Prices 4-14_NIM Summary 11 2" xfId="11886"/>
    <cellStyle name="_Fuel Prices 4-14_NIM Summary 12" xfId="11887"/>
    <cellStyle name="_Fuel Prices 4-14_NIM Summary 12 2" xfId="11888"/>
    <cellStyle name="_Fuel Prices 4-14_NIM Summary 13" xfId="11889"/>
    <cellStyle name="_Fuel Prices 4-14_NIM Summary 13 2" xfId="11890"/>
    <cellStyle name="_Fuel Prices 4-14_NIM Summary 14" xfId="11891"/>
    <cellStyle name="_Fuel Prices 4-14_NIM Summary 14 2" xfId="11892"/>
    <cellStyle name="_Fuel Prices 4-14_NIM Summary 15" xfId="11893"/>
    <cellStyle name="_Fuel Prices 4-14_NIM Summary 15 2" xfId="11894"/>
    <cellStyle name="_Fuel Prices 4-14_NIM Summary 16" xfId="11895"/>
    <cellStyle name="_Fuel Prices 4-14_NIM Summary 16 2" xfId="11896"/>
    <cellStyle name="_Fuel Prices 4-14_NIM Summary 17" xfId="11897"/>
    <cellStyle name="_Fuel Prices 4-14_NIM Summary 17 2" xfId="11898"/>
    <cellStyle name="_Fuel Prices 4-14_NIM Summary 18" xfId="11899"/>
    <cellStyle name="_Fuel Prices 4-14_NIM Summary 18 2" xfId="11900"/>
    <cellStyle name="_Fuel Prices 4-14_NIM Summary 19" xfId="11901"/>
    <cellStyle name="_Fuel Prices 4-14_NIM Summary 19 2" xfId="11902"/>
    <cellStyle name="_Fuel Prices 4-14_NIM Summary 2" xfId="11903"/>
    <cellStyle name="_Fuel Prices 4-14_NIM Summary 2 2" xfId="11904"/>
    <cellStyle name="_Fuel Prices 4-14_NIM Summary 2 2 2" xfId="11905"/>
    <cellStyle name="_Fuel Prices 4-14_NIM Summary 2 3" xfId="11906"/>
    <cellStyle name="_Fuel Prices 4-14_NIM Summary 20" xfId="11907"/>
    <cellStyle name="_Fuel Prices 4-14_NIM Summary 20 2" xfId="11908"/>
    <cellStyle name="_Fuel Prices 4-14_NIM Summary 21" xfId="11909"/>
    <cellStyle name="_Fuel Prices 4-14_NIM Summary 21 2" xfId="11910"/>
    <cellStyle name="_Fuel Prices 4-14_NIM Summary 22" xfId="11911"/>
    <cellStyle name="_Fuel Prices 4-14_NIM Summary 22 2" xfId="11912"/>
    <cellStyle name="_Fuel Prices 4-14_NIM Summary 23" xfId="11913"/>
    <cellStyle name="_Fuel Prices 4-14_NIM Summary 23 2" xfId="11914"/>
    <cellStyle name="_Fuel Prices 4-14_NIM Summary 24" xfId="11915"/>
    <cellStyle name="_Fuel Prices 4-14_NIM Summary 24 2" xfId="11916"/>
    <cellStyle name="_Fuel Prices 4-14_NIM Summary 25" xfId="11917"/>
    <cellStyle name="_Fuel Prices 4-14_NIM Summary 25 2" xfId="11918"/>
    <cellStyle name="_Fuel Prices 4-14_NIM Summary 26" xfId="11919"/>
    <cellStyle name="_Fuel Prices 4-14_NIM Summary 26 2" xfId="11920"/>
    <cellStyle name="_Fuel Prices 4-14_NIM Summary 27" xfId="11921"/>
    <cellStyle name="_Fuel Prices 4-14_NIM Summary 27 2" xfId="11922"/>
    <cellStyle name="_Fuel Prices 4-14_NIM Summary 28" xfId="11923"/>
    <cellStyle name="_Fuel Prices 4-14_NIM Summary 28 2" xfId="11924"/>
    <cellStyle name="_Fuel Prices 4-14_NIM Summary 29" xfId="11925"/>
    <cellStyle name="_Fuel Prices 4-14_NIM Summary 29 2" xfId="11926"/>
    <cellStyle name="_Fuel Prices 4-14_NIM Summary 3" xfId="11927"/>
    <cellStyle name="_Fuel Prices 4-14_NIM Summary 3 2" xfId="11928"/>
    <cellStyle name="_Fuel Prices 4-14_NIM Summary 30" xfId="11929"/>
    <cellStyle name="_Fuel Prices 4-14_NIM Summary 30 2" xfId="11930"/>
    <cellStyle name="_Fuel Prices 4-14_NIM Summary 31" xfId="11931"/>
    <cellStyle name="_Fuel Prices 4-14_NIM Summary 31 2" xfId="11932"/>
    <cellStyle name="_Fuel Prices 4-14_NIM Summary 32" xfId="11933"/>
    <cellStyle name="_Fuel Prices 4-14_NIM Summary 32 2" xfId="11934"/>
    <cellStyle name="_Fuel Prices 4-14_NIM Summary 33" xfId="11935"/>
    <cellStyle name="_Fuel Prices 4-14_NIM Summary 33 2" xfId="11936"/>
    <cellStyle name="_Fuel Prices 4-14_NIM Summary 34" xfId="11937"/>
    <cellStyle name="_Fuel Prices 4-14_NIM Summary 34 2" xfId="11938"/>
    <cellStyle name="_Fuel Prices 4-14_NIM Summary 35" xfId="11939"/>
    <cellStyle name="_Fuel Prices 4-14_NIM Summary 35 2" xfId="11940"/>
    <cellStyle name="_Fuel Prices 4-14_NIM Summary 36" xfId="11941"/>
    <cellStyle name="_Fuel Prices 4-14_NIM Summary 36 2" xfId="11942"/>
    <cellStyle name="_Fuel Prices 4-14_NIM Summary 37" xfId="11943"/>
    <cellStyle name="_Fuel Prices 4-14_NIM Summary 37 2" xfId="11944"/>
    <cellStyle name="_Fuel Prices 4-14_NIM Summary 38" xfId="11945"/>
    <cellStyle name="_Fuel Prices 4-14_NIM Summary 38 2" xfId="11946"/>
    <cellStyle name="_Fuel Prices 4-14_NIM Summary 39" xfId="11947"/>
    <cellStyle name="_Fuel Prices 4-14_NIM Summary 39 2" xfId="11948"/>
    <cellStyle name="_Fuel Prices 4-14_NIM Summary 4" xfId="11949"/>
    <cellStyle name="_Fuel Prices 4-14_NIM Summary 4 2" xfId="11950"/>
    <cellStyle name="_Fuel Prices 4-14_NIM Summary 40" xfId="11951"/>
    <cellStyle name="_Fuel Prices 4-14_NIM Summary 40 2" xfId="11952"/>
    <cellStyle name="_Fuel Prices 4-14_NIM Summary 41" xfId="11953"/>
    <cellStyle name="_Fuel Prices 4-14_NIM Summary 41 2" xfId="11954"/>
    <cellStyle name="_Fuel Prices 4-14_NIM Summary 42" xfId="11955"/>
    <cellStyle name="_Fuel Prices 4-14_NIM Summary 42 2" xfId="11956"/>
    <cellStyle name="_Fuel Prices 4-14_NIM Summary 43" xfId="11957"/>
    <cellStyle name="_Fuel Prices 4-14_NIM Summary 43 2" xfId="11958"/>
    <cellStyle name="_Fuel Prices 4-14_NIM Summary 44" xfId="11959"/>
    <cellStyle name="_Fuel Prices 4-14_NIM Summary 44 2" xfId="11960"/>
    <cellStyle name="_Fuel Prices 4-14_NIM Summary 45" xfId="11961"/>
    <cellStyle name="_Fuel Prices 4-14_NIM Summary 45 2" xfId="11962"/>
    <cellStyle name="_Fuel Prices 4-14_NIM Summary 46" xfId="11963"/>
    <cellStyle name="_Fuel Prices 4-14_NIM Summary 46 2" xfId="11964"/>
    <cellStyle name="_Fuel Prices 4-14_NIM Summary 47" xfId="11965"/>
    <cellStyle name="_Fuel Prices 4-14_NIM Summary 47 2" xfId="11966"/>
    <cellStyle name="_Fuel Prices 4-14_NIM Summary 48" xfId="11967"/>
    <cellStyle name="_Fuel Prices 4-14_NIM Summary 49" xfId="11968"/>
    <cellStyle name="_Fuel Prices 4-14_NIM Summary 5" xfId="11969"/>
    <cellStyle name="_Fuel Prices 4-14_NIM Summary 5 2" xfId="11970"/>
    <cellStyle name="_Fuel Prices 4-14_NIM Summary 50" xfId="11971"/>
    <cellStyle name="_Fuel Prices 4-14_NIM Summary 51" xfId="11972"/>
    <cellStyle name="_Fuel Prices 4-14_NIM Summary 52" xfId="11973"/>
    <cellStyle name="_Fuel Prices 4-14_NIM Summary 6" xfId="11974"/>
    <cellStyle name="_Fuel Prices 4-14_NIM Summary 6 2" xfId="11975"/>
    <cellStyle name="_Fuel Prices 4-14_NIM Summary 7" xfId="11976"/>
    <cellStyle name="_Fuel Prices 4-14_NIM Summary 7 2" xfId="11977"/>
    <cellStyle name="_Fuel Prices 4-14_NIM Summary 8" xfId="11978"/>
    <cellStyle name="_Fuel Prices 4-14_NIM Summary 8 2" xfId="11979"/>
    <cellStyle name="_Fuel Prices 4-14_NIM Summary 9" xfId="11980"/>
    <cellStyle name="_Fuel Prices 4-14_NIM Summary 9 2" xfId="11981"/>
    <cellStyle name="_Fuel Prices 4-14_NIM Summary_DEM-WP(C) ENERG10C--ctn Mid-C_042010 2010GRC" xfId="11982"/>
    <cellStyle name="_Fuel Prices 4-14_NIM Summary_DEM-WP(C) ENERG10C--ctn Mid-C_042010 2010GRC 2" xfId="11983"/>
    <cellStyle name="_Fuel Prices 4-14_NIM+O&amp;M" xfId="11984"/>
    <cellStyle name="_Fuel Prices 4-14_NIM+O&amp;M 2" xfId="11985"/>
    <cellStyle name="_Fuel Prices 4-14_NIM+O&amp;M 2 2" xfId="11986"/>
    <cellStyle name="_Fuel Prices 4-14_NIM+O&amp;M 2 2 2" xfId="11987"/>
    <cellStyle name="_Fuel Prices 4-14_NIM+O&amp;M 2 3" xfId="11988"/>
    <cellStyle name="_Fuel Prices 4-14_NIM+O&amp;M 3" xfId="11989"/>
    <cellStyle name="_Fuel Prices 4-14_NIM+O&amp;M 3 2" xfId="11990"/>
    <cellStyle name="_Fuel Prices 4-14_NIM+O&amp;M 4" xfId="11991"/>
    <cellStyle name="_Fuel Prices 4-14_NIM+O&amp;M Monthly" xfId="11992"/>
    <cellStyle name="_Fuel Prices 4-14_NIM+O&amp;M Monthly 2" xfId="11993"/>
    <cellStyle name="_Fuel Prices 4-14_NIM+O&amp;M Monthly 2 2" xfId="11994"/>
    <cellStyle name="_Fuel Prices 4-14_NIM+O&amp;M Monthly 2 2 2" xfId="11995"/>
    <cellStyle name="_Fuel Prices 4-14_NIM+O&amp;M Monthly 2 3" xfId="11996"/>
    <cellStyle name="_Fuel Prices 4-14_NIM+O&amp;M Monthly 3" xfId="11997"/>
    <cellStyle name="_Fuel Prices 4-14_NIM+O&amp;M Monthly 3 2" xfId="11998"/>
    <cellStyle name="_Fuel Prices 4-14_NIM+O&amp;M Monthly 4" xfId="11999"/>
    <cellStyle name="_Fuel Prices 4-14_PCA 10 -  Exhibit D Dec 2011" xfId="12000"/>
    <cellStyle name="_Fuel Prices 4-14_PCA 10 -  Exhibit D Dec 2011 2" xfId="12001"/>
    <cellStyle name="_Fuel Prices 4-14_PCA 10 -  Exhibit D from A Kellogg Jan 2011" xfId="12002"/>
    <cellStyle name="_Fuel Prices 4-14_PCA 10 -  Exhibit D from A Kellogg Jan 2011 2" xfId="12003"/>
    <cellStyle name="_Fuel Prices 4-14_PCA 10 -  Exhibit D from A Kellogg July 2011" xfId="12004"/>
    <cellStyle name="_Fuel Prices 4-14_PCA 10 -  Exhibit D from A Kellogg July 2011 2" xfId="12005"/>
    <cellStyle name="_Fuel Prices 4-14_PCA 10 -  Exhibit D from S Free Rcv'd 12-11" xfId="12006"/>
    <cellStyle name="_Fuel Prices 4-14_PCA 10 -  Exhibit D from S Free Rcv'd 12-11 2" xfId="12007"/>
    <cellStyle name="_Fuel Prices 4-14_PCA 11 -  Exhibit D Jan 2012 fr A Kellogg" xfId="12008"/>
    <cellStyle name="_Fuel Prices 4-14_PCA 11 -  Exhibit D Jan 2012 fr A Kellogg 2" xfId="12009"/>
    <cellStyle name="_Fuel Prices 4-14_PCA 11 -  Exhibit D Jan 2012 WF" xfId="12010"/>
    <cellStyle name="_Fuel Prices 4-14_PCA 11 -  Exhibit D Jan 2012 WF 2" xfId="12011"/>
    <cellStyle name="_Fuel Prices 4-14_PCA 9 -  Exhibit D April 2010" xfId="12012"/>
    <cellStyle name="_Fuel Prices 4-14_PCA 9 -  Exhibit D April 2010 (3)" xfId="12013"/>
    <cellStyle name="_Fuel Prices 4-14_PCA 9 -  Exhibit D April 2010 (3) 2" xfId="12014"/>
    <cellStyle name="_Fuel Prices 4-14_PCA 9 -  Exhibit D April 2010 (3) 2 2" xfId="12015"/>
    <cellStyle name="_Fuel Prices 4-14_PCA 9 -  Exhibit D April 2010 (3) 2 2 2" xfId="12016"/>
    <cellStyle name="_Fuel Prices 4-14_PCA 9 -  Exhibit D April 2010 (3) 2 3" xfId="12017"/>
    <cellStyle name="_Fuel Prices 4-14_PCA 9 -  Exhibit D April 2010 (3) 3" xfId="12018"/>
    <cellStyle name="_Fuel Prices 4-14_PCA 9 -  Exhibit D April 2010 (3) 3 2" xfId="12019"/>
    <cellStyle name="_Fuel Prices 4-14_PCA 9 -  Exhibit D April 2010 (3) 4" xfId="12020"/>
    <cellStyle name="_Fuel Prices 4-14_PCA 9 -  Exhibit D April 2010 (3)_DEM-WP(C) ENERG10C--ctn Mid-C_042010 2010GRC" xfId="12021"/>
    <cellStyle name="_Fuel Prices 4-14_PCA 9 -  Exhibit D April 2010 (3)_DEM-WP(C) ENERG10C--ctn Mid-C_042010 2010GRC 2" xfId="12022"/>
    <cellStyle name="_Fuel Prices 4-14_PCA 9 -  Exhibit D April 2010 2" xfId="12023"/>
    <cellStyle name="_Fuel Prices 4-14_PCA 9 -  Exhibit D April 2010 2 2" xfId="12024"/>
    <cellStyle name="_Fuel Prices 4-14_PCA 9 -  Exhibit D April 2010 3" xfId="12025"/>
    <cellStyle name="_Fuel Prices 4-14_PCA 9 -  Exhibit D April 2010 3 2" xfId="12026"/>
    <cellStyle name="_Fuel Prices 4-14_PCA 9 -  Exhibit D April 2010 4" xfId="12027"/>
    <cellStyle name="_Fuel Prices 4-14_PCA 9 -  Exhibit D April 2010 4 2" xfId="12028"/>
    <cellStyle name="_Fuel Prices 4-14_PCA 9 -  Exhibit D April 2010 5" xfId="12029"/>
    <cellStyle name="_Fuel Prices 4-14_PCA 9 -  Exhibit D April 2010 5 2" xfId="12030"/>
    <cellStyle name="_Fuel Prices 4-14_PCA 9 -  Exhibit D April 2010 6" xfId="12031"/>
    <cellStyle name="_Fuel Prices 4-14_PCA 9 -  Exhibit D April 2010 6 2" xfId="12032"/>
    <cellStyle name="_Fuel Prices 4-14_PCA 9 -  Exhibit D April 2010 7" xfId="12033"/>
    <cellStyle name="_Fuel Prices 4-14_PCA 9 -  Exhibit D Nov 2010" xfId="12034"/>
    <cellStyle name="_Fuel Prices 4-14_PCA 9 -  Exhibit D Nov 2010 2" xfId="12035"/>
    <cellStyle name="_Fuel Prices 4-14_PCA 9 -  Exhibit D Nov 2010 2 2" xfId="12036"/>
    <cellStyle name="_Fuel Prices 4-14_PCA 9 -  Exhibit D Nov 2010 3" xfId="12037"/>
    <cellStyle name="_Fuel Prices 4-14_PCA 9 - Exhibit D at August 2010" xfId="12038"/>
    <cellStyle name="_Fuel Prices 4-14_PCA 9 - Exhibit D at August 2010 2" xfId="12039"/>
    <cellStyle name="_Fuel Prices 4-14_PCA 9 - Exhibit D at August 2010 2 2" xfId="12040"/>
    <cellStyle name="_Fuel Prices 4-14_PCA 9 - Exhibit D at August 2010 3" xfId="12041"/>
    <cellStyle name="_Fuel Prices 4-14_PCA 9 - Exhibit D June 2010 GRC" xfId="12042"/>
    <cellStyle name="_Fuel Prices 4-14_PCA 9 - Exhibit D June 2010 GRC 2" xfId="12043"/>
    <cellStyle name="_Fuel Prices 4-14_PCA 9 - Exhibit D June 2010 GRC 2 2" xfId="12044"/>
    <cellStyle name="_Fuel Prices 4-14_PCA 9 - Exhibit D June 2010 GRC 3" xfId="12045"/>
    <cellStyle name="_Fuel Prices 4-14_Peak Credit Exhibits for 2009 GRC" xfId="12046"/>
    <cellStyle name="_Fuel Prices 4-14_Peak Credit Exhibits for 2009 GRC 2" xfId="12047"/>
    <cellStyle name="_Fuel Prices 4-14_Peak Credit Exhibits for 2009 GRC 2 2" xfId="12048"/>
    <cellStyle name="_Fuel Prices 4-14_Peak Credit Exhibits for 2009 GRC 2 2 2" xfId="12049"/>
    <cellStyle name="_Fuel Prices 4-14_Peak Credit Exhibits for 2009 GRC 2 2 2 2" xfId="12050"/>
    <cellStyle name="_Fuel Prices 4-14_Peak Credit Exhibits for 2009 GRC 2 2 3" xfId="12051"/>
    <cellStyle name="_Fuel Prices 4-14_Peak Credit Exhibits for 2009 GRC 2 3" xfId="12052"/>
    <cellStyle name="_Fuel Prices 4-14_Peak Credit Exhibits for 2009 GRC 2 3 2" xfId="12053"/>
    <cellStyle name="_Fuel Prices 4-14_Peak Credit Exhibits for 2009 GRC 2 3 2 2" xfId="12054"/>
    <cellStyle name="_Fuel Prices 4-14_Peak Credit Exhibits for 2009 GRC 2 3 3" xfId="12055"/>
    <cellStyle name="_Fuel Prices 4-14_Peak Credit Exhibits for 2009 GRC 2 4" xfId="12056"/>
    <cellStyle name="_Fuel Prices 4-14_Peak Credit Exhibits for 2009 GRC 2 4 2" xfId="12057"/>
    <cellStyle name="_Fuel Prices 4-14_Peak Credit Exhibits for 2009 GRC 2 4 2 2" xfId="12058"/>
    <cellStyle name="_Fuel Prices 4-14_Peak Credit Exhibits for 2009 GRC 2 4 3" xfId="12059"/>
    <cellStyle name="_Fuel Prices 4-14_Peak Credit Exhibits for 2009 GRC 2 5" xfId="12060"/>
    <cellStyle name="_Fuel Prices 4-14_Peak Credit Exhibits for 2009 GRC 3" xfId="12061"/>
    <cellStyle name="_Fuel Prices 4-14_Peak Credit Exhibits for 2009 GRC 3 2" xfId="12062"/>
    <cellStyle name="_Fuel Prices 4-14_Peak Credit Exhibits for 2009 GRC 3 2 2" xfId="12063"/>
    <cellStyle name="_Fuel Prices 4-14_Peak Credit Exhibits for 2009 GRC 3 3" xfId="12064"/>
    <cellStyle name="_Fuel Prices 4-14_Peak Credit Exhibits for 2009 GRC 4" xfId="12065"/>
    <cellStyle name="_Fuel Prices 4-14_Peak Credit Exhibits for 2009 GRC 4 2" xfId="12066"/>
    <cellStyle name="_Fuel Prices 4-14_Peak Credit Exhibits for 2009 GRC 4 2 2" xfId="12067"/>
    <cellStyle name="_Fuel Prices 4-14_Peak Credit Exhibits for 2009 GRC 4 3" xfId="12068"/>
    <cellStyle name="_Fuel Prices 4-14_Peak Credit Exhibits for 2009 GRC 5" xfId="12069"/>
    <cellStyle name="_Fuel Prices 4-14_Peak Credit Exhibits for 2009 GRC 5 2" xfId="12070"/>
    <cellStyle name="_Fuel Prices 4-14_Peak Credit Exhibits for 2009 GRC 6" xfId="12071"/>
    <cellStyle name="_Fuel Prices 4-14_Power Costs - Comparison bx Rbtl-Staff-Jt-PC" xfId="632"/>
    <cellStyle name="_Fuel Prices 4-14_Power Costs - Comparison bx Rbtl-Staff-Jt-PC 2" xfId="12072"/>
    <cellStyle name="_Fuel Prices 4-14_Power Costs - Comparison bx Rbtl-Staff-Jt-PC 2 2" xfId="12073"/>
    <cellStyle name="_Fuel Prices 4-14_Power Costs - Comparison bx Rbtl-Staff-Jt-PC 2 2 2" xfId="12074"/>
    <cellStyle name="_Fuel Prices 4-14_Power Costs - Comparison bx Rbtl-Staff-Jt-PC 2 3" xfId="12075"/>
    <cellStyle name="_Fuel Prices 4-14_Power Costs - Comparison bx Rbtl-Staff-Jt-PC 3" xfId="12076"/>
    <cellStyle name="_Fuel Prices 4-14_Power Costs - Comparison bx Rbtl-Staff-Jt-PC 3 2" xfId="12077"/>
    <cellStyle name="_Fuel Prices 4-14_Power Costs - Comparison bx Rbtl-Staff-Jt-PC 4" xfId="12078"/>
    <cellStyle name="_Fuel Prices 4-14_Power Costs - Comparison bx Rbtl-Staff-Jt-PC_Adj Bench DR 3 for Initial Briefs (Electric)" xfId="633"/>
    <cellStyle name="_Fuel Prices 4-14_Power Costs - Comparison bx Rbtl-Staff-Jt-PC_Adj Bench DR 3 for Initial Briefs (Electric) 2" xfId="12079"/>
    <cellStyle name="_Fuel Prices 4-14_Power Costs - Comparison bx Rbtl-Staff-Jt-PC_Adj Bench DR 3 for Initial Briefs (Electric) 2 2" xfId="12080"/>
    <cellStyle name="_Fuel Prices 4-14_Power Costs - Comparison bx Rbtl-Staff-Jt-PC_Adj Bench DR 3 for Initial Briefs (Electric) 2 2 2" xfId="12081"/>
    <cellStyle name="_Fuel Prices 4-14_Power Costs - Comparison bx Rbtl-Staff-Jt-PC_Adj Bench DR 3 for Initial Briefs (Electric) 2 3" xfId="12082"/>
    <cellStyle name="_Fuel Prices 4-14_Power Costs - Comparison bx Rbtl-Staff-Jt-PC_Adj Bench DR 3 for Initial Briefs (Electric) 3" xfId="12083"/>
    <cellStyle name="_Fuel Prices 4-14_Power Costs - Comparison bx Rbtl-Staff-Jt-PC_Adj Bench DR 3 for Initial Briefs (Electric) 3 2" xfId="12084"/>
    <cellStyle name="_Fuel Prices 4-14_Power Costs - Comparison bx Rbtl-Staff-Jt-PC_Adj Bench DR 3 for Initial Briefs (Electric) 4" xfId="12085"/>
    <cellStyle name="_Fuel Prices 4-14_Power Costs - Comparison bx Rbtl-Staff-Jt-PC_Adj Bench DR 3 for Initial Briefs (Electric)_DEM-WP(C) ENERG10C--ctn Mid-C_042010 2010GRC" xfId="12086"/>
    <cellStyle name="_Fuel Prices 4-14_Power Costs - Comparison bx Rbtl-Staff-Jt-PC_Adj Bench DR 3 for Initial Briefs (Electric)_DEM-WP(C) ENERG10C--ctn Mid-C_042010 2010GRC 2" xfId="12087"/>
    <cellStyle name="_Fuel Prices 4-14_Power Costs - Comparison bx Rbtl-Staff-Jt-PC_DEM-WP(C) ENERG10C--ctn Mid-C_042010 2010GRC" xfId="12088"/>
    <cellStyle name="_Fuel Prices 4-14_Power Costs - Comparison bx Rbtl-Staff-Jt-PC_DEM-WP(C) ENERG10C--ctn Mid-C_042010 2010GRC 2" xfId="12089"/>
    <cellStyle name="_Fuel Prices 4-14_Power Costs - Comparison bx Rbtl-Staff-Jt-PC_Electric Rev Req Model (2009 GRC) Rebuttal" xfId="634"/>
    <cellStyle name="_Fuel Prices 4-14_Power Costs - Comparison bx Rbtl-Staff-Jt-PC_Electric Rev Req Model (2009 GRC) Rebuttal 2" xfId="12090"/>
    <cellStyle name="_Fuel Prices 4-14_Power Costs - Comparison bx Rbtl-Staff-Jt-PC_Electric Rev Req Model (2009 GRC) Rebuttal 2 2" xfId="12091"/>
    <cellStyle name="_Fuel Prices 4-14_Power Costs - Comparison bx Rbtl-Staff-Jt-PC_Electric Rev Req Model (2009 GRC) Rebuttal 2 2 2" xfId="12092"/>
    <cellStyle name="_Fuel Prices 4-14_Power Costs - Comparison bx Rbtl-Staff-Jt-PC_Electric Rev Req Model (2009 GRC) Rebuttal 2 3" xfId="12093"/>
    <cellStyle name="_Fuel Prices 4-14_Power Costs - Comparison bx Rbtl-Staff-Jt-PC_Electric Rev Req Model (2009 GRC) Rebuttal 3" xfId="12094"/>
    <cellStyle name="_Fuel Prices 4-14_Power Costs - Comparison bx Rbtl-Staff-Jt-PC_Electric Rev Req Model (2009 GRC) Rebuttal 3 2" xfId="12095"/>
    <cellStyle name="_Fuel Prices 4-14_Power Costs - Comparison bx Rbtl-Staff-Jt-PC_Electric Rev Req Model (2009 GRC) Rebuttal 4" xfId="12096"/>
    <cellStyle name="_Fuel Prices 4-14_Power Costs - Comparison bx Rbtl-Staff-Jt-PC_Electric Rev Req Model (2009 GRC) Rebuttal REmoval of New  WH Solar AdjustMI" xfId="635"/>
    <cellStyle name="_Fuel Prices 4-14_Power Costs - Comparison bx Rbtl-Staff-Jt-PC_Electric Rev Req Model (2009 GRC) Rebuttal REmoval of New  WH Solar AdjustMI 2" xfId="12097"/>
    <cellStyle name="_Fuel Prices 4-14_Power Costs - Comparison bx Rbtl-Staff-Jt-PC_Electric Rev Req Model (2009 GRC) Rebuttal REmoval of New  WH Solar AdjustMI 2 2" xfId="12098"/>
    <cellStyle name="_Fuel Prices 4-14_Power Costs - Comparison bx Rbtl-Staff-Jt-PC_Electric Rev Req Model (2009 GRC) Rebuttal REmoval of New  WH Solar AdjustMI 2 2 2" xfId="12099"/>
    <cellStyle name="_Fuel Prices 4-14_Power Costs - Comparison bx Rbtl-Staff-Jt-PC_Electric Rev Req Model (2009 GRC) Rebuttal REmoval of New  WH Solar AdjustMI 2 3" xfId="12100"/>
    <cellStyle name="_Fuel Prices 4-14_Power Costs - Comparison bx Rbtl-Staff-Jt-PC_Electric Rev Req Model (2009 GRC) Rebuttal REmoval of New  WH Solar AdjustMI 3" xfId="12101"/>
    <cellStyle name="_Fuel Prices 4-14_Power Costs - Comparison bx Rbtl-Staff-Jt-PC_Electric Rev Req Model (2009 GRC) Rebuttal REmoval of New  WH Solar AdjustMI 3 2" xfId="12102"/>
    <cellStyle name="_Fuel Prices 4-14_Power Costs - Comparison bx Rbtl-Staff-Jt-PC_Electric Rev Req Model (2009 GRC) Rebuttal REmoval of New  WH Solar AdjustMI 4" xfId="12103"/>
    <cellStyle name="_Fuel Prices 4-14_Power Costs - Comparison bx Rbtl-Staff-Jt-PC_Electric Rev Req Model (2009 GRC) Rebuttal REmoval of New  WH Solar AdjustMI_DEM-WP(C) ENERG10C--ctn Mid-C_042010 2010GRC" xfId="12104"/>
    <cellStyle name="_Fuel Prices 4-14_Power Costs - Comparison bx Rbtl-Staff-Jt-PC_Electric Rev Req Model (2009 GRC) Rebuttal REmoval of New  WH Solar AdjustMI_DEM-WP(C) ENERG10C--ctn Mid-C_042010 2010GRC 2" xfId="12105"/>
    <cellStyle name="_Fuel Prices 4-14_Power Costs - Comparison bx Rbtl-Staff-Jt-PC_Electric Rev Req Model (2009 GRC) Revised 01-18-2010" xfId="636"/>
    <cellStyle name="_Fuel Prices 4-14_Power Costs - Comparison bx Rbtl-Staff-Jt-PC_Electric Rev Req Model (2009 GRC) Revised 01-18-2010 2" xfId="12106"/>
    <cellStyle name="_Fuel Prices 4-14_Power Costs - Comparison bx Rbtl-Staff-Jt-PC_Electric Rev Req Model (2009 GRC) Revised 01-18-2010 2 2" xfId="12107"/>
    <cellStyle name="_Fuel Prices 4-14_Power Costs - Comparison bx Rbtl-Staff-Jt-PC_Electric Rev Req Model (2009 GRC) Revised 01-18-2010 2 2 2" xfId="12108"/>
    <cellStyle name="_Fuel Prices 4-14_Power Costs - Comparison bx Rbtl-Staff-Jt-PC_Electric Rev Req Model (2009 GRC) Revised 01-18-2010 2 3" xfId="12109"/>
    <cellStyle name="_Fuel Prices 4-14_Power Costs - Comparison bx Rbtl-Staff-Jt-PC_Electric Rev Req Model (2009 GRC) Revised 01-18-2010 3" xfId="12110"/>
    <cellStyle name="_Fuel Prices 4-14_Power Costs - Comparison bx Rbtl-Staff-Jt-PC_Electric Rev Req Model (2009 GRC) Revised 01-18-2010 3 2" xfId="12111"/>
    <cellStyle name="_Fuel Prices 4-14_Power Costs - Comparison bx Rbtl-Staff-Jt-PC_Electric Rev Req Model (2009 GRC) Revised 01-18-2010 4" xfId="12112"/>
    <cellStyle name="_Fuel Prices 4-14_Power Costs - Comparison bx Rbtl-Staff-Jt-PC_Electric Rev Req Model (2009 GRC) Revised 01-18-2010_DEM-WP(C) ENERG10C--ctn Mid-C_042010 2010GRC" xfId="12113"/>
    <cellStyle name="_Fuel Prices 4-14_Power Costs - Comparison bx Rbtl-Staff-Jt-PC_Electric Rev Req Model (2009 GRC) Revised 01-18-2010_DEM-WP(C) ENERG10C--ctn Mid-C_042010 2010GRC 2" xfId="12114"/>
    <cellStyle name="_Fuel Prices 4-14_Power Costs - Comparison bx Rbtl-Staff-Jt-PC_Final Order Electric EXHIBIT A-1" xfId="637"/>
    <cellStyle name="_Fuel Prices 4-14_Power Costs - Comparison bx Rbtl-Staff-Jt-PC_Final Order Electric EXHIBIT A-1 2" xfId="12115"/>
    <cellStyle name="_Fuel Prices 4-14_Power Costs - Comparison bx Rbtl-Staff-Jt-PC_Final Order Electric EXHIBIT A-1 2 2" xfId="12116"/>
    <cellStyle name="_Fuel Prices 4-14_Power Costs - Comparison bx Rbtl-Staff-Jt-PC_Final Order Electric EXHIBIT A-1 2 2 2" xfId="12117"/>
    <cellStyle name="_Fuel Prices 4-14_Power Costs - Comparison bx Rbtl-Staff-Jt-PC_Final Order Electric EXHIBIT A-1 2 3" xfId="12118"/>
    <cellStyle name="_Fuel Prices 4-14_Power Costs - Comparison bx Rbtl-Staff-Jt-PC_Final Order Electric EXHIBIT A-1 3" xfId="12119"/>
    <cellStyle name="_Fuel Prices 4-14_Power Costs - Comparison bx Rbtl-Staff-Jt-PC_Final Order Electric EXHIBIT A-1 3 2" xfId="12120"/>
    <cellStyle name="_Fuel Prices 4-14_Power Costs - Comparison bx Rbtl-Staff-Jt-PC_Final Order Electric EXHIBIT A-1 4" xfId="12121"/>
    <cellStyle name="_Fuel Prices 4-14_Production Adj 4.37" xfId="12122"/>
    <cellStyle name="_Fuel Prices 4-14_Production Adj 4.37 2" xfId="12123"/>
    <cellStyle name="_Fuel Prices 4-14_Production Adj 4.37 2 2" xfId="12124"/>
    <cellStyle name="_Fuel Prices 4-14_Production Adj 4.37 2 2 2" xfId="12125"/>
    <cellStyle name="_Fuel Prices 4-14_Production Adj 4.37 2 3" xfId="12126"/>
    <cellStyle name="_Fuel Prices 4-14_Production Adj 4.37 3" xfId="12127"/>
    <cellStyle name="_Fuel Prices 4-14_Production Adj 4.37 3 2" xfId="12128"/>
    <cellStyle name="_Fuel Prices 4-14_Production Adj 4.37 4" xfId="12129"/>
    <cellStyle name="_Fuel Prices 4-14_Purchased Power Adj 4.03" xfId="12130"/>
    <cellStyle name="_Fuel Prices 4-14_Purchased Power Adj 4.03 2" xfId="12131"/>
    <cellStyle name="_Fuel Prices 4-14_Purchased Power Adj 4.03 2 2" xfId="12132"/>
    <cellStyle name="_Fuel Prices 4-14_Purchased Power Adj 4.03 2 2 2" xfId="12133"/>
    <cellStyle name="_Fuel Prices 4-14_Purchased Power Adj 4.03 2 3" xfId="12134"/>
    <cellStyle name="_Fuel Prices 4-14_Purchased Power Adj 4.03 3" xfId="12135"/>
    <cellStyle name="_Fuel Prices 4-14_Purchased Power Adj 4.03 3 2" xfId="12136"/>
    <cellStyle name="_Fuel Prices 4-14_Purchased Power Adj 4.03 4" xfId="12137"/>
    <cellStyle name="_Fuel Prices 4-14_Rate Design Sch 24" xfId="12138"/>
    <cellStyle name="_Fuel Prices 4-14_Rate Design Sch 24 2" xfId="12139"/>
    <cellStyle name="_Fuel Prices 4-14_Rate Design Sch 24 2 2" xfId="12140"/>
    <cellStyle name="_Fuel Prices 4-14_Rate Design Sch 24 3" xfId="12141"/>
    <cellStyle name="_Fuel Prices 4-14_Rate Design Sch 25" xfId="12142"/>
    <cellStyle name="_Fuel Prices 4-14_Rate Design Sch 25 2" xfId="12143"/>
    <cellStyle name="_Fuel Prices 4-14_Rate Design Sch 25 2 2" xfId="12144"/>
    <cellStyle name="_Fuel Prices 4-14_Rate Design Sch 25 2 2 2" xfId="12145"/>
    <cellStyle name="_Fuel Prices 4-14_Rate Design Sch 25 2 3" xfId="12146"/>
    <cellStyle name="_Fuel Prices 4-14_Rate Design Sch 25 3" xfId="12147"/>
    <cellStyle name="_Fuel Prices 4-14_Rate Design Sch 25 3 2" xfId="12148"/>
    <cellStyle name="_Fuel Prices 4-14_Rate Design Sch 25 4" xfId="12149"/>
    <cellStyle name="_Fuel Prices 4-14_Rate Design Sch 26" xfId="12150"/>
    <cellStyle name="_Fuel Prices 4-14_Rate Design Sch 26 2" xfId="12151"/>
    <cellStyle name="_Fuel Prices 4-14_Rate Design Sch 26 2 2" xfId="12152"/>
    <cellStyle name="_Fuel Prices 4-14_Rate Design Sch 26 2 2 2" xfId="12153"/>
    <cellStyle name="_Fuel Prices 4-14_Rate Design Sch 26 2 3" xfId="12154"/>
    <cellStyle name="_Fuel Prices 4-14_Rate Design Sch 26 3" xfId="12155"/>
    <cellStyle name="_Fuel Prices 4-14_Rate Design Sch 26 3 2" xfId="12156"/>
    <cellStyle name="_Fuel Prices 4-14_Rate Design Sch 26 4" xfId="12157"/>
    <cellStyle name="_Fuel Prices 4-14_Rate Design Sch 31" xfId="12158"/>
    <cellStyle name="_Fuel Prices 4-14_Rate Design Sch 31 2" xfId="12159"/>
    <cellStyle name="_Fuel Prices 4-14_Rate Design Sch 31 2 2" xfId="12160"/>
    <cellStyle name="_Fuel Prices 4-14_Rate Design Sch 31 2 2 2" xfId="12161"/>
    <cellStyle name="_Fuel Prices 4-14_Rate Design Sch 31 2 3" xfId="12162"/>
    <cellStyle name="_Fuel Prices 4-14_Rate Design Sch 31 3" xfId="12163"/>
    <cellStyle name="_Fuel Prices 4-14_Rate Design Sch 31 3 2" xfId="12164"/>
    <cellStyle name="_Fuel Prices 4-14_Rate Design Sch 31 4" xfId="12165"/>
    <cellStyle name="_Fuel Prices 4-14_Rate Design Sch 43" xfId="12166"/>
    <cellStyle name="_Fuel Prices 4-14_Rate Design Sch 43 2" xfId="12167"/>
    <cellStyle name="_Fuel Prices 4-14_Rate Design Sch 43 2 2" xfId="12168"/>
    <cellStyle name="_Fuel Prices 4-14_Rate Design Sch 43 2 2 2" xfId="12169"/>
    <cellStyle name="_Fuel Prices 4-14_Rate Design Sch 43 2 3" xfId="12170"/>
    <cellStyle name="_Fuel Prices 4-14_Rate Design Sch 43 3" xfId="12171"/>
    <cellStyle name="_Fuel Prices 4-14_Rate Design Sch 43 3 2" xfId="12172"/>
    <cellStyle name="_Fuel Prices 4-14_Rate Design Sch 43 4" xfId="12173"/>
    <cellStyle name="_Fuel Prices 4-14_Rate Design Sch 448-449" xfId="12174"/>
    <cellStyle name="_Fuel Prices 4-14_Rate Design Sch 448-449 2" xfId="12175"/>
    <cellStyle name="_Fuel Prices 4-14_Rate Design Sch 448-449 2 2" xfId="12176"/>
    <cellStyle name="_Fuel Prices 4-14_Rate Design Sch 448-449 3" xfId="12177"/>
    <cellStyle name="_Fuel Prices 4-14_Rate Design Sch 46" xfId="12178"/>
    <cellStyle name="_Fuel Prices 4-14_Rate Design Sch 46 2" xfId="12179"/>
    <cellStyle name="_Fuel Prices 4-14_Rate Design Sch 46 2 2" xfId="12180"/>
    <cellStyle name="_Fuel Prices 4-14_Rate Design Sch 46 2 2 2" xfId="12181"/>
    <cellStyle name="_Fuel Prices 4-14_Rate Design Sch 46 2 3" xfId="12182"/>
    <cellStyle name="_Fuel Prices 4-14_Rate Design Sch 46 3" xfId="12183"/>
    <cellStyle name="_Fuel Prices 4-14_Rate Design Sch 46 3 2" xfId="12184"/>
    <cellStyle name="_Fuel Prices 4-14_Rate Design Sch 46 4" xfId="12185"/>
    <cellStyle name="_Fuel Prices 4-14_Rate Spread" xfId="12186"/>
    <cellStyle name="_Fuel Prices 4-14_Rate Spread 2" xfId="12187"/>
    <cellStyle name="_Fuel Prices 4-14_Rate Spread 2 2" xfId="12188"/>
    <cellStyle name="_Fuel Prices 4-14_Rate Spread 2 2 2" xfId="12189"/>
    <cellStyle name="_Fuel Prices 4-14_Rate Spread 2 3" xfId="12190"/>
    <cellStyle name="_Fuel Prices 4-14_Rate Spread 3" xfId="12191"/>
    <cellStyle name="_Fuel Prices 4-14_Rate Spread 3 2" xfId="12192"/>
    <cellStyle name="_Fuel Prices 4-14_Rate Spread 4" xfId="12193"/>
    <cellStyle name="_Fuel Prices 4-14_Rebuttal Power Costs" xfId="638"/>
    <cellStyle name="_Fuel Prices 4-14_Rebuttal Power Costs 2" xfId="12194"/>
    <cellStyle name="_Fuel Prices 4-14_Rebuttal Power Costs 2 2" xfId="12195"/>
    <cellStyle name="_Fuel Prices 4-14_Rebuttal Power Costs 2 2 2" xfId="12196"/>
    <cellStyle name="_Fuel Prices 4-14_Rebuttal Power Costs 2 3" xfId="12197"/>
    <cellStyle name="_Fuel Prices 4-14_Rebuttal Power Costs 3" xfId="12198"/>
    <cellStyle name="_Fuel Prices 4-14_Rebuttal Power Costs 3 2" xfId="12199"/>
    <cellStyle name="_Fuel Prices 4-14_Rebuttal Power Costs 4" xfId="12200"/>
    <cellStyle name="_Fuel Prices 4-14_Rebuttal Power Costs_Adj Bench DR 3 for Initial Briefs (Electric)" xfId="639"/>
    <cellStyle name="_Fuel Prices 4-14_Rebuttal Power Costs_Adj Bench DR 3 for Initial Briefs (Electric) 2" xfId="12201"/>
    <cellStyle name="_Fuel Prices 4-14_Rebuttal Power Costs_Adj Bench DR 3 for Initial Briefs (Electric) 2 2" xfId="12202"/>
    <cellStyle name="_Fuel Prices 4-14_Rebuttal Power Costs_Adj Bench DR 3 for Initial Briefs (Electric) 2 2 2" xfId="12203"/>
    <cellStyle name="_Fuel Prices 4-14_Rebuttal Power Costs_Adj Bench DR 3 for Initial Briefs (Electric) 2 3" xfId="12204"/>
    <cellStyle name="_Fuel Prices 4-14_Rebuttal Power Costs_Adj Bench DR 3 for Initial Briefs (Electric) 3" xfId="12205"/>
    <cellStyle name="_Fuel Prices 4-14_Rebuttal Power Costs_Adj Bench DR 3 for Initial Briefs (Electric) 3 2" xfId="12206"/>
    <cellStyle name="_Fuel Prices 4-14_Rebuttal Power Costs_Adj Bench DR 3 for Initial Briefs (Electric) 4" xfId="12207"/>
    <cellStyle name="_Fuel Prices 4-14_Rebuttal Power Costs_Adj Bench DR 3 for Initial Briefs (Electric)_DEM-WP(C) ENERG10C--ctn Mid-C_042010 2010GRC" xfId="12208"/>
    <cellStyle name="_Fuel Prices 4-14_Rebuttal Power Costs_Adj Bench DR 3 for Initial Briefs (Electric)_DEM-WP(C) ENERG10C--ctn Mid-C_042010 2010GRC 2" xfId="12209"/>
    <cellStyle name="_Fuel Prices 4-14_Rebuttal Power Costs_DEM-WP(C) ENERG10C--ctn Mid-C_042010 2010GRC" xfId="12210"/>
    <cellStyle name="_Fuel Prices 4-14_Rebuttal Power Costs_DEM-WP(C) ENERG10C--ctn Mid-C_042010 2010GRC 2" xfId="12211"/>
    <cellStyle name="_Fuel Prices 4-14_Rebuttal Power Costs_Electric Rev Req Model (2009 GRC) Rebuttal" xfId="640"/>
    <cellStyle name="_Fuel Prices 4-14_Rebuttal Power Costs_Electric Rev Req Model (2009 GRC) Rebuttal 2" xfId="12212"/>
    <cellStyle name="_Fuel Prices 4-14_Rebuttal Power Costs_Electric Rev Req Model (2009 GRC) Rebuttal 2 2" xfId="12213"/>
    <cellStyle name="_Fuel Prices 4-14_Rebuttal Power Costs_Electric Rev Req Model (2009 GRC) Rebuttal 2 2 2" xfId="12214"/>
    <cellStyle name="_Fuel Prices 4-14_Rebuttal Power Costs_Electric Rev Req Model (2009 GRC) Rebuttal 2 3" xfId="12215"/>
    <cellStyle name="_Fuel Prices 4-14_Rebuttal Power Costs_Electric Rev Req Model (2009 GRC) Rebuttal 3" xfId="12216"/>
    <cellStyle name="_Fuel Prices 4-14_Rebuttal Power Costs_Electric Rev Req Model (2009 GRC) Rebuttal 3 2" xfId="12217"/>
    <cellStyle name="_Fuel Prices 4-14_Rebuttal Power Costs_Electric Rev Req Model (2009 GRC) Rebuttal 4" xfId="12218"/>
    <cellStyle name="_Fuel Prices 4-14_Rebuttal Power Costs_Electric Rev Req Model (2009 GRC) Rebuttal REmoval of New  WH Solar AdjustMI" xfId="641"/>
    <cellStyle name="_Fuel Prices 4-14_Rebuttal Power Costs_Electric Rev Req Model (2009 GRC) Rebuttal REmoval of New  WH Solar AdjustMI 2" xfId="12219"/>
    <cellStyle name="_Fuel Prices 4-14_Rebuttal Power Costs_Electric Rev Req Model (2009 GRC) Rebuttal REmoval of New  WH Solar AdjustMI 2 2" xfId="12220"/>
    <cellStyle name="_Fuel Prices 4-14_Rebuttal Power Costs_Electric Rev Req Model (2009 GRC) Rebuttal REmoval of New  WH Solar AdjustMI 2 2 2" xfId="12221"/>
    <cellStyle name="_Fuel Prices 4-14_Rebuttal Power Costs_Electric Rev Req Model (2009 GRC) Rebuttal REmoval of New  WH Solar AdjustMI 2 3" xfId="12222"/>
    <cellStyle name="_Fuel Prices 4-14_Rebuttal Power Costs_Electric Rev Req Model (2009 GRC) Rebuttal REmoval of New  WH Solar AdjustMI 3" xfId="12223"/>
    <cellStyle name="_Fuel Prices 4-14_Rebuttal Power Costs_Electric Rev Req Model (2009 GRC) Rebuttal REmoval of New  WH Solar AdjustMI 3 2" xfId="12224"/>
    <cellStyle name="_Fuel Prices 4-14_Rebuttal Power Costs_Electric Rev Req Model (2009 GRC) Rebuttal REmoval of New  WH Solar AdjustMI 4" xfId="12225"/>
    <cellStyle name="_Fuel Prices 4-14_Rebuttal Power Costs_Electric Rev Req Model (2009 GRC) Rebuttal REmoval of New  WH Solar AdjustMI_DEM-WP(C) ENERG10C--ctn Mid-C_042010 2010GRC" xfId="12226"/>
    <cellStyle name="_Fuel Prices 4-14_Rebuttal Power Costs_Electric Rev Req Model (2009 GRC) Rebuttal REmoval of New  WH Solar AdjustMI_DEM-WP(C) ENERG10C--ctn Mid-C_042010 2010GRC 2" xfId="12227"/>
    <cellStyle name="_Fuel Prices 4-14_Rebuttal Power Costs_Electric Rev Req Model (2009 GRC) Revised 01-18-2010" xfId="642"/>
    <cellStyle name="_Fuel Prices 4-14_Rebuttal Power Costs_Electric Rev Req Model (2009 GRC) Revised 01-18-2010 2" xfId="12228"/>
    <cellStyle name="_Fuel Prices 4-14_Rebuttal Power Costs_Electric Rev Req Model (2009 GRC) Revised 01-18-2010 2 2" xfId="12229"/>
    <cellStyle name="_Fuel Prices 4-14_Rebuttal Power Costs_Electric Rev Req Model (2009 GRC) Revised 01-18-2010 2 2 2" xfId="12230"/>
    <cellStyle name="_Fuel Prices 4-14_Rebuttal Power Costs_Electric Rev Req Model (2009 GRC) Revised 01-18-2010 2 3" xfId="12231"/>
    <cellStyle name="_Fuel Prices 4-14_Rebuttal Power Costs_Electric Rev Req Model (2009 GRC) Revised 01-18-2010 3" xfId="12232"/>
    <cellStyle name="_Fuel Prices 4-14_Rebuttal Power Costs_Electric Rev Req Model (2009 GRC) Revised 01-18-2010 3 2" xfId="12233"/>
    <cellStyle name="_Fuel Prices 4-14_Rebuttal Power Costs_Electric Rev Req Model (2009 GRC) Revised 01-18-2010 4" xfId="12234"/>
    <cellStyle name="_Fuel Prices 4-14_Rebuttal Power Costs_Electric Rev Req Model (2009 GRC) Revised 01-18-2010_DEM-WP(C) ENERG10C--ctn Mid-C_042010 2010GRC" xfId="12235"/>
    <cellStyle name="_Fuel Prices 4-14_Rebuttal Power Costs_Electric Rev Req Model (2009 GRC) Revised 01-18-2010_DEM-WP(C) ENERG10C--ctn Mid-C_042010 2010GRC 2" xfId="12236"/>
    <cellStyle name="_Fuel Prices 4-14_Rebuttal Power Costs_Final Order Electric EXHIBIT A-1" xfId="643"/>
    <cellStyle name="_Fuel Prices 4-14_Rebuttal Power Costs_Final Order Electric EXHIBIT A-1 2" xfId="12237"/>
    <cellStyle name="_Fuel Prices 4-14_Rebuttal Power Costs_Final Order Electric EXHIBIT A-1 2 2" xfId="12238"/>
    <cellStyle name="_Fuel Prices 4-14_Rebuttal Power Costs_Final Order Electric EXHIBIT A-1 2 2 2" xfId="12239"/>
    <cellStyle name="_Fuel Prices 4-14_Rebuttal Power Costs_Final Order Electric EXHIBIT A-1 2 3" xfId="12240"/>
    <cellStyle name="_Fuel Prices 4-14_Rebuttal Power Costs_Final Order Electric EXHIBIT A-1 3" xfId="12241"/>
    <cellStyle name="_Fuel Prices 4-14_Rebuttal Power Costs_Final Order Electric EXHIBIT A-1 3 2" xfId="12242"/>
    <cellStyle name="_Fuel Prices 4-14_Rebuttal Power Costs_Final Order Electric EXHIBIT A-1 4" xfId="12243"/>
    <cellStyle name="_Fuel Prices 4-14_ROR 5.02" xfId="12244"/>
    <cellStyle name="_Fuel Prices 4-14_ROR 5.02 2" xfId="12245"/>
    <cellStyle name="_Fuel Prices 4-14_ROR 5.02 2 2" xfId="12246"/>
    <cellStyle name="_Fuel Prices 4-14_ROR 5.02 2 2 2" xfId="12247"/>
    <cellStyle name="_Fuel Prices 4-14_ROR 5.02 2 3" xfId="12248"/>
    <cellStyle name="_Fuel Prices 4-14_ROR 5.02 3" xfId="12249"/>
    <cellStyle name="_Fuel Prices 4-14_ROR 5.02 3 2" xfId="12250"/>
    <cellStyle name="_Fuel Prices 4-14_ROR 5.02 4" xfId="12251"/>
    <cellStyle name="_Fuel Prices 4-14_Sch 40 Feeder OH 2008" xfId="12252"/>
    <cellStyle name="_Fuel Prices 4-14_Sch 40 Feeder OH 2008 2" xfId="12253"/>
    <cellStyle name="_Fuel Prices 4-14_Sch 40 Feeder OH 2008 2 2" xfId="12254"/>
    <cellStyle name="_Fuel Prices 4-14_Sch 40 Feeder OH 2008 2 2 2" xfId="12255"/>
    <cellStyle name="_Fuel Prices 4-14_Sch 40 Feeder OH 2008 2 3" xfId="12256"/>
    <cellStyle name="_Fuel Prices 4-14_Sch 40 Feeder OH 2008 3" xfId="12257"/>
    <cellStyle name="_Fuel Prices 4-14_Sch 40 Feeder OH 2008 3 2" xfId="12258"/>
    <cellStyle name="_Fuel Prices 4-14_Sch 40 Feeder OH 2008 4" xfId="12259"/>
    <cellStyle name="_Fuel Prices 4-14_Sch 40 Interim Energy Rates " xfId="12260"/>
    <cellStyle name="_Fuel Prices 4-14_Sch 40 Interim Energy Rates  2" xfId="12261"/>
    <cellStyle name="_Fuel Prices 4-14_Sch 40 Interim Energy Rates  2 2" xfId="12262"/>
    <cellStyle name="_Fuel Prices 4-14_Sch 40 Interim Energy Rates  2 2 2" xfId="12263"/>
    <cellStyle name="_Fuel Prices 4-14_Sch 40 Interim Energy Rates  2 3" xfId="12264"/>
    <cellStyle name="_Fuel Prices 4-14_Sch 40 Interim Energy Rates  3" xfId="12265"/>
    <cellStyle name="_Fuel Prices 4-14_Sch 40 Interim Energy Rates  3 2" xfId="12266"/>
    <cellStyle name="_Fuel Prices 4-14_Sch 40 Interim Energy Rates  4" xfId="12267"/>
    <cellStyle name="_Fuel Prices 4-14_Sch 40 Substation A&amp;G 2008" xfId="12268"/>
    <cellStyle name="_Fuel Prices 4-14_Sch 40 Substation A&amp;G 2008 2" xfId="12269"/>
    <cellStyle name="_Fuel Prices 4-14_Sch 40 Substation A&amp;G 2008 2 2" xfId="12270"/>
    <cellStyle name="_Fuel Prices 4-14_Sch 40 Substation A&amp;G 2008 2 2 2" xfId="12271"/>
    <cellStyle name="_Fuel Prices 4-14_Sch 40 Substation A&amp;G 2008 2 3" xfId="12272"/>
    <cellStyle name="_Fuel Prices 4-14_Sch 40 Substation A&amp;G 2008 3" xfId="12273"/>
    <cellStyle name="_Fuel Prices 4-14_Sch 40 Substation A&amp;G 2008 3 2" xfId="12274"/>
    <cellStyle name="_Fuel Prices 4-14_Sch 40 Substation A&amp;G 2008 4" xfId="12275"/>
    <cellStyle name="_Fuel Prices 4-14_Sch 40 Substation O&amp;M 2008" xfId="12276"/>
    <cellStyle name="_Fuel Prices 4-14_Sch 40 Substation O&amp;M 2008 2" xfId="12277"/>
    <cellStyle name="_Fuel Prices 4-14_Sch 40 Substation O&amp;M 2008 2 2" xfId="12278"/>
    <cellStyle name="_Fuel Prices 4-14_Sch 40 Substation O&amp;M 2008 2 2 2" xfId="12279"/>
    <cellStyle name="_Fuel Prices 4-14_Sch 40 Substation O&amp;M 2008 2 3" xfId="12280"/>
    <cellStyle name="_Fuel Prices 4-14_Sch 40 Substation O&amp;M 2008 3" xfId="12281"/>
    <cellStyle name="_Fuel Prices 4-14_Sch 40 Substation O&amp;M 2008 3 2" xfId="12282"/>
    <cellStyle name="_Fuel Prices 4-14_Sch 40 Substation O&amp;M 2008 4" xfId="12283"/>
    <cellStyle name="_Fuel Prices 4-14_Subs 2008" xfId="12284"/>
    <cellStyle name="_Fuel Prices 4-14_Subs 2008 2" xfId="12285"/>
    <cellStyle name="_Fuel Prices 4-14_Subs 2008 2 2" xfId="12286"/>
    <cellStyle name="_Fuel Prices 4-14_Subs 2008 2 2 2" xfId="12287"/>
    <cellStyle name="_Fuel Prices 4-14_Subs 2008 2 3" xfId="12288"/>
    <cellStyle name="_Fuel Prices 4-14_Subs 2008 3" xfId="12289"/>
    <cellStyle name="_Fuel Prices 4-14_Subs 2008 3 2" xfId="12290"/>
    <cellStyle name="_Fuel Prices 4-14_Subs 2008 4" xfId="12291"/>
    <cellStyle name="_Fuel Prices 4-14_Wind Integration 10GRC" xfId="12292"/>
    <cellStyle name="_Fuel Prices 4-14_Wind Integration 10GRC 2" xfId="12293"/>
    <cellStyle name="_Fuel Prices 4-14_Wind Integration 10GRC 2 2" xfId="12294"/>
    <cellStyle name="_Fuel Prices 4-14_Wind Integration 10GRC 2 2 2" xfId="12295"/>
    <cellStyle name="_Fuel Prices 4-14_Wind Integration 10GRC 2 3" xfId="12296"/>
    <cellStyle name="_Fuel Prices 4-14_Wind Integration 10GRC 3" xfId="12297"/>
    <cellStyle name="_Fuel Prices 4-14_Wind Integration 10GRC 3 2" xfId="12298"/>
    <cellStyle name="_Fuel Prices 4-14_Wind Integration 10GRC 4" xfId="12299"/>
    <cellStyle name="_Fuel Prices 4-14_Wind Integration 10GRC_DEM-WP(C) ENERG10C--ctn Mid-C_042010 2010GRC" xfId="12300"/>
    <cellStyle name="_Fuel Prices 4-14_Wind Integration 10GRC_DEM-WP(C) ENERG10C--ctn Mid-C_042010 2010GRC 2" xfId="12301"/>
    <cellStyle name="_Gas Transportation Charges_2009GRC_120308" xfId="644"/>
    <cellStyle name="_Gas Transportation Charges_2009GRC_120308 2" xfId="12302"/>
    <cellStyle name="_Gas Transportation Charges_2009GRC_120308 2 2" xfId="12303"/>
    <cellStyle name="_Gas Transportation Charges_2009GRC_120308 2 2 2" xfId="12304"/>
    <cellStyle name="_Gas Transportation Charges_2009GRC_120308 2 2 2 2" xfId="12305"/>
    <cellStyle name="_Gas Transportation Charges_2009GRC_120308 2 2 2 3" xfId="12306"/>
    <cellStyle name="_Gas Transportation Charges_2009GRC_120308 2 2 3" xfId="12307"/>
    <cellStyle name="_Gas Transportation Charges_2009GRC_120308 2 3" xfId="12308"/>
    <cellStyle name="_Gas Transportation Charges_2009GRC_120308 2 3 2" xfId="12309"/>
    <cellStyle name="_Gas Transportation Charges_2009GRC_120308 2 4" xfId="12310"/>
    <cellStyle name="_Gas Transportation Charges_2009GRC_120308 3" xfId="12311"/>
    <cellStyle name="_Gas Transportation Charges_2009GRC_120308 3 2" xfId="12312"/>
    <cellStyle name="_Gas Transportation Charges_2009GRC_120308 3 2 2" xfId="12313"/>
    <cellStyle name="_Gas Transportation Charges_2009GRC_120308 3 2 2 2" xfId="12314"/>
    <cellStyle name="_Gas Transportation Charges_2009GRC_120308 3 2 3" xfId="12315"/>
    <cellStyle name="_Gas Transportation Charges_2009GRC_120308 3 3" xfId="12316"/>
    <cellStyle name="_Gas Transportation Charges_2009GRC_120308 3 3 2" xfId="12317"/>
    <cellStyle name="_Gas Transportation Charges_2009GRC_120308 3 4" xfId="12318"/>
    <cellStyle name="_Gas Transportation Charges_2009GRC_120308 4" xfId="12319"/>
    <cellStyle name="_Gas Transportation Charges_2009GRC_120308 4 2" xfId="12320"/>
    <cellStyle name="_Gas Transportation Charges_2009GRC_120308 4 2 2" xfId="12321"/>
    <cellStyle name="_Gas Transportation Charges_2009GRC_120308 4 3" xfId="12322"/>
    <cellStyle name="_Gas Transportation Charges_2009GRC_120308 5" xfId="12323"/>
    <cellStyle name="_Gas Transportation Charges_2009GRC_120308 5 2" xfId="12324"/>
    <cellStyle name="_Gas Transportation Charges_2009GRC_120308 5 2 2" xfId="12325"/>
    <cellStyle name="_Gas Transportation Charges_2009GRC_120308 5 3" xfId="12326"/>
    <cellStyle name="_Gas Transportation Charges_2009GRC_120308 6" xfId="12327"/>
    <cellStyle name="_Gas Transportation Charges_2009GRC_120308 6 2" xfId="12328"/>
    <cellStyle name="_Gas Transportation Charges_2009GRC_120308 6 2 2" xfId="12329"/>
    <cellStyle name="_Gas Transportation Charges_2009GRC_120308 6 3" xfId="12330"/>
    <cellStyle name="_Gas Transportation Charges_2009GRC_120308 7" xfId="12331"/>
    <cellStyle name="_Gas Transportation Charges_2009GRC_120308 7 2" xfId="12332"/>
    <cellStyle name="_Gas Transportation Charges_2009GRC_120308 7 2 2" xfId="12333"/>
    <cellStyle name="_Gas Transportation Charges_2009GRC_120308 7 3" xfId="12334"/>
    <cellStyle name="_Gas Transportation Charges_2009GRC_120308 8" xfId="12335"/>
    <cellStyle name="_Gas Transportation Charges_2009GRC_120308_4 31E Reg Asset  Liab and EXH D" xfId="12336"/>
    <cellStyle name="_Gas Transportation Charges_2009GRC_120308_4 31E Reg Asset  Liab and EXH D _ Aug 10 Filing (2)" xfId="12337"/>
    <cellStyle name="_Gas Transportation Charges_2009GRC_120308_4 31E Reg Asset  Liab and EXH D _ Aug 10 Filing (2) 2" xfId="12338"/>
    <cellStyle name="_Gas Transportation Charges_2009GRC_120308_4 31E Reg Asset  Liab and EXH D _ Aug 10 Filing (2) 2 2" xfId="12339"/>
    <cellStyle name="_Gas Transportation Charges_2009GRC_120308_4 31E Reg Asset  Liab and EXH D _ Aug 10 Filing (2) 3" xfId="12340"/>
    <cellStyle name="_Gas Transportation Charges_2009GRC_120308_4 31E Reg Asset  Liab and EXH D 10" xfId="12341"/>
    <cellStyle name="_Gas Transportation Charges_2009GRC_120308_4 31E Reg Asset  Liab and EXH D 10 2" xfId="12342"/>
    <cellStyle name="_Gas Transportation Charges_2009GRC_120308_4 31E Reg Asset  Liab and EXH D 11" xfId="12343"/>
    <cellStyle name="_Gas Transportation Charges_2009GRC_120308_4 31E Reg Asset  Liab and EXH D 11 2" xfId="12344"/>
    <cellStyle name="_Gas Transportation Charges_2009GRC_120308_4 31E Reg Asset  Liab and EXH D 12" xfId="12345"/>
    <cellStyle name="_Gas Transportation Charges_2009GRC_120308_4 31E Reg Asset  Liab and EXH D 12 2" xfId="12346"/>
    <cellStyle name="_Gas Transportation Charges_2009GRC_120308_4 31E Reg Asset  Liab and EXH D 13" xfId="12347"/>
    <cellStyle name="_Gas Transportation Charges_2009GRC_120308_4 31E Reg Asset  Liab and EXH D 13 2" xfId="12348"/>
    <cellStyle name="_Gas Transportation Charges_2009GRC_120308_4 31E Reg Asset  Liab and EXH D 14" xfId="12349"/>
    <cellStyle name="_Gas Transportation Charges_2009GRC_120308_4 31E Reg Asset  Liab and EXH D 14 2" xfId="12350"/>
    <cellStyle name="_Gas Transportation Charges_2009GRC_120308_4 31E Reg Asset  Liab and EXH D 15" xfId="12351"/>
    <cellStyle name="_Gas Transportation Charges_2009GRC_120308_4 31E Reg Asset  Liab and EXH D 15 2" xfId="12352"/>
    <cellStyle name="_Gas Transportation Charges_2009GRC_120308_4 31E Reg Asset  Liab and EXH D 16" xfId="12353"/>
    <cellStyle name="_Gas Transportation Charges_2009GRC_120308_4 31E Reg Asset  Liab and EXH D 16 2" xfId="12354"/>
    <cellStyle name="_Gas Transportation Charges_2009GRC_120308_4 31E Reg Asset  Liab and EXH D 17" xfId="12355"/>
    <cellStyle name="_Gas Transportation Charges_2009GRC_120308_4 31E Reg Asset  Liab and EXH D 17 2" xfId="12356"/>
    <cellStyle name="_Gas Transportation Charges_2009GRC_120308_4 31E Reg Asset  Liab and EXH D 18" xfId="12357"/>
    <cellStyle name="_Gas Transportation Charges_2009GRC_120308_4 31E Reg Asset  Liab and EXH D 18 2" xfId="12358"/>
    <cellStyle name="_Gas Transportation Charges_2009GRC_120308_4 31E Reg Asset  Liab and EXH D 19" xfId="12359"/>
    <cellStyle name="_Gas Transportation Charges_2009GRC_120308_4 31E Reg Asset  Liab and EXH D 19 2" xfId="12360"/>
    <cellStyle name="_Gas Transportation Charges_2009GRC_120308_4 31E Reg Asset  Liab and EXH D 2" xfId="12361"/>
    <cellStyle name="_Gas Transportation Charges_2009GRC_120308_4 31E Reg Asset  Liab and EXH D 2 2" xfId="12362"/>
    <cellStyle name="_Gas Transportation Charges_2009GRC_120308_4 31E Reg Asset  Liab and EXH D 20" xfId="12363"/>
    <cellStyle name="_Gas Transportation Charges_2009GRC_120308_4 31E Reg Asset  Liab and EXH D 20 2" xfId="12364"/>
    <cellStyle name="_Gas Transportation Charges_2009GRC_120308_4 31E Reg Asset  Liab and EXH D 21" xfId="12365"/>
    <cellStyle name="_Gas Transportation Charges_2009GRC_120308_4 31E Reg Asset  Liab and EXH D 21 2" xfId="12366"/>
    <cellStyle name="_Gas Transportation Charges_2009GRC_120308_4 31E Reg Asset  Liab and EXH D 22" xfId="12367"/>
    <cellStyle name="_Gas Transportation Charges_2009GRC_120308_4 31E Reg Asset  Liab and EXH D 22 2" xfId="12368"/>
    <cellStyle name="_Gas Transportation Charges_2009GRC_120308_4 31E Reg Asset  Liab and EXH D 23" xfId="12369"/>
    <cellStyle name="_Gas Transportation Charges_2009GRC_120308_4 31E Reg Asset  Liab and EXH D 23 2" xfId="12370"/>
    <cellStyle name="_Gas Transportation Charges_2009GRC_120308_4 31E Reg Asset  Liab and EXH D 24" xfId="12371"/>
    <cellStyle name="_Gas Transportation Charges_2009GRC_120308_4 31E Reg Asset  Liab and EXH D 24 2" xfId="12372"/>
    <cellStyle name="_Gas Transportation Charges_2009GRC_120308_4 31E Reg Asset  Liab and EXH D 25" xfId="12373"/>
    <cellStyle name="_Gas Transportation Charges_2009GRC_120308_4 31E Reg Asset  Liab and EXH D 25 2" xfId="12374"/>
    <cellStyle name="_Gas Transportation Charges_2009GRC_120308_4 31E Reg Asset  Liab and EXH D 26" xfId="12375"/>
    <cellStyle name="_Gas Transportation Charges_2009GRC_120308_4 31E Reg Asset  Liab and EXH D 26 2" xfId="12376"/>
    <cellStyle name="_Gas Transportation Charges_2009GRC_120308_4 31E Reg Asset  Liab and EXH D 27" xfId="12377"/>
    <cellStyle name="_Gas Transportation Charges_2009GRC_120308_4 31E Reg Asset  Liab and EXH D 27 2" xfId="12378"/>
    <cellStyle name="_Gas Transportation Charges_2009GRC_120308_4 31E Reg Asset  Liab and EXH D 28" xfId="12379"/>
    <cellStyle name="_Gas Transportation Charges_2009GRC_120308_4 31E Reg Asset  Liab and EXH D 28 2" xfId="12380"/>
    <cellStyle name="_Gas Transportation Charges_2009GRC_120308_4 31E Reg Asset  Liab and EXH D 29" xfId="12381"/>
    <cellStyle name="_Gas Transportation Charges_2009GRC_120308_4 31E Reg Asset  Liab and EXH D 29 2" xfId="12382"/>
    <cellStyle name="_Gas Transportation Charges_2009GRC_120308_4 31E Reg Asset  Liab and EXH D 3" xfId="12383"/>
    <cellStyle name="_Gas Transportation Charges_2009GRC_120308_4 31E Reg Asset  Liab and EXH D 3 2" xfId="12384"/>
    <cellStyle name="_Gas Transportation Charges_2009GRC_120308_4 31E Reg Asset  Liab and EXH D 30" xfId="12385"/>
    <cellStyle name="_Gas Transportation Charges_2009GRC_120308_4 31E Reg Asset  Liab and EXH D 30 2" xfId="12386"/>
    <cellStyle name="_Gas Transportation Charges_2009GRC_120308_4 31E Reg Asset  Liab and EXH D 31" xfId="12387"/>
    <cellStyle name="_Gas Transportation Charges_2009GRC_120308_4 31E Reg Asset  Liab and EXH D 32" xfId="12388"/>
    <cellStyle name="_Gas Transportation Charges_2009GRC_120308_4 31E Reg Asset  Liab and EXH D 33" xfId="12389"/>
    <cellStyle name="_Gas Transportation Charges_2009GRC_120308_4 31E Reg Asset  Liab and EXH D 34" xfId="12390"/>
    <cellStyle name="_Gas Transportation Charges_2009GRC_120308_4 31E Reg Asset  Liab and EXH D 35" xfId="12391"/>
    <cellStyle name="_Gas Transportation Charges_2009GRC_120308_4 31E Reg Asset  Liab and EXH D 36" xfId="12392"/>
    <cellStyle name="_Gas Transportation Charges_2009GRC_120308_4 31E Reg Asset  Liab and EXH D 4" xfId="12393"/>
    <cellStyle name="_Gas Transportation Charges_2009GRC_120308_4 31E Reg Asset  Liab and EXH D 4 2" xfId="12394"/>
    <cellStyle name="_Gas Transportation Charges_2009GRC_120308_4 31E Reg Asset  Liab and EXH D 5" xfId="12395"/>
    <cellStyle name="_Gas Transportation Charges_2009GRC_120308_4 31E Reg Asset  Liab and EXH D 5 2" xfId="12396"/>
    <cellStyle name="_Gas Transportation Charges_2009GRC_120308_4 31E Reg Asset  Liab and EXH D 6" xfId="12397"/>
    <cellStyle name="_Gas Transportation Charges_2009GRC_120308_4 31E Reg Asset  Liab and EXH D 6 2" xfId="12398"/>
    <cellStyle name="_Gas Transportation Charges_2009GRC_120308_4 31E Reg Asset  Liab and EXH D 7" xfId="12399"/>
    <cellStyle name="_Gas Transportation Charges_2009GRC_120308_4 31E Reg Asset  Liab and EXH D 7 2" xfId="12400"/>
    <cellStyle name="_Gas Transportation Charges_2009GRC_120308_4 31E Reg Asset  Liab and EXH D 8" xfId="12401"/>
    <cellStyle name="_Gas Transportation Charges_2009GRC_120308_4 31E Reg Asset  Liab and EXH D 8 2" xfId="12402"/>
    <cellStyle name="_Gas Transportation Charges_2009GRC_120308_4 31E Reg Asset  Liab and EXH D 9" xfId="12403"/>
    <cellStyle name="_Gas Transportation Charges_2009GRC_120308_4 31E Reg Asset  Liab and EXH D 9 2" xfId="12404"/>
    <cellStyle name="_Gas Transportation Charges_2009GRC_120308_Chelan PUD Power Costs (8-10)" xfId="12405"/>
    <cellStyle name="_Gas Transportation Charges_2009GRC_120308_Chelan PUD Power Costs (8-10) 2" xfId="12406"/>
    <cellStyle name="_Gas Transportation Charges_2009GRC_120308_compare wind integration" xfId="12407"/>
    <cellStyle name="_Gas Transportation Charges_2009GRC_120308_DEM-WP(C) Chelan Power Costs" xfId="12408"/>
    <cellStyle name="_Gas Transportation Charges_2009GRC_120308_DEM-WP(C) Chelan Power Costs 2" xfId="12409"/>
    <cellStyle name="_Gas Transportation Charges_2009GRC_120308_DEM-WP(C) Chelan Power Costs 2 2" xfId="12410"/>
    <cellStyle name="_Gas Transportation Charges_2009GRC_120308_DEM-WP(C) Chelan Power Costs 3" xfId="12411"/>
    <cellStyle name="_Gas Transportation Charges_2009GRC_120308_DEM-WP(C) Costs Not In AURORA 2010GRC As Filed" xfId="12412"/>
    <cellStyle name="_Gas Transportation Charges_2009GRC_120308_DEM-WP(C) Costs Not In AURORA 2010GRC As Filed 2" xfId="12413"/>
    <cellStyle name="_Gas Transportation Charges_2009GRC_120308_DEM-WP(C) Costs Not In AURORA 2010GRC As Filed 2 2" xfId="12414"/>
    <cellStyle name="_Gas Transportation Charges_2009GRC_120308_DEM-WP(C) Costs Not In AURORA 2010GRC As Filed 2 2 2" xfId="12415"/>
    <cellStyle name="_Gas Transportation Charges_2009GRC_120308_DEM-WP(C) Costs Not In AURORA 2010GRC As Filed 3" xfId="12416"/>
    <cellStyle name="_Gas Transportation Charges_2009GRC_120308_DEM-WP(C) Costs Not In AURORA 2010GRC As Filed 3 2" xfId="12417"/>
    <cellStyle name="_Gas Transportation Charges_2009GRC_120308_DEM-WP(C) Costs Not In AURORA 2010GRC As Filed 3 3" xfId="12418"/>
    <cellStyle name="_Gas Transportation Charges_2009GRC_120308_DEM-WP(C) Costs Not In AURORA 2010GRC As Filed 4" xfId="12419"/>
    <cellStyle name="_Gas Transportation Charges_2009GRC_120308_DEM-WP(C) Costs Not In AURORA 2010GRC As Filed 4 2" xfId="12420"/>
    <cellStyle name="_Gas Transportation Charges_2009GRC_120308_DEM-WP(C) Costs Not In AURORA 2010GRC As Filed 5" xfId="12421"/>
    <cellStyle name="_Gas Transportation Charges_2009GRC_120308_DEM-WP(C) Costs Not In AURORA 2010GRC As Filed 5 2" xfId="12422"/>
    <cellStyle name="_Gas Transportation Charges_2009GRC_120308_DEM-WP(C) Costs Not In AURORA 2010GRC As Filed 6" xfId="12423"/>
    <cellStyle name="_Gas Transportation Charges_2009GRC_120308_DEM-WP(C) Costs Not In AURORA 2010GRC As Filed 6 2" xfId="12424"/>
    <cellStyle name="_Gas Transportation Charges_2009GRC_120308_DEM-WP(C) Costs Not In AURORA 2010GRC As Filed_DEM-WP(C) ENERG10C--ctn Mid-C_042010 2010GRC" xfId="12425"/>
    <cellStyle name="_Gas Transportation Charges_2009GRC_120308_DEM-WP(C) Costs Not In AURORA 2010GRC As Filed_DEM-WP(C) ENERG10C--ctn Mid-C_042010 2010GRC 2" xfId="12426"/>
    <cellStyle name="_Gas Transportation Charges_2009GRC_120308_DEM-WP(C) ENERG10C--ctn Mid-C_042010 2010GRC" xfId="12427"/>
    <cellStyle name="_Gas Transportation Charges_2009GRC_120308_DEM-WP(C) ENERG10C--ctn Mid-C_042010 2010GRC 2" xfId="12428"/>
    <cellStyle name="_Gas Transportation Charges_2009GRC_120308_DEM-WP(C) Gas Transport 2010GRC" xfId="12429"/>
    <cellStyle name="_Gas Transportation Charges_2009GRC_120308_DEM-WP(C) Gas Transport 2010GRC 2" xfId="12430"/>
    <cellStyle name="_Gas Transportation Charges_2009GRC_120308_DEM-WP(C) Gas Transport 2010GRC 2 2" xfId="12431"/>
    <cellStyle name="_Gas Transportation Charges_2009GRC_120308_DEM-WP(C) Gas Transport 2010GRC 3" xfId="12432"/>
    <cellStyle name="_Gas Transportation Charges_2009GRC_120308_NIM Summary" xfId="12433"/>
    <cellStyle name="_Gas Transportation Charges_2009GRC_120308_NIM Summary 09GRC" xfId="12434"/>
    <cellStyle name="_Gas Transportation Charges_2009GRC_120308_NIM Summary 09GRC 2" xfId="12435"/>
    <cellStyle name="_Gas Transportation Charges_2009GRC_120308_NIM Summary 09GRC 2 2" xfId="12436"/>
    <cellStyle name="_Gas Transportation Charges_2009GRC_120308_NIM Summary 09GRC 2 2 2" xfId="12437"/>
    <cellStyle name="_Gas Transportation Charges_2009GRC_120308_NIM Summary 09GRC 2 3" xfId="12438"/>
    <cellStyle name="_Gas Transportation Charges_2009GRC_120308_NIM Summary 09GRC 3" xfId="12439"/>
    <cellStyle name="_Gas Transportation Charges_2009GRC_120308_NIM Summary 09GRC 3 2" xfId="12440"/>
    <cellStyle name="_Gas Transportation Charges_2009GRC_120308_NIM Summary 09GRC 4" xfId="12441"/>
    <cellStyle name="_Gas Transportation Charges_2009GRC_120308_NIM Summary 09GRC_DEM-WP(C) ENERG10C--ctn Mid-C_042010 2010GRC" xfId="12442"/>
    <cellStyle name="_Gas Transportation Charges_2009GRC_120308_NIM Summary 09GRC_DEM-WP(C) ENERG10C--ctn Mid-C_042010 2010GRC 2" xfId="12443"/>
    <cellStyle name="_Gas Transportation Charges_2009GRC_120308_NIM Summary 10" xfId="12444"/>
    <cellStyle name="_Gas Transportation Charges_2009GRC_120308_NIM Summary 10 2" xfId="12445"/>
    <cellStyle name="_Gas Transportation Charges_2009GRC_120308_NIM Summary 11" xfId="12446"/>
    <cellStyle name="_Gas Transportation Charges_2009GRC_120308_NIM Summary 11 2" xfId="12447"/>
    <cellStyle name="_Gas Transportation Charges_2009GRC_120308_NIM Summary 12" xfId="12448"/>
    <cellStyle name="_Gas Transportation Charges_2009GRC_120308_NIM Summary 12 2" xfId="12449"/>
    <cellStyle name="_Gas Transportation Charges_2009GRC_120308_NIM Summary 13" xfId="12450"/>
    <cellStyle name="_Gas Transportation Charges_2009GRC_120308_NIM Summary 13 2" xfId="12451"/>
    <cellStyle name="_Gas Transportation Charges_2009GRC_120308_NIM Summary 14" xfId="12452"/>
    <cellStyle name="_Gas Transportation Charges_2009GRC_120308_NIM Summary 14 2" xfId="12453"/>
    <cellStyle name="_Gas Transportation Charges_2009GRC_120308_NIM Summary 15" xfId="12454"/>
    <cellStyle name="_Gas Transportation Charges_2009GRC_120308_NIM Summary 15 2" xfId="12455"/>
    <cellStyle name="_Gas Transportation Charges_2009GRC_120308_NIM Summary 16" xfId="12456"/>
    <cellStyle name="_Gas Transportation Charges_2009GRC_120308_NIM Summary 16 2" xfId="12457"/>
    <cellStyle name="_Gas Transportation Charges_2009GRC_120308_NIM Summary 17" xfId="12458"/>
    <cellStyle name="_Gas Transportation Charges_2009GRC_120308_NIM Summary 17 2" xfId="12459"/>
    <cellStyle name="_Gas Transportation Charges_2009GRC_120308_NIM Summary 18" xfId="12460"/>
    <cellStyle name="_Gas Transportation Charges_2009GRC_120308_NIM Summary 18 2" xfId="12461"/>
    <cellStyle name="_Gas Transportation Charges_2009GRC_120308_NIM Summary 19" xfId="12462"/>
    <cellStyle name="_Gas Transportation Charges_2009GRC_120308_NIM Summary 19 2" xfId="12463"/>
    <cellStyle name="_Gas Transportation Charges_2009GRC_120308_NIM Summary 2" xfId="12464"/>
    <cellStyle name="_Gas Transportation Charges_2009GRC_120308_NIM Summary 2 2" xfId="12465"/>
    <cellStyle name="_Gas Transportation Charges_2009GRC_120308_NIM Summary 2 2 2" xfId="12466"/>
    <cellStyle name="_Gas Transportation Charges_2009GRC_120308_NIM Summary 2 3" xfId="12467"/>
    <cellStyle name="_Gas Transportation Charges_2009GRC_120308_NIM Summary 20" xfId="12468"/>
    <cellStyle name="_Gas Transportation Charges_2009GRC_120308_NIM Summary 20 2" xfId="12469"/>
    <cellStyle name="_Gas Transportation Charges_2009GRC_120308_NIM Summary 21" xfId="12470"/>
    <cellStyle name="_Gas Transportation Charges_2009GRC_120308_NIM Summary 21 2" xfId="12471"/>
    <cellStyle name="_Gas Transportation Charges_2009GRC_120308_NIM Summary 22" xfId="12472"/>
    <cellStyle name="_Gas Transportation Charges_2009GRC_120308_NIM Summary 22 2" xfId="12473"/>
    <cellStyle name="_Gas Transportation Charges_2009GRC_120308_NIM Summary 23" xfId="12474"/>
    <cellStyle name="_Gas Transportation Charges_2009GRC_120308_NIM Summary 23 2" xfId="12475"/>
    <cellStyle name="_Gas Transportation Charges_2009GRC_120308_NIM Summary 24" xfId="12476"/>
    <cellStyle name="_Gas Transportation Charges_2009GRC_120308_NIM Summary 24 2" xfId="12477"/>
    <cellStyle name="_Gas Transportation Charges_2009GRC_120308_NIM Summary 25" xfId="12478"/>
    <cellStyle name="_Gas Transportation Charges_2009GRC_120308_NIM Summary 25 2" xfId="12479"/>
    <cellStyle name="_Gas Transportation Charges_2009GRC_120308_NIM Summary 26" xfId="12480"/>
    <cellStyle name="_Gas Transportation Charges_2009GRC_120308_NIM Summary 26 2" xfId="12481"/>
    <cellStyle name="_Gas Transportation Charges_2009GRC_120308_NIM Summary 27" xfId="12482"/>
    <cellStyle name="_Gas Transportation Charges_2009GRC_120308_NIM Summary 27 2" xfId="12483"/>
    <cellStyle name="_Gas Transportation Charges_2009GRC_120308_NIM Summary 28" xfId="12484"/>
    <cellStyle name="_Gas Transportation Charges_2009GRC_120308_NIM Summary 28 2" xfId="12485"/>
    <cellStyle name="_Gas Transportation Charges_2009GRC_120308_NIM Summary 29" xfId="12486"/>
    <cellStyle name="_Gas Transportation Charges_2009GRC_120308_NIM Summary 29 2" xfId="12487"/>
    <cellStyle name="_Gas Transportation Charges_2009GRC_120308_NIM Summary 3" xfId="12488"/>
    <cellStyle name="_Gas Transportation Charges_2009GRC_120308_NIM Summary 3 2" xfId="12489"/>
    <cellStyle name="_Gas Transportation Charges_2009GRC_120308_NIM Summary 30" xfId="12490"/>
    <cellStyle name="_Gas Transportation Charges_2009GRC_120308_NIM Summary 30 2" xfId="12491"/>
    <cellStyle name="_Gas Transportation Charges_2009GRC_120308_NIM Summary 31" xfId="12492"/>
    <cellStyle name="_Gas Transportation Charges_2009GRC_120308_NIM Summary 31 2" xfId="12493"/>
    <cellStyle name="_Gas Transportation Charges_2009GRC_120308_NIM Summary 32" xfId="12494"/>
    <cellStyle name="_Gas Transportation Charges_2009GRC_120308_NIM Summary 32 2" xfId="12495"/>
    <cellStyle name="_Gas Transportation Charges_2009GRC_120308_NIM Summary 33" xfId="12496"/>
    <cellStyle name="_Gas Transportation Charges_2009GRC_120308_NIM Summary 33 2" xfId="12497"/>
    <cellStyle name="_Gas Transportation Charges_2009GRC_120308_NIM Summary 34" xfId="12498"/>
    <cellStyle name="_Gas Transportation Charges_2009GRC_120308_NIM Summary 34 2" xfId="12499"/>
    <cellStyle name="_Gas Transportation Charges_2009GRC_120308_NIM Summary 35" xfId="12500"/>
    <cellStyle name="_Gas Transportation Charges_2009GRC_120308_NIM Summary 35 2" xfId="12501"/>
    <cellStyle name="_Gas Transportation Charges_2009GRC_120308_NIM Summary 36" xfId="12502"/>
    <cellStyle name="_Gas Transportation Charges_2009GRC_120308_NIM Summary 36 2" xfId="12503"/>
    <cellStyle name="_Gas Transportation Charges_2009GRC_120308_NIM Summary 37" xfId="12504"/>
    <cellStyle name="_Gas Transportation Charges_2009GRC_120308_NIM Summary 37 2" xfId="12505"/>
    <cellStyle name="_Gas Transportation Charges_2009GRC_120308_NIM Summary 38" xfId="12506"/>
    <cellStyle name="_Gas Transportation Charges_2009GRC_120308_NIM Summary 38 2" xfId="12507"/>
    <cellStyle name="_Gas Transportation Charges_2009GRC_120308_NIM Summary 39" xfId="12508"/>
    <cellStyle name="_Gas Transportation Charges_2009GRC_120308_NIM Summary 39 2" xfId="12509"/>
    <cellStyle name="_Gas Transportation Charges_2009GRC_120308_NIM Summary 4" xfId="12510"/>
    <cellStyle name="_Gas Transportation Charges_2009GRC_120308_NIM Summary 4 2" xfId="12511"/>
    <cellStyle name="_Gas Transportation Charges_2009GRC_120308_NIM Summary 40" xfId="12512"/>
    <cellStyle name="_Gas Transportation Charges_2009GRC_120308_NIM Summary 40 2" xfId="12513"/>
    <cellStyle name="_Gas Transportation Charges_2009GRC_120308_NIM Summary 41" xfId="12514"/>
    <cellStyle name="_Gas Transportation Charges_2009GRC_120308_NIM Summary 41 2" xfId="12515"/>
    <cellStyle name="_Gas Transportation Charges_2009GRC_120308_NIM Summary 42" xfId="12516"/>
    <cellStyle name="_Gas Transportation Charges_2009GRC_120308_NIM Summary 42 2" xfId="12517"/>
    <cellStyle name="_Gas Transportation Charges_2009GRC_120308_NIM Summary 43" xfId="12518"/>
    <cellStyle name="_Gas Transportation Charges_2009GRC_120308_NIM Summary 43 2" xfId="12519"/>
    <cellStyle name="_Gas Transportation Charges_2009GRC_120308_NIM Summary 44" xfId="12520"/>
    <cellStyle name="_Gas Transportation Charges_2009GRC_120308_NIM Summary 44 2" xfId="12521"/>
    <cellStyle name="_Gas Transportation Charges_2009GRC_120308_NIM Summary 45" xfId="12522"/>
    <cellStyle name="_Gas Transportation Charges_2009GRC_120308_NIM Summary 45 2" xfId="12523"/>
    <cellStyle name="_Gas Transportation Charges_2009GRC_120308_NIM Summary 46" xfId="12524"/>
    <cellStyle name="_Gas Transportation Charges_2009GRC_120308_NIM Summary 46 2" xfId="12525"/>
    <cellStyle name="_Gas Transportation Charges_2009GRC_120308_NIM Summary 47" xfId="12526"/>
    <cellStyle name="_Gas Transportation Charges_2009GRC_120308_NIM Summary 47 2" xfId="12527"/>
    <cellStyle name="_Gas Transportation Charges_2009GRC_120308_NIM Summary 48" xfId="12528"/>
    <cellStyle name="_Gas Transportation Charges_2009GRC_120308_NIM Summary 49" xfId="12529"/>
    <cellStyle name="_Gas Transportation Charges_2009GRC_120308_NIM Summary 5" xfId="12530"/>
    <cellStyle name="_Gas Transportation Charges_2009GRC_120308_NIM Summary 5 2" xfId="12531"/>
    <cellStyle name="_Gas Transportation Charges_2009GRC_120308_NIM Summary 50" xfId="12532"/>
    <cellStyle name="_Gas Transportation Charges_2009GRC_120308_NIM Summary 51" xfId="12533"/>
    <cellStyle name="_Gas Transportation Charges_2009GRC_120308_NIM Summary 52" xfId="12534"/>
    <cellStyle name="_Gas Transportation Charges_2009GRC_120308_NIM Summary 6" xfId="12535"/>
    <cellStyle name="_Gas Transportation Charges_2009GRC_120308_NIM Summary 6 2" xfId="12536"/>
    <cellStyle name="_Gas Transportation Charges_2009GRC_120308_NIM Summary 7" xfId="12537"/>
    <cellStyle name="_Gas Transportation Charges_2009GRC_120308_NIM Summary 7 2" xfId="12538"/>
    <cellStyle name="_Gas Transportation Charges_2009GRC_120308_NIM Summary 8" xfId="12539"/>
    <cellStyle name="_Gas Transportation Charges_2009GRC_120308_NIM Summary 8 2" xfId="12540"/>
    <cellStyle name="_Gas Transportation Charges_2009GRC_120308_NIM Summary 9" xfId="12541"/>
    <cellStyle name="_Gas Transportation Charges_2009GRC_120308_NIM Summary 9 2" xfId="12542"/>
    <cellStyle name="_Gas Transportation Charges_2009GRC_120308_NIM Summary_DEM-WP(C) ENERG10C--ctn Mid-C_042010 2010GRC" xfId="12543"/>
    <cellStyle name="_Gas Transportation Charges_2009GRC_120308_NIM Summary_DEM-WP(C) ENERG10C--ctn Mid-C_042010 2010GRC 2" xfId="12544"/>
    <cellStyle name="_Gas Transportation Charges_2009GRC_120308_NIM+O&amp;M" xfId="12545"/>
    <cellStyle name="_Gas Transportation Charges_2009GRC_120308_NIM+O&amp;M 2" xfId="12546"/>
    <cellStyle name="_Gas Transportation Charges_2009GRC_120308_NIM+O&amp;M 2 2" xfId="12547"/>
    <cellStyle name="_Gas Transportation Charges_2009GRC_120308_NIM+O&amp;M 2 2 2" xfId="12548"/>
    <cellStyle name="_Gas Transportation Charges_2009GRC_120308_NIM+O&amp;M 2 3" xfId="12549"/>
    <cellStyle name="_Gas Transportation Charges_2009GRC_120308_NIM+O&amp;M 3" xfId="12550"/>
    <cellStyle name="_Gas Transportation Charges_2009GRC_120308_NIM+O&amp;M 3 2" xfId="12551"/>
    <cellStyle name="_Gas Transportation Charges_2009GRC_120308_NIM+O&amp;M 4" xfId="12552"/>
    <cellStyle name="_Gas Transportation Charges_2009GRC_120308_NIM+O&amp;M Monthly" xfId="12553"/>
    <cellStyle name="_Gas Transportation Charges_2009GRC_120308_NIM+O&amp;M Monthly 2" xfId="12554"/>
    <cellStyle name="_Gas Transportation Charges_2009GRC_120308_NIM+O&amp;M Monthly 2 2" xfId="12555"/>
    <cellStyle name="_Gas Transportation Charges_2009GRC_120308_NIM+O&amp;M Monthly 2 2 2" xfId="12556"/>
    <cellStyle name="_Gas Transportation Charges_2009GRC_120308_NIM+O&amp;M Monthly 2 3" xfId="12557"/>
    <cellStyle name="_Gas Transportation Charges_2009GRC_120308_NIM+O&amp;M Monthly 3" xfId="12558"/>
    <cellStyle name="_Gas Transportation Charges_2009GRC_120308_NIM+O&amp;M Monthly 3 2" xfId="12559"/>
    <cellStyle name="_Gas Transportation Charges_2009GRC_120308_NIM+O&amp;M Monthly 4" xfId="12560"/>
    <cellStyle name="_Gas Transportation Charges_2009GRC_120308_PCA 9 -  Exhibit D April 2010 (3)" xfId="12561"/>
    <cellStyle name="_Gas Transportation Charges_2009GRC_120308_PCA 9 -  Exhibit D April 2010 (3) 2" xfId="12562"/>
    <cellStyle name="_Gas Transportation Charges_2009GRC_120308_PCA 9 -  Exhibit D April 2010 (3) 2 2" xfId="12563"/>
    <cellStyle name="_Gas Transportation Charges_2009GRC_120308_PCA 9 -  Exhibit D April 2010 (3) 2 2 2" xfId="12564"/>
    <cellStyle name="_Gas Transportation Charges_2009GRC_120308_PCA 9 -  Exhibit D April 2010 (3) 2 3" xfId="12565"/>
    <cellStyle name="_Gas Transportation Charges_2009GRC_120308_PCA 9 -  Exhibit D April 2010 (3) 3" xfId="12566"/>
    <cellStyle name="_Gas Transportation Charges_2009GRC_120308_PCA 9 -  Exhibit D April 2010 (3) 3 2" xfId="12567"/>
    <cellStyle name="_Gas Transportation Charges_2009GRC_120308_PCA 9 -  Exhibit D April 2010 (3) 4" xfId="12568"/>
    <cellStyle name="_Gas Transportation Charges_2009GRC_120308_PCA 9 -  Exhibit D April 2010 (3)_DEM-WP(C) ENERG10C--ctn Mid-C_042010 2010GRC" xfId="12569"/>
    <cellStyle name="_Gas Transportation Charges_2009GRC_120308_PCA 9 -  Exhibit D April 2010 (3)_DEM-WP(C) ENERG10C--ctn Mid-C_042010 2010GRC 2" xfId="12570"/>
    <cellStyle name="_Gas Transportation Charges_2009GRC_120308_Reconciliation" xfId="12571"/>
    <cellStyle name="_Gas Transportation Charges_2009GRC_120308_Reconciliation 2" xfId="12572"/>
    <cellStyle name="_Gas Transportation Charges_2009GRC_120308_Reconciliation 2 2" xfId="12573"/>
    <cellStyle name="_Gas Transportation Charges_2009GRC_120308_Reconciliation 2 2 2" xfId="12574"/>
    <cellStyle name="_Gas Transportation Charges_2009GRC_120308_Reconciliation 3" xfId="12575"/>
    <cellStyle name="_Gas Transportation Charges_2009GRC_120308_Reconciliation 3 2" xfId="12576"/>
    <cellStyle name="_Gas Transportation Charges_2009GRC_120308_Reconciliation 3 3" xfId="12577"/>
    <cellStyle name="_Gas Transportation Charges_2009GRC_120308_Reconciliation 4" xfId="12578"/>
    <cellStyle name="_Gas Transportation Charges_2009GRC_120308_Reconciliation 4 2" xfId="12579"/>
    <cellStyle name="_Gas Transportation Charges_2009GRC_120308_Reconciliation 5" xfId="12580"/>
    <cellStyle name="_Gas Transportation Charges_2009GRC_120308_Reconciliation 5 2" xfId="12581"/>
    <cellStyle name="_Gas Transportation Charges_2009GRC_120308_Reconciliation 6" xfId="12582"/>
    <cellStyle name="_Gas Transportation Charges_2009GRC_120308_Reconciliation 6 2" xfId="12583"/>
    <cellStyle name="_Gas Transportation Charges_2009GRC_120308_Reconciliation_DEM-WP(C) ENERG10C--ctn Mid-C_042010 2010GRC" xfId="12584"/>
    <cellStyle name="_Gas Transportation Charges_2009GRC_120308_Reconciliation_DEM-WP(C) ENERG10C--ctn Mid-C_042010 2010GRC 2" xfId="12585"/>
    <cellStyle name="_Gas Transportation Charges_2009GRC_120308_Wind Integration 10GRC" xfId="12586"/>
    <cellStyle name="_Gas Transportation Charges_2009GRC_120308_Wind Integration 10GRC 2" xfId="12587"/>
    <cellStyle name="_Gas Transportation Charges_2009GRC_120308_Wind Integration 10GRC 2 2" xfId="12588"/>
    <cellStyle name="_Gas Transportation Charges_2009GRC_120308_Wind Integration 10GRC 2 2 2" xfId="12589"/>
    <cellStyle name="_Gas Transportation Charges_2009GRC_120308_Wind Integration 10GRC 2 3" xfId="12590"/>
    <cellStyle name="_Gas Transportation Charges_2009GRC_120308_Wind Integration 10GRC 3" xfId="12591"/>
    <cellStyle name="_Gas Transportation Charges_2009GRC_120308_Wind Integration 10GRC 3 2" xfId="12592"/>
    <cellStyle name="_Gas Transportation Charges_2009GRC_120308_Wind Integration 10GRC 4" xfId="12593"/>
    <cellStyle name="_Gas Transportation Charges_2009GRC_120308_Wind Integration 10GRC_DEM-WP(C) ENERG10C--ctn Mid-C_042010 2010GRC" xfId="12594"/>
    <cellStyle name="_Gas Transportation Charges_2009GRC_120308_Wind Integration 10GRC_DEM-WP(C) ENERG10C--ctn Mid-C_042010 2010GRC 2" xfId="12595"/>
    <cellStyle name="_x0013__LSRWEP LGIA like Acctg Petition Aug 2010" xfId="12596"/>
    <cellStyle name="_x0013__LSRWEP LGIA like Acctg Petition Aug 2010 2" xfId="12597"/>
    <cellStyle name="_x0013__LSRWEP LGIA like Acctg Petition Aug 2010 2 2" xfId="12598"/>
    <cellStyle name="_x0013__LSRWEP LGIA like Acctg Petition Aug 2010 3" xfId="12599"/>
    <cellStyle name="_Mid C 09GRC" xfId="12600"/>
    <cellStyle name="_Mid C 09GRC 2" xfId="12601"/>
    <cellStyle name="_Monthly Fixed Input" xfId="12602"/>
    <cellStyle name="_Monthly Fixed Input 2" xfId="12603"/>
    <cellStyle name="_Monthly Fixed Input 2 2" xfId="12604"/>
    <cellStyle name="_Monthly Fixed Input 2 2 2" xfId="12605"/>
    <cellStyle name="_Monthly Fixed Input 2 3" xfId="12606"/>
    <cellStyle name="_Monthly Fixed Input 3" xfId="12607"/>
    <cellStyle name="_Monthly Fixed Input 3 2" xfId="12608"/>
    <cellStyle name="_Monthly Fixed Input 3 2 2" xfId="12609"/>
    <cellStyle name="_Monthly Fixed Input 3 3" xfId="12610"/>
    <cellStyle name="_Monthly Fixed Input 3 4" xfId="12611"/>
    <cellStyle name="_Monthly Fixed Input 4" xfId="12612"/>
    <cellStyle name="_Monthly Fixed Input_DEM-WP(C) ENERG10C--ctn Mid-C_042010 2010GRC" xfId="12613"/>
    <cellStyle name="_Monthly Fixed Input_DEM-WP(C) ENERG10C--ctn Mid-C_042010 2010GRC 2" xfId="12614"/>
    <cellStyle name="_Monthly Fixed Input_NIM Summary" xfId="12615"/>
    <cellStyle name="_Monthly Fixed Input_NIM Summary 2" xfId="12616"/>
    <cellStyle name="_Monthly Fixed Input_NIM Summary 2 2" xfId="12617"/>
    <cellStyle name="_Monthly Fixed Input_NIM Summary 2 2 2" xfId="12618"/>
    <cellStyle name="_Monthly Fixed Input_NIM Summary 2 2 2 2" xfId="12619"/>
    <cellStyle name="_Monthly Fixed Input_NIM Summary 2 2 3" xfId="12620"/>
    <cellStyle name="_Monthly Fixed Input_NIM Summary 2 2 4" xfId="12621"/>
    <cellStyle name="_Monthly Fixed Input_NIM Summary 2 3" xfId="12622"/>
    <cellStyle name="_Monthly Fixed Input_NIM Summary 2 3 2" xfId="12623"/>
    <cellStyle name="_Monthly Fixed Input_NIM Summary 2 4" xfId="12624"/>
    <cellStyle name="_Monthly Fixed Input_NIM Summary 3" xfId="12625"/>
    <cellStyle name="_Monthly Fixed Input_NIM Summary 3 2" xfId="12626"/>
    <cellStyle name="_Monthly Fixed Input_NIM Summary 3 2 2" xfId="12627"/>
    <cellStyle name="_Monthly Fixed Input_NIM Summary 3 3" xfId="12628"/>
    <cellStyle name="_Monthly Fixed Input_NIM Summary 3 4" xfId="12629"/>
    <cellStyle name="_Monthly Fixed Input_NIM Summary 4" xfId="12630"/>
    <cellStyle name="_Monthly Fixed Input_NIM Summary 4 2" xfId="12631"/>
    <cellStyle name="_Monthly Fixed Input_NIM Summary 5" xfId="12632"/>
    <cellStyle name="_Monthly Fixed Input_NIM Summary_DEM-WP(C) ENERG10C--ctn Mid-C_042010 2010GRC" xfId="12633"/>
    <cellStyle name="_Monthly Fixed Input_NIM Summary_DEM-WP(C) ENERG10C--ctn Mid-C_042010 2010GRC 2" xfId="12634"/>
    <cellStyle name="_NIM 06 Base Case Current Trends" xfId="645"/>
    <cellStyle name="_NIM 06 Base Case Current Trends 2" xfId="12635"/>
    <cellStyle name="_NIM 06 Base Case Current Trends 2 2" xfId="12636"/>
    <cellStyle name="_NIM 06 Base Case Current Trends 2 2 2" xfId="12637"/>
    <cellStyle name="_NIM 06 Base Case Current Trends 2 2 2 2" xfId="12638"/>
    <cellStyle name="_NIM 06 Base Case Current Trends 2 2 2 2 2" xfId="12639"/>
    <cellStyle name="_NIM 06 Base Case Current Trends 2 2 2 3" xfId="12640"/>
    <cellStyle name="_NIM 06 Base Case Current Trends 2 2 2 4" xfId="12641"/>
    <cellStyle name="_NIM 06 Base Case Current Trends 2 2 3" xfId="12642"/>
    <cellStyle name="_NIM 06 Base Case Current Trends 2 2 3 2" xfId="12643"/>
    <cellStyle name="_NIM 06 Base Case Current Trends 2 2 4" xfId="12644"/>
    <cellStyle name="_NIM 06 Base Case Current Trends 2 3" xfId="12645"/>
    <cellStyle name="_NIM 06 Base Case Current Trends 2 3 2" xfId="12646"/>
    <cellStyle name="_NIM 06 Base Case Current Trends 2 3 2 2" xfId="12647"/>
    <cellStyle name="_NIM 06 Base Case Current Trends 2 3 3" xfId="12648"/>
    <cellStyle name="_NIM 06 Base Case Current Trends 2 3 4" xfId="12649"/>
    <cellStyle name="_NIM 06 Base Case Current Trends 2 4" xfId="12650"/>
    <cellStyle name="_NIM 06 Base Case Current Trends 2 4 2" xfId="12651"/>
    <cellStyle name="_NIM 06 Base Case Current Trends 2 5" xfId="12652"/>
    <cellStyle name="_NIM 06 Base Case Current Trends 3" xfId="12653"/>
    <cellStyle name="_NIM 06 Base Case Current Trends 3 2" xfId="12654"/>
    <cellStyle name="_NIM 06 Base Case Current Trends 3 2 2" xfId="12655"/>
    <cellStyle name="_NIM 06 Base Case Current Trends 3 2 3" xfId="12656"/>
    <cellStyle name="_NIM 06 Base Case Current Trends 3 3" xfId="12657"/>
    <cellStyle name="_NIM 06 Base Case Current Trends 3 4" xfId="12658"/>
    <cellStyle name="_NIM 06 Base Case Current Trends 4" xfId="12659"/>
    <cellStyle name="_NIM 06 Base Case Current Trends 4 2" xfId="12660"/>
    <cellStyle name="_NIM 06 Base Case Current Trends 4 2 2" xfId="12661"/>
    <cellStyle name="_NIM 06 Base Case Current Trends 4 3" xfId="12662"/>
    <cellStyle name="_NIM 06 Base Case Current Trends 5" xfId="12663"/>
    <cellStyle name="_NIM 06 Base Case Current Trends 5 2" xfId="12664"/>
    <cellStyle name="_NIM 06 Base Case Current Trends 5 3" xfId="12665"/>
    <cellStyle name="_NIM 06 Base Case Current Trends 6" xfId="12666"/>
    <cellStyle name="_NIM 06 Base Case Current Trends 6 2" xfId="12667"/>
    <cellStyle name="_NIM 06 Base Case Current Trends_Adj Bench DR 3 for Initial Briefs (Electric)" xfId="646"/>
    <cellStyle name="_NIM 06 Base Case Current Trends_Adj Bench DR 3 for Initial Briefs (Electric) 2" xfId="12668"/>
    <cellStyle name="_NIM 06 Base Case Current Trends_Adj Bench DR 3 for Initial Briefs (Electric) 2 2" xfId="12669"/>
    <cellStyle name="_NIM 06 Base Case Current Trends_Adj Bench DR 3 for Initial Briefs (Electric) 2 2 2" xfId="12670"/>
    <cellStyle name="_NIM 06 Base Case Current Trends_Adj Bench DR 3 for Initial Briefs (Electric) 2 2 2 2" xfId="12671"/>
    <cellStyle name="_NIM 06 Base Case Current Trends_Adj Bench DR 3 for Initial Briefs (Electric) 2 2 3" xfId="12672"/>
    <cellStyle name="_NIM 06 Base Case Current Trends_Adj Bench DR 3 for Initial Briefs (Electric) 2 2 4" xfId="12673"/>
    <cellStyle name="_NIM 06 Base Case Current Trends_Adj Bench DR 3 for Initial Briefs (Electric) 2 3" xfId="12674"/>
    <cellStyle name="_NIM 06 Base Case Current Trends_Adj Bench DR 3 for Initial Briefs (Electric) 2 3 2" xfId="12675"/>
    <cellStyle name="_NIM 06 Base Case Current Trends_Adj Bench DR 3 for Initial Briefs (Electric) 2 4" xfId="12676"/>
    <cellStyle name="_NIM 06 Base Case Current Trends_Adj Bench DR 3 for Initial Briefs (Electric) 3" xfId="12677"/>
    <cellStyle name="_NIM 06 Base Case Current Trends_Adj Bench DR 3 for Initial Briefs (Electric) 3 2" xfId="12678"/>
    <cellStyle name="_NIM 06 Base Case Current Trends_Adj Bench DR 3 for Initial Briefs (Electric) 3 2 2" xfId="12679"/>
    <cellStyle name="_NIM 06 Base Case Current Trends_Adj Bench DR 3 for Initial Briefs (Electric) 3 3" xfId="12680"/>
    <cellStyle name="_NIM 06 Base Case Current Trends_Adj Bench DR 3 for Initial Briefs (Electric) 3 4" xfId="12681"/>
    <cellStyle name="_NIM 06 Base Case Current Trends_Adj Bench DR 3 for Initial Briefs (Electric) 4" xfId="12682"/>
    <cellStyle name="_NIM 06 Base Case Current Trends_Adj Bench DR 3 for Initial Briefs (Electric) 4 2" xfId="12683"/>
    <cellStyle name="_NIM 06 Base Case Current Trends_Adj Bench DR 3 for Initial Briefs (Electric) 5" xfId="12684"/>
    <cellStyle name="_NIM 06 Base Case Current Trends_Adj Bench DR 3 for Initial Briefs (Electric)_DEM-WP(C) ENERG10C--ctn Mid-C_042010 2010GRC" xfId="12685"/>
    <cellStyle name="_NIM 06 Base Case Current Trends_Adj Bench DR 3 for Initial Briefs (Electric)_DEM-WP(C) ENERG10C--ctn Mid-C_042010 2010GRC 2" xfId="12686"/>
    <cellStyle name="_NIM 06 Base Case Current Trends_Book1" xfId="12687"/>
    <cellStyle name="_NIM 06 Base Case Current Trends_Book1 2" xfId="12688"/>
    <cellStyle name="_NIM 06 Base Case Current Trends_Book2" xfId="647"/>
    <cellStyle name="_NIM 06 Base Case Current Trends_Book2 2" xfId="12689"/>
    <cellStyle name="_NIM 06 Base Case Current Trends_Book2 2 2" xfId="12690"/>
    <cellStyle name="_NIM 06 Base Case Current Trends_Book2 2 2 2" xfId="12691"/>
    <cellStyle name="_NIM 06 Base Case Current Trends_Book2 2 2 2 2" xfId="12692"/>
    <cellStyle name="_NIM 06 Base Case Current Trends_Book2 2 2 3" xfId="12693"/>
    <cellStyle name="_NIM 06 Base Case Current Trends_Book2 2 2 4" xfId="12694"/>
    <cellStyle name="_NIM 06 Base Case Current Trends_Book2 2 3" xfId="12695"/>
    <cellStyle name="_NIM 06 Base Case Current Trends_Book2 2 3 2" xfId="12696"/>
    <cellStyle name="_NIM 06 Base Case Current Trends_Book2 2 4" xfId="12697"/>
    <cellStyle name="_NIM 06 Base Case Current Trends_Book2 3" xfId="12698"/>
    <cellStyle name="_NIM 06 Base Case Current Trends_Book2 3 2" xfId="12699"/>
    <cellStyle name="_NIM 06 Base Case Current Trends_Book2 3 2 2" xfId="12700"/>
    <cellStyle name="_NIM 06 Base Case Current Trends_Book2 3 3" xfId="12701"/>
    <cellStyle name="_NIM 06 Base Case Current Trends_Book2 3 4" xfId="12702"/>
    <cellStyle name="_NIM 06 Base Case Current Trends_Book2 4" xfId="12703"/>
    <cellStyle name="_NIM 06 Base Case Current Trends_Book2 4 2" xfId="12704"/>
    <cellStyle name="_NIM 06 Base Case Current Trends_Book2 5" xfId="12705"/>
    <cellStyle name="_NIM 06 Base Case Current Trends_Book2_Adj Bench DR 3 for Initial Briefs (Electric)" xfId="648"/>
    <cellStyle name="_NIM 06 Base Case Current Trends_Book2_Adj Bench DR 3 for Initial Briefs (Electric) 2" xfId="12706"/>
    <cellStyle name="_NIM 06 Base Case Current Trends_Book2_Adj Bench DR 3 for Initial Briefs (Electric) 2 2" xfId="12707"/>
    <cellStyle name="_NIM 06 Base Case Current Trends_Book2_Adj Bench DR 3 for Initial Briefs (Electric) 2 2 2" xfId="12708"/>
    <cellStyle name="_NIM 06 Base Case Current Trends_Book2_Adj Bench DR 3 for Initial Briefs (Electric) 2 2 2 2" xfId="12709"/>
    <cellStyle name="_NIM 06 Base Case Current Trends_Book2_Adj Bench DR 3 for Initial Briefs (Electric) 2 2 3" xfId="12710"/>
    <cellStyle name="_NIM 06 Base Case Current Trends_Book2_Adj Bench DR 3 for Initial Briefs (Electric) 2 2 4" xfId="12711"/>
    <cellStyle name="_NIM 06 Base Case Current Trends_Book2_Adj Bench DR 3 for Initial Briefs (Electric) 2 3" xfId="12712"/>
    <cellStyle name="_NIM 06 Base Case Current Trends_Book2_Adj Bench DR 3 for Initial Briefs (Electric) 2 3 2" xfId="12713"/>
    <cellStyle name="_NIM 06 Base Case Current Trends_Book2_Adj Bench DR 3 for Initial Briefs (Electric) 2 4" xfId="12714"/>
    <cellStyle name="_NIM 06 Base Case Current Trends_Book2_Adj Bench DR 3 for Initial Briefs (Electric) 3" xfId="12715"/>
    <cellStyle name="_NIM 06 Base Case Current Trends_Book2_Adj Bench DR 3 for Initial Briefs (Electric) 3 2" xfId="12716"/>
    <cellStyle name="_NIM 06 Base Case Current Trends_Book2_Adj Bench DR 3 for Initial Briefs (Electric) 3 2 2" xfId="12717"/>
    <cellStyle name="_NIM 06 Base Case Current Trends_Book2_Adj Bench DR 3 for Initial Briefs (Electric) 3 3" xfId="12718"/>
    <cellStyle name="_NIM 06 Base Case Current Trends_Book2_Adj Bench DR 3 for Initial Briefs (Electric) 3 4" xfId="12719"/>
    <cellStyle name="_NIM 06 Base Case Current Trends_Book2_Adj Bench DR 3 for Initial Briefs (Electric) 4" xfId="12720"/>
    <cellStyle name="_NIM 06 Base Case Current Trends_Book2_Adj Bench DR 3 for Initial Briefs (Electric) 4 2" xfId="12721"/>
    <cellStyle name="_NIM 06 Base Case Current Trends_Book2_Adj Bench DR 3 for Initial Briefs (Electric) 5" xfId="12722"/>
    <cellStyle name="_NIM 06 Base Case Current Trends_Book2_Adj Bench DR 3 for Initial Briefs (Electric)_DEM-WP(C) ENERG10C--ctn Mid-C_042010 2010GRC" xfId="12723"/>
    <cellStyle name="_NIM 06 Base Case Current Trends_Book2_Adj Bench DR 3 for Initial Briefs (Electric)_DEM-WP(C) ENERG10C--ctn Mid-C_042010 2010GRC 2" xfId="12724"/>
    <cellStyle name="_NIM 06 Base Case Current Trends_Book2_DEM-WP(C) ENERG10C--ctn Mid-C_042010 2010GRC" xfId="12725"/>
    <cellStyle name="_NIM 06 Base Case Current Trends_Book2_DEM-WP(C) ENERG10C--ctn Mid-C_042010 2010GRC 2" xfId="12726"/>
    <cellStyle name="_NIM 06 Base Case Current Trends_Book2_Electric Rev Req Model (2009 GRC) Rebuttal" xfId="649"/>
    <cellStyle name="_NIM 06 Base Case Current Trends_Book2_Electric Rev Req Model (2009 GRC) Rebuttal 2" xfId="12727"/>
    <cellStyle name="_NIM 06 Base Case Current Trends_Book2_Electric Rev Req Model (2009 GRC) Rebuttal 2 2" xfId="12728"/>
    <cellStyle name="_NIM 06 Base Case Current Trends_Book2_Electric Rev Req Model (2009 GRC) Rebuttal 2 2 2" xfId="12729"/>
    <cellStyle name="_NIM 06 Base Case Current Trends_Book2_Electric Rev Req Model (2009 GRC) Rebuttal 2 3" xfId="12730"/>
    <cellStyle name="_NIM 06 Base Case Current Trends_Book2_Electric Rev Req Model (2009 GRC) Rebuttal 3" xfId="12731"/>
    <cellStyle name="_NIM 06 Base Case Current Trends_Book2_Electric Rev Req Model (2009 GRC) Rebuttal 3 2" xfId="12732"/>
    <cellStyle name="_NIM 06 Base Case Current Trends_Book2_Electric Rev Req Model (2009 GRC) Rebuttal 4" xfId="12733"/>
    <cellStyle name="_NIM 06 Base Case Current Trends_Book2_Electric Rev Req Model (2009 GRC) Rebuttal REmoval of New  WH Solar AdjustMI" xfId="650"/>
    <cellStyle name="_NIM 06 Base Case Current Trends_Book2_Electric Rev Req Model (2009 GRC) Rebuttal REmoval of New  WH Solar AdjustMI 2" xfId="12734"/>
    <cellStyle name="_NIM 06 Base Case Current Trends_Book2_Electric Rev Req Model (2009 GRC) Rebuttal REmoval of New  WH Solar AdjustMI 2 2" xfId="12735"/>
    <cellStyle name="_NIM 06 Base Case Current Trends_Book2_Electric Rev Req Model (2009 GRC) Rebuttal REmoval of New  WH Solar AdjustMI 2 2 2" xfId="12736"/>
    <cellStyle name="_NIM 06 Base Case Current Trends_Book2_Electric Rev Req Model (2009 GRC) Rebuttal REmoval of New  WH Solar AdjustMI 2 2 2 2" xfId="12737"/>
    <cellStyle name="_NIM 06 Base Case Current Trends_Book2_Electric Rev Req Model (2009 GRC) Rebuttal REmoval of New  WH Solar AdjustMI 2 2 3" xfId="12738"/>
    <cellStyle name="_NIM 06 Base Case Current Trends_Book2_Electric Rev Req Model (2009 GRC) Rebuttal REmoval of New  WH Solar AdjustMI 2 2 4" xfId="12739"/>
    <cellStyle name="_NIM 06 Base Case Current Trends_Book2_Electric Rev Req Model (2009 GRC) Rebuttal REmoval of New  WH Solar AdjustMI 2 3" xfId="12740"/>
    <cellStyle name="_NIM 06 Base Case Current Trends_Book2_Electric Rev Req Model (2009 GRC) Rebuttal REmoval of New  WH Solar AdjustMI 2 3 2" xfId="12741"/>
    <cellStyle name="_NIM 06 Base Case Current Trends_Book2_Electric Rev Req Model (2009 GRC) Rebuttal REmoval of New  WH Solar AdjustMI 2 4" xfId="12742"/>
    <cellStyle name="_NIM 06 Base Case Current Trends_Book2_Electric Rev Req Model (2009 GRC) Rebuttal REmoval of New  WH Solar AdjustMI 3" xfId="12743"/>
    <cellStyle name="_NIM 06 Base Case Current Trends_Book2_Electric Rev Req Model (2009 GRC) Rebuttal REmoval of New  WH Solar AdjustMI 3 2" xfId="12744"/>
    <cellStyle name="_NIM 06 Base Case Current Trends_Book2_Electric Rev Req Model (2009 GRC) Rebuttal REmoval of New  WH Solar AdjustMI 3 2 2" xfId="12745"/>
    <cellStyle name="_NIM 06 Base Case Current Trends_Book2_Electric Rev Req Model (2009 GRC) Rebuttal REmoval of New  WH Solar AdjustMI 3 3" xfId="12746"/>
    <cellStyle name="_NIM 06 Base Case Current Trends_Book2_Electric Rev Req Model (2009 GRC) Rebuttal REmoval of New  WH Solar AdjustMI 3 4" xfId="12747"/>
    <cellStyle name="_NIM 06 Base Case Current Trends_Book2_Electric Rev Req Model (2009 GRC) Rebuttal REmoval of New  WH Solar AdjustMI 4" xfId="12748"/>
    <cellStyle name="_NIM 06 Base Case Current Trends_Book2_Electric Rev Req Model (2009 GRC) Rebuttal REmoval of New  WH Solar AdjustMI 4 2" xfId="12749"/>
    <cellStyle name="_NIM 06 Base Case Current Trends_Book2_Electric Rev Req Model (2009 GRC) Rebuttal REmoval of New  WH Solar AdjustMI 5" xfId="12750"/>
    <cellStyle name="_NIM 06 Base Case Current Trends_Book2_Electric Rev Req Model (2009 GRC) Rebuttal REmoval of New  WH Solar AdjustMI_DEM-WP(C) ENERG10C--ctn Mid-C_042010 2010GRC" xfId="12751"/>
    <cellStyle name="_NIM 06 Base Case Current Trends_Book2_Electric Rev Req Model (2009 GRC) Rebuttal REmoval of New  WH Solar AdjustMI_DEM-WP(C) ENERG10C--ctn Mid-C_042010 2010GRC 2" xfId="12752"/>
    <cellStyle name="_NIM 06 Base Case Current Trends_Book2_Electric Rev Req Model (2009 GRC) Revised 01-18-2010" xfId="651"/>
    <cellStyle name="_NIM 06 Base Case Current Trends_Book2_Electric Rev Req Model (2009 GRC) Revised 01-18-2010 2" xfId="12753"/>
    <cellStyle name="_NIM 06 Base Case Current Trends_Book2_Electric Rev Req Model (2009 GRC) Revised 01-18-2010 2 2" xfId="12754"/>
    <cellStyle name="_NIM 06 Base Case Current Trends_Book2_Electric Rev Req Model (2009 GRC) Revised 01-18-2010 2 2 2" xfId="12755"/>
    <cellStyle name="_NIM 06 Base Case Current Trends_Book2_Electric Rev Req Model (2009 GRC) Revised 01-18-2010 2 2 2 2" xfId="12756"/>
    <cellStyle name="_NIM 06 Base Case Current Trends_Book2_Electric Rev Req Model (2009 GRC) Revised 01-18-2010 2 2 3" xfId="12757"/>
    <cellStyle name="_NIM 06 Base Case Current Trends_Book2_Electric Rev Req Model (2009 GRC) Revised 01-18-2010 2 2 4" xfId="12758"/>
    <cellStyle name="_NIM 06 Base Case Current Trends_Book2_Electric Rev Req Model (2009 GRC) Revised 01-18-2010 2 3" xfId="12759"/>
    <cellStyle name="_NIM 06 Base Case Current Trends_Book2_Electric Rev Req Model (2009 GRC) Revised 01-18-2010 2 3 2" xfId="12760"/>
    <cellStyle name="_NIM 06 Base Case Current Trends_Book2_Electric Rev Req Model (2009 GRC) Revised 01-18-2010 2 4" xfId="12761"/>
    <cellStyle name="_NIM 06 Base Case Current Trends_Book2_Electric Rev Req Model (2009 GRC) Revised 01-18-2010 3" xfId="12762"/>
    <cellStyle name="_NIM 06 Base Case Current Trends_Book2_Electric Rev Req Model (2009 GRC) Revised 01-18-2010 3 2" xfId="12763"/>
    <cellStyle name="_NIM 06 Base Case Current Trends_Book2_Electric Rev Req Model (2009 GRC) Revised 01-18-2010 3 2 2" xfId="12764"/>
    <cellStyle name="_NIM 06 Base Case Current Trends_Book2_Electric Rev Req Model (2009 GRC) Revised 01-18-2010 3 3" xfId="12765"/>
    <cellStyle name="_NIM 06 Base Case Current Trends_Book2_Electric Rev Req Model (2009 GRC) Revised 01-18-2010 3 4" xfId="12766"/>
    <cellStyle name="_NIM 06 Base Case Current Trends_Book2_Electric Rev Req Model (2009 GRC) Revised 01-18-2010 4" xfId="12767"/>
    <cellStyle name="_NIM 06 Base Case Current Trends_Book2_Electric Rev Req Model (2009 GRC) Revised 01-18-2010 4 2" xfId="12768"/>
    <cellStyle name="_NIM 06 Base Case Current Trends_Book2_Electric Rev Req Model (2009 GRC) Revised 01-18-2010 5" xfId="12769"/>
    <cellStyle name="_NIM 06 Base Case Current Trends_Book2_Electric Rev Req Model (2009 GRC) Revised 01-18-2010_DEM-WP(C) ENERG10C--ctn Mid-C_042010 2010GRC" xfId="12770"/>
    <cellStyle name="_NIM 06 Base Case Current Trends_Book2_Electric Rev Req Model (2009 GRC) Revised 01-18-2010_DEM-WP(C) ENERG10C--ctn Mid-C_042010 2010GRC 2" xfId="12771"/>
    <cellStyle name="_NIM 06 Base Case Current Trends_Book2_Final Order Electric EXHIBIT A-1" xfId="652"/>
    <cellStyle name="_NIM 06 Base Case Current Trends_Book2_Final Order Electric EXHIBIT A-1 2" xfId="12772"/>
    <cellStyle name="_NIM 06 Base Case Current Trends_Book2_Final Order Electric EXHIBIT A-1 2 2" xfId="12773"/>
    <cellStyle name="_NIM 06 Base Case Current Trends_Book2_Final Order Electric EXHIBIT A-1 2 2 2" xfId="12774"/>
    <cellStyle name="_NIM 06 Base Case Current Trends_Book2_Final Order Electric EXHIBIT A-1 2 3" xfId="12775"/>
    <cellStyle name="_NIM 06 Base Case Current Trends_Book2_Final Order Electric EXHIBIT A-1 2 4" xfId="12776"/>
    <cellStyle name="_NIM 06 Base Case Current Trends_Book2_Final Order Electric EXHIBIT A-1 3" xfId="12777"/>
    <cellStyle name="_NIM 06 Base Case Current Trends_Book2_Final Order Electric EXHIBIT A-1 3 2" xfId="12778"/>
    <cellStyle name="_NIM 06 Base Case Current Trends_Book2_Final Order Electric EXHIBIT A-1 4" xfId="12779"/>
    <cellStyle name="_NIM 06 Base Case Current Trends_Book2_Final Order Electric EXHIBIT A-1 5" xfId="12780"/>
    <cellStyle name="_NIM 06 Base Case Current Trends_Book2_Final Order Electric EXHIBIT A-1 6" xfId="12781"/>
    <cellStyle name="_NIM 06 Base Case Current Trends_Chelan PUD Power Costs (8-10)" xfId="12782"/>
    <cellStyle name="_NIM 06 Base Case Current Trends_Chelan PUD Power Costs (8-10) 2" xfId="12783"/>
    <cellStyle name="_NIM 06 Base Case Current Trends_Colstrip 1&amp;2 Annual O&amp;M Budgets" xfId="12784"/>
    <cellStyle name="_NIM 06 Base Case Current Trends_Confidential Material" xfId="12785"/>
    <cellStyle name="_NIM 06 Base Case Current Trends_Confidential Material 2" xfId="12786"/>
    <cellStyle name="_NIM 06 Base Case Current Trends_DEM-WP(C) Colstrip 12 Coal Cost Forecast 2010GRC" xfId="12787"/>
    <cellStyle name="_NIM 06 Base Case Current Trends_DEM-WP(C) Colstrip 12 Coal Cost Forecast 2010GRC 2" xfId="12788"/>
    <cellStyle name="_NIM 06 Base Case Current Trends_DEM-WP(C) ENERG10C--ctn Mid-C_042010 2010GRC" xfId="12789"/>
    <cellStyle name="_NIM 06 Base Case Current Trends_DEM-WP(C) ENERG10C--ctn Mid-C_042010 2010GRC 2" xfId="12790"/>
    <cellStyle name="_NIM 06 Base Case Current Trends_DEM-WP(C) Production O&amp;M 2010GRC As-Filed" xfId="12791"/>
    <cellStyle name="_NIM 06 Base Case Current Trends_DEM-WP(C) Production O&amp;M 2010GRC As-Filed 2" xfId="12792"/>
    <cellStyle name="_NIM 06 Base Case Current Trends_DEM-WP(C) Production O&amp;M 2010GRC As-Filed 2 2" xfId="12793"/>
    <cellStyle name="_NIM 06 Base Case Current Trends_DEM-WP(C) Production O&amp;M 2010GRC As-Filed 3" xfId="12794"/>
    <cellStyle name="_NIM 06 Base Case Current Trends_DEM-WP(C) Production O&amp;M 2010GRC As-Filed 3 2" xfId="12795"/>
    <cellStyle name="_NIM 06 Base Case Current Trends_DEM-WP(C) Production O&amp;M 2010GRC As-Filed 4" xfId="12796"/>
    <cellStyle name="_NIM 06 Base Case Current Trends_DEM-WP(C) Production O&amp;M 2010GRC As-Filed 4 2" xfId="12797"/>
    <cellStyle name="_NIM 06 Base Case Current Trends_DEM-WP(C) Production O&amp;M 2010GRC As-Filed 5" xfId="12798"/>
    <cellStyle name="_NIM 06 Base Case Current Trends_DEM-WP(C) Production O&amp;M 2010GRC As-Filed 5 2" xfId="12799"/>
    <cellStyle name="_NIM 06 Base Case Current Trends_DEM-WP(C) Production O&amp;M 2010GRC As-Filed 6" xfId="12800"/>
    <cellStyle name="_NIM 06 Base Case Current Trends_DEM-WP(C) Production O&amp;M 2010GRC As-Filed 6 2" xfId="12801"/>
    <cellStyle name="_NIM 06 Base Case Current Trends_Electric Rev Req Model (2009 GRC) " xfId="653"/>
    <cellStyle name="_NIM 06 Base Case Current Trends_Electric Rev Req Model (2009 GRC)  2" xfId="12802"/>
    <cellStyle name="_NIM 06 Base Case Current Trends_Electric Rev Req Model (2009 GRC)  2 2" xfId="12803"/>
    <cellStyle name="_NIM 06 Base Case Current Trends_Electric Rev Req Model (2009 GRC)  2 2 2" xfId="12804"/>
    <cellStyle name="_NIM 06 Base Case Current Trends_Electric Rev Req Model (2009 GRC)  2 2 2 2" xfId="12805"/>
    <cellStyle name="_NIM 06 Base Case Current Trends_Electric Rev Req Model (2009 GRC)  2 2 3" xfId="12806"/>
    <cellStyle name="_NIM 06 Base Case Current Trends_Electric Rev Req Model (2009 GRC)  2 2 4" xfId="12807"/>
    <cellStyle name="_NIM 06 Base Case Current Trends_Electric Rev Req Model (2009 GRC)  2 3" xfId="12808"/>
    <cellStyle name="_NIM 06 Base Case Current Trends_Electric Rev Req Model (2009 GRC)  2 3 2" xfId="12809"/>
    <cellStyle name="_NIM 06 Base Case Current Trends_Electric Rev Req Model (2009 GRC)  2 4" xfId="12810"/>
    <cellStyle name="_NIM 06 Base Case Current Trends_Electric Rev Req Model (2009 GRC)  3" xfId="12811"/>
    <cellStyle name="_NIM 06 Base Case Current Trends_Electric Rev Req Model (2009 GRC)  3 2" xfId="12812"/>
    <cellStyle name="_NIM 06 Base Case Current Trends_Electric Rev Req Model (2009 GRC)  3 2 2" xfId="12813"/>
    <cellStyle name="_NIM 06 Base Case Current Trends_Electric Rev Req Model (2009 GRC)  3 3" xfId="12814"/>
    <cellStyle name="_NIM 06 Base Case Current Trends_Electric Rev Req Model (2009 GRC)  3 4" xfId="12815"/>
    <cellStyle name="_NIM 06 Base Case Current Trends_Electric Rev Req Model (2009 GRC)  4" xfId="12816"/>
    <cellStyle name="_NIM 06 Base Case Current Trends_Electric Rev Req Model (2009 GRC)  4 2" xfId="12817"/>
    <cellStyle name="_NIM 06 Base Case Current Trends_Electric Rev Req Model (2009 GRC)  5" xfId="12818"/>
    <cellStyle name="_NIM 06 Base Case Current Trends_Electric Rev Req Model (2009 GRC) _DEM-WP(C) ENERG10C--ctn Mid-C_042010 2010GRC" xfId="12819"/>
    <cellStyle name="_NIM 06 Base Case Current Trends_Electric Rev Req Model (2009 GRC) _DEM-WP(C) ENERG10C--ctn Mid-C_042010 2010GRC 2" xfId="12820"/>
    <cellStyle name="_NIM 06 Base Case Current Trends_Electric Rev Req Model (2009 GRC) Rebuttal" xfId="654"/>
    <cellStyle name="_NIM 06 Base Case Current Trends_Electric Rev Req Model (2009 GRC) Rebuttal 2" xfId="12821"/>
    <cellStyle name="_NIM 06 Base Case Current Trends_Electric Rev Req Model (2009 GRC) Rebuttal 2 2" xfId="12822"/>
    <cellStyle name="_NIM 06 Base Case Current Trends_Electric Rev Req Model (2009 GRC) Rebuttal 2 2 2" xfId="12823"/>
    <cellStyle name="_NIM 06 Base Case Current Trends_Electric Rev Req Model (2009 GRC) Rebuttal 2 3" xfId="12824"/>
    <cellStyle name="_NIM 06 Base Case Current Trends_Electric Rev Req Model (2009 GRC) Rebuttal 3" xfId="12825"/>
    <cellStyle name="_NIM 06 Base Case Current Trends_Electric Rev Req Model (2009 GRC) Rebuttal 3 2" xfId="12826"/>
    <cellStyle name="_NIM 06 Base Case Current Trends_Electric Rev Req Model (2009 GRC) Rebuttal 4" xfId="12827"/>
    <cellStyle name="_NIM 06 Base Case Current Trends_Electric Rev Req Model (2009 GRC) Rebuttal REmoval of New  WH Solar AdjustMI" xfId="655"/>
    <cellStyle name="_NIM 06 Base Case Current Trends_Electric Rev Req Model (2009 GRC) Rebuttal REmoval of New  WH Solar AdjustMI 2" xfId="12828"/>
    <cellStyle name="_NIM 06 Base Case Current Trends_Electric Rev Req Model (2009 GRC) Rebuttal REmoval of New  WH Solar AdjustMI 2 2" xfId="12829"/>
    <cellStyle name="_NIM 06 Base Case Current Trends_Electric Rev Req Model (2009 GRC) Rebuttal REmoval of New  WH Solar AdjustMI 2 2 2" xfId="12830"/>
    <cellStyle name="_NIM 06 Base Case Current Trends_Electric Rev Req Model (2009 GRC) Rebuttal REmoval of New  WH Solar AdjustMI 2 2 2 2" xfId="12831"/>
    <cellStyle name="_NIM 06 Base Case Current Trends_Electric Rev Req Model (2009 GRC) Rebuttal REmoval of New  WH Solar AdjustMI 2 2 3" xfId="12832"/>
    <cellStyle name="_NIM 06 Base Case Current Trends_Electric Rev Req Model (2009 GRC) Rebuttal REmoval of New  WH Solar AdjustMI 2 2 4" xfId="12833"/>
    <cellStyle name="_NIM 06 Base Case Current Trends_Electric Rev Req Model (2009 GRC) Rebuttal REmoval of New  WH Solar AdjustMI 2 3" xfId="12834"/>
    <cellStyle name="_NIM 06 Base Case Current Trends_Electric Rev Req Model (2009 GRC) Rebuttal REmoval of New  WH Solar AdjustMI 2 3 2" xfId="12835"/>
    <cellStyle name="_NIM 06 Base Case Current Trends_Electric Rev Req Model (2009 GRC) Rebuttal REmoval of New  WH Solar AdjustMI 2 4" xfId="12836"/>
    <cellStyle name="_NIM 06 Base Case Current Trends_Electric Rev Req Model (2009 GRC) Rebuttal REmoval of New  WH Solar AdjustMI 3" xfId="12837"/>
    <cellStyle name="_NIM 06 Base Case Current Trends_Electric Rev Req Model (2009 GRC) Rebuttal REmoval of New  WH Solar AdjustMI 3 2" xfId="12838"/>
    <cellStyle name="_NIM 06 Base Case Current Trends_Electric Rev Req Model (2009 GRC) Rebuttal REmoval of New  WH Solar AdjustMI 3 2 2" xfId="12839"/>
    <cellStyle name="_NIM 06 Base Case Current Trends_Electric Rev Req Model (2009 GRC) Rebuttal REmoval of New  WH Solar AdjustMI 3 3" xfId="12840"/>
    <cellStyle name="_NIM 06 Base Case Current Trends_Electric Rev Req Model (2009 GRC) Rebuttal REmoval of New  WH Solar AdjustMI 3 4" xfId="12841"/>
    <cellStyle name="_NIM 06 Base Case Current Trends_Electric Rev Req Model (2009 GRC) Rebuttal REmoval of New  WH Solar AdjustMI 4" xfId="12842"/>
    <cellStyle name="_NIM 06 Base Case Current Trends_Electric Rev Req Model (2009 GRC) Rebuttal REmoval of New  WH Solar AdjustMI 4 2" xfId="12843"/>
    <cellStyle name="_NIM 06 Base Case Current Trends_Electric Rev Req Model (2009 GRC) Rebuttal REmoval of New  WH Solar AdjustMI 5" xfId="12844"/>
    <cellStyle name="_NIM 06 Base Case Current Trends_Electric Rev Req Model (2009 GRC) Rebuttal REmoval of New  WH Solar AdjustMI_DEM-WP(C) ENERG10C--ctn Mid-C_042010 2010GRC" xfId="12845"/>
    <cellStyle name="_NIM 06 Base Case Current Trends_Electric Rev Req Model (2009 GRC) Rebuttal REmoval of New  WH Solar AdjustMI_DEM-WP(C) ENERG10C--ctn Mid-C_042010 2010GRC 2" xfId="12846"/>
    <cellStyle name="_NIM 06 Base Case Current Trends_Electric Rev Req Model (2009 GRC) Revised 01-18-2010" xfId="656"/>
    <cellStyle name="_NIM 06 Base Case Current Trends_Electric Rev Req Model (2009 GRC) Revised 01-18-2010 2" xfId="12847"/>
    <cellStyle name="_NIM 06 Base Case Current Trends_Electric Rev Req Model (2009 GRC) Revised 01-18-2010 2 2" xfId="12848"/>
    <cellStyle name="_NIM 06 Base Case Current Trends_Electric Rev Req Model (2009 GRC) Revised 01-18-2010 2 2 2" xfId="12849"/>
    <cellStyle name="_NIM 06 Base Case Current Trends_Electric Rev Req Model (2009 GRC) Revised 01-18-2010 2 2 2 2" xfId="12850"/>
    <cellStyle name="_NIM 06 Base Case Current Trends_Electric Rev Req Model (2009 GRC) Revised 01-18-2010 2 2 3" xfId="12851"/>
    <cellStyle name="_NIM 06 Base Case Current Trends_Electric Rev Req Model (2009 GRC) Revised 01-18-2010 2 2 4" xfId="12852"/>
    <cellStyle name="_NIM 06 Base Case Current Trends_Electric Rev Req Model (2009 GRC) Revised 01-18-2010 2 3" xfId="12853"/>
    <cellStyle name="_NIM 06 Base Case Current Trends_Electric Rev Req Model (2009 GRC) Revised 01-18-2010 2 3 2" xfId="12854"/>
    <cellStyle name="_NIM 06 Base Case Current Trends_Electric Rev Req Model (2009 GRC) Revised 01-18-2010 2 4" xfId="12855"/>
    <cellStyle name="_NIM 06 Base Case Current Trends_Electric Rev Req Model (2009 GRC) Revised 01-18-2010 3" xfId="12856"/>
    <cellStyle name="_NIM 06 Base Case Current Trends_Electric Rev Req Model (2009 GRC) Revised 01-18-2010 3 2" xfId="12857"/>
    <cellStyle name="_NIM 06 Base Case Current Trends_Electric Rev Req Model (2009 GRC) Revised 01-18-2010 3 2 2" xfId="12858"/>
    <cellStyle name="_NIM 06 Base Case Current Trends_Electric Rev Req Model (2009 GRC) Revised 01-18-2010 3 3" xfId="12859"/>
    <cellStyle name="_NIM 06 Base Case Current Trends_Electric Rev Req Model (2009 GRC) Revised 01-18-2010 3 4" xfId="12860"/>
    <cellStyle name="_NIM 06 Base Case Current Trends_Electric Rev Req Model (2009 GRC) Revised 01-18-2010 4" xfId="12861"/>
    <cellStyle name="_NIM 06 Base Case Current Trends_Electric Rev Req Model (2009 GRC) Revised 01-18-2010 4 2" xfId="12862"/>
    <cellStyle name="_NIM 06 Base Case Current Trends_Electric Rev Req Model (2009 GRC) Revised 01-18-2010 5" xfId="12863"/>
    <cellStyle name="_NIM 06 Base Case Current Trends_Electric Rev Req Model (2009 GRC) Revised 01-18-2010_DEM-WP(C) ENERG10C--ctn Mid-C_042010 2010GRC" xfId="12864"/>
    <cellStyle name="_NIM 06 Base Case Current Trends_Electric Rev Req Model (2009 GRC) Revised 01-18-2010_DEM-WP(C) ENERG10C--ctn Mid-C_042010 2010GRC 2" xfId="12865"/>
    <cellStyle name="_NIM 06 Base Case Current Trends_Electric Rev Req Model (2010 GRC)" xfId="12866"/>
    <cellStyle name="_NIM 06 Base Case Current Trends_Electric Rev Req Model (2010 GRC) 2" xfId="12867"/>
    <cellStyle name="_NIM 06 Base Case Current Trends_Electric Rev Req Model (2010 GRC) SF" xfId="12868"/>
    <cellStyle name="_NIM 06 Base Case Current Trends_Electric Rev Req Model (2010 GRC) SF 2" xfId="12869"/>
    <cellStyle name="_NIM 06 Base Case Current Trends_Final Order Electric EXHIBIT A-1" xfId="657"/>
    <cellStyle name="_NIM 06 Base Case Current Trends_Final Order Electric EXHIBIT A-1 2" xfId="12870"/>
    <cellStyle name="_NIM 06 Base Case Current Trends_Final Order Electric EXHIBIT A-1 2 2" xfId="12871"/>
    <cellStyle name="_NIM 06 Base Case Current Trends_Final Order Electric EXHIBIT A-1 2 2 2" xfId="12872"/>
    <cellStyle name="_NIM 06 Base Case Current Trends_Final Order Electric EXHIBIT A-1 2 3" xfId="12873"/>
    <cellStyle name="_NIM 06 Base Case Current Trends_Final Order Electric EXHIBIT A-1 2 4" xfId="12874"/>
    <cellStyle name="_NIM 06 Base Case Current Trends_Final Order Electric EXHIBIT A-1 3" xfId="12875"/>
    <cellStyle name="_NIM 06 Base Case Current Trends_Final Order Electric EXHIBIT A-1 3 2" xfId="12876"/>
    <cellStyle name="_NIM 06 Base Case Current Trends_Final Order Electric EXHIBIT A-1 4" xfId="12877"/>
    <cellStyle name="_NIM 06 Base Case Current Trends_Final Order Electric EXHIBIT A-1 5" xfId="12878"/>
    <cellStyle name="_NIM 06 Base Case Current Trends_Final Order Electric EXHIBIT A-1 6" xfId="12879"/>
    <cellStyle name="_NIM 06 Base Case Current Trends_NIM Summary" xfId="12880"/>
    <cellStyle name="_NIM 06 Base Case Current Trends_NIM Summary 2" xfId="12881"/>
    <cellStyle name="_NIM 06 Base Case Current Trends_NIM Summary 2 2" xfId="12882"/>
    <cellStyle name="_NIM 06 Base Case Current Trends_NIM Summary 2 2 2" xfId="12883"/>
    <cellStyle name="_NIM 06 Base Case Current Trends_NIM Summary 2 2 2 2" xfId="12884"/>
    <cellStyle name="_NIM 06 Base Case Current Trends_NIM Summary 2 2 3" xfId="12885"/>
    <cellStyle name="_NIM 06 Base Case Current Trends_NIM Summary 2 2 4" xfId="12886"/>
    <cellStyle name="_NIM 06 Base Case Current Trends_NIM Summary 2 3" xfId="12887"/>
    <cellStyle name="_NIM 06 Base Case Current Trends_NIM Summary 2 3 2" xfId="12888"/>
    <cellStyle name="_NIM 06 Base Case Current Trends_NIM Summary 2 4" xfId="12889"/>
    <cellStyle name="_NIM 06 Base Case Current Trends_NIM Summary 3" xfId="12890"/>
    <cellStyle name="_NIM 06 Base Case Current Trends_NIM Summary 3 2" xfId="12891"/>
    <cellStyle name="_NIM 06 Base Case Current Trends_NIM Summary 3 2 2" xfId="12892"/>
    <cellStyle name="_NIM 06 Base Case Current Trends_NIM Summary 3 3" xfId="12893"/>
    <cellStyle name="_NIM 06 Base Case Current Trends_NIM Summary 3 4" xfId="12894"/>
    <cellStyle name="_NIM 06 Base Case Current Trends_NIM Summary 4" xfId="12895"/>
    <cellStyle name="_NIM 06 Base Case Current Trends_NIM Summary 4 2" xfId="12896"/>
    <cellStyle name="_NIM 06 Base Case Current Trends_NIM Summary 5" xfId="12897"/>
    <cellStyle name="_NIM 06 Base Case Current Trends_NIM Summary_DEM-WP(C) ENERG10C--ctn Mid-C_042010 2010GRC" xfId="12898"/>
    <cellStyle name="_NIM 06 Base Case Current Trends_NIM Summary_DEM-WP(C) ENERG10C--ctn Mid-C_042010 2010GRC 2" xfId="12899"/>
    <cellStyle name="_NIM 06 Base Case Current Trends_NIM+O&amp;M" xfId="12900"/>
    <cellStyle name="_NIM 06 Base Case Current Trends_NIM+O&amp;M 2" xfId="12901"/>
    <cellStyle name="_NIM 06 Base Case Current Trends_NIM+O&amp;M 2 2" xfId="12902"/>
    <cellStyle name="_NIM 06 Base Case Current Trends_NIM+O&amp;M 2 2 2" xfId="12903"/>
    <cellStyle name="_NIM 06 Base Case Current Trends_NIM+O&amp;M 2 2 2 2" xfId="12904"/>
    <cellStyle name="_NIM 06 Base Case Current Trends_NIM+O&amp;M 2 2 3" xfId="12905"/>
    <cellStyle name="_NIM 06 Base Case Current Trends_NIM+O&amp;M 2 3" xfId="12906"/>
    <cellStyle name="_NIM 06 Base Case Current Trends_NIM+O&amp;M 2 3 2" xfId="12907"/>
    <cellStyle name="_NIM 06 Base Case Current Trends_NIM+O&amp;M 2 4" xfId="12908"/>
    <cellStyle name="_NIM 06 Base Case Current Trends_NIM+O&amp;M 3" xfId="12909"/>
    <cellStyle name="_NIM 06 Base Case Current Trends_NIM+O&amp;M 3 2" xfId="12910"/>
    <cellStyle name="_NIM 06 Base Case Current Trends_NIM+O&amp;M 3 2 2" xfId="12911"/>
    <cellStyle name="_NIM 06 Base Case Current Trends_NIM+O&amp;M 3 3" xfId="12912"/>
    <cellStyle name="_NIM 06 Base Case Current Trends_NIM+O&amp;M 4" xfId="12913"/>
    <cellStyle name="_NIM 06 Base Case Current Trends_NIM+O&amp;M 4 2" xfId="12914"/>
    <cellStyle name="_NIM 06 Base Case Current Trends_NIM+O&amp;M 5" xfId="12915"/>
    <cellStyle name="_NIM 06 Base Case Current Trends_NIM+O&amp;M Monthly" xfId="12916"/>
    <cellStyle name="_NIM 06 Base Case Current Trends_NIM+O&amp;M Monthly 2" xfId="12917"/>
    <cellStyle name="_NIM 06 Base Case Current Trends_NIM+O&amp;M Monthly 2 2" xfId="12918"/>
    <cellStyle name="_NIM 06 Base Case Current Trends_NIM+O&amp;M Monthly 2 2 2" xfId="12919"/>
    <cellStyle name="_NIM 06 Base Case Current Trends_NIM+O&amp;M Monthly 2 2 2 2" xfId="12920"/>
    <cellStyle name="_NIM 06 Base Case Current Trends_NIM+O&amp;M Monthly 2 2 3" xfId="12921"/>
    <cellStyle name="_NIM 06 Base Case Current Trends_NIM+O&amp;M Monthly 2 3" xfId="12922"/>
    <cellStyle name="_NIM 06 Base Case Current Trends_NIM+O&amp;M Monthly 2 3 2" xfId="12923"/>
    <cellStyle name="_NIM 06 Base Case Current Trends_NIM+O&amp;M Monthly 2 4" xfId="12924"/>
    <cellStyle name="_NIM 06 Base Case Current Trends_NIM+O&amp;M Monthly 3" xfId="12925"/>
    <cellStyle name="_NIM 06 Base Case Current Trends_NIM+O&amp;M Monthly 3 2" xfId="12926"/>
    <cellStyle name="_NIM 06 Base Case Current Trends_NIM+O&amp;M Monthly 3 2 2" xfId="12927"/>
    <cellStyle name="_NIM 06 Base Case Current Trends_NIM+O&amp;M Monthly 3 3" xfId="12928"/>
    <cellStyle name="_NIM 06 Base Case Current Trends_NIM+O&amp;M Monthly 4" xfId="12929"/>
    <cellStyle name="_NIM 06 Base Case Current Trends_NIM+O&amp;M Monthly 4 2" xfId="12930"/>
    <cellStyle name="_NIM 06 Base Case Current Trends_NIM+O&amp;M Monthly 5" xfId="12931"/>
    <cellStyle name="_NIM 06 Base Case Current Trends_Rebuttal Power Costs" xfId="658"/>
    <cellStyle name="_NIM 06 Base Case Current Trends_Rebuttal Power Costs 2" xfId="12932"/>
    <cellStyle name="_NIM 06 Base Case Current Trends_Rebuttal Power Costs 2 2" xfId="12933"/>
    <cellStyle name="_NIM 06 Base Case Current Trends_Rebuttal Power Costs 2 2 2" xfId="12934"/>
    <cellStyle name="_NIM 06 Base Case Current Trends_Rebuttal Power Costs 2 2 2 2" xfId="12935"/>
    <cellStyle name="_NIM 06 Base Case Current Trends_Rebuttal Power Costs 2 2 3" xfId="12936"/>
    <cellStyle name="_NIM 06 Base Case Current Trends_Rebuttal Power Costs 2 2 4" xfId="12937"/>
    <cellStyle name="_NIM 06 Base Case Current Trends_Rebuttal Power Costs 2 3" xfId="12938"/>
    <cellStyle name="_NIM 06 Base Case Current Trends_Rebuttal Power Costs 2 3 2" xfId="12939"/>
    <cellStyle name="_NIM 06 Base Case Current Trends_Rebuttal Power Costs 2 4" xfId="12940"/>
    <cellStyle name="_NIM 06 Base Case Current Trends_Rebuttal Power Costs 3" xfId="12941"/>
    <cellStyle name="_NIM 06 Base Case Current Trends_Rebuttal Power Costs 3 2" xfId="12942"/>
    <cellStyle name="_NIM 06 Base Case Current Trends_Rebuttal Power Costs 3 2 2" xfId="12943"/>
    <cellStyle name="_NIM 06 Base Case Current Trends_Rebuttal Power Costs 3 3" xfId="12944"/>
    <cellStyle name="_NIM 06 Base Case Current Trends_Rebuttal Power Costs 3 4" xfId="12945"/>
    <cellStyle name="_NIM 06 Base Case Current Trends_Rebuttal Power Costs 4" xfId="12946"/>
    <cellStyle name="_NIM 06 Base Case Current Trends_Rebuttal Power Costs 4 2" xfId="12947"/>
    <cellStyle name="_NIM 06 Base Case Current Trends_Rebuttal Power Costs 5" xfId="12948"/>
    <cellStyle name="_NIM 06 Base Case Current Trends_Rebuttal Power Costs_Adj Bench DR 3 for Initial Briefs (Electric)" xfId="659"/>
    <cellStyle name="_NIM 06 Base Case Current Trends_Rebuttal Power Costs_Adj Bench DR 3 for Initial Briefs (Electric) 2" xfId="12949"/>
    <cellStyle name="_NIM 06 Base Case Current Trends_Rebuttal Power Costs_Adj Bench DR 3 for Initial Briefs (Electric) 2 2" xfId="12950"/>
    <cellStyle name="_NIM 06 Base Case Current Trends_Rebuttal Power Costs_Adj Bench DR 3 for Initial Briefs (Electric) 2 2 2" xfId="12951"/>
    <cellStyle name="_NIM 06 Base Case Current Trends_Rebuttal Power Costs_Adj Bench DR 3 for Initial Briefs (Electric) 2 2 2 2" xfId="12952"/>
    <cellStyle name="_NIM 06 Base Case Current Trends_Rebuttal Power Costs_Adj Bench DR 3 for Initial Briefs (Electric) 2 2 3" xfId="12953"/>
    <cellStyle name="_NIM 06 Base Case Current Trends_Rebuttal Power Costs_Adj Bench DR 3 for Initial Briefs (Electric) 2 2 4" xfId="12954"/>
    <cellStyle name="_NIM 06 Base Case Current Trends_Rebuttal Power Costs_Adj Bench DR 3 for Initial Briefs (Electric) 2 3" xfId="12955"/>
    <cellStyle name="_NIM 06 Base Case Current Trends_Rebuttal Power Costs_Adj Bench DR 3 for Initial Briefs (Electric) 2 3 2" xfId="12956"/>
    <cellStyle name="_NIM 06 Base Case Current Trends_Rebuttal Power Costs_Adj Bench DR 3 for Initial Briefs (Electric) 2 4" xfId="12957"/>
    <cellStyle name="_NIM 06 Base Case Current Trends_Rebuttal Power Costs_Adj Bench DR 3 for Initial Briefs (Electric) 3" xfId="12958"/>
    <cellStyle name="_NIM 06 Base Case Current Trends_Rebuttal Power Costs_Adj Bench DR 3 for Initial Briefs (Electric) 3 2" xfId="12959"/>
    <cellStyle name="_NIM 06 Base Case Current Trends_Rebuttal Power Costs_Adj Bench DR 3 for Initial Briefs (Electric) 3 2 2" xfId="12960"/>
    <cellStyle name="_NIM 06 Base Case Current Trends_Rebuttal Power Costs_Adj Bench DR 3 for Initial Briefs (Electric) 3 3" xfId="12961"/>
    <cellStyle name="_NIM 06 Base Case Current Trends_Rebuttal Power Costs_Adj Bench DR 3 for Initial Briefs (Electric) 3 4" xfId="12962"/>
    <cellStyle name="_NIM 06 Base Case Current Trends_Rebuttal Power Costs_Adj Bench DR 3 for Initial Briefs (Electric) 4" xfId="12963"/>
    <cellStyle name="_NIM 06 Base Case Current Trends_Rebuttal Power Costs_Adj Bench DR 3 for Initial Briefs (Electric) 4 2" xfId="12964"/>
    <cellStyle name="_NIM 06 Base Case Current Trends_Rebuttal Power Costs_Adj Bench DR 3 for Initial Briefs (Electric) 5" xfId="12965"/>
    <cellStyle name="_NIM 06 Base Case Current Trends_Rebuttal Power Costs_Adj Bench DR 3 for Initial Briefs (Electric)_DEM-WP(C) ENERG10C--ctn Mid-C_042010 2010GRC" xfId="12966"/>
    <cellStyle name="_NIM 06 Base Case Current Trends_Rebuttal Power Costs_Adj Bench DR 3 for Initial Briefs (Electric)_DEM-WP(C) ENERG10C--ctn Mid-C_042010 2010GRC 2" xfId="12967"/>
    <cellStyle name="_NIM 06 Base Case Current Trends_Rebuttal Power Costs_DEM-WP(C) ENERG10C--ctn Mid-C_042010 2010GRC" xfId="12968"/>
    <cellStyle name="_NIM 06 Base Case Current Trends_Rebuttal Power Costs_DEM-WP(C) ENERG10C--ctn Mid-C_042010 2010GRC 2" xfId="12969"/>
    <cellStyle name="_NIM 06 Base Case Current Trends_Rebuttal Power Costs_Electric Rev Req Model (2009 GRC) Rebuttal" xfId="660"/>
    <cellStyle name="_NIM 06 Base Case Current Trends_Rebuttal Power Costs_Electric Rev Req Model (2009 GRC) Rebuttal 2" xfId="12970"/>
    <cellStyle name="_NIM 06 Base Case Current Trends_Rebuttal Power Costs_Electric Rev Req Model (2009 GRC) Rebuttal 2 2" xfId="12971"/>
    <cellStyle name="_NIM 06 Base Case Current Trends_Rebuttal Power Costs_Electric Rev Req Model (2009 GRC) Rebuttal 2 2 2" xfId="12972"/>
    <cellStyle name="_NIM 06 Base Case Current Trends_Rebuttal Power Costs_Electric Rev Req Model (2009 GRC) Rebuttal 2 3" xfId="12973"/>
    <cellStyle name="_NIM 06 Base Case Current Trends_Rebuttal Power Costs_Electric Rev Req Model (2009 GRC) Rebuttal 3" xfId="12974"/>
    <cellStyle name="_NIM 06 Base Case Current Trends_Rebuttal Power Costs_Electric Rev Req Model (2009 GRC) Rebuttal 3 2" xfId="12975"/>
    <cellStyle name="_NIM 06 Base Case Current Trends_Rebuttal Power Costs_Electric Rev Req Model (2009 GRC) Rebuttal 4" xfId="12976"/>
    <cellStyle name="_NIM 06 Base Case Current Trends_Rebuttal Power Costs_Electric Rev Req Model (2009 GRC) Rebuttal REmoval of New  WH Solar AdjustMI" xfId="661"/>
    <cellStyle name="_NIM 06 Base Case Current Trends_Rebuttal Power Costs_Electric Rev Req Model (2009 GRC) Rebuttal REmoval of New  WH Solar AdjustMI 2" xfId="12977"/>
    <cellStyle name="_NIM 06 Base Case Current Trends_Rebuttal Power Costs_Electric Rev Req Model (2009 GRC) Rebuttal REmoval of New  WH Solar AdjustMI 2 2" xfId="12978"/>
    <cellStyle name="_NIM 06 Base Case Current Trends_Rebuttal Power Costs_Electric Rev Req Model (2009 GRC) Rebuttal REmoval of New  WH Solar AdjustMI 2 2 2" xfId="12979"/>
    <cellStyle name="_NIM 06 Base Case Current Trends_Rebuttal Power Costs_Electric Rev Req Model (2009 GRC) Rebuttal REmoval of New  WH Solar AdjustMI 2 2 2 2" xfId="12980"/>
    <cellStyle name="_NIM 06 Base Case Current Trends_Rebuttal Power Costs_Electric Rev Req Model (2009 GRC) Rebuttal REmoval of New  WH Solar AdjustMI 2 2 3" xfId="12981"/>
    <cellStyle name="_NIM 06 Base Case Current Trends_Rebuttal Power Costs_Electric Rev Req Model (2009 GRC) Rebuttal REmoval of New  WH Solar AdjustMI 2 2 4" xfId="12982"/>
    <cellStyle name="_NIM 06 Base Case Current Trends_Rebuttal Power Costs_Electric Rev Req Model (2009 GRC) Rebuttal REmoval of New  WH Solar AdjustMI 2 3" xfId="12983"/>
    <cellStyle name="_NIM 06 Base Case Current Trends_Rebuttal Power Costs_Electric Rev Req Model (2009 GRC) Rebuttal REmoval of New  WH Solar AdjustMI 2 3 2" xfId="12984"/>
    <cellStyle name="_NIM 06 Base Case Current Trends_Rebuttal Power Costs_Electric Rev Req Model (2009 GRC) Rebuttal REmoval of New  WH Solar AdjustMI 2 4" xfId="12985"/>
    <cellStyle name="_NIM 06 Base Case Current Trends_Rebuttal Power Costs_Electric Rev Req Model (2009 GRC) Rebuttal REmoval of New  WH Solar AdjustMI 3" xfId="12986"/>
    <cellStyle name="_NIM 06 Base Case Current Trends_Rebuttal Power Costs_Electric Rev Req Model (2009 GRC) Rebuttal REmoval of New  WH Solar AdjustMI 3 2" xfId="12987"/>
    <cellStyle name="_NIM 06 Base Case Current Trends_Rebuttal Power Costs_Electric Rev Req Model (2009 GRC) Rebuttal REmoval of New  WH Solar AdjustMI 3 2 2" xfId="12988"/>
    <cellStyle name="_NIM 06 Base Case Current Trends_Rebuttal Power Costs_Electric Rev Req Model (2009 GRC) Rebuttal REmoval of New  WH Solar AdjustMI 3 3" xfId="12989"/>
    <cellStyle name="_NIM 06 Base Case Current Trends_Rebuttal Power Costs_Electric Rev Req Model (2009 GRC) Rebuttal REmoval of New  WH Solar AdjustMI 3 4" xfId="12990"/>
    <cellStyle name="_NIM 06 Base Case Current Trends_Rebuttal Power Costs_Electric Rev Req Model (2009 GRC) Rebuttal REmoval of New  WH Solar AdjustMI 4" xfId="12991"/>
    <cellStyle name="_NIM 06 Base Case Current Trends_Rebuttal Power Costs_Electric Rev Req Model (2009 GRC) Rebuttal REmoval of New  WH Solar AdjustMI 4 2" xfId="12992"/>
    <cellStyle name="_NIM 06 Base Case Current Trends_Rebuttal Power Costs_Electric Rev Req Model (2009 GRC) Rebuttal REmoval of New  WH Solar AdjustMI 5" xfId="12993"/>
    <cellStyle name="_NIM 06 Base Case Current Trends_Rebuttal Power Costs_Electric Rev Req Model (2009 GRC) Rebuttal REmoval of New  WH Solar AdjustMI_DEM-WP(C) ENERG10C--ctn Mid-C_042010 2010GRC" xfId="12994"/>
    <cellStyle name="_NIM 06 Base Case Current Trends_Rebuttal Power Costs_Electric Rev Req Model (2009 GRC) Rebuttal REmoval of New  WH Solar AdjustMI_DEM-WP(C) ENERG10C--ctn Mid-C_042010 2010GRC 2" xfId="12995"/>
    <cellStyle name="_NIM 06 Base Case Current Trends_Rebuttal Power Costs_Electric Rev Req Model (2009 GRC) Revised 01-18-2010" xfId="662"/>
    <cellStyle name="_NIM 06 Base Case Current Trends_Rebuttal Power Costs_Electric Rev Req Model (2009 GRC) Revised 01-18-2010 2" xfId="12996"/>
    <cellStyle name="_NIM 06 Base Case Current Trends_Rebuttal Power Costs_Electric Rev Req Model (2009 GRC) Revised 01-18-2010 2 2" xfId="12997"/>
    <cellStyle name="_NIM 06 Base Case Current Trends_Rebuttal Power Costs_Electric Rev Req Model (2009 GRC) Revised 01-18-2010 2 2 2" xfId="12998"/>
    <cellStyle name="_NIM 06 Base Case Current Trends_Rebuttal Power Costs_Electric Rev Req Model (2009 GRC) Revised 01-18-2010 2 2 2 2" xfId="12999"/>
    <cellStyle name="_NIM 06 Base Case Current Trends_Rebuttal Power Costs_Electric Rev Req Model (2009 GRC) Revised 01-18-2010 2 2 3" xfId="13000"/>
    <cellStyle name="_NIM 06 Base Case Current Trends_Rebuttal Power Costs_Electric Rev Req Model (2009 GRC) Revised 01-18-2010 2 2 4" xfId="13001"/>
    <cellStyle name="_NIM 06 Base Case Current Trends_Rebuttal Power Costs_Electric Rev Req Model (2009 GRC) Revised 01-18-2010 2 3" xfId="13002"/>
    <cellStyle name="_NIM 06 Base Case Current Trends_Rebuttal Power Costs_Electric Rev Req Model (2009 GRC) Revised 01-18-2010 2 3 2" xfId="13003"/>
    <cellStyle name="_NIM 06 Base Case Current Trends_Rebuttal Power Costs_Electric Rev Req Model (2009 GRC) Revised 01-18-2010 2 4" xfId="13004"/>
    <cellStyle name="_NIM 06 Base Case Current Trends_Rebuttal Power Costs_Electric Rev Req Model (2009 GRC) Revised 01-18-2010 3" xfId="13005"/>
    <cellStyle name="_NIM 06 Base Case Current Trends_Rebuttal Power Costs_Electric Rev Req Model (2009 GRC) Revised 01-18-2010 3 2" xfId="13006"/>
    <cellStyle name="_NIM 06 Base Case Current Trends_Rebuttal Power Costs_Electric Rev Req Model (2009 GRC) Revised 01-18-2010 3 2 2" xfId="13007"/>
    <cellStyle name="_NIM 06 Base Case Current Trends_Rebuttal Power Costs_Electric Rev Req Model (2009 GRC) Revised 01-18-2010 3 3" xfId="13008"/>
    <cellStyle name="_NIM 06 Base Case Current Trends_Rebuttal Power Costs_Electric Rev Req Model (2009 GRC) Revised 01-18-2010 3 4" xfId="13009"/>
    <cellStyle name="_NIM 06 Base Case Current Trends_Rebuttal Power Costs_Electric Rev Req Model (2009 GRC) Revised 01-18-2010 4" xfId="13010"/>
    <cellStyle name="_NIM 06 Base Case Current Trends_Rebuttal Power Costs_Electric Rev Req Model (2009 GRC) Revised 01-18-2010 4 2" xfId="13011"/>
    <cellStyle name="_NIM 06 Base Case Current Trends_Rebuttal Power Costs_Electric Rev Req Model (2009 GRC) Revised 01-18-2010 5" xfId="13012"/>
    <cellStyle name="_NIM 06 Base Case Current Trends_Rebuttal Power Costs_Electric Rev Req Model (2009 GRC) Revised 01-18-2010_DEM-WP(C) ENERG10C--ctn Mid-C_042010 2010GRC" xfId="13013"/>
    <cellStyle name="_NIM 06 Base Case Current Trends_Rebuttal Power Costs_Electric Rev Req Model (2009 GRC) Revised 01-18-2010_DEM-WP(C) ENERG10C--ctn Mid-C_042010 2010GRC 2" xfId="13014"/>
    <cellStyle name="_NIM 06 Base Case Current Trends_Rebuttal Power Costs_Final Order Electric EXHIBIT A-1" xfId="663"/>
    <cellStyle name="_NIM 06 Base Case Current Trends_Rebuttal Power Costs_Final Order Electric EXHIBIT A-1 2" xfId="13015"/>
    <cellStyle name="_NIM 06 Base Case Current Trends_Rebuttal Power Costs_Final Order Electric EXHIBIT A-1 2 2" xfId="13016"/>
    <cellStyle name="_NIM 06 Base Case Current Trends_Rebuttal Power Costs_Final Order Electric EXHIBIT A-1 2 2 2" xfId="13017"/>
    <cellStyle name="_NIM 06 Base Case Current Trends_Rebuttal Power Costs_Final Order Electric EXHIBIT A-1 2 3" xfId="13018"/>
    <cellStyle name="_NIM 06 Base Case Current Trends_Rebuttal Power Costs_Final Order Electric EXHIBIT A-1 2 4" xfId="13019"/>
    <cellStyle name="_NIM 06 Base Case Current Trends_Rebuttal Power Costs_Final Order Electric EXHIBIT A-1 3" xfId="13020"/>
    <cellStyle name="_NIM 06 Base Case Current Trends_Rebuttal Power Costs_Final Order Electric EXHIBIT A-1 3 2" xfId="13021"/>
    <cellStyle name="_NIM 06 Base Case Current Trends_Rebuttal Power Costs_Final Order Electric EXHIBIT A-1 4" xfId="13022"/>
    <cellStyle name="_NIM 06 Base Case Current Trends_Rebuttal Power Costs_Final Order Electric EXHIBIT A-1 5" xfId="13023"/>
    <cellStyle name="_NIM 06 Base Case Current Trends_Rebuttal Power Costs_Final Order Electric EXHIBIT A-1 6" xfId="13024"/>
    <cellStyle name="_NIM 06 Base Case Current Trends_TENASKA REGULATORY ASSET" xfId="664"/>
    <cellStyle name="_NIM 06 Base Case Current Trends_TENASKA REGULATORY ASSET 2" xfId="13025"/>
    <cellStyle name="_NIM 06 Base Case Current Trends_TENASKA REGULATORY ASSET 2 2" xfId="13026"/>
    <cellStyle name="_NIM 06 Base Case Current Trends_TENASKA REGULATORY ASSET 2 2 2" xfId="13027"/>
    <cellStyle name="_NIM 06 Base Case Current Trends_TENASKA REGULATORY ASSET 2 3" xfId="13028"/>
    <cellStyle name="_NIM 06 Base Case Current Trends_TENASKA REGULATORY ASSET 2 4" xfId="13029"/>
    <cellStyle name="_NIM 06 Base Case Current Trends_TENASKA REGULATORY ASSET 3" xfId="13030"/>
    <cellStyle name="_NIM 06 Base Case Current Trends_TENASKA REGULATORY ASSET 3 2" xfId="13031"/>
    <cellStyle name="_NIM 06 Base Case Current Trends_TENASKA REGULATORY ASSET 4" xfId="13032"/>
    <cellStyle name="_NIM 06 Base Case Current Trends_TENASKA REGULATORY ASSET 5" xfId="13033"/>
    <cellStyle name="_NIM 06 Base Case Current Trends_TENASKA REGULATORY ASSET 6" xfId="13034"/>
    <cellStyle name="_NIM Summary 09GRC" xfId="13035"/>
    <cellStyle name="_NIM Summary 09GRC 2" xfId="13036"/>
    <cellStyle name="_NIM Summary 09GRC 2 2" xfId="13037"/>
    <cellStyle name="_NIM Summary 09GRC 2 2 2" xfId="13038"/>
    <cellStyle name="_NIM Summary 09GRC 2 2 2 2" xfId="13039"/>
    <cellStyle name="_NIM Summary 09GRC 2 2 3" xfId="13040"/>
    <cellStyle name="_NIM Summary 09GRC 2 2 4" xfId="13041"/>
    <cellStyle name="_NIM Summary 09GRC 2 3" xfId="13042"/>
    <cellStyle name="_NIM Summary 09GRC 2 3 2" xfId="13043"/>
    <cellStyle name="_NIM Summary 09GRC 2 4" xfId="13044"/>
    <cellStyle name="_NIM Summary 09GRC 3" xfId="13045"/>
    <cellStyle name="_NIM Summary 09GRC 3 2" xfId="13046"/>
    <cellStyle name="_NIM Summary 09GRC 3 2 2" xfId="13047"/>
    <cellStyle name="_NIM Summary 09GRC 3 3" xfId="13048"/>
    <cellStyle name="_NIM Summary 09GRC 3 4" xfId="13049"/>
    <cellStyle name="_NIM Summary 09GRC 4" xfId="13050"/>
    <cellStyle name="_NIM Summary 09GRC 4 2" xfId="13051"/>
    <cellStyle name="_NIM Summary 09GRC 5" xfId="13052"/>
    <cellStyle name="_NIM Summary 09GRC_DEM-WP(C) ENERG10C--ctn Mid-C_042010 2010GRC" xfId="13053"/>
    <cellStyle name="_NIM Summary 09GRC_DEM-WP(C) ENERG10C--ctn Mid-C_042010 2010GRC 2" xfId="13054"/>
    <cellStyle name="_NIM Summary 09GRC_NIM Summary" xfId="13055"/>
    <cellStyle name="_NIM Summary 09GRC_NIM Summary 2" xfId="13056"/>
    <cellStyle name="_NIM Summary 09GRC_NIM Summary 2 2" xfId="13057"/>
    <cellStyle name="_NIM Summary 09GRC_NIM Summary 2 2 2" xfId="13058"/>
    <cellStyle name="_NIM Summary 09GRC_NIM Summary 2 2 2 2" xfId="13059"/>
    <cellStyle name="_NIM Summary 09GRC_NIM Summary 2 2 3" xfId="13060"/>
    <cellStyle name="_NIM Summary 09GRC_NIM Summary 2 2 4" xfId="13061"/>
    <cellStyle name="_NIM Summary 09GRC_NIM Summary 2 3" xfId="13062"/>
    <cellStyle name="_NIM Summary 09GRC_NIM Summary 2 3 2" xfId="13063"/>
    <cellStyle name="_NIM Summary 09GRC_NIM Summary 2 4" xfId="13064"/>
    <cellStyle name="_NIM Summary 09GRC_NIM Summary 3" xfId="13065"/>
    <cellStyle name="_NIM Summary 09GRC_NIM Summary 3 2" xfId="13066"/>
    <cellStyle name="_NIM Summary 09GRC_NIM Summary 3 2 2" xfId="13067"/>
    <cellStyle name="_NIM Summary 09GRC_NIM Summary 3 3" xfId="13068"/>
    <cellStyle name="_NIM Summary 09GRC_NIM Summary 3 4" xfId="13069"/>
    <cellStyle name="_NIM Summary 09GRC_NIM Summary 4" xfId="13070"/>
    <cellStyle name="_NIM Summary 09GRC_NIM Summary 4 2" xfId="13071"/>
    <cellStyle name="_NIM Summary 09GRC_NIM Summary 5" xfId="13072"/>
    <cellStyle name="_NIM Summary 09GRC_NIM Summary_DEM-WP(C) ENERG10C--ctn Mid-C_042010 2010GRC" xfId="13073"/>
    <cellStyle name="_NIM Summary 09GRC_NIM Summary_DEM-WP(C) ENERG10C--ctn Mid-C_042010 2010GRC 2" xfId="13074"/>
    <cellStyle name="_PC DRAFT 10 15 07" xfId="665"/>
    <cellStyle name="_PC DRAFT 10 15 07 2" xfId="13075"/>
    <cellStyle name="_PC DRAFT 10 15 07 2 2" xfId="13076"/>
    <cellStyle name="_PCA 7 - Exhibit D update 9_30_2008" xfId="13077"/>
    <cellStyle name="_PCA 7 - Exhibit D update 9_30_2008 2" xfId="13078"/>
    <cellStyle name="_PCA 7 - Exhibit D update 9_30_2008 2 2" xfId="13079"/>
    <cellStyle name="_PCA 7 - Exhibit D update 9_30_2008 2 2 2" xfId="13080"/>
    <cellStyle name="_PCA 7 - Exhibit D update 9_30_2008 2 2 2 2" xfId="13081"/>
    <cellStyle name="_PCA 7 - Exhibit D update 9_30_2008 2 2 2 2 2" xfId="13082"/>
    <cellStyle name="_PCA 7 - Exhibit D update 9_30_2008 2 2 2 3" xfId="13083"/>
    <cellStyle name="_PCA 7 - Exhibit D update 9_30_2008 2 2 3" xfId="13084"/>
    <cellStyle name="_PCA 7 - Exhibit D update 9_30_2008 2 2 3 2" xfId="13085"/>
    <cellStyle name="_PCA 7 - Exhibit D update 9_30_2008 2 2 4" xfId="13086"/>
    <cellStyle name="_PCA 7 - Exhibit D update 9_30_2008 2 3" xfId="13087"/>
    <cellStyle name="_PCA 7 - Exhibit D update 9_30_2008 2 3 2" xfId="13088"/>
    <cellStyle name="_PCA 7 - Exhibit D update 9_30_2008 2 3 2 2" xfId="13089"/>
    <cellStyle name="_PCA 7 - Exhibit D update 9_30_2008 2 3 3" xfId="13090"/>
    <cellStyle name="_PCA 7 - Exhibit D update 9_30_2008 2 4" xfId="13091"/>
    <cellStyle name="_PCA 7 - Exhibit D update 9_30_2008 2 4 2" xfId="13092"/>
    <cellStyle name="_PCA 7 - Exhibit D update 9_30_2008 2 5" xfId="13093"/>
    <cellStyle name="_PCA 7 - Exhibit D update 9_30_2008 3" xfId="13094"/>
    <cellStyle name="_PCA 7 - Exhibit D update 9_30_2008 3 2" xfId="13095"/>
    <cellStyle name="_PCA 7 - Exhibit D update 9_30_2008 3 2 2" xfId="13096"/>
    <cellStyle name="_PCA 7 - Exhibit D update 9_30_2008 3 2 2 2" xfId="13097"/>
    <cellStyle name="_PCA 7 - Exhibit D update 9_30_2008 3 2 2 2 2" xfId="13098"/>
    <cellStyle name="_PCA 7 - Exhibit D update 9_30_2008 3 2 2 3" xfId="13099"/>
    <cellStyle name="_PCA 7 - Exhibit D update 9_30_2008 3 2 3" xfId="13100"/>
    <cellStyle name="_PCA 7 - Exhibit D update 9_30_2008 3 2 3 2" xfId="13101"/>
    <cellStyle name="_PCA 7 - Exhibit D update 9_30_2008 3 2 4" xfId="13102"/>
    <cellStyle name="_PCA 7 - Exhibit D update 9_30_2008 3 2 5" xfId="13103"/>
    <cellStyle name="_PCA 7 - Exhibit D update 9_30_2008 3 3" xfId="13104"/>
    <cellStyle name="_PCA 7 - Exhibit D update 9_30_2008 3 3 2" xfId="13105"/>
    <cellStyle name="_PCA 7 - Exhibit D update 9_30_2008 3 3 2 2" xfId="13106"/>
    <cellStyle name="_PCA 7 - Exhibit D update 9_30_2008 3 3 3" xfId="13107"/>
    <cellStyle name="_PCA 7 - Exhibit D update 9_30_2008 3 4" xfId="13108"/>
    <cellStyle name="_PCA 7 - Exhibit D update 9_30_2008 3 4 2" xfId="13109"/>
    <cellStyle name="_PCA 7 - Exhibit D update 9_30_2008 3 5" xfId="13110"/>
    <cellStyle name="_PCA 7 - Exhibit D update 9_30_2008 4" xfId="13111"/>
    <cellStyle name="_PCA 7 - Exhibit D update 9_30_2008 4 2" xfId="13112"/>
    <cellStyle name="_PCA 7 - Exhibit D update 9_30_2008 4 2 2" xfId="13113"/>
    <cellStyle name="_PCA 7 - Exhibit D update 9_30_2008 4 2 2 2" xfId="13114"/>
    <cellStyle name="_PCA 7 - Exhibit D update 9_30_2008 4 2 3" xfId="13115"/>
    <cellStyle name="_PCA 7 - Exhibit D update 9_30_2008 4 3" xfId="13116"/>
    <cellStyle name="_PCA 7 - Exhibit D update 9_30_2008 4 3 2" xfId="13117"/>
    <cellStyle name="_PCA 7 - Exhibit D update 9_30_2008 4 4" xfId="13118"/>
    <cellStyle name="_PCA 7 - Exhibit D update 9_30_2008 5" xfId="13119"/>
    <cellStyle name="_PCA 7 - Exhibit D update 9_30_2008 5 2" xfId="13120"/>
    <cellStyle name="_PCA 7 - Exhibit D update 9_30_2008 5 2 2" xfId="13121"/>
    <cellStyle name="_PCA 7 - Exhibit D update 9_30_2008 5 2 2 2" xfId="13122"/>
    <cellStyle name="_PCA 7 - Exhibit D update 9_30_2008 5 2 3" xfId="13123"/>
    <cellStyle name="_PCA 7 - Exhibit D update 9_30_2008 5 2 4" xfId="13124"/>
    <cellStyle name="_PCA 7 - Exhibit D update 9_30_2008 5 3" xfId="13125"/>
    <cellStyle name="_PCA 7 - Exhibit D update 9_30_2008 5 3 2" xfId="13126"/>
    <cellStyle name="_PCA 7 - Exhibit D update 9_30_2008 5 4" xfId="13127"/>
    <cellStyle name="_PCA 7 - Exhibit D update 9_30_2008 5 5" xfId="13128"/>
    <cellStyle name="_PCA 7 - Exhibit D update 9_30_2008 6" xfId="13129"/>
    <cellStyle name="_PCA 7 - Exhibit D update 9_30_2008 6 2" xfId="13130"/>
    <cellStyle name="_PCA 7 - Exhibit D update 9_30_2008 6 2 2" xfId="13131"/>
    <cellStyle name="_PCA 7 - Exhibit D update 9_30_2008 6 2 2 2" xfId="13132"/>
    <cellStyle name="_PCA 7 - Exhibit D update 9_30_2008 6 2 3" xfId="13133"/>
    <cellStyle name="_PCA 7 - Exhibit D update 9_30_2008 6 2 4" xfId="13134"/>
    <cellStyle name="_PCA 7 - Exhibit D update 9_30_2008 6 3" xfId="13135"/>
    <cellStyle name="_PCA 7 - Exhibit D update 9_30_2008 6 3 2" xfId="13136"/>
    <cellStyle name="_PCA 7 - Exhibit D update 9_30_2008 6 4" xfId="13137"/>
    <cellStyle name="_PCA 7 - Exhibit D update 9_30_2008 6 5" xfId="13138"/>
    <cellStyle name="_PCA 7 - Exhibit D update 9_30_2008 7" xfId="13139"/>
    <cellStyle name="_PCA 7 - Exhibit D update 9_30_2008 7 2" xfId="13140"/>
    <cellStyle name="_PCA 7 - Exhibit D update 9_30_2008 8" xfId="13141"/>
    <cellStyle name="_PCA 7 - Exhibit D update 9_30_2008_Chelan PUD Power Costs (8-10)" xfId="13142"/>
    <cellStyle name="_PCA 7 - Exhibit D update 9_30_2008_Chelan PUD Power Costs (8-10) 2" xfId="13143"/>
    <cellStyle name="_PCA 7 - Exhibit D update 9_30_2008_DEM-WP(C) Chelan Power Costs" xfId="13144"/>
    <cellStyle name="_PCA 7 - Exhibit D update 9_30_2008_DEM-WP(C) Chelan Power Costs 2" xfId="13145"/>
    <cellStyle name="_PCA 7 - Exhibit D update 9_30_2008_DEM-WP(C) Chelan Power Costs 2 2" xfId="13146"/>
    <cellStyle name="_PCA 7 - Exhibit D update 9_30_2008_DEM-WP(C) Chelan Power Costs 2 2 2" xfId="13147"/>
    <cellStyle name="_PCA 7 - Exhibit D update 9_30_2008_DEM-WP(C) Chelan Power Costs 2 3" xfId="13148"/>
    <cellStyle name="_PCA 7 - Exhibit D update 9_30_2008_DEM-WP(C) Chelan Power Costs 2 4" xfId="13149"/>
    <cellStyle name="_PCA 7 - Exhibit D update 9_30_2008_DEM-WP(C) Chelan Power Costs 3" xfId="13150"/>
    <cellStyle name="_PCA 7 - Exhibit D update 9_30_2008_DEM-WP(C) Chelan Power Costs 3 2" xfId="13151"/>
    <cellStyle name="_PCA 7 - Exhibit D update 9_30_2008_DEM-WP(C) Chelan Power Costs 4" xfId="13152"/>
    <cellStyle name="_PCA 7 - Exhibit D update 9_30_2008_DEM-WP(C) ENERG10C--ctn Mid-C_042010 2010GRC" xfId="13153"/>
    <cellStyle name="_PCA 7 - Exhibit D update 9_30_2008_DEM-WP(C) ENERG10C--ctn Mid-C_042010 2010GRC 2" xfId="13154"/>
    <cellStyle name="_PCA 7 - Exhibit D update 9_30_2008_DEM-WP(C) Gas Transport 2010GRC" xfId="13155"/>
    <cellStyle name="_PCA 7 - Exhibit D update 9_30_2008_DEM-WP(C) Gas Transport 2010GRC 2" xfId="13156"/>
    <cellStyle name="_PCA 7 - Exhibit D update 9_30_2008_DEM-WP(C) Gas Transport 2010GRC 2 2" xfId="13157"/>
    <cellStyle name="_PCA 7 - Exhibit D update 9_30_2008_DEM-WP(C) Gas Transport 2010GRC 2 2 2" xfId="13158"/>
    <cellStyle name="_PCA 7 - Exhibit D update 9_30_2008_DEM-WP(C) Gas Transport 2010GRC 2 3" xfId="13159"/>
    <cellStyle name="_PCA 7 - Exhibit D update 9_30_2008_DEM-WP(C) Gas Transport 2010GRC 2 4" xfId="13160"/>
    <cellStyle name="_PCA 7 - Exhibit D update 9_30_2008_DEM-WP(C) Gas Transport 2010GRC 3" xfId="13161"/>
    <cellStyle name="_PCA 7 - Exhibit D update 9_30_2008_DEM-WP(C) Gas Transport 2010GRC 3 2" xfId="13162"/>
    <cellStyle name="_PCA 7 - Exhibit D update 9_30_2008_DEM-WP(C) Gas Transport 2010GRC 4" xfId="13163"/>
    <cellStyle name="_PCA 7 - Exhibit D update 9_30_2008_NIM Summary" xfId="13164"/>
    <cellStyle name="_PCA 7 - Exhibit D update 9_30_2008_NIM Summary 2" xfId="13165"/>
    <cellStyle name="_PCA 7 - Exhibit D update 9_30_2008_NIM Summary 2 2" xfId="13166"/>
    <cellStyle name="_PCA 7 - Exhibit D update 9_30_2008_NIM Summary 2 2 2" xfId="13167"/>
    <cellStyle name="_PCA 7 - Exhibit D update 9_30_2008_NIM Summary 2 2 2 2" xfId="13168"/>
    <cellStyle name="_PCA 7 - Exhibit D update 9_30_2008_NIM Summary 2 2 3" xfId="13169"/>
    <cellStyle name="_PCA 7 - Exhibit D update 9_30_2008_NIM Summary 2 2 4" xfId="13170"/>
    <cellStyle name="_PCA 7 - Exhibit D update 9_30_2008_NIM Summary 2 3" xfId="13171"/>
    <cellStyle name="_PCA 7 - Exhibit D update 9_30_2008_NIM Summary 2 3 2" xfId="13172"/>
    <cellStyle name="_PCA 7 - Exhibit D update 9_30_2008_NIM Summary 2 4" xfId="13173"/>
    <cellStyle name="_PCA 7 - Exhibit D update 9_30_2008_NIM Summary 3" xfId="13174"/>
    <cellStyle name="_PCA 7 - Exhibit D update 9_30_2008_NIM Summary 3 2" xfId="13175"/>
    <cellStyle name="_PCA 7 - Exhibit D update 9_30_2008_NIM Summary 3 2 2" xfId="13176"/>
    <cellStyle name="_PCA 7 - Exhibit D update 9_30_2008_NIM Summary 3 3" xfId="13177"/>
    <cellStyle name="_PCA 7 - Exhibit D update 9_30_2008_NIM Summary 3 4" xfId="13178"/>
    <cellStyle name="_PCA 7 - Exhibit D update 9_30_2008_NIM Summary 4" xfId="13179"/>
    <cellStyle name="_PCA 7 - Exhibit D update 9_30_2008_NIM Summary 4 2" xfId="13180"/>
    <cellStyle name="_PCA 7 - Exhibit D update 9_30_2008_NIM Summary 5" xfId="13181"/>
    <cellStyle name="_PCA 7 - Exhibit D update 9_30_2008_NIM Summary_DEM-WP(C) ENERG10C--ctn Mid-C_042010 2010GRC" xfId="13182"/>
    <cellStyle name="_PCA 7 - Exhibit D update 9_30_2008_NIM Summary_DEM-WP(C) ENERG10C--ctn Mid-C_042010 2010GRC 2" xfId="13183"/>
    <cellStyle name="_PCA 7 - Exhibit D update 9_30_2008_Transmission Workbook for May BOD" xfId="13184"/>
    <cellStyle name="_PCA 7 - Exhibit D update 9_30_2008_Transmission Workbook for May BOD 2" xfId="13185"/>
    <cellStyle name="_PCA 7 - Exhibit D update 9_30_2008_Transmission Workbook for May BOD 2 2" xfId="13186"/>
    <cellStyle name="_PCA 7 - Exhibit D update 9_30_2008_Transmission Workbook for May BOD 2 2 2" xfId="13187"/>
    <cellStyle name="_PCA 7 - Exhibit D update 9_30_2008_Transmission Workbook for May BOD 2 2 2 2" xfId="13188"/>
    <cellStyle name="_PCA 7 - Exhibit D update 9_30_2008_Transmission Workbook for May BOD 2 2 3" xfId="13189"/>
    <cellStyle name="_PCA 7 - Exhibit D update 9_30_2008_Transmission Workbook for May BOD 2 2 4" xfId="13190"/>
    <cellStyle name="_PCA 7 - Exhibit D update 9_30_2008_Transmission Workbook for May BOD 2 3" xfId="13191"/>
    <cellStyle name="_PCA 7 - Exhibit D update 9_30_2008_Transmission Workbook for May BOD 2 3 2" xfId="13192"/>
    <cellStyle name="_PCA 7 - Exhibit D update 9_30_2008_Transmission Workbook for May BOD 2 4" xfId="13193"/>
    <cellStyle name="_PCA 7 - Exhibit D update 9_30_2008_Transmission Workbook for May BOD 3" xfId="13194"/>
    <cellStyle name="_PCA 7 - Exhibit D update 9_30_2008_Transmission Workbook for May BOD 3 2" xfId="13195"/>
    <cellStyle name="_PCA 7 - Exhibit D update 9_30_2008_Transmission Workbook for May BOD 3 2 2" xfId="13196"/>
    <cellStyle name="_PCA 7 - Exhibit D update 9_30_2008_Transmission Workbook for May BOD 3 3" xfId="13197"/>
    <cellStyle name="_PCA 7 - Exhibit D update 9_30_2008_Transmission Workbook for May BOD 3 4" xfId="13198"/>
    <cellStyle name="_PCA 7 - Exhibit D update 9_30_2008_Transmission Workbook for May BOD 4" xfId="13199"/>
    <cellStyle name="_PCA 7 - Exhibit D update 9_30_2008_Transmission Workbook for May BOD 4 2" xfId="13200"/>
    <cellStyle name="_PCA 7 - Exhibit D update 9_30_2008_Transmission Workbook for May BOD 5" xfId="13201"/>
    <cellStyle name="_PCA 7 - Exhibit D update 9_30_2008_Transmission Workbook for May BOD_DEM-WP(C) ENERG10C--ctn Mid-C_042010 2010GRC" xfId="13202"/>
    <cellStyle name="_PCA 7 - Exhibit D update 9_30_2008_Transmission Workbook for May BOD_DEM-WP(C) ENERG10C--ctn Mid-C_042010 2010GRC 2" xfId="13203"/>
    <cellStyle name="_PCA 7 - Exhibit D update 9_30_2008_Wind Integration 10GRC" xfId="13204"/>
    <cellStyle name="_PCA 7 - Exhibit D update 9_30_2008_Wind Integration 10GRC 2" xfId="13205"/>
    <cellStyle name="_PCA 7 - Exhibit D update 9_30_2008_Wind Integration 10GRC 2 2" xfId="13206"/>
    <cellStyle name="_PCA 7 - Exhibit D update 9_30_2008_Wind Integration 10GRC 2 2 2" xfId="13207"/>
    <cellStyle name="_PCA 7 - Exhibit D update 9_30_2008_Wind Integration 10GRC 2 2 2 2" xfId="13208"/>
    <cellStyle name="_PCA 7 - Exhibit D update 9_30_2008_Wind Integration 10GRC 2 2 3" xfId="13209"/>
    <cellStyle name="_PCA 7 - Exhibit D update 9_30_2008_Wind Integration 10GRC 2 2 4" xfId="13210"/>
    <cellStyle name="_PCA 7 - Exhibit D update 9_30_2008_Wind Integration 10GRC 2 3" xfId="13211"/>
    <cellStyle name="_PCA 7 - Exhibit D update 9_30_2008_Wind Integration 10GRC 2 3 2" xfId="13212"/>
    <cellStyle name="_PCA 7 - Exhibit D update 9_30_2008_Wind Integration 10GRC 2 4" xfId="13213"/>
    <cellStyle name="_PCA 7 - Exhibit D update 9_30_2008_Wind Integration 10GRC 3" xfId="13214"/>
    <cellStyle name="_PCA 7 - Exhibit D update 9_30_2008_Wind Integration 10GRC 3 2" xfId="13215"/>
    <cellStyle name="_PCA 7 - Exhibit D update 9_30_2008_Wind Integration 10GRC 3 2 2" xfId="13216"/>
    <cellStyle name="_PCA 7 - Exhibit D update 9_30_2008_Wind Integration 10GRC 3 3" xfId="13217"/>
    <cellStyle name="_PCA 7 - Exhibit D update 9_30_2008_Wind Integration 10GRC 3 4" xfId="13218"/>
    <cellStyle name="_PCA 7 - Exhibit D update 9_30_2008_Wind Integration 10GRC 4" xfId="13219"/>
    <cellStyle name="_PCA 7 - Exhibit D update 9_30_2008_Wind Integration 10GRC 4 2" xfId="13220"/>
    <cellStyle name="_PCA 7 - Exhibit D update 9_30_2008_Wind Integration 10GRC 5" xfId="13221"/>
    <cellStyle name="_PCA 7 - Exhibit D update 9_30_2008_Wind Integration 10GRC_DEM-WP(C) ENERG10C--ctn Mid-C_042010 2010GRC" xfId="13222"/>
    <cellStyle name="_PCA 7 - Exhibit D update 9_30_2008_Wind Integration 10GRC_DEM-WP(C) ENERG10C--ctn Mid-C_042010 2010GRC 2" xfId="13223"/>
    <cellStyle name="_Portfolio SPlan Base Case.xls Chart 1" xfId="666"/>
    <cellStyle name="_Portfolio SPlan Base Case.xls Chart 1 2" xfId="13224"/>
    <cellStyle name="_Portfolio SPlan Base Case.xls Chart 1 2 2" xfId="13225"/>
    <cellStyle name="_Portfolio SPlan Base Case.xls Chart 1 2 2 2" xfId="13226"/>
    <cellStyle name="_Portfolio SPlan Base Case.xls Chart 1 2 2 2 2" xfId="13227"/>
    <cellStyle name="_Portfolio SPlan Base Case.xls Chart 1 2 2 2 2 2" xfId="13228"/>
    <cellStyle name="_Portfolio SPlan Base Case.xls Chart 1 2 2 2 3" xfId="13229"/>
    <cellStyle name="_Portfolio SPlan Base Case.xls Chart 1 2 2 3" xfId="13230"/>
    <cellStyle name="_Portfolio SPlan Base Case.xls Chart 1 2 2 3 2" xfId="13231"/>
    <cellStyle name="_Portfolio SPlan Base Case.xls Chart 1 2 2 4" xfId="13232"/>
    <cellStyle name="_Portfolio SPlan Base Case.xls Chart 1 2 3" xfId="13233"/>
    <cellStyle name="_Portfolio SPlan Base Case.xls Chart 1 2 3 2" xfId="13234"/>
    <cellStyle name="_Portfolio SPlan Base Case.xls Chart 1 2 3 2 2" xfId="13235"/>
    <cellStyle name="_Portfolio SPlan Base Case.xls Chart 1 2 3 3" xfId="13236"/>
    <cellStyle name="_Portfolio SPlan Base Case.xls Chart 1 2 4" xfId="13237"/>
    <cellStyle name="_Portfolio SPlan Base Case.xls Chart 1 2 4 2" xfId="13238"/>
    <cellStyle name="_Portfolio SPlan Base Case.xls Chart 1 2 5" xfId="13239"/>
    <cellStyle name="_Portfolio SPlan Base Case.xls Chart 1 3" xfId="13240"/>
    <cellStyle name="_Portfolio SPlan Base Case.xls Chart 1 3 2" xfId="13241"/>
    <cellStyle name="_Portfolio SPlan Base Case.xls Chart 1 3 2 2" xfId="13242"/>
    <cellStyle name="_Portfolio SPlan Base Case.xls Chart 1 3 2 3" xfId="13243"/>
    <cellStyle name="_Portfolio SPlan Base Case.xls Chart 1 3 3" xfId="13244"/>
    <cellStyle name="_Portfolio SPlan Base Case.xls Chart 1 3 4" xfId="13245"/>
    <cellStyle name="_Portfolio SPlan Base Case.xls Chart 1 4" xfId="13246"/>
    <cellStyle name="_Portfolio SPlan Base Case.xls Chart 1 4 2" xfId="13247"/>
    <cellStyle name="_Portfolio SPlan Base Case.xls Chart 1 4 2 2" xfId="13248"/>
    <cellStyle name="_Portfolio SPlan Base Case.xls Chart 1 4 3" xfId="13249"/>
    <cellStyle name="_Portfolio SPlan Base Case.xls Chart 1 5" xfId="13250"/>
    <cellStyle name="_Portfolio SPlan Base Case.xls Chart 1 5 2" xfId="13251"/>
    <cellStyle name="_Portfolio SPlan Base Case.xls Chart 1 5 3" xfId="13252"/>
    <cellStyle name="_Portfolio SPlan Base Case.xls Chart 1 6" xfId="13253"/>
    <cellStyle name="_Portfolio SPlan Base Case.xls Chart 1 6 2" xfId="13254"/>
    <cellStyle name="_Portfolio SPlan Base Case.xls Chart 1_Adj Bench DR 3 for Initial Briefs (Electric)" xfId="667"/>
    <cellStyle name="_Portfolio SPlan Base Case.xls Chart 1_Adj Bench DR 3 for Initial Briefs (Electric) 2" xfId="13255"/>
    <cellStyle name="_Portfolio SPlan Base Case.xls Chart 1_Adj Bench DR 3 for Initial Briefs (Electric) 2 2" xfId="13256"/>
    <cellStyle name="_Portfolio SPlan Base Case.xls Chart 1_Adj Bench DR 3 for Initial Briefs (Electric) 2 2 2" xfId="13257"/>
    <cellStyle name="_Portfolio SPlan Base Case.xls Chart 1_Adj Bench DR 3 for Initial Briefs (Electric) 2 2 2 2" xfId="13258"/>
    <cellStyle name="_Portfolio SPlan Base Case.xls Chart 1_Adj Bench DR 3 for Initial Briefs (Electric) 2 2 3" xfId="13259"/>
    <cellStyle name="_Portfolio SPlan Base Case.xls Chart 1_Adj Bench DR 3 for Initial Briefs (Electric) 2 2 4" xfId="13260"/>
    <cellStyle name="_Portfolio SPlan Base Case.xls Chart 1_Adj Bench DR 3 for Initial Briefs (Electric) 2 3" xfId="13261"/>
    <cellStyle name="_Portfolio SPlan Base Case.xls Chart 1_Adj Bench DR 3 for Initial Briefs (Electric) 2 3 2" xfId="13262"/>
    <cellStyle name="_Portfolio SPlan Base Case.xls Chart 1_Adj Bench DR 3 for Initial Briefs (Electric) 2 4" xfId="13263"/>
    <cellStyle name="_Portfolio SPlan Base Case.xls Chart 1_Adj Bench DR 3 for Initial Briefs (Electric) 3" xfId="13264"/>
    <cellStyle name="_Portfolio SPlan Base Case.xls Chart 1_Adj Bench DR 3 for Initial Briefs (Electric) 3 2" xfId="13265"/>
    <cellStyle name="_Portfolio SPlan Base Case.xls Chart 1_Adj Bench DR 3 for Initial Briefs (Electric) 3 2 2" xfId="13266"/>
    <cellStyle name="_Portfolio SPlan Base Case.xls Chart 1_Adj Bench DR 3 for Initial Briefs (Electric) 3 3" xfId="13267"/>
    <cellStyle name="_Portfolio SPlan Base Case.xls Chart 1_Adj Bench DR 3 for Initial Briefs (Electric) 3 4" xfId="13268"/>
    <cellStyle name="_Portfolio SPlan Base Case.xls Chart 1_Adj Bench DR 3 for Initial Briefs (Electric) 4" xfId="13269"/>
    <cellStyle name="_Portfolio SPlan Base Case.xls Chart 1_Adj Bench DR 3 for Initial Briefs (Electric) 4 2" xfId="13270"/>
    <cellStyle name="_Portfolio SPlan Base Case.xls Chart 1_Adj Bench DR 3 for Initial Briefs (Electric) 5" xfId="13271"/>
    <cellStyle name="_Portfolio SPlan Base Case.xls Chart 1_Adj Bench DR 3 for Initial Briefs (Electric)_DEM-WP(C) ENERG10C--ctn Mid-C_042010 2010GRC" xfId="13272"/>
    <cellStyle name="_Portfolio SPlan Base Case.xls Chart 1_Adj Bench DR 3 for Initial Briefs (Electric)_DEM-WP(C) ENERG10C--ctn Mid-C_042010 2010GRC 2" xfId="13273"/>
    <cellStyle name="_Portfolio SPlan Base Case.xls Chart 1_Book1" xfId="13274"/>
    <cellStyle name="_Portfolio SPlan Base Case.xls Chart 1_Book1 2" xfId="13275"/>
    <cellStyle name="_Portfolio SPlan Base Case.xls Chart 1_Book2" xfId="668"/>
    <cellStyle name="_Portfolio SPlan Base Case.xls Chart 1_Book2 2" xfId="13276"/>
    <cellStyle name="_Portfolio SPlan Base Case.xls Chart 1_Book2 2 2" xfId="13277"/>
    <cellStyle name="_Portfolio SPlan Base Case.xls Chart 1_Book2 2 2 2" xfId="13278"/>
    <cellStyle name="_Portfolio SPlan Base Case.xls Chart 1_Book2 2 2 2 2" xfId="13279"/>
    <cellStyle name="_Portfolio SPlan Base Case.xls Chart 1_Book2 2 2 3" xfId="13280"/>
    <cellStyle name="_Portfolio SPlan Base Case.xls Chart 1_Book2 2 2 4" xfId="13281"/>
    <cellStyle name="_Portfolio SPlan Base Case.xls Chart 1_Book2 2 3" xfId="13282"/>
    <cellStyle name="_Portfolio SPlan Base Case.xls Chart 1_Book2 2 3 2" xfId="13283"/>
    <cellStyle name="_Portfolio SPlan Base Case.xls Chart 1_Book2 2 4" xfId="13284"/>
    <cellStyle name="_Portfolio SPlan Base Case.xls Chart 1_Book2 3" xfId="13285"/>
    <cellStyle name="_Portfolio SPlan Base Case.xls Chart 1_Book2 3 2" xfId="13286"/>
    <cellStyle name="_Portfolio SPlan Base Case.xls Chart 1_Book2 3 2 2" xfId="13287"/>
    <cellStyle name="_Portfolio SPlan Base Case.xls Chart 1_Book2 3 3" xfId="13288"/>
    <cellStyle name="_Portfolio SPlan Base Case.xls Chart 1_Book2 3 4" xfId="13289"/>
    <cellStyle name="_Portfolio SPlan Base Case.xls Chart 1_Book2 4" xfId="13290"/>
    <cellStyle name="_Portfolio SPlan Base Case.xls Chart 1_Book2 4 2" xfId="13291"/>
    <cellStyle name="_Portfolio SPlan Base Case.xls Chart 1_Book2 5" xfId="13292"/>
    <cellStyle name="_Portfolio SPlan Base Case.xls Chart 1_Book2_Adj Bench DR 3 for Initial Briefs (Electric)" xfId="669"/>
    <cellStyle name="_Portfolio SPlan Base Case.xls Chart 1_Book2_Adj Bench DR 3 for Initial Briefs (Electric) 2" xfId="13293"/>
    <cellStyle name="_Portfolio SPlan Base Case.xls Chart 1_Book2_Adj Bench DR 3 for Initial Briefs (Electric) 2 2" xfId="13294"/>
    <cellStyle name="_Portfolio SPlan Base Case.xls Chart 1_Book2_Adj Bench DR 3 for Initial Briefs (Electric) 2 2 2" xfId="13295"/>
    <cellStyle name="_Portfolio SPlan Base Case.xls Chart 1_Book2_Adj Bench DR 3 for Initial Briefs (Electric) 2 2 2 2" xfId="13296"/>
    <cellStyle name="_Portfolio SPlan Base Case.xls Chart 1_Book2_Adj Bench DR 3 for Initial Briefs (Electric) 2 2 3" xfId="13297"/>
    <cellStyle name="_Portfolio SPlan Base Case.xls Chart 1_Book2_Adj Bench DR 3 for Initial Briefs (Electric) 2 2 4" xfId="13298"/>
    <cellStyle name="_Portfolio SPlan Base Case.xls Chart 1_Book2_Adj Bench DR 3 for Initial Briefs (Electric) 2 3" xfId="13299"/>
    <cellStyle name="_Portfolio SPlan Base Case.xls Chart 1_Book2_Adj Bench DR 3 for Initial Briefs (Electric) 2 3 2" xfId="13300"/>
    <cellStyle name="_Portfolio SPlan Base Case.xls Chart 1_Book2_Adj Bench DR 3 for Initial Briefs (Electric) 2 4" xfId="13301"/>
    <cellStyle name="_Portfolio SPlan Base Case.xls Chart 1_Book2_Adj Bench DR 3 for Initial Briefs (Electric) 3" xfId="13302"/>
    <cellStyle name="_Portfolio SPlan Base Case.xls Chart 1_Book2_Adj Bench DR 3 for Initial Briefs (Electric) 3 2" xfId="13303"/>
    <cellStyle name="_Portfolio SPlan Base Case.xls Chart 1_Book2_Adj Bench DR 3 for Initial Briefs (Electric) 3 2 2" xfId="13304"/>
    <cellStyle name="_Portfolio SPlan Base Case.xls Chart 1_Book2_Adj Bench DR 3 for Initial Briefs (Electric) 3 3" xfId="13305"/>
    <cellStyle name="_Portfolio SPlan Base Case.xls Chart 1_Book2_Adj Bench DR 3 for Initial Briefs (Electric) 3 4" xfId="13306"/>
    <cellStyle name="_Portfolio SPlan Base Case.xls Chart 1_Book2_Adj Bench DR 3 for Initial Briefs (Electric) 4" xfId="13307"/>
    <cellStyle name="_Portfolio SPlan Base Case.xls Chart 1_Book2_Adj Bench DR 3 for Initial Briefs (Electric) 4 2" xfId="13308"/>
    <cellStyle name="_Portfolio SPlan Base Case.xls Chart 1_Book2_Adj Bench DR 3 for Initial Briefs (Electric) 5" xfId="13309"/>
    <cellStyle name="_Portfolio SPlan Base Case.xls Chart 1_Book2_Adj Bench DR 3 for Initial Briefs (Electric)_DEM-WP(C) ENERG10C--ctn Mid-C_042010 2010GRC" xfId="13310"/>
    <cellStyle name="_Portfolio SPlan Base Case.xls Chart 1_Book2_Adj Bench DR 3 for Initial Briefs (Electric)_DEM-WP(C) ENERG10C--ctn Mid-C_042010 2010GRC 2" xfId="13311"/>
    <cellStyle name="_Portfolio SPlan Base Case.xls Chart 1_Book2_DEM-WP(C) ENERG10C--ctn Mid-C_042010 2010GRC" xfId="13312"/>
    <cellStyle name="_Portfolio SPlan Base Case.xls Chart 1_Book2_DEM-WP(C) ENERG10C--ctn Mid-C_042010 2010GRC 2" xfId="13313"/>
    <cellStyle name="_Portfolio SPlan Base Case.xls Chart 1_Book2_Electric Rev Req Model (2009 GRC) Rebuttal" xfId="670"/>
    <cellStyle name="_Portfolio SPlan Base Case.xls Chart 1_Book2_Electric Rev Req Model (2009 GRC) Rebuttal 2" xfId="13314"/>
    <cellStyle name="_Portfolio SPlan Base Case.xls Chart 1_Book2_Electric Rev Req Model (2009 GRC) Rebuttal 2 2" xfId="13315"/>
    <cellStyle name="_Portfolio SPlan Base Case.xls Chart 1_Book2_Electric Rev Req Model (2009 GRC) Rebuttal 2 2 2" xfId="13316"/>
    <cellStyle name="_Portfolio SPlan Base Case.xls Chart 1_Book2_Electric Rev Req Model (2009 GRC) Rebuttal 2 3" xfId="13317"/>
    <cellStyle name="_Portfolio SPlan Base Case.xls Chart 1_Book2_Electric Rev Req Model (2009 GRC) Rebuttal 3" xfId="13318"/>
    <cellStyle name="_Portfolio SPlan Base Case.xls Chart 1_Book2_Electric Rev Req Model (2009 GRC) Rebuttal 3 2" xfId="13319"/>
    <cellStyle name="_Portfolio SPlan Base Case.xls Chart 1_Book2_Electric Rev Req Model (2009 GRC) Rebuttal 4" xfId="13320"/>
    <cellStyle name="_Portfolio SPlan Base Case.xls Chart 1_Book2_Electric Rev Req Model (2009 GRC) Rebuttal REmoval of New  WH Solar AdjustMI" xfId="671"/>
    <cellStyle name="_Portfolio SPlan Base Case.xls Chart 1_Book2_Electric Rev Req Model (2009 GRC) Rebuttal REmoval of New  WH Solar AdjustMI 2" xfId="13321"/>
    <cellStyle name="_Portfolio SPlan Base Case.xls Chart 1_Book2_Electric Rev Req Model (2009 GRC) Rebuttal REmoval of New  WH Solar AdjustMI 2 2" xfId="13322"/>
    <cellStyle name="_Portfolio SPlan Base Case.xls Chart 1_Book2_Electric Rev Req Model (2009 GRC) Rebuttal REmoval of New  WH Solar AdjustMI 2 2 2" xfId="13323"/>
    <cellStyle name="_Portfolio SPlan Base Case.xls Chart 1_Book2_Electric Rev Req Model (2009 GRC) Rebuttal REmoval of New  WH Solar AdjustMI 2 2 2 2" xfId="13324"/>
    <cellStyle name="_Portfolio SPlan Base Case.xls Chart 1_Book2_Electric Rev Req Model (2009 GRC) Rebuttal REmoval of New  WH Solar AdjustMI 2 2 3" xfId="13325"/>
    <cellStyle name="_Portfolio SPlan Base Case.xls Chart 1_Book2_Electric Rev Req Model (2009 GRC) Rebuttal REmoval of New  WH Solar AdjustMI 2 2 4" xfId="13326"/>
    <cellStyle name="_Portfolio SPlan Base Case.xls Chart 1_Book2_Electric Rev Req Model (2009 GRC) Rebuttal REmoval of New  WH Solar AdjustMI 2 3" xfId="13327"/>
    <cellStyle name="_Portfolio SPlan Base Case.xls Chart 1_Book2_Electric Rev Req Model (2009 GRC) Rebuttal REmoval of New  WH Solar AdjustMI 2 3 2" xfId="13328"/>
    <cellStyle name="_Portfolio SPlan Base Case.xls Chart 1_Book2_Electric Rev Req Model (2009 GRC) Rebuttal REmoval of New  WH Solar AdjustMI 2 4" xfId="13329"/>
    <cellStyle name="_Portfolio SPlan Base Case.xls Chart 1_Book2_Electric Rev Req Model (2009 GRC) Rebuttal REmoval of New  WH Solar AdjustMI 3" xfId="13330"/>
    <cellStyle name="_Portfolio SPlan Base Case.xls Chart 1_Book2_Electric Rev Req Model (2009 GRC) Rebuttal REmoval of New  WH Solar AdjustMI 3 2" xfId="13331"/>
    <cellStyle name="_Portfolio SPlan Base Case.xls Chart 1_Book2_Electric Rev Req Model (2009 GRC) Rebuttal REmoval of New  WH Solar AdjustMI 3 2 2" xfId="13332"/>
    <cellStyle name="_Portfolio SPlan Base Case.xls Chart 1_Book2_Electric Rev Req Model (2009 GRC) Rebuttal REmoval of New  WH Solar AdjustMI 3 3" xfId="13333"/>
    <cellStyle name="_Portfolio SPlan Base Case.xls Chart 1_Book2_Electric Rev Req Model (2009 GRC) Rebuttal REmoval of New  WH Solar AdjustMI 3 4" xfId="13334"/>
    <cellStyle name="_Portfolio SPlan Base Case.xls Chart 1_Book2_Electric Rev Req Model (2009 GRC) Rebuttal REmoval of New  WH Solar AdjustMI 4" xfId="13335"/>
    <cellStyle name="_Portfolio SPlan Base Case.xls Chart 1_Book2_Electric Rev Req Model (2009 GRC) Rebuttal REmoval of New  WH Solar AdjustMI 4 2" xfId="13336"/>
    <cellStyle name="_Portfolio SPlan Base Case.xls Chart 1_Book2_Electric Rev Req Model (2009 GRC) Rebuttal REmoval of New  WH Solar AdjustMI 5" xfId="13337"/>
    <cellStyle name="_Portfolio SPlan Base Case.xls Chart 1_Book2_Electric Rev Req Model (2009 GRC) Rebuttal REmoval of New  WH Solar AdjustMI_DEM-WP(C) ENERG10C--ctn Mid-C_042010 2010GRC" xfId="13338"/>
    <cellStyle name="_Portfolio SPlan Base Case.xls Chart 1_Book2_Electric Rev Req Model (2009 GRC) Rebuttal REmoval of New  WH Solar AdjustMI_DEM-WP(C) ENERG10C--ctn Mid-C_042010 2010GRC 2" xfId="13339"/>
    <cellStyle name="_Portfolio SPlan Base Case.xls Chart 1_Book2_Electric Rev Req Model (2009 GRC) Revised 01-18-2010" xfId="672"/>
    <cellStyle name="_Portfolio SPlan Base Case.xls Chart 1_Book2_Electric Rev Req Model (2009 GRC) Revised 01-18-2010 2" xfId="13340"/>
    <cellStyle name="_Portfolio SPlan Base Case.xls Chart 1_Book2_Electric Rev Req Model (2009 GRC) Revised 01-18-2010 2 2" xfId="13341"/>
    <cellStyle name="_Portfolio SPlan Base Case.xls Chart 1_Book2_Electric Rev Req Model (2009 GRC) Revised 01-18-2010 2 2 2" xfId="13342"/>
    <cellStyle name="_Portfolio SPlan Base Case.xls Chart 1_Book2_Electric Rev Req Model (2009 GRC) Revised 01-18-2010 2 2 2 2" xfId="13343"/>
    <cellStyle name="_Portfolio SPlan Base Case.xls Chart 1_Book2_Electric Rev Req Model (2009 GRC) Revised 01-18-2010 2 2 3" xfId="13344"/>
    <cellStyle name="_Portfolio SPlan Base Case.xls Chart 1_Book2_Electric Rev Req Model (2009 GRC) Revised 01-18-2010 2 2 4" xfId="13345"/>
    <cellStyle name="_Portfolio SPlan Base Case.xls Chart 1_Book2_Electric Rev Req Model (2009 GRC) Revised 01-18-2010 2 3" xfId="13346"/>
    <cellStyle name="_Portfolio SPlan Base Case.xls Chart 1_Book2_Electric Rev Req Model (2009 GRC) Revised 01-18-2010 2 3 2" xfId="13347"/>
    <cellStyle name="_Portfolio SPlan Base Case.xls Chart 1_Book2_Electric Rev Req Model (2009 GRC) Revised 01-18-2010 2 4" xfId="13348"/>
    <cellStyle name="_Portfolio SPlan Base Case.xls Chart 1_Book2_Electric Rev Req Model (2009 GRC) Revised 01-18-2010 3" xfId="13349"/>
    <cellStyle name="_Portfolio SPlan Base Case.xls Chart 1_Book2_Electric Rev Req Model (2009 GRC) Revised 01-18-2010 3 2" xfId="13350"/>
    <cellStyle name="_Portfolio SPlan Base Case.xls Chart 1_Book2_Electric Rev Req Model (2009 GRC) Revised 01-18-2010 3 2 2" xfId="13351"/>
    <cellStyle name="_Portfolio SPlan Base Case.xls Chart 1_Book2_Electric Rev Req Model (2009 GRC) Revised 01-18-2010 3 3" xfId="13352"/>
    <cellStyle name="_Portfolio SPlan Base Case.xls Chart 1_Book2_Electric Rev Req Model (2009 GRC) Revised 01-18-2010 3 4" xfId="13353"/>
    <cellStyle name="_Portfolio SPlan Base Case.xls Chart 1_Book2_Electric Rev Req Model (2009 GRC) Revised 01-18-2010 4" xfId="13354"/>
    <cellStyle name="_Portfolio SPlan Base Case.xls Chart 1_Book2_Electric Rev Req Model (2009 GRC) Revised 01-18-2010 4 2" xfId="13355"/>
    <cellStyle name="_Portfolio SPlan Base Case.xls Chart 1_Book2_Electric Rev Req Model (2009 GRC) Revised 01-18-2010 5" xfId="13356"/>
    <cellStyle name="_Portfolio SPlan Base Case.xls Chart 1_Book2_Electric Rev Req Model (2009 GRC) Revised 01-18-2010_DEM-WP(C) ENERG10C--ctn Mid-C_042010 2010GRC" xfId="13357"/>
    <cellStyle name="_Portfolio SPlan Base Case.xls Chart 1_Book2_Electric Rev Req Model (2009 GRC) Revised 01-18-2010_DEM-WP(C) ENERG10C--ctn Mid-C_042010 2010GRC 2" xfId="13358"/>
    <cellStyle name="_Portfolio SPlan Base Case.xls Chart 1_Book2_Final Order Electric EXHIBIT A-1" xfId="673"/>
    <cellStyle name="_Portfolio SPlan Base Case.xls Chart 1_Book2_Final Order Electric EXHIBIT A-1 2" xfId="13359"/>
    <cellStyle name="_Portfolio SPlan Base Case.xls Chart 1_Book2_Final Order Electric EXHIBIT A-1 2 2" xfId="13360"/>
    <cellStyle name="_Portfolio SPlan Base Case.xls Chart 1_Book2_Final Order Electric EXHIBIT A-1 2 2 2" xfId="13361"/>
    <cellStyle name="_Portfolio SPlan Base Case.xls Chart 1_Book2_Final Order Electric EXHIBIT A-1 2 3" xfId="13362"/>
    <cellStyle name="_Portfolio SPlan Base Case.xls Chart 1_Book2_Final Order Electric EXHIBIT A-1 2 4" xfId="13363"/>
    <cellStyle name="_Portfolio SPlan Base Case.xls Chart 1_Book2_Final Order Electric EXHIBIT A-1 3" xfId="13364"/>
    <cellStyle name="_Portfolio SPlan Base Case.xls Chart 1_Book2_Final Order Electric EXHIBIT A-1 3 2" xfId="13365"/>
    <cellStyle name="_Portfolio SPlan Base Case.xls Chart 1_Book2_Final Order Electric EXHIBIT A-1 4" xfId="13366"/>
    <cellStyle name="_Portfolio SPlan Base Case.xls Chart 1_Book2_Final Order Electric EXHIBIT A-1 5" xfId="13367"/>
    <cellStyle name="_Portfolio SPlan Base Case.xls Chart 1_Book2_Final Order Electric EXHIBIT A-1 6" xfId="13368"/>
    <cellStyle name="_Portfolio SPlan Base Case.xls Chart 1_Chelan PUD Power Costs (8-10)" xfId="13369"/>
    <cellStyle name="_Portfolio SPlan Base Case.xls Chart 1_Chelan PUD Power Costs (8-10) 2" xfId="13370"/>
    <cellStyle name="_Portfolio SPlan Base Case.xls Chart 1_Colstrip 1&amp;2 Annual O&amp;M Budgets" xfId="13371"/>
    <cellStyle name="_Portfolio SPlan Base Case.xls Chart 1_Confidential Material" xfId="13372"/>
    <cellStyle name="_Portfolio SPlan Base Case.xls Chart 1_Confidential Material 2" xfId="13373"/>
    <cellStyle name="_Portfolio SPlan Base Case.xls Chart 1_DEM-WP(C) Colstrip 12 Coal Cost Forecast 2010GRC" xfId="13374"/>
    <cellStyle name="_Portfolio SPlan Base Case.xls Chart 1_DEM-WP(C) Colstrip 12 Coal Cost Forecast 2010GRC 2" xfId="13375"/>
    <cellStyle name="_Portfolio SPlan Base Case.xls Chart 1_DEM-WP(C) ENERG10C--ctn Mid-C_042010 2010GRC" xfId="13376"/>
    <cellStyle name="_Portfolio SPlan Base Case.xls Chart 1_DEM-WP(C) ENERG10C--ctn Mid-C_042010 2010GRC 2" xfId="13377"/>
    <cellStyle name="_Portfolio SPlan Base Case.xls Chart 1_DEM-WP(C) Production O&amp;M 2010GRC As-Filed" xfId="13378"/>
    <cellStyle name="_Portfolio SPlan Base Case.xls Chart 1_DEM-WP(C) Production O&amp;M 2010GRC As-Filed 2" xfId="13379"/>
    <cellStyle name="_Portfolio SPlan Base Case.xls Chart 1_DEM-WP(C) Production O&amp;M 2010GRC As-Filed 2 2" xfId="13380"/>
    <cellStyle name="_Portfolio SPlan Base Case.xls Chart 1_DEM-WP(C) Production O&amp;M 2010GRC As-Filed 3" xfId="13381"/>
    <cellStyle name="_Portfolio SPlan Base Case.xls Chart 1_DEM-WP(C) Production O&amp;M 2010GRC As-Filed 3 2" xfId="13382"/>
    <cellStyle name="_Portfolio SPlan Base Case.xls Chart 1_DEM-WP(C) Production O&amp;M 2010GRC As-Filed 4" xfId="13383"/>
    <cellStyle name="_Portfolio SPlan Base Case.xls Chart 1_DEM-WP(C) Production O&amp;M 2010GRC As-Filed 4 2" xfId="13384"/>
    <cellStyle name="_Portfolio SPlan Base Case.xls Chart 1_DEM-WP(C) Production O&amp;M 2010GRC As-Filed 5" xfId="13385"/>
    <cellStyle name="_Portfolio SPlan Base Case.xls Chart 1_DEM-WP(C) Production O&amp;M 2010GRC As-Filed 5 2" xfId="13386"/>
    <cellStyle name="_Portfolio SPlan Base Case.xls Chart 1_DEM-WP(C) Production O&amp;M 2010GRC As-Filed 6" xfId="13387"/>
    <cellStyle name="_Portfolio SPlan Base Case.xls Chart 1_DEM-WP(C) Production O&amp;M 2010GRC As-Filed 6 2" xfId="13388"/>
    <cellStyle name="_Portfolio SPlan Base Case.xls Chart 1_Electric Rev Req Model (2009 GRC) " xfId="674"/>
    <cellStyle name="_Portfolio SPlan Base Case.xls Chart 1_Electric Rev Req Model (2009 GRC)  2" xfId="13389"/>
    <cellStyle name="_Portfolio SPlan Base Case.xls Chart 1_Electric Rev Req Model (2009 GRC)  2 2" xfId="13390"/>
    <cellStyle name="_Portfolio SPlan Base Case.xls Chart 1_Electric Rev Req Model (2009 GRC)  2 2 2" xfId="13391"/>
    <cellStyle name="_Portfolio SPlan Base Case.xls Chart 1_Electric Rev Req Model (2009 GRC)  2 2 2 2" xfId="13392"/>
    <cellStyle name="_Portfolio SPlan Base Case.xls Chart 1_Electric Rev Req Model (2009 GRC)  2 2 3" xfId="13393"/>
    <cellStyle name="_Portfolio SPlan Base Case.xls Chart 1_Electric Rev Req Model (2009 GRC)  2 2 4" xfId="13394"/>
    <cellStyle name="_Portfolio SPlan Base Case.xls Chart 1_Electric Rev Req Model (2009 GRC)  2 3" xfId="13395"/>
    <cellStyle name="_Portfolio SPlan Base Case.xls Chart 1_Electric Rev Req Model (2009 GRC)  2 3 2" xfId="13396"/>
    <cellStyle name="_Portfolio SPlan Base Case.xls Chart 1_Electric Rev Req Model (2009 GRC)  2 4" xfId="13397"/>
    <cellStyle name="_Portfolio SPlan Base Case.xls Chart 1_Electric Rev Req Model (2009 GRC)  3" xfId="13398"/>
    <cellStyle name="_Portfolio SPlan Base Case.xls Chart 1_Electric Rev Req Model (2009 GRC)  3 2" xfId="13399"/>
    <cellStyle name="_Portfolio SPlan Base Case.xls Chart 1_Electric Rev Req Model (2009 GRC)  3 2 2" xfId="13400"/>
    <cellStyle name="_Portfolio SPlan Base Case.xls Chart 1_Electric Rev Req Model (2009 GRC)  3 3" xfId="13401"/>
    <cellStyle name="_Portfolio SPlan Base Case.xls Chart 1_Electric Rev Req Model (2009 GRC)  3 4" xfId="13402"/>
    <cellStyle name="_Portfolio SPlan Base Case.xls Chart 1_Electric Rev Req Model (2009 GRC)  4" xfId="13403"/>
    <cellStyle name="_Portfolio SPlan Base Case.xls Chart 1_Electric Rev Req Model (2009 GRC)  4 2" xfId="13404"/>
    <cellStyle name="_Portfolio SPlan Base Case.xls Chart 1_Electric Rev Req Model (2009 GRC)  5" xfId="13405"/>
    <cellStyle name="_Portfolio SPlan Base Case.xls Chart 1_Electric Rev Req Model (2009 GRC) _DEM-WP(C) ENERG10C--ctn Mid-C_042010 2010GRC" xfId="13406"/>
    <cellStyle name="_Portfolio SPlan Base Case.xls Chart 1_Electric Rev Req Model (2009 GRC) _DEM-WP(C) ENERG10C--ctn Mid-C_042010 2010GRC 2" xfId="13407"/>
    <cellStyle name="_Portfolio SPlan Base Case.xls Chart 1_Electric Rev Req Model (2009 GRC) Rebuttal" xfId="675"/>
    <cellStyle name="_Portfolio SPlan Base Case.xls Chart 1_Electric Rev Req Model (2009 GRC) Rebuttal 2" xfId="13408"/>
    <cellStyle name="_Portfolio SPlan Base Case.xls Chart 1_Electric Rev Req Model (2009 GRC) Rebuttal 2 2" xfId="13409"/>
    <cellStyle name="_Portfolio SPlan Base Case.xls Chart 1_Electric Rev Req Model (2009 GRC) Rebuttal 2 2 2" xfId="13410"/>
    <cellStyle name="_Portfolio SPlan Base Case.xls Chart 1_Electric Rev Req Model (2009 GRC) Rebuttal 2 3" xfId="13411"/>
    <cellStyle name="_Portfolio SPlan Base Case.xls Chart 1_Electric Rev Req Model (2009 GRC) Rebuttal 3" xfId="13412"/>
    <cellStyle name="_Portfolio SPlan Base Case.xls Chart 1_Electric Rev Req Model (2009 GRC) Rebuttal 3 2" xfId="13413"/>
    <cellStyle name="_Portfolio SPlan Base Case.xls Chart 1_Electric Rev Req Model (2009 GRC) Rebuttal 4" xfId="13414"/>
    <cellStyle name="_Portfolio SPlan Base Case.xls Chart 1_Electric Rev Req Model (2009 GRC) Rebuttal REmoval of New  WH Solar AdjustMI" xfId="676"/>
    <cellStyle name="_Portfolio SPlan Base Case.xls Chart 1_Electric Rev Req Model (2009 GRC) Rebuttal REmoval of New  WH Solar AdjustMI 2" xfId="13415"/>
    <cellStyle name="_Portfolio SPlan Base Case.xls Chart 1_Electric Rev Req Model (2009 GRC) Rebuttal REmoval of New  WH Solar AdjustMI 2 2" xfId="13416"/>
    <cellStyle name="_Portfolio SPlan Base Case.xls Chart 1_Electric Rev Req Model (2009 GRC) Rebuttal REmoval of New  WH Solar AdjustMI 2 2 2" xfId="13417"/>
    <cellStyle name="_Portfolio SPlan Base Case.xls Chart 1_Electric Rev Req Model (2009 GRC) Rebuttal REmoval of New  WH Solar AdjustMI 2 2 2 2" xfId="13418"/>
    <cellStyle name="_Portfolio SPlan Base Case.xls Chart 1_Electric Rev Req Model (2009 GRC) Rebuttal REmoval of New  WH Solar AdjustMI 2 2 3" xfId="13419"/>
    <cellStyle name="_Portfolio SPlan Base Case.xls Chart 1_Electric Rev Req Model (2009 GRC) Rebuttal REmoval of New  WH Solar AdjustMI 2 2 4" xfId="13420"/>
    <cellStyle name="_Portfolio SPlan Base Case.xls Chart 1_Electric Rev Req Model (2009 GRC) Rebuttal REmoval of New  WH Solar AdjustMI 2 3" xfId="13421"/>
    <cellStyle name="_Portfolio SPlan Base Case.xls Chart 1_Electric Rev Req Model (2009 GRC) Rebuttal REmoval of New  WH Solar AdjustMI 2 3 2" xfId="13422"/>
    <cellStyle name="_Portfolio SPlan Base Case.xls Chart 1_Electric Rev Req Model (2009 GRC) Rebuttal REmoval of New  WH Solar AdjustMI 2 4" xfId="13423"/>
    <cellStyle name="_Portfolio SPlan Base Case.xls Chart 1_Electric Rev Req Model (2009 GRC) Rebuttal REmoval of New  WH Solar AdjustMI 3" xfId="13424"/>
    <cellStyle name="_Portfolio SPlan Base Case.xls Chart 1_Electric Rev Req Model (2009 GRC) Rebuttal REmoval of New  WH Solar AdjustMI 3 2" xfId="13425"/>
    <cellStyle name="_Portfolio SPlan Base Case.xls Chart 1_Electric Rev Req Model (2009 GRC) Rebuttal REmoval of New  WH Solar AdjustMI 3 2 2" xfId="13426"/>
    <cellStyle name="_Portfolio SPlan Base Case.xls Chart 1_Electric Rev Req Model (2009 GRC) Rebuttal REmoval of New  WH Solar AdjustMI 3 3" xfId="13427"/>
    <cellStyle name="_Portfolio SPlan Base Case.xls Chart 1_Electric Rev Req Model (2009 GRC) Rebuttal REmoval of New  WH Solar AdjustMI 3 4" xfId="13428"/>
    <cellStyle name="_Portfolio SPlan Base Case.xls Chart 1_Electric Rev Req Model (2009 GRC) Rebuttal REmoval of New  WH Solar AdjustMI 4" xfId="13429"/>
    <cellStyle name="_Portfolio SPlan Base Case.xls Chart 1_Electric Rev Req Model (2009 GRC) Rebuttal REmoval of New  WH Solar AdjustMI 4 2" xfId="13430"/>
    <cellStyle name="_Portfolio SPlan Base Case.xls Chart 1_Electric Rev Req Model (2009 GRC) Rebuttal REmoval of New  WH Solar AdjustMI 5" xfId="13431"/>
    <cellStyle name="_Portfolio SPlan Base Case.xls Chart 1_Electric Rev Req Model (2009 GRC) Rebuttal REmoval of New  WH Solar AdjustMI_DEM-WP(C) ENERG10C--ctn Mid-C_042010 2010GRC" xfId="13432"/>
    <cellStyle name="_Portfolio SPlan Base Case.xls Chart 1_Electric Rev Req Model (2009 GRC) Rebuttal REmoval of New  WH Solar AdjustMI_DEM-WP(C) ENERG10C--ctn Mid-C_042010 2010GRC 2" xfId="13433"/>
    <cellStyle name="_Portfolio SPlan Base Case.xls Chart 1_Electric Rev Req Model (2009 GRC) Revised 01-18-2010" xfId="677"/>
    <cellStyle name="_Portfolio SPlan Base Case.xls Chart 1_Electric Rev Req Model (2009 GRC) Revised 01-18-2010 2" xfId="13434"/>
    <cellStyle name="_Portfolio SPlan Base Case.xls Chart 1_Electric Rev Req Model (2009 GRC) Revised 01-18-2010 2 2" xfId="13435"/>
    <cellStyle name="_Portfolio SPlan Base Case.xls Chart 1_Electric Rev Req Model (2009 GRC) Revised 01-18-2010 2 2 2" xfId="13436"/>
    <cellStyle name="_Portfolio SPlan Base Case.xls Chart 1_Electric Rev Req Model (2009 GRC) Revised 01-18-2010 2 2 2 2" xfId="13437"/>
    <cellStyle name="_Portfolio SPlan Base Case.xls Chart 1_Electric Rev Req Model (2009 GRC) Revised 01-18-2010 2 2 3" xfId="13438"/>
    <cellStyle name="_Portfolio SPlan Base Case.xls Chart 1_Electric Rev Req Model (2009 GRC) Revised 01-18-2010 2 2 4" xfId="13439"/>
    <cellStyle name="_Portfolio SPlan Base Case.xls Chart 1_Electric Rev Req Model (2009 GRC) Revised 01-18-2010 2 3" xfId="13440"/>
    <cellStyle name="_Portfolio SPlan Base Case.xls Chart 1_Electric Rev Req Model (2009 GRC) Revised 01-18-2010 2 3 2" xfId="13441"/>
    <cellStyle name="_Portfolio SPlan Base Case.xls Chart 1_Electric Rev Req Model (2009 GRC) Revised 01-18-2010 2 4" xfId="13442"/>
    <cellStyle name="_Portfolio SPlan Base Case.xls Chart 1_Electric Rev Req Model (2009 GRC) Revised 01-18-2010 3" xfId="13443"/>
    <cellStyle name="_Portfolio SPlan Base Case.xls Chart 1_Electric Rev Req Model (2009 GRC) Revised 01-18-2010 3 2" xfId="13444"/>
    <cellStyle name="_Portfolio SPlan Base Case.xls Chart 1_Electric Rev Req Model (2009 GRC) Revised 01-18-2010 3 2 2" xfId="13445"/>
    <cellStyle name="_Portfolio SPlan Base Case.xls Chart 1_Electric Rev Req Model (2009 GRC) Revised 01-18-2010 3 3" xfId="13446"/>
    <cellStyle name="_Portfolio SPlan Base Case.xls Chart 1_Electric Rev Req Model (2009 GRC) Revised 01-18-2010 3 4" xfId="13447"/>
    <cellStyle name="_Portfolio SPlan Base Case.xls Chart 1_Electric Rev Req Model (2009 GRC) Revised 01-18-2010 4" xfId="13448"/>
    <cellStyle name="_Portfolio SPlan Base Case.xls Chart 1_Electric Rev Req Model (2009 GRC) Revised 01-18-2010 4 2" xfId="13449"/>
    <cellStyle name="_Portfolio SPlan Base Case.xls Chart 1_Electric Rev Req Model (2009 GRC) Revised 01-18-2010 5" xfId="13450"/>
    <cellStyle name="_Portfolio SPlan Base Case.xls Chart 1_Electric Rev Req Model (2009 GRC) Revised 01-18-2010_DEM-WP(C) ENERG10C--ctn Mid-C_042010 2010GRC" xfId="13451"/>
    <cellStyle name="_Portfolio SPlan Base Case.xls Chart 1_Electric Rev Req Model (2009 GRC) Revised 01-18-2010_DEM-WP(C) ENERG10C--ctn Mid-C_042010 2010GRC 2" xfId="13452"/>
    <cellStyle name="_Portfolio SPlan Base Case.xls Chart 1_Electric Rev Req Model (2010 GRC)" xfId="13453"/>
    <cellStyle name="_Portfolio SPlan Base Case.xls Chart 1_Electric Rev Req Model (2010 GRC) 2" xfId="13454"/>
    <cellStyle name="_Portfolio SPlan Base Case.xls Chart 1_Electric Rev Req Model (2010 GRC) SF" xfId="13455"/>
    <cellStyle name="_Portfolio SPlan Base Case.xls Chart 1_Electric Rev Req Model (2010 GRC) SF 2" xfId="13456"/>
    <cellStyle name="_Portfolio SPlan Base Case.xls Chart 1_Final Order Electric EXHIBIT A-1" xfId="678"/>
    <cellStyle name="_Portfolio SPlan Base Case.xls Chart 1_Final Order Electric EXHIBIT A-1 2" xfId="13457"/>
    <cellStyle name="_Portfolio SPlan Base Case.xls Chart 1_Final Order Electric EXHIBIT A-1 2 2" xfId="13458"/>
    <cellStyle name="_Portfolio SPlan Base Case.xls Chart 1_Final Order Electric EXHIBIT A-1 2 2 2" xfId="13459"/>
    <cellStyle name="_Portfolio SPlan Base Case.xls Chart 1_Final Order Electric EXHIBIT A-1 2 3" xfId="13460"/>
    <cellStyle name="_Portfolio SPlan Base Case.xls Chart 1_Final Order Electric EXHIBIT A-1 2 4" xfId="13461"/>
    <cellStyle name="_Portfolio SPlan Base Case.xls Chart 1_Final Order Electric EXHIBIT A-1 3" xfId="13462"/>
    <cellStyle name="_Portfolio SPlan Base Case.xls Chart 1_Final Order Electric EXHIBIT A-1 3 2" xfId="13463"/>
    <cellStyle name="_Portfolio SPlan Base Case.xls Chart 1_Final Order Electric EXHIBIT A-1 4" xfId="13464"/>
    <cellStyle name="_Portfolio SPlan Base Case.xls Chart 1_Final Order Electric EXHIBIT A-1 5" xfId="13465"/>
    <cellStyle name="_Portfolio SPlan Base Case.xls Chart 1_Final Order Electric EXHIBIT A-1 6" xfId="13466"/>
    <cellStyle name="_Portfolio SPlan Base Case.xls Chart 1_NIM Summary" xfId="13467"/>
    <cellStyle name="_Portfolio SPlan Base Case.xls Chart 1_NIM Summary 2" xfId="13468"/>
    <cellStyle name="_Portfolio SPlan Base Case.xls Chart 1_NIM Summary 2 2" xfId="13469"/>
    <cellStyle name="_Portfolio SPlan Base Case.xls Chart 1_NIM Summary 2 2 2" xfId="13470"/>
    <cellStyle name="_Portfolio SPlan Base Case.xls Chart 1_NIM Summary 2 2 2 2" xfId="13471"/>
    <cellStyle name="_Portfolio SPlan Base Case.xls Chart 1_NIM Summary 2 2 3" xfId="13472"/>
    <cellStyle name="_Portfolio SPlan Base Case.xls Chart 1_NIM Summary 2 2 4" xfId="13473"/>
    <cellStyle name="_Portfolio SPlan Base Case.xls Chart 1_NIM Summary 2 3" xfId="13474"/>
    <cellStyle name="_Portfolio SPlan Base Case.xls Chart 1_NIM Summary 2 3 2" xfId="13475"/>
    <cellStyle name="_Portfolio SPlan Base Case.xls Chart 1_NIM Summary 2 4" xfId="13476"/>
    <cellStyle name="_Portfolio SPlan Base Case.xls Chart 1_NIM Summary 3" xfId="13477"/>
    <cellStyle name="_Portfolio SPlan Base Case.xls Chart 1_NIM Summary 3 2" xfId="13478"/>
    <cellStyle name="_Portfolio SPlan Base Case.xls Chart 1_NIM Summary 3 2 2" xfId="13479"/>
    <cellStyle name="_Portfolio SPlan Base Case.xls Chart 1_NIM Summary 3 3" xfId="13480"/>
    <cellStyle name="_Portfolio SPlan Base Case.xls Chart 1_NIM Summary 3 4" xfId="13481"/>
    <cellStyle name="_Portfolio SPlan Base Case.xls Chart 1_NIM Summary 4" xfId="13482"/>
    <cellStyle name="_Portfolio SPlan Base Case.xls Chart 1_NIM Summary 4 2" xfId="13483"/>
    <cellStyle name="_Portfolio SPlan Base Case.xls Chart 1_NIM Summary 5" xfId="13484"/>
    <cellStyle name="_Portfolio SPlan Base Case.xls Chart 1_NIM Summary_DEM-WP(C) ENERG10C--ctn Mid-C_042010 2010GRC" xfId="13485"/>
    <cellStyle name="_Portfolio SPlan Base Case.xls Chart 1_NIM Summary_DEM-WP(C) ENERG10C--ctn Mid-C_042010 2010GRC 2" xfId="13486"/>
    <cellStyle name="_Portfolio SPlan Base Case.xls Chart 1_Rebuttal Power Costs" xfId="679"/>
    <cellStyle name="_Portfolio SPlan Base Case.xls Chart 1_Rebuttal Power Costs 2" xfId="13487"/>
    <cellStyle name="_Portfolio SPlan Base Case.xls Chart 1_Rebuttal Power Costs 2 2" xfId="13488"/>
    <cellStyle name="_Portfolio SPlan Base Case.xls Chart 1_Rebuttal Power Costs 2 2 2" xfId="13489"/>
    <cellStyle name="_Portfolio SPlan Base Case.xls Chart 1_Rebuttal Power Costs 2 2 2 2" xfId="13490"/>
    <cellStyle name="_Portfolio SPlan Base Case.xls Chart 1_Rebuttal Power Costs 2 2 3" xfId="13491"/>
    <cellStyle name="_Portfolio SPlan Base Case.xls Chart 1_Rebuttal Power Costs 2 2 4" xfId="13492"/>
    <cellStyle name="_Portfolio SPlan Base Case.xls Chart 1_Rebuttal Power Costs 2 3" xfId="13493"/>
    <cellStyle name="_Portfolio SPlan Base Case.xls Chart 1_Rebuttal Power Costs 2 3 2" xfId="13494"/>
    <cellStyle name="_Portfolio SPlan Base Case.xls Chart 1_Rebuttal Power Costs 2 4" xfId="13495"/>
    <cellStyle name="_Portfolio SPlan Base Case.xls Chart 1_Rebuttal Power Costs 3" xfId="13496"/>
    <cellStyle name="_Portfolio SPlan Base Case.xls Chart 1_Rebuttal Power Costs 3 2" xfId="13497"/>
    <cellStyle name="_Portfolio SPlan Base Case.xls Chart 1_Rebuttal Power Costs 3 2 2" xfId="13498"/>
    <cellStyle name="_Portfolio SPlan Base Case.xls Chart 1_Rebuttal Power Costs 3 3" xfId="13499"/>
    <cellStyle name="_Portfolio SPlan Base Case.xls Chart 1_Rebuttal Power Costs 3 4" xfId="13500"/>
    <cellStyle name="_Portfolio SPlan Base Case.xls Chart 1_Rebuttal Power Costs 4" xfId="13501"/>
    <cellStyle name="_Portfolio SPlan Base Case.xls Chart 1_Rebuttal Power Costs 4 2" xfId="13502"/>
    <cellStyle name="_Portfolio SPlan Base Case.xls Chart 1_Rebuttal Power Costs 5" xfId="13503"/>
    <cellStyle name="_Portfolio SPlan Base Case.xls Chart 1_Rebuttal Power Costs_Adj Bench DR 3 for Initial Briefs (Electric)" xfId="680"/>
    <cellStyle name="_Portfolio SPlan Base Case.xls Chart 1_Rebuttal Power Costs_Adj Bench DR 3 for Initial Briefs (Electric) 2" xfId="13504"/>
    <cellStyle name="_Portfolio SPlan Base Case.xls Chart 1_Rebuttal Power Costs_Adj Bench DR 3 for Initial Briefs (Electric) 2 2" xfId="13505"/>
    <cellStyle name="_Portfolio SPlan Base Case.xls Chart 1_Rebuttal Power Costs_Adj Bench DR 3 for Initial Briefs (Electric) 2 2 2" xfId="13506"/>
    <cellStyle name="_Portfolio SPlan Base Case.xls Chart 1_Rebuttal Power Costs_Adj Bench DR 3 for Initial Briefs (Electric) 2 2 2 2" xfId="13507"/>
    <cellStyle name="_Portfolio SPlan Base Case.xls Chart 1_Rebuttal Power Costs_Adj Bench DR 3 for Initial Briefs (Electric) 2 2 3" xfId="13508"/>
    <cellStyle name="_Portfolio SPlan Base Case.xls Chart 1_Rebuttal Power Costs_Adj Bench DR 3 for Initial Briefs (Electric) 2 2 4" xfId="13509"/>
    <cellStyle name="_Portfolio SPlan Base Case.xls Chart 1_Rebuttal Power Costs_Adj Bench DR 3 for Initial Briefs (Electric) 2 3" xfId="13510"/>
    <cellStyle name="_Portfolio SPlan Base Case.xls Chart 1_Rebuttal Power Costs_Adj Bench DR 3 for Initial Briefs (Electric) 2 3 2" xfId="13511"/>
    <cellStyle name="_Portfolio SPlan Base Case.xls Chart 1_Rebuttal Power Costs_Adj Bench DR 3 for Initial Briefs (Electric) 2 4" xfId="13512"/>
    <cellStyle name="_Portfolio SPlan Base Case.xls Chart 1_Rebuttal Power Costs_Adj Bench DR 3 for Initial Briefs (Electric) 3" xfId="13513"/>
    <cellStyle name="_Portfolio SPlan Base Case.xls Chart 1_Rebuttal Power Costs_Adj Bench DR 3 for Initial Briefs (Electric) 3 2" xfId="13514"/>
    <cellStyle name="_Portfolio SPlan Base Case.xls Chart 1_Rebuttal Power Costs_Adj Bench DR 3 for Initial Briefs (Electric) 3 2 2" xfId="13515"/>
    <cellStyle name="_Portfolio SPlan Base Case.xls Chart 1_Rebuttal Power Costs_Adj Bench DR 3 for Initial Briefs (Electric) 3 3" xfId="13516"/>
    <cellStyle name="_Portfolio SPlan Base Case.xls Chart 1_Rebuttal Power Costs_Adj Bench DR 3 for Initial Briefs (Electric) 3 4" xfId="13517"/>
    <cellStyle name="_Portfolio SPlan Base Case.xls Chart 1_Rebuttal Power Costs_Adj Bench DR 3 for Initial Briefs (Electric) 4" xfId="13518"/>
    <cellStyle name="_Portfolio SPlan Base Case.xls Chart 1_Rebuttal Power Costs_Adj Bench DR 3 for Initial Briefs (Electric) 4 2" xfId="13519"/>
    <cellStyle name="_Portfolio SPlan Base Case.xls Chart 1_Rebuttal Power Costs_Adj Bench DR 3 for Initial Briefs (Electric) 5" xfId="13520"/>
    <cellStyle name="_Portfolio SPlan Base Case.xls Chart 1_Rebuttal Power Costs_Adj Bench DR 3 for Initial Briefs (Electric)_DEM-WP(C) ENERG10C--ctn Mid-C_042010 2010GRC" xfId="13521"/>
    <cellStyle name="_Portfolio SPlan Base Case.xls Chart 1_Rebuttal Power Costs_Adj Bench DR 3 for Initial Briefs (Electric)_DEM-WP(C) ENERG10C--ctn Mid-C_042010 2010GRC 2" xfId="13522"/>
    <cellStyle name="_Portfolio SPlan Base Case.xls Chart 1_Rebuttal Power Costs_DEM-WP(C) ENERG10C--ctn Mid-C_042010 2010GRC" xfId="13523"/>
    <cellStyle name="_Portfolio SPlan Base Case.xls Chart 1_Rebuttal Power Costs_DEM-WP(C) ENERG10C--ctn Mid-C_042010 2010GRC 2" xfId="13524"/>
    <cellStyle name="_Portfolio SPlan Base Case.xls Chart 1_Rebuttal Power Costs_Electric Rev Req Model (2009 GRC) Rebuttal" xfId="681"/>
    <cellStyle name="_Portfolio SPlan Base Case.xls Chart 1_Rebuttal Power Costs_Electric Rev Req Model (2009 GRC) Rebuttal 2" xfId="13525"/>
    <cellStyle name="_Portfolio SPlan Base Case.xls Chart 1_Rebuttal Power Costs_Electric Rev Req Model (2009 GRC) Rebuttal 2 2" xfId="13526"/>
    <cellStyle name="_Portfolio SPlan Base Case.xls Chart 1_Rebuttal Power Costs_Electric Rev Req Model (2009 GRC) Rebuttal 2 2 2" xfId="13527"/>
    <cellStyle name="_Portfolio SPlan Base Case.xls Chart 1_Rebuttal Power Costs_Electric Rev Req Model (2009 GRC) Rebuttal 2 3" xfId="13528"/>
    <cellStyle name="_Portfolio SPlan Base Case.xls Chart 1_Rebuttal Power Costs_Electric Rev Req Model (2009 GRC) Rebuttal 3" xfId="13529"/>
    <cellStyle name="_Portfolio SPlan Base Case.xls Chart 1_Rebuttal Power Costs_Electric Rev Req Model (2009 GRC) Rebuttal 3 2" xfId="13530"/>
    <cellStyle name="_Portfolio SPlan Base Case.xls Chart 1_Rebuttal Power Costs_Electric Rev Req Model (2009 GRC) Rebuttal 4" xfId="13531"/>
    <cellStyle name="_Portfolio SPlan Base Case.xls Chart 1_Rebuttal Power Costs_Electric Rev Req Model (2009 GRC) Rebuttal REmoval of New  WH Solar AdjustMI" xfId="682"/>
    <cellStyle name="_Portfolio SPlan Base Case.xls Chart 1_Rebuttal Power Costs_Electric Rev Req Model (2009 GRC) Rebuttal REmoval of New  WH Solar AdjustMI 2" xfId="13532"/>
    <cellStyle name="_Portfolio SPlan Base Case.xls Chart 1_Rebuttal Power Costs_Electric Rev Req Model (2009 GRC) Rebuttal REmoval of New  WH Solar AdjustMI 2 2" xfId="13533"/>
    <cellStyle name="_Portfolio SPlan Base Case.xls Chart 1_Rebuttal Power Costs_Electric Rev Req Model (2009 GRC) Rebuttal REmoval of New  WH Solar AdjustMI 2 2 2" xfId="13534"/>
    <cellStyle name="_Portfolio SPlan Base Case.xls Chart 1_Rebuttal Power Costs_Electric Rev Req Model (2009 GRC) Rebuttal REmoval of New  WH Solar AdjustMI 2 2 2 2" xfId="13535"/>
    <cellStyle name="_Portfolio SPlan Base Case.xls Chart 1_Rebuttal Power Costs_Electric Rev Req Model (2009 GRC) Rebuttal REmoval of New  WH Solar AdjustMI 2 2 3" xfId="13536"/>
    <cellStyle name="_Portfolio SPlan Base Case.xls Chart 1_Rebuttal Power Costs_Electric Rev Req Model (2009 GRC) Rebuttal REmoval of New  WH Solar AdjustMI 2 2 4" xfId="13537"/>
    <cellStyle name="_Portfolio SPlan Base Case.xls Chart 1_Rebuttal Power Costs_Electric Rev Req Model (2009 GRC) Rebuttal REmoval of New  WH Solar AdjustMI 2 3" xfId="13538"/>
    <cellStyle name="_Portfolio SPlan Base Case.xls Chart 1_Rebuttal Power Costs_Electric Rev Req Model (2009 GRC) Rebuttal REmoval of New  WH Solar AdjustMI 2 3 2" xfId="13539"/>
    <cellStyle name="_Portfolio SPlan Base Case.xls Chart 1_Rebuttal Power Costs_Electric Rev Req Model (2009 GRC) Rebuttal REmoval of New  WH Solar AdjustMI 2 4" xfId="13540"/>
    <cellStyle name="_Portfolio SPlan Base Case.xls Chart 1_Rebuttal Power Costs_Electric Rev Req Model (2009 GRC) Rebuttal REmoval of New  WH Solar AdjustMI 3" xfId="13541"/>
    <cellStyle name="_Portfolio SPlan Base Case.xls Chart 1_Rebuttal Power Costs_Electric Rev Req Model (2009 GRC) Rebuttal REmoval of New  WH Solar AdjustMI 3 2" xfId="13542"/>
    <cellStyle name="_Portfolio SPlan Base Case.xls Chart 1_Rebuttal Power Costs_Electric Rev Req Model (2009 GRC) Rebuttal REmoval of New  WH Solar AdjustMI 3 2 2" xfId="13543"/>
    <cellStyle name="_Portfolio SPlan Base Case.xls Chart 1_Rebuttal Power Costs_Electric Rev Req Model (2009 GRC) Rebuttal REmoval of New  WH Solar AdjustMI 3 3" xfId="13544"/>
    <cellStyle name="_Portfolio SPlan Base Case.xls Chart 1_Rebuttal Power Costs_Electric Rev Req Model (2009 GRC) Rebuttal REmoval of New  WH Solar AdjustMI 3 4" xfId="13545"/>
    <cellStyle name="_Portfolio SPlan Base Case.xls Chart 1_Rebuttal Power Costs_Electric Rev Req Model (2009 GRC) Rebuttal REmoval of New  WH Solar AdjustMI 4" xfId="13546"/>
    <cellStyle name="_Portfolio SPlan Base Case.xls Chart 1_Rebuttal Power Costs_Electric Rev Req Model (2009 GRC) Rebuttal REmoval of New  WH Solar AdjustMI 4 2" xfId="13547"/>
    <cellStyle name="_Portfolio SPlan Base Case.xls Chart 1_Rebuttal Power Costs_Electric Rev Req Model (2009 GRC) Rebuttal REmoval of New  WH Solar AdjustMI 5" xfId="13548"/>
    <cellStyle name="_Portfolio SPlan Base Case.xls Chart 1_Rebuttal Power Costs_Electric Rev Req Model (2009 GRC) Rebuttal REmoval of New  WH Solar AdjustMI_DEM-WP(C) ENERG10C--ctn Mid-C_042010 2010GRC" xfId="13549"/>
    <cellStyle name="_Portfolio SPlan Base Case.xls Chart 1_Rebuttal Power Costs_Electric Rev Req Model (2009 GRC) Rebuttal REmoval of New  WH Solar AdjustMI_DEM-WP(C) ENERG10C--ctn Mid-C_042010 2010GRC 2" xfId="13550"/>
    <cellStyle name="_Portfolio SPlan Base Case.xls Chart 1_Rebuttal Power Costs_Electric Rev Req Model (2009 GRC) Revised 01-18-2010" xfId="683"/>
    <cellStyle name="_Portfolio SPlan Base Case.xls Chart 1_Rebuttal Power Costs_Electric Rev Req Model (2009 GRC) Revised 01-18-2010 2" xfId="13551"/>
    <cellStyle name="_Portfolio SPlan Base Case.xls Chart 1_Rebuttal Power Costs_Electric Rev Req Model (2009 GRC) Revised 01-18-2010 2 2" xfId="13552"/>
    <cellStyle name="_Portfolio SPlan Base Case.xls Chart 1_Rebuttal Power Costs_Electric Rev Req Model (2009 GRC) Revised 01-18-2010 2 2 2" xfId="13553"/>
    <cellStyle name="_Portfolio SPlan Base Case.xls Chart 1_Rebuttal Power Costs_Electric Rev Req Model (2009 GRC) Revised 01-18-2010 2 2 2 2" xfId="13554"/>
    <cellStyle name="_Portfolio SPlan Base Case.xls Chart 1_Rebuttal Power Costs_Electric Rev Req Model (2009 GRC) Revised 01-18-2010 2 2 3" xfId="13555"/>
    <cellStyle name="_Portfolio SPlan Base Case.xls Chart 1_Rebuttal Power Costs_Electric Rev Req Model (2009 GRC) Revised 01-18-2010 2 2 4" xfId="13556"/>
    <cellStyle name="_Portfolio SPlan Base Case.xls Chart 1_Rebuttal Power Costs_Electric Rev Req Model (2009 GRC) Revised 01-18-2010 2 3" xfId="13557"/>
    <cellStyle name="_Portfolio SPlan Base Case.xls Chart 1_Rebuttal Power Costs_Electric Rev Req Model (2009 GRC) Revised 01-18-2010 2 3 2" xfId="13558"/>
    <cellStyle name="_Portfolio SPlan Base Case.xls Chart 1_Rebuttal Power Costs_Electric Rev Req Model (2009 GRC) Revised 01-18-2010 2 4" xfId="13559"/>
    <cellStyle name="_Portfolio SPlan Base Case.xls Chart 1_Rebuttal Power Costs_Electric Rev Req Model (2009 GRC) Revised 01-18-2010 3" xfId="13560"/>
    <cellStyle name="_Portfolio SPlan Base Case.xls Chart 1_Rebuttal Power Costs_Electric Rev Req Model (2009 GRC) Revised 01-18-2010 3 2" xfId="13561"/>
    <cellStyle name="_Portfolio SPlan Base Case.xls Chart 1_Rebuttal Power Costs_Electric Rev Req Model (2009 GRC) Revised 01-18-2010 3 2 2" xfId="13562"/>
    <cellStyle name="_Portfolio SPlan Base Case.xls Chart 1_Rebuttal Power Costs_Electric Rev Req Model (2009 GRC) Revised 01-18-2010 3 3" xfId="13563"/>
    <cellStyle name="_Portfolio SPlan Base Case.xls Chart 1_Rebuttal Power Costs_Electric Rev Req Model (2009 GRC) Revised 01-18-2010 3 4" xfId="13564"/>
    <cellStyle name="_Portfolio SPlan Base Case.xls Chart 1_Rebuttal Power Costs_Electric Rev Req Model (2009 GRC) Revised 01-18-2010 4" xfId="13565"/>
    <cellStyle name="_Portfolio SPlan Base Case.xls Chart 1_Rebuttal Power Costs_Electric Rev Req Model (2009 GRC) Revised 01-18-2010 4 2" xfId="13566"/>
    <cellStyle name="_Portfolio SPlan Base Case.xls Chart 1_Rebuttal Power Costs_Electric Rev Req Model (2009 GRC) Revised 01-18-2010 5" xfId="13567"/>
    <cellStyle name="_Portfolio SPlan Base Case.xls Chart 1_Rebuttal Power Costs_Electric Rev Req Model (2009 GRC) Revised 01-18-2010_DEM-WP(C) ENERG10C--ctn Mid-C_042010 2010GRC" xfId="13568"/>
    <cellStyle name="_Portfolio SPlan Base Case.xls Chart 1_Rebuttal Power Costs_Electric Rev Req Model (2009 GRC) Revised 01-18-2010_DEM-WP(C) ENERG10C--ctn Mid-C_042010 2010GRC 2" xfId="13569"/>
    <cellStyle name="_Portfolio SPlan Base Case.xls Chart 1_Rebuttal Power Costs_Final Order Electric EXHIBIT A-1" xfId="684"/>
    <cellStyle name="_Portfolio SPlan Base Case.xls Chart 1_Rebuttal Power Costs_Final Order Electric EXHIBIT A-1 2" xfId="13570"/>
    <cellStyle name="_Portfolio SPlan Base Case.xls Chart 1_Rebuttal Power Costs_Final Order Electric EXHIBIT A-1 2 2" xfId="13571"/>
    <cellStyle name="_Portfolio SPlan Base Case.xls Chart 1_Rebuttal Power Costs_Final Order Electric EXHIBIT A-1 2 2 2" xfId="13572"/>
    <cellStyle name="_Portfolio SPlan Base Case.xls Chart 1_Rebuttal Power Costs_Final Order Electric EXHIBIT A-1 2 3" xfId="13573"/>
    <cellStyle name="_Portfolio SPlan Base Case.xls Chart 1_Rebuttal Power Costs_Final Order Electric EXHIBIT A-1 2 4" xfId="13574"/>
    <cellStyle name="_Portfolio SPlan Base Case.xls Chart 1_Rebuttal Power Costs_Final Order Electric EXHIBIT A-1 3" xfId="13575"/>
    <cellStyle name="_Portfolio SPlan Base Case.xls Chart 1_Rebuttal Power Costs_Final Order Electric EXHIBIT A-1 3 2" xfId="13576"/>
    <cellStyle name="_Portfolio SPlan Base Case.xls Chart 1_Rebuttal Power Costs_Final Order Electric EXHIBIT A-1 4" xfId="13577"/>
    <cellStyle name="_Portfolio SPlan Base Case.xls Chart 1_Rebuttal Power Costs_Final Order Electric EXHIBIT A-1 5" xfId="13578"/>
    <cellStyle name="_Portfolio SPlan Base Case.xls Chart 1_Rebuttal Power Costs_Final Order Electric EXHIBIT A-1 6" xfId="13579"/>
    <cellStyle name="_Portfolio SPlan Base Case.xls Chart 1_TENASKA REGULATORY ASSET" xfId="685"/>
    <cellStyle name="_Portfolio SPlan Base Case.xls Chart 1_TENASKA REGULATORY ASSET 2" xfId="13580"/>
    <cellStyle name="_Portfolio SPlan Base Case.xls Chart 1_TENASKA REGULATORY ASSET 2 2" xfId="13581"/>
    <cellStyle name="_Portfolio SPlan Base Case.xls Chart 1_TENASKA REGULATORY ASSET 2 2 2" xfId="13582"/>
    <cellStyle name="_Portfolio SPlan Base Case.xls Chart 1_TENASKA REGULATORY ASSET 2 3" xfId="13583"/>
    <cellStyle name="_Portfolio SPlan Base Case.xls Chart 1_TENASKA REGULATORY ASSET 2 4" xfId="13584"/>
    <cellStyle name="_Portfolio SPlan Base Case.xls Chart 1_TENASKA REGULATORY ASSET 3" xfId="13585"/>
    <cellStyle name="_Portfolio SPlan Base Case.xls Chart 1_TENASKA REGULATORY ASSET 3 2" xfId="13586"/>
    <cellStyle name="_Portfolio SPlan Base Case.xls Chart 1_TENASKA REGULATORY ASSET 4" xfId="13587"/>
    <cellStyle name="_Portfolio SPlan Base Case.xls Chart 1_TENASKA REGULATORY ASSET 5" xfId="13588"/>
    <cellStyle name="_Portfolio SPlan Base Case.xls Chart 1_TENASKA REGULATORY ASSET 6" xfId="13589"/>
    <cellStyle name="_Portfolio SPlan Base Case.xls Chart 2" xfId="686"/>
    <cellStyle name="_Portfolio SPlan Base Case.xls Chart 2 2" xfId="13590"/>
    <cellStyle name="_Portfolio SPlan Base Case.xls Chart 2 2 2" xfId="13591"/>
    <cellStyle name="_Portfolio SPlan Base Case.xls Chart 2 2 2 2" xfId="13592"/>
    <cellStyle name="_Portfolio SPlan Base Case.xls Chart 2 2 2 2 2" xfId="13593"/>
    <cellStyle name="_Portfolio SPlan Base Case.xls Chart 2 2 2 2 2 2" xfId="13594"/>
    <cellStyle name="_Portfolio SPlan Base Case.xls Chart 2 2 2 2 3" xfId="13595"/>
    <cellStyle name="_Portfolio SPlan Base Case.xls Chart 2 2 2 3" xfId="13596"/>
    <cellStyle name="_Portfolio SPlan Base Case.xls Chart 2 2 2 3 2" xfId="13597"/>
    <cellStyle name="_Portfolio SPlan Base Case.xls Chart 2 2 2 4" xfId="13598"/>
    <cellStyle name="_Portfolio SPlan Base Case.xls Chart 2 2 3" xfId="13599"/>
    <cellStyle name="_Portfolio SPlan Base Case.xls Chart 2 2 3 2" xfId="13600"/>
    <cellStyle name="_Portfolio SPlan Base Case.xls Chart 2 2 3 2 2" xfId="13601"/>
    <cellStyle name="_Portfolio SPlan Base Case.xls Chart 2 2 3 3" xfId="13602"/>
    <cellStyle name="_Portfolio SPlan Base Case.xls Chart 2 2 4" xfId="13603"/>
    <cellStyle name="_Portfolio SPlan Base Case.xls Chart 2 2 4 2" xfId="13604"/>
    <cellStyle name="_Portfolio SPlan Base Case.xls Chart 2 2 5" xfId="13605"/>
    <cellStyle name="_Portfolio SPlan Base Case.xls Chart 2 3" xfId="13606"/>
    <cellStyle name="_Portfolio SPlan Base Case.xls Chart 2 3 2" xfId="13607"/>
    <cellStyle name="_Portfolio SPlan Base Case.xls Chart 2 3 2 2" xfId="13608"/>
    <cellStyle name="_Portfolio SPlan Base Case.xls Chart 2 3 2 3" xfId="13609"/>
    <cellStyle name="_Portfolio SPlan Base Case.xls Chart 2 3 3" xfId="13610"/>
    <cellStyle name="_Portfolio SPlan Base Case.xls Chart 2 3 4" xfId="13611"/>
    <cellStyle name="_Portfolio SPlan Base Case.xls Chart 2 4" xfId="13612"/>
    <cellStyle name="_Portfolio SPlan Base Case.xls Chart 2 4 2" xfId="13613"/>
    <cellStyle name="_Portfolio SPlan Base Case.xls Chart 2 4 2 2" xfId="13614"/>
    <cellStyle name="_Portfolio SPlan Base Case.xls Chart 2 4 3" xfId="13615"/>
    <cellStyle name="_Portfolio SPlan Base Case.xls Chart 2 5" xfId="13616"/>
    <cellStyle name="_Portfolio SPlan Base Case.xls Chart 2 5 2" xfId="13617"/>
    <cellStyle name="_Portfolio SPlan Base Case.xls Chart 2 5 3" xfId="13618"/>
    <cellStyle name="_Portfolio SPlan Base Case.xls Chart 2 6" xfId="13619"/>
    <cellStyle name="_Portfolio SPlan Base Case.xls Chart 2 6 2" xfId="13620"/>
    <cellStyle name="_Portfolio SPlan Base Case.xls Chart 2_Adj Bench DR 3 for Initial Briefs (Electric)" xfId="687"/>
    <cellStyle name="_Portfolio SPlan Base Case.xls Chart 2_Adj Bench DR 3 for Initial Briefs (Electric) 2" xfId="13621"/>
    <cellStyle name="_Portfolio SPlan Base Case.xls Chart 2_Adj Bench DR 3 for Initial Briefs (Electric) 2 2" xfId="13622"/>
    <cellStyle name="_Portfolio SPlan Base Case.xls Chart 2_Adj Bench DR 3 for Initial Briefs (Electric) 2 2 2" xfId="13623"/>
    <cellStyle name="_Portfolio SPlan Base Case.xls Chart 2_Adj Bench DR 3 for Initial Briefs (Electric) 2 2 2 2" xfId="13624"/>
    <cellStyle name="_Portfolio SPlan Base Case.xls Chart 2_Adj Bench DR 3 for Initial Briefs (Electric) 2 2 3" xfId="13625"/>
    <cellStyle name="_Portfolio SPlan Base Case.xls Chart 2_Adj Bench DR 3 for Initial Briefs (Electric) 2 2 4" xfId="13626"/>
    <cellStyle name="_Portfolio SPlan Base Case.xls Chart 2_Adj Bench DR 3 for Initial Briefs (Electric) 2 3" xfId="13627"/>
    <cellStyle name="_Portfolio SPlan Base Case.xls Chart 2_Adj Bench DR 3 for Initial Briefs (Electric) 2 3 2" xfId="13628"/>
    <cellStyle name="_Portfolio SPlan Base Case.xls Chart 2_Adj Bench DR 3 for Initial Briefs (Electric) 2 4" xfId="13629"/>
    <cellStyle name="_Portfolio SPlan Base Case.xls Chart 2_Adj Bench DR 3 for Initial Briefs (Electric) 3" xfId="13630"/>
    <cellStyle name="_Portfolio SPlan Base Case.xls Chart 2_Adj Bench DR 3 for Initial Briefs (Electric) 3 2" xfId="13631"/>
    <cellStyle name="_Portfolio SPlan Base Case.xls Chart 2_Adj Bench DR 3 for Initial Briefs (Electric) 3 2 2" xfId="13632"/>
    <cellStyle name="_Portfolio SPlan Base Case.xls Chart 2_Adj Bench DR 3 for Initial Briefs (Electric) 3 3" xfId="13633"/>
    <cellStyle name="_Portfolio SPlan Base Case.xls Chart 2_Adj Bench DR 3 for Initial Briefs (Electric) 3 4" xfId="13634"/>
    <cellStyle name="_Portfolio SPlan Base Case.xls Chart 2_Adj Bench DR 3 for Initial Briefs (Electric) 4" xfId="13635"/>
    <cellStyle name="_Portfolio SPlan Base Case.xls Chart 2_Adj Bench DR 3 for Initial Briefs (Electric) 4 2" xfId="13636"/>
    <cellStyle name="_Portfolio SPlan Base Case.xls Chart 2_Adj Bench DR 3 for Initial Briefs (Electric) 5" xfId="13637"/>
    <cellStyle name="_Portfolio SPlan Base Case.xls Chart 2_Adj Bench DR 3 for Initial Briefs (Electric)_DEM-WP(C) ENERG10C--ctn Mid-C_042010 2010GRC" xfId="13638"/>
    <cellStyle name="_Portfolio SPlan Base Case.xls Chart 2_Adj Bench DR 3 for Initial Briefs (Electric)_DEM-WP(C) ENERG10C--ctn Mid-C_042010 2010GRC 2" xfId="13639"/>
    <cellStyle name="_Portfolio SPlan Base Case.xls Chart 2_Book1" xfId="13640"/>
    <cellStyle name="_Portfolio SPlan Base Case.xls Chart 2_Book1 2" xfId="13641"/>
    <cellStyle name="_Portfolio SPlan Base Case.xls Chart 2_Book2" xfId="688"/>
    <cellStyle name="_Portfolio SPlan Base Case.xls Chart 2_Book2 2" xfId="13642"/>
    <cellStyle name="_Portfolio SPlan Base Case.xls Chart 2_Book2 2 2" xfId="13643"/>
    <cellStyle name="_Portfolio SPlan Base Case.xls Chart 2_Book2 2 2 2" xfId="13644"/>
    <cellStyle name="_Portfolio SPlan Base Case.xls Chart 2_Book2 2 2 2 2" xfId="13645"/>
    <cellStyle name="_Portfolio SPlan Base Case.xls Chart 2_Book2 2 2 3" xfId="13646"/>
    <cellStyle name="_Portfolio SPlan Base Case.xls Chart 2_Book2 2 2 4" xfId="13647"/>
    <cellStyle name="_Portfolio SPlan Base Case.xls Chart 2_Book2 2 3" xfId="13648"/>
    <cellStyle name="_Portfolio SPlan Base Case.xls Chart 2_Book2 2 3 2" xfId="13649"/>
    <cellStyle name="_Portfolio SPlan Base Case.xls Chart 2_Book2 2 4" xfId="13650"/>
    <cellStyle name="_Portfolio SPlan Base Case.xls Chart 2_Book2 3" xfId="13651"/>
    <cellStyle name="_Portfolio SPlan Base Case.xls Chart 2_Book2 3 2" xfId="13652"/>
    <cellStyle name="_Portfolio SPlan Base Case.xls Chart 2_Book2 3 2 2" xfId="13653"/>
    <cellStyle name="_Portfolio SPlan Base Case.xls Chart 2_Book2 3 3" xfId="13654"/>
    <cellStyle name="_Portfolio SPlan Base Case.xls Chart 2_Book2 3 4" xfId="13655"/>
    <cellStyle name="_Portfolio SPlan Base Case.xls Chart 2_Book2 4" xfId="13656"/>
    <cellStyle name="_Portfolio SPlan Base Case.xls Chart 2_Book2 4 2" xfId="13657"/>
    <cellStyle name="_Portfolio SPlan Base Case.xls Chart 2_Book2 5" xfId="13658"/>
    <cellStyle name="_Portfolio SPlan Base Case.xls Chart 2_Book2_Adj Bench DR 3 for Initial Briefs (Electric)" xfId="689"/>
    <cellStyle name="_Portfolio SPlan Base Case.xls Chart 2_Book2_Adj Bench DR 3 for Initial Briefs (Electric) 2" xfId="13659"/>
    <cellStyle name="_Portfolio SPlan Base Case.xls Chart 2_Book2_Adj Bench DR 3 for Initial Briefs (Electric) 2 2" xfId="13660"/>
    <cellStyle name="_Portfolio SPlan Base Case.xls Chart 2_Book2_Adj Bench DR 3 for Initial Briefs (Electric) 2 2 2" xfId="13661"/>
    <cellStyle name="_Portfolio SPlan Base Case.xls Chart 2_Book2_Adj Bench DR 3 for Initial Briefs (Electric) 2 2 2 2" xfId="13662"/>
    <cellStyle name="_Portfolio SPlan Base Case.xls Chart 2_Book2_Adj Bench DR 3 for Initial Briefs (Electric) 2 2 3" xfId="13663"/>
    <cellStyle name="_Portfolio SPlan Base Case.xls Chart 2_Book2_Adj Bench DR 3 for Initial Briefs (Electric) 2 2 4" xfId="13664"/>
    <cellStyle name="_Portfolio SPlan Base Case.xls Chart 2_Book2_Adj Bench DR 3 for Initial Briefs (Electric) 2 3" xfId="13665"/>
    <cellStyle name="_Portfolio SPlan Base Case.xls Chart 2_Book2_Adj Bench DR 3 for Initial Briefs (Electric) 2 3 2" xfId="13666"/>
    <cellStyle name="_Portfolio SPlan Base Case.xls Chart 2_Book2_Adj Bench DR 3 for Initial Briefs (Electric) 2 4" xfId="13667"/>
    <cellStyle name="_Portfolio SPlan Base Case.xls Chart 2_Book2_Adj Bench DR 3 for Initial Briefs (Electric) 3" xfId="13668"/>
    <cellStyle name="_Portfolio SPlan Base Case.xls Chart 2_Book2_Adj Bench DR 3 for Initial Briefs (Electric) 3 2" xfId="13669"/>
    <cellStyle name="_Portfolio SPlan Base Case.xls Chart 2_Book2_Adj Bench DR 3 for Initial Briefs (Electric) 3 2 2" xfId="13670"/>
    <cellStyle name="_Portfolio SPlan Base Case.xls Chart 2_Book2_Adj Bench DR 3 for Initial Briefs (Electric) 3 3" xfId="13671"/>
    <cellStyle name="_Portfolio SPlan Base Case.xls Chart 2_Book2_Adj Bench DR 3 for Initial Briefs (Electric) 3 4" xfId="13672"/>
    <cellStyle name="_Portfolio SPlan Base Case.xls Chart 2_Book2_Adj Bench DR 3 for Initial Briefs (Electric) 4" xfId="13673"/>
    <cellStyle name="_Portfolio SPlan Base Case.xls Chart 2_Book2_Adj Bench DR 3 for Initial Briefs (Electric) 4 2" xfId="13674"/>
    <cellStyle name="_Portfolio SPlan Base Case.xls Chart 2_Book2_Adj Bench DR 3 for Initial Briefs (Electric) 5" xfId="13675"/>
    <cellStyle name="_Portfolio SPlan Base Case.xls Chart 2_Book2_Adj Bench DR 3 for Initial Briefs (Electric)_DEM-WP(C) ENERG10C--ctn Mid-C_042010 2010GRC" xfId="13676"/>
    <cellStyle name="_Portfolio SPlan Base Case.xls Chart 2_Book2_Adj Bench DR 3 for Initial Briefs (Electric)_DEM-WP(C) ENERG10C--ctn Mid-C_042010 2010GRC 2" xfId="13677"/>
    <cellStyle name="_Portfolio SPlan Base Case.xls Chart 2_Book2_DEM-WP(C) ENERG10C--ctn Mid-C_042010 2010GRC" xfId="13678"/>
    <cellStyle name="_Portfolio SPlan Base Case.xls Chart 2_Book2_DEM-WP(C) ENERG10C--ctn Mid-C_042010 2010GRC 2" xfId="13679"/>
    <cellStyle name="_Portfolio SPlan Base Case.xls Chart 2_Book2_Electric Rev Req Model (2009 GRC) Rebuttal" xfId="690"/>
    <cellStyle name="_Portfolio SPlan Base Case.xls Chart 2_Book2_Electric Rev Req Model (2009 GRC) Rebuttal 2" xfId="13680"/>
    <cellStyle name="_Portfolio SPlan Base Case.xls Chart 2_Book2_Electric Rev Req Model (2009 GRC) Rebuttal 2 2" xfId="13681"/>
    <cellStyle name="_Portfolio SPlan Base Case.xls Chart 2_Book2_Electric Rev Req Model (2009 GRC) Rebuttal 2 2 2" xfId="13682"/>
    <cellStyle name="_Portfolio SPlan Base Case.xls Chart 2_Book2_Electric Rev Req Model (2009 GRC) Rebuttal 2 3" xfId="13683"/>
    <cellStyle name="_Portfolio SPlan Base Case.xls Chart 2_Book2_Electric Rev Req Model (2009 GRC) Rebuttal 3" xfId="13684"/>
    <cellStyle name="_Portfolio SPlan Base Case.xls Chart 2_Book2_Electric Rev Req Model (2009 GRC) Rebuttal 3 2" xfId="13685"/>
    <cellStyle name="_Portfolio SPlan Base Case.xls Chart 2_Book2_Electric Rev Req Model (2009 GRC) Rebuttal 4" xfId="13686"/>
    <cellStyle name="_Portfolio SPlan Base Case.xls Chart 2_Book2_Electric Rev Req Model (2009 GRC) Rebuttal REmoval of New  WH Solar AdjustMI" xfId="691"/>
    <cellStyle name="_Portfolio SPlan Base Case.xls Chart 2_Book2_Electric Rev Req Model (2009 GRC) Rebuttal REmoval of New  WH Solar AdjustMI 2" xfId="13687"/>
    <cellStyle name="_Portfolio SPlan Base Case.xls Chart 2_Book2_Electric Rev Req Model (2009 GRC) Rebuttal REmoval of New  WH Solar AdjustMI 2 2" xfId="13688"/>
    <cellStyle name="_Portfolio SPlan Base Case.xls Chart 2_Book2_Electric Rev Req Model (2009 GRC) Rebuttal REmoval of New  WH Solar AdjustMI 2 2 2" xfId="13689"/>
    <cellStyle name="_Portfolio SPlan Base Case.xls Chart 2_Book2_Electric Rev Req Model (2009 GRC) Rebuttal REmoval of New  WH Solar AdjustMI 2 2 2 2" xfId="13690"/>
    <cellStyle name="_Portfolio SPlan Base Case.xls Chart 2_Book2_Electric Rev Req Model (2009 GRC) Rebuttal REmoval of New  WH Solar AdjustMI 2 2 3" xfId="13691"/>
    <cellStyle name="_Portfolio SPlan Base Case.xls Chart 2_Book2_Electric Rev Req Model (2009 GRC) Rebuttal REmoval of New  WH Solar AdjustMI 2 2 4" xfId="13692"/>
    <cellStyle name="_Portfolio SPlan Base Case.xls Chart 2_Book2_Electric Rev Req Model (2009 GRC) Rebuttal REmoval of New  WH Solar AdjustMI 2 3" xfId="13693"/>
    <cellStyle name="_Portfolio SPlan Base Case.xls Chart 2_Book2_Electric Rev Req Model (2009 GRC) Rebuttal REmoval of New  WH Solar AdjustMI 2 3 2" xfId="13694"/>
    <cellStyle name="_Portfolio SPlan Base Case.xls Chart 2_Book2_Electric Rev Req Model (2009 GRC) Rebuttal REmoval of New  WH Solar AdjustMI 2 4" xfId="13695"/>
    <cellStyle name="_Portfolio SPlan Base Case.xls Chart 2_Book2_Electric Rev Req Model (2009 GRC) Rebuttal REmoval of New  WH Solar AdjustMI 3" xfId="13696"/>
    <cellStyle name="_Portfolio SPlan Base Case.xls Chart 2_Book2_Electric Rev Req Model (2009 GRC) Rebuttal REmoval of New  WH Solar AdjustMI 3 2" xfId="13697"/>
    <cellStyle name="_Portfolio SPlan Base Case.xls Chart 2_Book2_Electric Rev Req Model (2009 GRC) Rebuttal REmoval of New  WH Solar AdjustMI 3 2 2" xfId="13698"/>
    <cellStyle name="_Portfolio SPlan Base Case.xls Chart 2_Book2_Electric Rev Req Model (2009 GRC) Rebuttal REmoval of New  WH Solar AdjustMI 3 3" xfId="13699"/>
    <cellStyle name="_Portfolio SPlan Base Case.xls Chart 2_Book2_Electric Rev Req Model (2009 GRC) Rebuttal REmoval of New  WH Solar AdjustMI 3 4" xfId="13700"/>
    <cellStyle name="_Portfolio SPlan Base Case.xls Chart 2_Book2_Electric Rev Req Model (2009 GRC) Rebuttal REmoval of New  WH Solar AdjustMI 4" xfId="13701"/>
    <cellStyle name="_Portfolio SPlan Base Case.xls Chart 2_Book2_Electric Rev Req Model (2009 GRC) Rebuttal REmoval of New  WH Solar AdjustMI 4 2" xfId="13702"/>
    <cellStyle name="_Portfolio SPlan Base Case.xls Chart 2_Book2_Electric Rev Req Model (2009 GRC) Rebuttal REmoval of New  WH Solar AdjustMI 5" xfId="13703"/>
    <cellStyle name="_Portfolio SPlan Base Case.xls Chart 2_Book2_Electric Rev Req Model (2009 GRC) Rebuttal REmoval of New  WH Solar AdjustMI_DEM-WP(C) ENERG10C--ctn Mid-C_042010 2010GRC" xfId="13704"/>
    <cellStyle name="_Portfolio SPlan Base Case.xls Chart 2_Book2_Electric Rev Req Model (2009 GRC) Rebuttal REmoval of New  WH Solar AdjustMI_DEM-WP(C) ENERG10C--ctn Mid-C_042010 2010GRC 2" xfId="13705"/>
    <cellStyle name="_Portfolio SPlan Base Case.xls Chart 2_Book2_Electric Rev Req Model (2009 GRC) Revised 01-18-2010" xfId="692"/>
    <cellStyle name="_Portfolio SPlan Base Case.xls Chart 2_Book2_Electric Rev Req Model (2009 GRC) Revised 01-18-2010 2" xfId="13706"/>
    <cellStyle name="_Portfolio SPlan Base Case.xls Chart 2_Book2_Electric Rev Req Model (2009 GRC) Revised 01-18-2010 2 2" xfId="13707"/>
    <cellStyle name="_Portfolio SPlan Base Case.xls Chart 2_Book2_Electric Rev Req Model (2009 GRC) Revised 01-18-2010 2 2 2" xfId="13708"/>
    <cellStyle name="_Portfolio SPlan Base Case.xls Chart 2_Book2_Electric Rev Req Model (2009 GRC) Revised 01-18-2010 2 2 2 2" xfId="13709"/>
    <cellStyle name="_Portfolio SPlan Base Case.xls Chart 2_Book2_Electric Rev Req Model (2009 GRC) Revised 01-18-2010 2 2 3" xfId="13710"/>
    <cellStyle name="_Portfolio SPlan Base Case.xls Chart 2_Book2_Electric Rev Req Model (2009 GRC) Revised 01-18-2010 2 2 4" xfId="13711"/>
    <cellStyle name="_Portfolio SPlan Base Case.xls Chart 2_Book2_Electric Rev Req Model (2009 GRC) Revised 01-18-2010 2 3" xfId="13712"/>
    <cellStyle name="_Portfolio SPlan Base Case.xls Chart 2_Book2_Electric Rev Req Model (2009 GRC) Revised 01-18-2010 2 3 2" xfId="13713"/>
    <cellStyle name="_Portfolio SPlan Base Case.xls Chart 2_Book2_Electric Rev Req Model (2009 GRC) Revised 01-18-2010 2 4" xfId="13714"/>
    <cellStyle name="_Portfolio SPlan Base Case.xls Chart 2_Book2_Electric Rev Req Model (2009 GRC) Revised 01-18-2010 3" xfId="13715"/>
    <cellStyle name="_Portfolio SPlan Base Case.xls Chart 2_Book2_Electric Rev Req Model (2009 GRC) Revised 01-18-2010 3 2" xfId="13716"/>
    <cellStyle name="_Portfolio SPlan Base Case.xls Chart 2_Book2_Electric Rev Req Model (2009 GRC) Revised 01-18-2010 3 2 2" xfId="13717"/>
    <cellStyle name="_Portfolio SPlan Base Case.xls Chart 2_Book2_Electric Rev Req Model (2009 GRC) Revised 01-18-2010 3 3" xfId="13718"/>
    <cellStyle name="_Portfolio SPlan Base Case.xls Chart 2_Book2_Electric Rev Req Model (2009 GRC) Revised 01-18-2010 3 4" xfId="13719"/>
    <cellStyle name="_Portfolio SPlan Base Case.xls Chart 2_Book2_Electric Rev Req Model (2009 GRC) Revised 01-18-2010 4" xfId="13720"/>
    <cellStyle name="_Portfolio SPlan Base Case.xls Chart 2_Book2_Electric Rev Req Model (2009 GRC) Revised 01-18-2010 4 2" xfId="13721"/>
    <cellStyle name="_Portfolio SPlan Base Case.xls Chart 2_Book2_Electric Rev Req Model (2009 GRC) Revised 01-18-2010 5" xfId="13722"/>
    <cellStyle name="_Portfolio SPlan Base Case.xls Chart 2_Book2_Electric Rev Req Model (2009 GRC) Revised 01-18-2010_DEM-WP(C) ENERG10C--ctn Mid-C_042010 2010GRC" xfId="13723"/>
    <cellStyle name="_Portfolio SPlan Base Case.xls Chart 2_Book2_Electric Rev Req Model (2009 GRC) Revised 01-18-2010_DEM-WP(C) ENERG10C--ctn Mid-C_042010 2010GRC 2" xfId="13724"/>
    <cellStyle name="_Portfolio SPlan Base Case.xls Chart 2_Book2_Final Order Electric EXHIBIT A-1" xfId="693"/>
    <cellStyle name="_Portfolio SPlan Base Case.xls Chart 2_Book2_Final Order Electric EXHIBIT A-1 2" xfId="13725"/>
    <cellStyle name="_Portfolio SPlan Base Case.xls Chart 2_Book2_Final Order Electric EXHIBIT A-1 2 2" xfId="13726"/>
    <cellStyle name="_Portfolio SPlan Base Case.xls Chart 2_Book2_Final Order Electric EXHIBIT A-1 2 2 2" xfId="13727"/>
    <cellStyle name="_Portfolio SPlan Base Case.xls Chart 2_Book2_Final Order Electric EXHIBIT A-1 2 3" xfId="13728"/>
    <cellStyle name="_Portfolio SPlan Base Case.xls Chart 2_Book2_Final Order Electric EXHIBIT A-1 2 4" xfId="13729"/>
    <cellStyle name="_Portfolio SPlan Base Case.xls Chart 2_Book2_Final Order Electric EXHIBIT A-1 3" xfId="13730"/>
    <cellStyle name="_Portfolio SPlan Base Case.xls Chart 2_Book2_Final Order Electric EXHIBIT A-1 3 2" xfId="13731"/>
    <cellStyle name="_Portfolio SPlan Base Case.xls Chart 2_Book2_Final Order Electric EXHIBIT A-1 4" xfId="13732"/>
    <cellStyle name="_Portfolio SPlan Base Case.xls Chart 2_Book2_Final Order Electric EXHIBIT A-1 5" xfId="13733"/>
    <cellStyle name="_Portfolio SPlan Base Case.xls Chart 2_Book2_Final Order Electric EXHIBIT A-1 6" xfId="13734"/>
    <cellStyle name="_Portfolio SPlan Base Case.xls Chart 2_Chelan PUD Power Costs (8-10)" xfId="13735"/>
    <cellStyle name="_Portfolio SPlan Base Case.xls Chart 2_Chelan PUD Power Costs (8-10) 2" xfId="13736"/>
    <cellStyle name="_Portfolio SPlan Base Case.xls Chart 2_Colstrip 1&amp;2 Annual O&amp;M Budgets" xfId="13737"/>
    <cellStyle name="_Portfolio SPlan Base Case.xls Chart 2_Confidential Material" xfId="13738"/>
    <cellStyle name="_Portfolio SPlan Base Case.xls Chart 2_Confidential Material 2" xfId="13739"/>
    <cellStyle name="_Portfolio SPlan Base Case.xls Chart 2_DEM-WP(C) Colstrip 12 Coal Cost Forecast 2010GRC" xfId="13740"/>
    <cellStyle name="_Portfolio SPlan Base Case.xls Chart 2_DEM-WP(C) Colstrip 12 Coal Cost Forecast 2010GRC 2" xfId="13741"/>
    <cellStyle name="_Portfolio SPlan Base Case.xls Chart 2_DEM-WP(C) ENERG10C--ctn Mid-C_042010 2010GRC" xfId="13742"/>
    <cellStyle name="_Portfolio SPlan Base Case.xls Chart 2_DEM-WP(C) ENERG10C--ctn Mid-C_042010 2010GRC 2" xfId="13743"/>
    <cellStyle name="_Portfolio SPlan Base Case.xls Chart 2_DEM-WP(C) Production O&amp;M 2010GRC As-Filed" xfId="13744"/>
    <cellStyle name="_Portfolio SPlan Base Case.xls Chart 2_DEM-WP(C) Production O&amp;M 2010GRC As-Filed 2" xfId="13745"/>
    <cellStyle name="_Portfolio SPlan Base Case.xls Chart 2_DEM-WP(C) Production O&amp;M 2010GRC As-Filed 2 2" xfId="13746"/>
    <cellStyle name="_Portfolio SPlan Base Case.xls Chart 2_DEM-WP(C) Production O&amp;M 2010GRC As-Filed 3" xfId="13747"/>
    <cellStyle name="_Portfolio SPlan Base Case.xls Chart 2_DEM-WP(C) Production O&amp;M 2010GRC As-Filed 3 2" xfId="13748"/>
    <cellStyle name="_Portfolio SPlan Base Case.xls Chart 2_DEM-WP(C) Production O&amp;M 2010GRC As-Filed 4" xfId="13749"/>
    <cellStyle name="_Portfolio SPlan Base Case.xls Chart 2_DEM-WP(C) Production O&amp;M 2010GRC As-Filed 4 2" xfId="13750"/>
    <cellStyle name="_Portfolio SPlan Base Case.xls Chart 2_DEM-WP(C) Production O&amp;M 2010GRC As-Filed 5" xfId="13751"/>
    <cellStyle name="_Portfolio SPlan Base Case.xls Chart 2_DEM-WP(C) Production O&amp;M 2010GRC As-Filed 5 2" xfId="13752"/>
    <cellStyle name="_Portfolio SPlan Base Case.xls Chart 2_DEM-WP(C) Production O&amp;M 2010GRC As-Filed 6" xfId="13753"/>
    <cellStyle name="_Portfolio SPlan Base Case.xls Chart 2_DEM-WP(C) Production O&amp;M 2010GRC As-Filed 6 2" xfId="13754"/>
    <cellStyle name="_Portfolio SPlan Base Case.xls Chart 2_Electric Rev Req Model (2009 GRC) " xfId="694"/>
    <cellStyle name="_Portfolio SPlan Base Case.xls Chart 2_Electric Rev Req Model (2009 GRC)  2" xfId="13755"/>
    <cellStyle name="_Portfolio SPlan Base Case.xls Chart 2_Electric Rev Req Model (2009 GRC)  2 2" xfId="13756"/>
    <cellStyle name="_Portfolio SPlan Base Case.xls Chart 2_Electric Rev Req Model (2009 GRC)  2 2 2" xfId="13757"/>
    <cellStyle name="_Portfolio SPlan Base Case.xls Chart 2_Electric Rev Req Model (2009 GRC)  2 2 2 2" xfId="13758"/>
    <cellStyle name="_Portfolio SPlan Base Case.xls Chart 2_Electric Rev Req Model (2009 GRC)  2 2 3" xfId="13759"/>
    <cellStyle name="_Portfolio SPlan Base Case.xls Chart 2_Electric Rev Req Model (2009 GRC)  2 2 4" xfId="13760"/>
    <cellStyle name="_Portfolio SPlan Base Case.xls Chart 2_Electric Rev Req Model (2009 GRC)  2 3" xfId="13761"/>
    <cellStyle name="_Portfolio SPlan Base Case.xls Chart 2_Electric Rev Req Model (2009 GRC)  2 3 2" xfId="13762"/>
    <cellStyle name="_Portfolio SPlan Base Case.xls Chart 2_Electric Rev Req Model (2009 GRC)  2 4" xfId="13763"/>
    <cellStyle name="_Portfolio SPlan Base Case.xls Chart 2_Electric Rev Req Model (2009 GRC)  3" xfId="13764"/>
    <cellStyle name="_Portfolio SPlan Base Case.xls Chart 2_Electric Rev Req Model (2009 GRC)  3 2" xfId="13765"/>
    <cellStyle name="_Portfolio SPlan Base Case.xls Chart 2_Electric Rev Req Model (2009 GRC)  3 2 2" xfId="13766"/>
    <cellStyle name="_Portfolio SPlan Base Case.xls Chart 2_Electric Rev Req Model (2009 GRC)  3 3" xfId="13767"/>
    <cellStyle name="_Portfolio SPlan Base Case.xls Chart 2_Electric Rev Req Model (2009 GRC)  3 4" xfId="13768"/>
    <cellStyle name="_Portfolio SPlan Base Case.xls Chart 2_Electric Rev Req Model (2009 GRC)  4" xfId="13769"/>
    <cellStyle name="_Portfolio SPlan Base Case.xls Chart 2_Electric Rev Req Model (2009 GRC)  4 2" xfId="13770"/>
    <cellStyle name="_Portfolio SPlan Base Case.xls Chart 2_Electric Rev Req Model (2009 GRC)  5" xfId="13771"/>
    <cellStyle name="_Portfolio SPlan Base Case.xls Chart 2_Electric Rev Req Model (2009 GRC) _DEM-WP(C) ENERG10C--ctn Mid-C_042010 2010GRC" xfId="13772"/>
    <cellStyle name="_Portfolio SPlan Base Case.xls Chart 2_Electric Rev Req Model (2009 GRC) _DEM-WP(C) ENERG10C--ctn Mid-C_042010 2010GRC 2" xfId="13773"/>
    <cellStyle name="_Portfolio SPlan Base Case.xls Chart 2_Electric Rev Req Model (2009 GRC) Rebuttal" xfId="695"/>
    <cellStyle name="_Portfolio SPlan Base Case.xls Chart 2_Electric Rev Req Model (2009 GRC) Rebuttal 2" xfId="13774"/>
    <cellStyle name="_Portfolio SPlan Base Case.xls Chart 2_Electric Rev Req Model (2009 GRC) Rebuttal 2 2" xfId="13775"/>
    <cellStyle name="_Portfolio SPlan Base Case.xls Chart 2_Electric Rev Req Model (2009 GRC) Rebuttal 2 2 2" xfId="13776"/>
    <cellStyle name="_Portfolio SPlan Base Case.xls Chart 2_Electric Rev Req Model (2009 GRC) Rebuttal 2 3" xfId="13777"/>
    <cellStyle name="_Portfolio SPlan Base Case.xls Chart 2_Electric Rev Req Model (2009 GRC) Rebuttal 3" xfId="13778"/>
    <cellStyle name="_Portfolio SPlan Base Case.xls Chart 2_Electric Rev Req Model (2009 GRC) Rebuttal 3 2" xfId="13779"/>
    <cellStyle name="_Portfolio SPlan Base Case.xls Chart 2_Electric Rev Req Model (2009 GRC) Rebuttal 4" xfId="13780"/>
    <cellStyle name="_Portfolio SPlan Base Case.xls Chart 2_Electric Rev Req Model (2009 GRC) Rebuttal REmoval of New  WH Solar AdjustMI" xfId="696"/>
    <cellStyle name="_Portfolio SPlan Base Case.xls Chart 2_Electric Rev Req Model (2009 GRC) Rebuttal REmoval of New  WH Solar AdjustMI 2" xfId="13781"/>
    <cellStyle name="_Portfolio SPlan Base Case.xls Chart 2_Electric Rev Req Model (2009 GRC) Rebuttal REmoval of New  WH Solar AdjustMI 2 2" xfId="13782"/>
    <cellStyle name="_Portfolio SPlan Base Case.xls Chart 2_Electric Rev Req Model (2009 GRC) Rebuttal REmoval of New  WH Solar AdjustMI 2 2 2" xfId="13783"/>
    <cellStyle name="_Portfolio SPlan Base Case.xls Chart 2_Electric Rev Req Model (2009 GRC) Rebuttal REmoval of New  WH Solar AdjustMI 2 2 2 2" xfId="13784"/>
    <cellStyle name="_Portfolio SPlan Base Case.xls Chart 2_Electric Rev Req Model (2009 GRC) Rebuttal REmoval of New  WH Solar AdjustMI 2 2 3" xfId="13785"/>
    <cellStyle name="_Portfolio SPlan Base Case.xls Chart 2_Electric Rev Req Model (2009 GRC) Rebuttal REmoval of New  WH Solar AdjustMI 2 2 4" xfId="13786"/>
    <cellStyle name="_Portfolio SPlan Base Case.xls Chart 2_Electric Rev Req Model (2009 GRC) Rebuttal REmoval of New  WH Solar AdjustMI 2 3" xfId="13787"/>
    <cellStyle name="_Portfolio SPlan Base Case.xls Chart 2_Electric Rev Req Model (2009 GRC) Rebuttal REmoval of New  WH Solar AdjustMI 2 3 2" xfId="13788"/>
    <cellStyle name="_Portfolio SPlan Base Case.xls Chart 2_Electric Rev Req Model (2009 GRC) Rebuttal REmoval of New  WH Solar AdjustMI 2 4" xfId="13789"/>
    <cellStyle name="_Portfolio SPlan Base Case.xls Chart 2_Electric Rev Req Model (2009 GRC) Rebuttal REmoval of New  WH Solar AdjustMI 3" xfId="13790"/>
    <cellStyle name="_Portfolio SPlan Base Case.xls Chart 2_Electric Rev Req Model (2009 GRC) Rebuttal REmoval of New  WH Solar AdjustMI 3 2" xfId="13791"/>
    <cellStyle name="_Portfolio SPlan Base Case.xls Chart 2_Electric Rev Req Model (2009 GRC) Rebuttal REmoval of New  WH Solar AdjustMI 3 2 2" xfId="13792"/>
    <cellStyle name="_Portfolio SPlan Base Case.xls Chart 2_Electric Rev Req Model (2009 GRC) Rebuttal REmoval of New  WH Solar AdjustMI 3 3" xfId="13793"/>
    <cellStyle name="_Portfolio SPlan Base Case.xls Chart 2_Electric Rev Req Model (2009 GRC) Rebuttal REmoval of New  WH Solar AdjustMI 3 4" xfId="13794"/>
    <cellStyle name="_Portfolio SPlan Base Case.xls Chart 2_Electric Rev Req Model (2009 GRC) Rebuttal REmoval of New  WH Solar AdjustMI 4" xfId="13795"/>
    <cellStyle name="_Portfolio SPlan Base Case.xls Chart 2_Electric Rev Req Model (2009 GRC) Rebuttal REmoval of New  WH Solar AdjustMI 4 2" xfId="13796"/>
    <cellStyle name="_Portfolio SPlan Base Case.xls Chart 2_Electric Rev Req Model (2009 GRC) Rebuttal REmoval of New  WH Solar AdjustMI 5" xfId="13797"/>
    <cellStyle name="_Portfolio SPlan Base Case.xls Chart 2_Electric Rev Req Model (2009 GRC) Rebuttal REmoval of New  WH Solar AdjustMI_DEM-WP(C) ENERG10C--ctn Mid-C_042010 2010GRC" xfId="13798"/>
    <cellStyle name="_Portfolio SPlan Base Case.xls Chart 2_Electric Rev Req Model (2009 GRC) Rebuttal REmoval of New  WH Solar AdjustMI_DEM-WP(C) ENERG10C--ctn Mid-C_042010 2010GRC 2" xfId="13799"/>
    <cellStyle name="_Portfolio SPlan Base Case.xls Chart 2_Electric Rev Req Model (2009 GRC) Revised 01-18-2010" xfId="697"/>
    <cellStyle name="_Portfolio SPlan Base Case.xls Chart 2_Electric Rev Req Model (2009 GRC) Revised 01-18-2010 2" xfId="13800"/>
    <cellStyle name="_Portfolio SPlan Base Case.xls Chart 2_Electric Rev Req Model (2009 GRC) Revised 01-18-2010 2 2" xfId="13801"/>
    <cellStyle name="_Portfolio SPlan Base Case.xls Chart 2_Electric Rev Req Model (2009 GRC) Revised 01-18-2010 2 2 2" xfId="13802"/>
    <cellStyle name="_Portfolio SPlan Base Case.xls Chart 2_Electric Rev Req Model (2009 GRC) Revised 01-18-2010 2 2 2 2" xfId="13803"/>
    <cellStyle name="_Portfolio SPlan Base Case.xls Chart 2_Electric Rev Req Model (2009 GRC) Revised 01-18-2010 2 2 3" xfId="13804"/>
    <cellStyle name="_Portfolio SPlan Base Case.xls Chart 2_Electric Rev Req Model (2009 GRC) Revised 01-18-2010 2 2 4" xfId="13805"/>
    <cellStyle name="_Portfolio SPlan Base Case.xls Chart 2_Electric Rev Req Model (2009 GRC) Revised 01-18-2010 2 3" xfId="13806"/>
    <cellStyle name="_Portfolio SPlan Base Case.xls Chart 2_Electric Rev Req Model (2009 GRC) Revised 01-18-2010 2 3 2" xfId="13807"/>
    <cellStyle name="_Portfolio SPlan Base Case.xls Chart 2_Electric Rev Req Model (2009 GRC) Revised 01-18-2010 2 4" xfId="13808"/>
    <cellStyle name="_Portfolio SPlan Base Case.xls Chart 2_Electric Rev Req Model (2009 GRC) Revised 01-18-2010 3" xfId="13809"/>
    <cellStyle name="_Portfolio SPlan Base Case.xls Chart 2_Electric Rev Req Model (2009 GRC) Revised 01-18-2010 3 2" xfId="13810"/>
    <cellStyle name="_Portfolio SPlan Base Case.xls Chart 2_Electric Rev Req Model (2009 GRC) Revised 01-18-2010 3 2 2" xfId="13811"/>
    <cellStyle name="_Portfolio SPlan Base Case.xls Chart 2_Electric Rev Req Model (2009 GRC) Revised 01-18-2010 3 3" xfId="13812"/>
    <cellStyle name="_Portfolio SPlan Base Case.xls Chart 2_Electric Rev Req Model (2009 GRC) Revised 01-18-2010 3 4" xfId="13813"/>
    <cellStyle name="_Portfolio SPlan Base Case.xls Chart 2_Electric Rev Req Model (2009 GRC) Revised 01-18-2010 4" xfId="13814"/>
    <cellStyle name="_Portfolio SPlan Base Case.xls Chart 2_Electric Rev Req Model (2009 GRC) Revised 01-18-2010 4 2" xfId="13815"/>
    <cellStyle name="_Portfolio SPlan Base Case.xls Chart 2_Electric Rev Req Model (2009 GRC) Revised 01-18-2010 5" xfId="13816"/>
    <cellStyle name="_Portfolio SPlan Base Case.xls Chart 2_Electric Rev Req Model (2009 GRC) Revised 01-18-2010_DEM-WP(C) ENERG10C--ctn Mid-C_042010 2010GRC" xfId="13817"/>
    <cellStyle name="_Portfolio SPlan Base Case.xls Chart 2_Electric Rev Req Model (2009 GRC) Revised 01-18-2010_DEM-WP(C) ENERG10C--ctn Mid-C_042010 2010GRC 2" xfId="13818"/>
    <cellStyle name="_Portfolio SPlan Base Case.xls Chart 2_Electric Rev Req Model (2010 GRC)" xfId="13819"/>
    <cellStyle name="_Portfolio SPlan Base Case.xls Chart 2_Electric Rev Req Model (2010 GRC) 2" xfId="13820"/>
    <cellStyle name="_Portfolio SPlan Base Case.xls Chart 2_Electric Rev Req Model (2010 GRC) SF" xfId="13821"/>
    <cellStyle name="_Portfolio SPlan Base Case.xls Chart 2_Electric Rev Req Model (2010 GRC) SF 2" xfId="13822"/>
    <cellStyle name="_Portfolio SPlan Base Case.xls Chart 2_Final Order Electric EXHIBIT A-1" xfId="698"/>
    <cellStyle name="_Portfolio SPlan Base Case.xls Chart 2_Final Order Electric EXHIBIT A-1 2" xfId="13823"/>
    <cellStyle name="_Portfolio SPlan Base Case.xls Chart 2_Final Order Electric EXHIBIT A-1 2 2" xfId="13824"/>
    <cellStyle name="_Portfolio SPlan Base Case.xls Chart 2_Final Order Electric EXHIBIT A-1 2 2 2" xfId="13825"/>
    <cellStyle name="_Portfolio SPlan Base Case.xls Chart 2_Final Order Electric EXHIBIT A-1 2 3" xfId="13826"/>
    <cellStyle name="_Portfolio SPlan Base Case.xls Chart 2_Final Order Electric EXHIBIT A-1 2 4" xfId="13827"/>
    <cellStyle name="_Portfolio SPlan Base Case.xls Chart 2_Final Order Electric EXHIBIT A-1 3" xfId="13828"/>
    <cellStyle name="_Portfolio SPlan Base Case.xls Chart 2_Final Order Electric EXHIBIT A-1 3 2" xfId="13829"/>
    <cellStyle name="_Portfolio SPlan Base Case.xls Chart 2_Final Order Electric EXHIBIT A-1 4" xfId="13830"/>
    <cellStyle name="_Portfolio SPlan Base Case.xls Chart 2_Final Order Electric EXHIBIT A-1 5" xfId="13831"/>
    <cellStyle name="_Portfolio SPlan Base Case.xls Chart 2_Final Order Electric EXHIBIT A-1 6" xfId="13832"/>
    <cellStyle name="_Portfolio SPlan Base Case.xls Chart 2_NIM Summary" xfId="13833"/>
    <cellStyle name="_Portfolio SPlan Base Case.xls Chart 2_NIM Summary 2" xfId="13834"/>
    <cellStyle name="_Portfolio SPlan Base Case.xls Chart 2_NIM Summary 2 2" xfId="13835"/>
    <cellStyle name="_Portfolio SPlan Base Case.xls Chart 2_NIM Summary 2 2 2" xfId="13836"/>
    <cellStyle name="_Portfolio SPlan Base Case.xls Chart 2_NIM Summary 2 2 2 2" xfId="13837"/>
    <cellStyle name="_Portfolio SPlan Base Case.xls Chart 2_NIM Summary 2 2 3" xfId="13838"/>
    <cellStyle name="_Portfolio SPlan Base Case.xls Chart 2_NIM Summary 2 2 4" xfId="13839"/>
    <cellStyle name="_Portfolio SPlan Base Case.xls Chart 2_NIM Summary 2 3" xfId="13840"/>
    <cellStyle name="_Portfolio SPlan Base Case.xls Chart 2_NIM Summary 2 3 2" xfId="13841"/>
    <cellStyle name="_Portfolio SPlan Base Case.xls Chart 2_NIM Summary 2 4" xfId="13842"/>
    <cellStyle name="_Portfolio SPlan Base Case.xls Chart 2_NIM Summary 3" xfId="13843"/>
    <cellStyle name="_Portfolio SPlan Base Case.xls Chart 2_NIM Summary 3 2" xfId="13844"/>
    <cellStyle name="_Portfolio SPlan Base Case.xls Chart 2_NIM Summary 3 2 2" xfId="13845"/>
    <cellStyle name="_Portfolio SPlan Base Case.xls Chart 2_NIM Summary 3 3" xfId="13846"/>
    <cellStyle name="_Portfolio SPlan Base Case.xls Chart 2_NIM Summary 3 4" xfId="13847"/>
    <cellStyle name="_Portfolio SPlan Base Case.xls Chart 2_NIM Summary 4" xfId="13848"/>
    <cellStyle name="_Portfolio SPlan Base Case.xls Chart 2_NIM Summary 4 2" xfId="13849"/>
    <cellStyle name="_Portfolio SPlan Base Case.xls Chart 2_NIM Summary 5" xfId="13850"/>
    <cellStyle name="_Portfolio SPlan Base Case.xls Chart 2_NIM Summary_DEM-WP(C) ENERG10C--ctn Mid-C_042010 2010GRC" xfId="13851"/>
    <cellStyle name="_Portfolio SPlan Base Case.xls Chart 2_NIM Summary_DEM-WP(C) ENERG10C--ctn Mid-C_042010 2010GRC 2" xfId="13852"/>
    <cellStyle name="_Portfolio SPlan Base Case.xls Chart 2_Rebuttal Power Costs" xfId="699"/>
    <cellStyle name="_Portfolio SPlan Base Case.xls Chart 2_Rebuttal Power Costs 2" xfId="13853"/>
    <cellStyle name="_Portfolio SPlan Base Case.xls Chart 2_Rebuttal Power Costs 2 2" xfId="13854"/>
    <cellStyle name="_Portfolio SPlan Base Case.xls Chart 2_Rebuttal Power Costs 2 2 2" xfId="13855"/>
    <cellStyle name="_Portfolio SPlan Base Case.xls Chart 2_Rebuttal Power Costs 2 2 2 2" xfId="13856"/>
    <cellStyle name="_Portfolio SPlan Base Case.xls Chart 2_Rebuttal Power Costs 2 2 3" xfId="13857"/>
    <cellStyle name="_Portfolio SPlan Base Case.xls Chart 2_Rebuttal Power Costs 2 2 4" xfId="13858"/>
    <cellStyle name="_Portfolio SPlan Base Case.xls Chart 2_Rebuttal Power Costs 2 3" xfId="13859"/>
    <cellStyle name="_Portfolio SPlan Base Case.xls Chart 2_Rebuttal Power Costs 2 3 2" xfId="13860"/>
    <cellStyle name="_Portfolio SPlan Base Case.xls Chart 2_Rebuttal Power Costs 2 4" xfId="13861"/>
    <cellStyle name="_Portfolio SPlan Base Case.xls Chart 2_Rebuttal Power Costs 3" xfId="13862"/>
    <cellStyle name="_Portfolio SPlan Base Case.xls Chart 2_Rebuttal Power Costs 3 2" xfId="13863"/>
    <cellStyle name="_Portfolio SPlan Base Case.xls Chart 2_Rebuttal Power Costs 3 2 2" xfId="13864"/>
    <cellStyle name="_Portfolio SPlan Base Case.xls Chart 2_Rebuttal Power Costs 3 3" xfId="13865"/>
    <cellStyle name="_Portfolio SPlan Base Case.xls Chart 2_Rebuttal Power Costs 3 4" xfId="13866"/>
    <cellStyle name="_Portfolio SPlan Base Case.xls Chart 2_Rebuttal Power Costs 4" xfId="13867"/>
    <cellStyle name="_Portfolio SPlan Base Case.xls Chart 2_Rebuttal Power Costs 4 2" xfId="13868"/>
    <cellStyle name="_Portfolio SPlan Base Case.xls Chart 2_Rebuttal Power Costs 5" xfId="13869"/>
    <cellStyle name="_Portfolio SPlan Base Case.xls Chart 2_Rebuttal Power Costs_Adj Bench DR 3 for Initial Briefs (Electric)" xfId="700"/>
    <cellStyle name="_Portfolio SPlan Base Case.xls Chart 2_Rebuttal Power Costs_Adj Bench DR 3 for Initial Briefs (Electric) 2" xfId="13870"/>
    <cellStyle name="_Portfolio SPlan Base Case.xls Chart 2_Rebuttal Power Costs_Adj Bench DR 3 for Initial Briefs (Electric) 2 2" xfId="13871"/>
    <cellStyle name="_Portfolio SPlan Base Case.xls Chart 2_Rebuttal Power Costs_Adj Bench DR 3 for Initial Briefs (Electric) 2 2 2" xfId="13872"/>
    <cellStyle name="_Portfolio SPlan Base Case.xls Chart 2_Rebuttal Power Costs_Adj Bench DR 3 for Initial Briefs (Electric) 2 2 2 2" xfId="13873"/>
    <cellStyle name="_Portfolio SPlan Base Case.xls Chart 2_Rebuttal Power Costs_Adj Bench DR 3 for Initial Briefs (Electric) 2 2 3" xfId="13874"/>
    <cellStyle name="_Portfolio SPlan Base Case.xls Chart 2_Rebuttal Power Costs_Adj Bench DR 3 for Initial Briefs (Electric) 2 2 4" xfId="13875"/>
    <cellStyle name="_Portfolio SPlan Base Case.xls Chart 2_Rebuttal Power Costs_Adj Bench DR 3 for Initial Briefs (Electric) 2 3" xfId="13876"/>
    <cellStyle name="_Portfolio SPlan Base Case.xls Chart 2_Rebuttal Power Costs_Adj Bench DR 3 for Initial Briefs (Electric) 2 3 2" xfId="13877"/>
    <cellStyle name="_Portfolio SPlan Base Case.xls Chart 2_Rebuttal Power Costs_Adj Bench DR 3 for Initial Briefs (Electric) 2 4" xfId="13878"/>
    <cellStyle name="_Portfolio SPlan Base Case.xls Chart 2_Rebuttal Power Costs_Adj Bench DR 3 for Initial Briefs (Electric) 3" xfId="13879"/>
    <cellStyle name="_Portfolio SPlan Base Case.xls Chart 2_Rebuttal Power Costs_Adj Bench DR 3 for Initial Briefs (Electric) 3 2" xfId="13880"/>
    <cellStyle name="_Portfolio SPlan Base Case.xls Chart 2_Rebuttal Power Costs_Adj Bench DR 3 for Initial Briefs (Electric) 3 2 2" xfId="13881"/>
    <cellStyle name="_Portfolio SPlan Base Case.xls Chart 2_Rebuttal Power Costs_Adj Bench DR 3 for Initial Briefs (Electric) 3 3" xfId="13882"/>
    <cellStyle name="_Portfolio SPlan Base Case.xls Chart 2_Rebuttal Power Costs_Adj Bench DR 3 for Initial Briefs (Electric) 3 4" xfId="13883"/>
    <cellStyle name="_Portfolio SPlan Base Case.xls Chart 2_Rebuttal Power Costs_Adj Bench DR 3 for Initial Briefs (Electric) 4" xfId="13884"/>
    <cellStyle name="_Portfolio SPlan Base Case.xls Chart 2_Rebuttal Power Costs_Adj Bench DR 3 for Initial Briefs (Electric) 4 2" xfId="13885"/>
    <cellStyle name="_Portfolio SPlan Base Case.xls Chart 2_Rebuttal Power Costs_Adj Bench DR 3 for Initial Briefs (Electric) 5" xfId="13886"/>
    <cellStyle name="_Portfolio SPlan Base Case.xls Chart 2_Rebuttal Power Costs_Adj Bench DR 3 for Initial Briefs (Electric)_DEM-WP(C) ENERG10C--ctn Mid-C_042010 2010GRC" xfId="13887"/>
    <cellStyle name="_Portfolio SPlan Base Case.xls Chart 2_Rebuttal Power Costs_Adj Bench DR 3 for Initial Briefs (Electric)_DEM-WP(C) ENERG10C--ctn Mid-C_042010 2010GRC 2" xfId="13888"/>
    <cellStyle name="_Portfolio SPlan Base Case.xls Chart 2_Rebuttal Power Costs_DEM-WP(C) ENERG10C--ctn Mid-C_042010 2010GRC" xfId="13889"/>
    <cellStyle name="_Portfolio SPlan Base Case.xls Chart 2_Rebuttal Power Costs_DEM-WP(C) ENERG10C--ctn Mid-C_042010 2010GRC 2" xfId="13890"/>
    <cellStyle name="_Portfolio SPlan Base Case.xls Chart 2_Rebuttal Power Costs_Electric Rev Req Model (2009 GRC) Rebuttal" xfId="701"/>
    <cellStyle name="_Portfolio SPlan Base Case.xls Chart 2_Rebuttal Power Costs_Electric Rev Req Model (2009 GRC) Rebuttal 2" xfId="13891"/>
    <cellStyle name="_Portfolio SPlan Base Case.xls Chart 2_Rebuttal Power Costs_Electric Rev Req Model (2009 GRC) Rebuttal 2 2" xfId="13892"/>
    <cellStyle name="_Portfolio SPlan Base Case.xls Chart 2_Rebuttal Power Costs_Electric Rev Req Model (2009 GRC) Rebuttal 2 2 2" xfId="13893"/>
    <cellStyle name="_Portfolio SPlan Base Case.xls Chart 2_Rebuttal Power Costs_Electric Rev Req Model (2009 GRC) Rebuttal 2 3" xfId="13894"/>
    <cellStyle name="_Portfolio SPlan Base Case.xls Chart 2_Rebuttal Power Costs_Electric Rev Req Model (2009 GRC) Rebuttal 3" xfId="13895"/>
    <cellStyle name="_Portfolio SPlan Base Case.xls Chart 2_Rebuttal Power Costs_Electric Rev Req Model (2009 GRC) Rebuttal 3 2" xfId="13896"/>
    <cellStyle name="_Portfolio SPlan Base Case.xls Chart 2_Rebuttal Power Costs_Electric Rev Req Model (2009 GRC) Rebuttal 4" xfId="13897"/>
    <cellStyle name="_Portfolio SPlan Base Case.xls Chart 2_Rebuttal Power Costs_Electric Rev Req Model (2009 GRC) Rebuttal REmoval of New  WH Solar AdjustMI" xfId="702"/>
    <cellStyle name="_Portfolio SPlan Base Case.xls Chart 2_Rebuttal Power Costs_Electric Rev Req Model (2009 GRC) Rebuttal REmoval of New  WH Solar AdjustMI 2" xfId="13898"/>
    <cellStyle name="_Portfolio SPlan Base Case.xls Chart 2_Rebuttal Power Costs_Electric Rev Req Model (2009 GRC) Rebuttal REmoval of New  WH Solar AdjustMI 2 2" xfId="13899"/>
    <cellStyle name="_Portfolio SPlan Base Case.xls Chart 2_Rebuttal Power Costs_Electric Rev Req Model (2009 GRC) Rebuttal REmoval of New  WH Solar AdjustMI 2 2 2" xfId="13900"/>
    <cellStyle name="_Portfolio SPlan Base Case.xls Chart 2_Rebuttal Power Costs_Electric Rev Req Model (2009 GRC) Rebuttal REmoval of New  WH Solar AdjustMI 2 2 2 2" xfId="13901"/>
    <cellStyle name="_Portfolio SPlan Base Case.xls Chart 2_Rebuttal Power Costs_Electric Rev Req Model (2009 GRC) Rebuttal REmoval of New  WH Solar AdjustMI 2 2 3" xfId="13902"/>
    <cellStyle name="_Portfolio SPlan Base Case.xls Chart 2_Rebuttal Power Costs_Electric Rev Req Model (2009 GRC) Rebuttal REmoval of New  WH Solar AdjustMI 2 2 4" xfId="13903"/>
    <cellStyle name="_Portfolio SPlan Base Case.xls Chart 2_Rebuttal Power Costs_Electric Rev Req Model (2009 GRC) Rebuttal REmoval of New  WH Solar AdjustMI 2 3" xfId="13904"/>
    <cellStyle name="_Portfolio SPlan Base Case.xls Chart 2_Rebuttal Power Costs_Electric Rev Req Model (2009 GRC) Rebuttal REmoval of New  WH Solar AdjustMI 2 3 2" xfId="13905"/>
    <cellStyle name="_Portfolio SPlan Base Case.xls Chart 2_Rebuttal Power Costs_Electric Rev Req Model (2009 GRC) Rebuttal REmoval of New  WH Solar AdjustMI 2 4" xfId="13906"/>
    <cellStyle name="_Portfolio SPlan Base Case.xls Chart 2_Rebuttal Power Costs_Electric Rev Req Model (2009 GRC) Rebuttal REmoval of New  WH Solar AdjustMI 3" xfId="13907"/>
    <cellStyle name="_Portfolio SPlan Base Case.xls Chart 2_Rebuttal Power Costs_Electric Rev Req Model (2009 GRC) Rebuttal REmoval of New  WH Solar AdjustMI 3 2" xfId="13908"/>
    <cellStyle name="_Portfolio SPlan Base Case.xls Chart 2_Rebuttal Power Costs_Electric Rev Req Model (2009 GRC) Rebuttal REmoval of New  WH Solar AdjustMI 3 2 2" xfId="13909"/>
    <cellStyle name="_Portfolio SPlan Base Case.xls Chart 2_Rebuttal Power Costs_Electric Rev Req Model (2009 GRC) Rebuttal REmoval of New  WH Solar AdjustMI 3 3" xfId="13910"/>
    <cellStyle name="_Portfolio SPlan Base Case.xls Chart 2_Rebuttal Power Costs_Electric Rev Req Model (2009 GRC) Rebuttal REmoval of New  WH Solar AdjustMI 3 4" xfId="13911"/>
    <cellStyle name="_Portfolio SPlan Base Case.xls Chart 2_Rebuttal Power Costs_Electric Rev Req Model (2009 GRC) Rebuttal REmoval of New  WH Solar AdjustMI 4" xfId="13912"/>
    <cellStyle name="_Portfolio SPlan Base Case.xls Chart 2_Rebuttal Power Costs_Electric Rev Req Model (2009 GRC) Rebuttal REmoval of New  WH Solar AdjustMI 4 2" xfId="13913"/>
    <cellStyle name="_Portfolio SPlan Base Case.xls Chart 2_Rebuttal Power Costs_Electric Rev Req Model (2009 GRC) Rebuttal REmoval of New  WH Solar AdjustMI 5" xfId="13914"/>
    <cellStyle name="_Portfolio SPlan Base Case.xls Chart 2_Rebuttal Power Costs_Electric Rev Req Model (2009 GRC) Rebuttal REmoval of New  WH Solar AdjustMI_DEM-WP(C) ENERG10C--ctn Mid-C_042010 2010GRC" xfId="13915"/>
    <cellStyle name="_Portfolio SPlan Base Case.xls Chart 2_Rebuttal Power Costs_Electric Rev Req Model (2009 GRC) Rebuttal REmoval of New  WH Solar AdjustMI_DEM-WP(C) ENERG10C--ctn Mid-C_042010 2010GRC 2" xfId="13916"/>
    <cellStyle name="_Portfolio SPlan Base Case.xls Chart 2_Rebuttal Power Costs_Electric Rev Req Model (2009 GRC) Revised 01-18-2010" xfId="703"/>
    <cellStyle name="_Portfolio SPlan Base Case.xls Chart 2_Rebuttal Power Costs_Electric Rev Req Model (2009 GRC) Revised 01-18-2010 2" xfId="13917"/>
    <cellStyle name="_Portfolio SPlan Base Case.xls Chart 2_Rebuttal Power Costs_Electric Rev Req Model (2009 GRC) Revised 01-18-2010 2 2" xfId="13918"/>
    <cellStyle name="_Portfolio SPlan Base Case.xls Chart 2_Rebuttal Power Costs_Electric Rev Req Model (2009 GRC) Revised 01-18-2010 2 2 2" xfId="13919"/>
    <cellStyle name="_Portfolio SPlan Base Case.xls Chart 2_Rebuttal Power Costs_Electric Rev Req Model (2009 GRC) Revised 01-18-2010 2 2 2 2" xfId="13920"/>
    <cellStyle name="_Portfolio SPlan Base Case.xls Chart 2_Rebuttal Power Costs_Electric Rev Req Model (2009 GRC) Revised 01-18-2010 2 2 3" xfId="13921"/>
    <cellStyle name="_Portfolio SPlan Base Case.xls Chart 2_Rebuttal Power Costs_Electric Rev Req Model (2009 GRC) Revised 01-18-2010 2 2 4" xfId="13922"/>
    <cellStyle name="_Portfolio SPlan Base Case.xls Chart 2_Rebuttal Power Costs_Electric Rev Req Model (2009 GRC) Revised 01-18-2010 2 3" xfId="13923"/>
    <cellStyle name="_Portfolio SPlan Base Case.xls Chart 2_Rebuttal Power Costs_Electric Rev Req Model (2009 GRC) Revised 01-18-2010 2 3 2" xfId="13924"/>
    <cellStyle name="_Portfolio SPlan Base Case.xls Chart 2_Rebuttal Power Costs_Electric Rev Req Model (2009 GRC) Revised 01-18-2010 2 4" xfId="13925"/>
    <cellStyle name="_Portfolio SPlan Base Case.xls Chart 2_Rebuttal Power Costs_Electric Rev Req Model (2009 GRC) Revised 01-18-2010 3" xfId="13926"/>
    <cellStyle name="_Portfolio SPlan Base Case.xls Chart 2_Rebuttal Power Costs_Electric Rev Req Model (2009 GRC) Revised 01-18-2010 3 2" xfId="13927"/>
    <cellStyle name="_Portfolio SPlan Base Case.xls Chart 2_Rebuttal Power Costs_Electric Rev Req Model (2009 GRC) Revised 01-18-2010 3 2 2" xfId="13928"/>
    <cellStyle name="_Portfolio SPlan Base Case.xls Chart 2_Rebuttal Power Costs_Electric Rev Req Model (2009 GRC) Revised 01-18-2010 3 3" xfId="13929"/>
    <cellStyle name="_Portfolio SPlan Base Case.xls Chart 2_Rebuttal Power Costs_Electric Rev Req Model (2009 GRC) Revised 01-18-2010 3 4" xfId="13930"/>
    <cellStyle name="_Portfolio SPlan Base Case.xls Chart 2_Rebuttal Power Costs_Electric Rev Req Model (2009 GRC) Revised 01-18-2010 4" xfId="13931"/>
    <cellStyle name="_Portfolio SPlan Base Case.xls Chart 2_Rebuttal Power Costs_Electric Rev Req Model (2009 GRC) Revised 01-18-2010 4 2" xfId="13932"/>
    <cellStyle name="_Portfolio SPlan Base Case.xls Chart 2_Rebuttal Power Costs_Electric Rev Req Model (2009 GRC) Revised 01-18-2010 5" xfId="13933"/>
    <cellStyle name="_Portfolio SPlan Base Case.xls Chart 2_Rebuttal Power Costs_Electric Rev Req Model (2009 GRC) Revised 01-18-2010_DEM-WP(C) ENERG10C--ctn Mid-C_042010 2010GRC" xfId="13934"/>
    <cellStyle name="_Portfolio SPlan Base Case.xls Chart 2_Rebuttal Power Costs_Electric Rev Req Model (2009 GRC) Revised 01-18-2010_DEM-WP(C) ENERG10C--ctn Mid-C_042010 2010GRC 2" xfId="13935"/>
    <cellStyle name="_Portfolio SPlan Base Case.xls Chart 2_Rebuttal Power Costs_Final Order Electric EXHIBIT A-1" xfId="704"/>
    <cellStyle name="_Portfolio SPlan Base Case.xls Chart 2_Rebuttal Power Costs_Final Order Electric EXHIBIT A-1 2" xfId="13936"/>
    <cellStyle name="_Portfolio SPlan Base Case.xls Chart 2_Rebuttal Power Costs_Final Order Electric EXHIBIT A-1 2 2" xfId="13937"/>
    <cellStyle name="_Portfolio SPlan Base Case.xls Chart 2_Rebuttal Power Costs_Final Order Electric EXHIBIT A-1 2 2 2" xfId="13938"/>
    <cellStyle name="_Portfolio SPlan Base Case.xls Chart 2_Rebuttal Power Costs_Final Order Electric EXHIBIT A-1 2 3" xfId="13939"/>
    <cellStyle name="_Portfolio SPlan Base Case.xls Chart 2_Rebuttal Power Costs_Final Order Electric EXHIBIT A-1 2 4" xfId="13940"/>
    <cellStyle name="_Portfolio SPlan Base Case.xls Chart 2_Rebuttal Power Costs_Final Order Electric EXHIBIT A-1 3" xfId="13941"/>
    <cellStyle name="_Portfolio SPlan Base Case.xls Chart 2_Rebuttal Power Costs_Final Order Electric EXHIBIT A-1 3 2" xfId="13942"/>
    <cellStyle name="_Portfolio SPlan Base Case.xls Chart 2_Rebuttal Power Costs_Final Order Electric EXHIBIT A-1 4" xfId="13943"/>
    <cellStyle name="_Portfolio SPlan Base Case.xls Chart 2_Rebuttal Power Costs_Final Order Electric EXHIBIT A-1 5" xfId="13944"/>
    <cellStyle name="_Portfolio SPlan Base Case.xls Chart 2_Rebuttal Power Costs_Final Order Electric EXHIBIT A-1 6" xfId="13945"/>
    <cellStyle name="_Portfolio SPlan Base Case.xls Chart 2_TENASKA REGULATORY ASSET" xfId="705"/>
    <cellStyle name="_Portfolio SPlan Base Case.xls Chart 2_TENASKA REGULATORY ASSET 2" xfId="13946"/>
    <cellStyle name="_Portfolio SPlan Base Case.xls Chart 2_TENASKA REGULATORY ASSET 2 2" xfId="13947"/>
    <cellStyle name="_Portfolio SPlan Base Case.xls Chart 2_TENASKA REGULATORY ASSET 2 2 2" xfId="13948"/>
    <cellStyle name="_Portfolio SPlan Base Case.xls Chart 2_TENASKA REGULATORY ASSET 2 3" xfId="13949"/>
    <cellStyle name="_Portfolio SPlan Base Case.xls Chart 2_TENASKA REGULATORY ASSET 2 4" xfId="13950"/>
    <cellStyle name="_Portfolio SPlan Base Case.xls Chart 2_TENASKA REGULATORY ASSET 3" xfId="13951"/>
    <cellStyle name="_Portfolio SPlan Base Case.xls Chart 2_TENASKA REGULATORY ASSET 3 2" xfId="13952"/>
    <cellStyle name="_Portfolio SPlan Base Case.xls Chart 2_TENASKA REGULATORY ASSET 4" xfId="13953"/>
    <cellStyle name="_Portfolio SPlan Base Case.xls Chart 2_TENASKA REGULATORY ASSET 5" xfId="13954"/>
    <cellStyle name="_Portfolio SPlan Base Case.xls Chart 2_TENASKA REGULATORY ASSET 6" xfId="13955"/>
    <cellStyle name="_Portfolio SPlan Base Case.xls Chart 3" xfId="706"/>
    <cellStyle name="_Portfolio SPlan Base Case.xls Chart 3 2" xfId="13956"/>
    <cellStyle name="_Portfolio SPlan Base Case.xls Chart 3 2 2" xfId="13957"/>
    <cellStyle name="_Portfolio SPlan Base Case.xls Chart 3 2 2 2" xfId="13958"/>
    <cellStyle name="_Portfolio SPlan Base Case.xls Chart 3 2 2 2 2" xfId="13959"/>
    <cellStyle name="_Portfolio SPlan Base Case.xls Chart 3 2 2 2 2 2" xfId="13960"/>
    <cellStyle name="_Portfolio SPlan Base Case.xls Chart 3 2 2 2 3" xfId="13961"/>
    <cellStyle name="_Portfolio SPlan Base Case.xls Chart 3 2 2 3" xfId="13962"/>
    <cellStyle name="_Portfolio SPlan Base Case.xls Chart 3 2 2 3 2" xfId="13963"/>
    <cellStyle name="_Portfolio SPlan Base Case.xls Chart 3 2 2 4" xfId="13964"/>
    <cellStyle name="_Portfolio SPlan Base Case.xls Chart 3 2 3" xfId="13965"/>
    <cellStyle name="_Portfolio SPlan Base Case.xls Chart 3 2 3 2" xfId="13966"/>
    <cellStyle name="_Portfolio SPlan Base Case.xls Chart 3 2 3 2 2" xfId="13967"/>
    <cellStyle name="_Portfolio SPlan Base Case.xls Chart 3 2 3 3" xfId="13968"/>
    <cellStyle name="_Portfolio SPlan Base Case.xls Chart 3 2 4" xfId="13969"/>
    <cellStyle name="_Portfolio SPlan Base Case.xls Chart 3 2 4 2" xfId="13970"/>
    <cellStyle name="_Portfolio SPlan Base Case.xls Chart 3 2 5" xfId="13971"/>
    <cellStyle name="_Portfolio SPlan Base Case.xls Chart 3 3" xfId="13972"/>
    <cellStyle name="_Portfolio SPlan Base Case.xls Chart 3 3 2" xfId="13973"/>
    <cellStyle name="_Portfolio SPlan Base Case.xls Chart 3 3 2 2" xfId="13974"/>
    <cellStyle name="_Portfolio SPlan Base Case.xls Chart 3 3 2 3" xfId="13975"/>
    <cellStyle name="_Portfolio SPlan Base Case.xls Chart 3 3 3" xfId="13976"/>
    <cellStyle name="_Portfolio SPlan Base Case.xls Chart 3 3 4" xfId="13977"/>
    <cellStyle name="_Portfolio SPlan Base Case.xls Chart 3 4" xfId="13978"/>
    <cellStyle name="_Portfolio SPlan Base Case.xls Chart 3 4 2" xfId="13979"/>
    <cellStyle name="_Portfolio SPlan Base Case.xls Chart 3 4 2 2" xfId="13980"/>
    <cellStyle name="_Portfolio SPlan Base Case.xls Chart 3 4 3" xfId="13981"/>
    <cellStyle name="_Portfolio SPlan Base Case.xls Chart 3 5" xfId="13982"/>
    <cellStyle name="_Portfolio SPlan Base Case.xls Chart 3 5 2" xfId="13983"/>
    <cellStyle name="_Portfolio SPlan Base Case.xls Chart 3 5 3" xfId="13984"/>
    <cellStyle name="_Portfolio SPlan Base Case.xls Chart 3 6" xfId="13985"/>
    <cellStyle name="_Portfolio SPlan Base Case.xls Chart 3 6 2" xfId="13986"/>
    <cellStyle name="_Portfolio SPlan Base Case.xls Chart 3_Adj Bench DR 3 for Initial Briefs (Electric)" xfId="707"/>
    <cellStyle name="_Portfolio SPlan Base Case.xls Chart 3_Adj Bench DR 3 for Initial Briefs (Electric) 2" xfId="13987"/>
    <cellStyle name="_Portfolio SPlan Base Case.xls Chart 3_Adj Bench DR 3 for Initial Briefs (Electric) 2 2" xfId="13988"/>
    <cellStyle name="_Portfolio SPlan Base Case.xls Chart 3_Adj Bench DR 3 for Initial Briefs (Electric) 2 2 2" xfId="13989"/>
    <cellStyle name="_Portfolio SPlan Base Case.xls Chart 3_Adj Bench DR 3 for Initial Briefs (Electric) 2 2 2 2" xfId="13990"/>
    <cellStyle name="_Portfolio SPlan Base Case.xls Chart 3_Adj Bench DR 3 for Initial Briefs (Electric) 2 2 3" xfId="13991"/>
    <cellStyle name="_Portfolio SPlan Base Case.xls Chart 3_Adj Bench DR 3 for Initial Briefs (Electric) 2 2 4" xfId="13992"/>
    <cellStyle name="_Portfolio SPlan Base Case.xls Chart 3_Adj Bench DR 3 for Initial Briefs (Electric) 2 3" xfId="13993"/>
    <cellStyle name="_Portfolio SPlan Base Case.xls Chart 3_Adj Bench DR 3 for Initial Briefs (Electric) 2 3 2" xfId="13994"/>
    <cellStyle name="_Portfolio SPlan Base Case.xls Chart 3_Adj Bench DR 3 for Initial Briefs (Electric) 2 4" xfId="13995"/>
    <cellStyle name="_Portfolio SPlan Base Case.xls Chart 3_Adj Bench DR 3 for Initial Briefs (Electric) 3" xfId="13996"/>
    <cellStyle name="_Portfolio SPlan Base Case.xls Chart 3_Adj Bench DR 3 for Initial Briefs (Electric) 3 2" xfId="13997"/>
    <cellStyle name="_Portfolio SPlan Base Case.xls Chart 3_Adj Bench DR 3 for Initial Briefs (Electric) 3 2 2" xfId="13998"/>
    <cellStyle name="_Portfolio SPlan Base Case.xls Chart 3_Adj Bench DR 3 for Initial Briefs (Electric) 3 3" xfId="13999"/>
    <cellStyle name="_Portfolio SPlan Base Case.xls Chart 3_Adj Bench DR 3 for Initial Briefs (Electric) 3 4" xfId="14000"/>
    <cellStyle name="_Portfolio SPlan Base Case.xls Chart 3_Adj Bench DR 3 for Initial Briefs (Electric) 4" xfId="14001"/>
    <cellStyle name="_Portfolio SPlan Base Case.xls Chart 3_Adj Bench DR 3 for Initial Briefs (Electric) 4 2" xfId="14002"/>
    <cellStyle name="_Portfolio SPlan Base Case.xls Chart 3_Adj Bench DR 3 for Initial Briefs (Electric) 5" xfId="14003"/>
    <cellStyle name="_Portfolio SPlan Base Case.xls Chart 3_Adj Bench DR 3 for Initial Briefs (Electric)_DEM-WP(C) ENERG10C--ctn Mid-C_042010 2010GRC" xfId="14004"/>
    <cellStyle name="_Portfolio SPlan Base Case.xls Chart 3_Adj Bench DR 3 for Initial Briefs (Electric)_DEM-WP(C) ENERG10C--ctn Mid-C_042010 2010GRC 2" xfId="14005"/>
    <cellStyle name="_Portfolio SPlan Base Case.xls Chart 3_Book1" xfId="14006"/>
    <cellStyle name="_Portfolio SPlan Base Case.xls Chart 3_Book1 2" xfId="14007"/>
    <cellStyle name="_Portfolio SPlan Base Case.xls Chart 3_Book2" xfId="708"/>
    <cellStyle name="_Portfolio SPlan Base Case.xls Chart 3_Book2 2" xfId="14008"/>
    <cellStyle name="_Portfolio SPlan Base Case.xls Chart 3_Book2 2 2" xfId="14009"/>
    <cellStyle name="_Portfolio SPlan Base Case.xls Chart 3_Book2 2 2 2" xfId="14010"/>
    <cellStyle name="_Portfolio SPlan Base Case.xls Chart 3_Book2 2 2 2 2" xfId="14011"/>
    <cellStyle name="_Portfolio SPlan Base Case.xls Chart 3_Book2 2 2 3" xfId="14012"/>
    <cellStyle name="_Portfolio SPlan Base Case.xls Chart 3_Book2 2 2 4" xfId="14013"/>
    <cellStyle name="_Portfolio SPlan Base Case.xls Chart 3_Book2 2 3" xfId="14014"/>
    <cellStyle name="_Portfolio SPlan Base Case.xls Chart 3_Book2 2 3 2" xfId="14015"/>
    <cellStyle name="_Portfolio SPlan Base Case.xls Chart 3_Book2 2 4" xfId="14016"/>
    <cellStyle name="_Portfolio SPlan Base Case.xls Chart 3_Book2 3" xfId="14017"/>
    <cellStyle name="_Portfolio SPlan Base Case.xls Chart 3_Book2 3 2" xfId="14018"/>
    <cellStyle name="_Portfolio SPlan Base Case.xls Chart 3_Book2 3 2 2" xfId="14019"/>
    <cellStyle name="_Portfolio SPlan Base Case.xls Chart 3_Book2 3 3" xfId="14020"/>
    <cellStyle name="_Portfolio SPlan Base Case.xls Chart 3_Book2 3 4" xfId="14021"/>
    <cellStyle name="_Portfolio SPlan Base Case.xls Chart 3_Book2 4" xfId="14022"/>
    <cellStyle name="_Portfolio SPlan Base Case.xls Chart 3_Book2 4 2" xfId="14023"/>
    <cellStyle name="_Portfolio SPlan Base Case.xls Chart 3_Book2 5" xfId="14024"/>
    <cellStyle name="_Portfolio SPlan Base Case.xls Chart 3_Book2_Adj Bench DR 3 for Initial Briefs (Electric)" xfId="709"/>
    <cellStyle name="_Portfolio SPlan Base Case.xls Chart 3_Book2_Adj Bench DR 3 for Initial Briefs (Electric) 2" xfId="14025"/>
    <cellStyle name="_Portfolio SPlan Base Case.xls Chart 3_Book2_Adj Bench DR 3 for Initial Briefs (Electric) 2 2" xfId="14026"/>
    <cellStyle name="_Portfolio SPlan Base Case.xls Chart 3_Book2_Adj Bench DR 3 for Initial Briefs (Electric) 2 2 2" xfId="14027"/>
    <cellStyle name="_Portfolio SPlan Base Case.xls Chart 3_Book2_Adj Bench DR 3 for Initial Briefs (Electric) 2 2 2 2" xfId="14028"/>
    <cellStyle name="_Portfolio SPlan Base Case.xls Chart 3_Book2_Adj Bench DR 3 for Initial Briefs (Electric) 2 2 3" xfId="14029"/>
    <cellStyle name="_Portfolio SPlan Base Case.xls Chart 3_Book2_Adj Bench DR 3 for Initial Briefs (Electric) 2 2 4" xfId="14030"/>
    <cellStyle name="_Portfolio SPlan Base Case.xls Chart 3_Book2_Adj Bench DR 3 for Initial Briefs (Electric) 2 3" xfId="14031"/>
    <cellStyle name="_Portfolio SPlan Base Case.xls Chart 3_Book2_Adj Bench DR 3 for Initial Briefs (Electric) 2 3 2" xfId="14032"/>
    <cellStyle name="_Portfolio SPlan Base Case.xls Chart 3_Book2_Adj Bench DR 3 for Initial Briefs (Electric) 2 4" xfId="14033"/>
    <cellStyle name="_Portfolio SPlan Base Case.xls Chart 3_Book2_Adj Bench DR 3 for Initial Briefs (Electric) 3" xfId="14034"/>
    <cellStyle name="_Portfolio SPlan Base Case.xls Chart 3_Book2_Adj Bench DR 3 for Initial Briefs (Electric) 3 2" xfId="14035"/>
    <cellStyle name="_Portfolio SPlan Base Case.xls Chart 3_Book2_Adj Bench DR 3 for Initial Briefs (Electric) 3 2 2" xfId="14036"/>
    <cellStyle name="_Portfolio SPlan Base Case.xls Chart 3_Book2_Adj Bench DR 3 for Initial Briefs (Electric) 3 3" xfId="14037"/>
    <cellStyle name="_Portfolio SPlan Base Case.xls Chart 3_Book2_Adj Bench DR 3 for Initial Briefs (Electric) 3 4" xfId="14038"/>
    <cellStyle name="_Portfolio SPlan Base Case.xls Chart 3_Book2_Adj Bench DR 3 for Initial Briefs (Electric) 4" xfId="14039"/>
    <cellStyle name="_Portfolio SPlan Base Case.xls Chart 3_Book2_Adj Bench DR 3 for Initial Briefs (Electric) 4 2" xfId="14040"/>
    <cellStyle name="_Portfolio SPlan Base Case.xls Chart 3_Book2_Adj Bench DR 3 for Initial Briefs (Electric) 5" xfId="14041"/>
    <cellStyle name="_Portfolio SPlan Base Case.xls Chart 3_Book2_Adj Bench DR 3 for Initial Briefs (Electric)_DEM-WP(C) ENERG10C--ctn Mid-C_042010 2010GRC" xfId="14042"/>
    <cellStyle name="_Portfolio SPlan Base Case.xls Chart 3_Book2_Adj Bench DR 3 for Initial Briefs (Electric)_DEM-WP(C) ENERG10C--ctn Mid-C_042010 2010GRC 2" xfId="14043"/>
    <cellStyle name="_Portfolio SPlan Base Case.xls Chart 3_Book2_DEM-WP(C) ENERG10C--ctn Mid-C_042010 2010GRC" xfId="14044"/>
    <cellStyle name="_Portfolio SPlan Base Case.xls Chart 3_Book2_DEM-WP(C) ENERG10C--ctn Mid-C_042010 2010GRC 2" xfId="14045"/>
    <cellStyle name="_Portfolio SPlan Base Case.xls Chart 3_Book2_Electric Rev Req Model (2009 GRC) Rebuttal" xfId="710"/>
    <cellStyle name="_Portfolio SPlan Base Case.xls Chart 3_Book2_Electric Rev Req Model (2009 GRC) Rebuttal 2" xfId="14046"/>
    <cellStyle name="_Portfolio SPlan Base Case.xls Chart 3_Book2_Electric Rev Req Model (2009 GRC) Rebuttal 2 2" xfId="14047"/>
    <cellStyle name="_Portfolio SPlan Base Case.xls Chart 3_Book2_Electric Rev Req Model (2009 GRC) Rebuttal 2 2 2" xfId="14048"/>
    <cellStyle name="_Portfolio SPlan Base Case.xls Chart 3_Book2_Electric Rev Req Model (2009 GRC) Rebuttal 2 3" xfId="14049"/>
    <cellStyle name="_Portfolio SPlan Base Case.xls Chart 3_Book2_Electric Rev Req Model (2009 GRC) Rebuttal 3" xfId="14050"/>
    <cellStyle name="_Portfolio SPlan Base Case.xls Chart 3_Book2_Electric Rev Req Model (2009 GRC) Rebuttal 3 2" xfId="14051"/>
    <cellStyle name="_Portfolio SPlan Base Case.xls Chart 3_Book2_Electric Rev Req Model (2009 GRC) Rebuttal 4" xfId="14052"/>
    <cellStyle name="_Portfolio SPlan Base Case.xls Chart 3_Book2_Electric Rev Req Model (2009 GRC) Rebuttal REmoval of New  WH Solar AdjustMI" xfId="711"/>
    <cellStyle name="_Portfolio SPlan Base Case.xls Chart 3_Book2_Electric Rev Req Model (2009 GRC) Rebuttal REmoval of New  WH Solar AdjustMI 2" xfId="14053"/>
    <cellStyle name="_Portfolio SPlan Base Case.xls Chart 3_Book2_Electric Rev Req Model (2009 GRC) Rebuttal REmoval of New  WH Solar AdjustMI 2 2" xfId="14054"/>
    <cellStyle name="_Portfolio SPlan Base Case.xls Chart 3_Book2_Electric Rev Req Model (2009 GRC) Rebuttal REmoval of New  WH Solar AdjustMI 2 2 2" xfId="14055"/>
    <cellStyle name="_Portfolio SPlan Base Case.xls Chart 3_Book2_Electric Rev Req Model (2009 GRC) Rebuttal REmoval of New  WH Solar AdjustMI 2 2 2 2" xfId="14056"/>
    <cellStyle name="_Portfolio SPlan Base Case.xls Chart 3_Book2_Electric Rev Req Model (2009 GRC) Rebuttal REmoval of New  WH Solar AdjustMI 2 2 3" xfId="14057"/>
    <cellStyle name="_Portfolio SPlan Base Case.xls Chart 3_Book2_Electric Rev Req Model (2009 GRC) Rebuttal REmoval of New  WH Solar AdjustMI 2 2 4" xfId="14058"/>
    <cellStyle name="_Portfolio SPlan Base Case.xls Chart 3_Book2_Electric Rev Req Model (2009 GRC) Rebuttal REmoval of New  WH Solar AdjustMI 2 3" xfId="14059"/>
    <cellStyle name="_Portfolio SPlan Base Case.xls Chart 3_Book2_Electric Rev Req Model (2009 GRC) Rebuttal REmoval of New  WH Solar AdjustMI 2 3 2" xfId="14060"/>
    <cellStyle name="_Portfolio SPlan Base Case.xls Chart 3_Book2_Electric Rev Req Model (2009 GRC) Rebuttal REmoval of New  WH Solar AdjustMI 2 4" xfId="14061"/>
    <cellStyle name="_Portfolio SPlan Base Case.xls Chart 3_Book2_Electric Rev Req Model (2009 GRC) Rebuttal REmoval of New  WH Solar AdjustMI 3" xfId="14062"/>
    <cellStyle name="_Portfolio SPlan Base Case.xls Chart 3_Book2_Electric Rev Req Model (2009 GRC) Rebuttal REmoval of New  WH Solar AdjustMI 3 2" xfId="14063"/>
    <cellStyle name="_Portfolio SPlan Base Case.xls Chart 3_Book2_Electric Rev Req Model (2009 GRC) Rebuttal REmoval of New  WH Solar AdjustMI 3 2 2" xfId="14064"/>
    <cellStyle name="_Portfolio SPlan Base Case.xls Chart 3_Book2_Electric Rev Req Model (2009 GRC) Rebuttal REmoval of New  WH Solar AdjustMI 3 3" xfId="14065"/>
    <cellStyle name="_Portfolio SPlan Base Case.xls Chart 3_Book2_Electric Rev Req Model (2009 GRC) Rebuttal REmoval of New  WH Solar AdjustMI 3 4" xfId="14066"/>
    <cellStyle name="_Portfolio SPlan Base Case.xls Chart 3_Book2_Electric Rev Req Model (2009 GRC) Rebuttal REmoval of New  WH Solar AdjustMI 4" xfId="14067"/>
    <cellStyle name="_Portfolio SPlan Base Case.xls Chart 3_Book2_Electric Rev Req Model (2009 GRC) Rebuttal REmoval of New  WH Solar AdjustMI 4 2" xfId="14068"/>
    <cellStyle name="_Portfolio SPlan Base Case.xls Chart 3_Book2_Electric Rev Req Model (2009 GRC) Rebuttal REmoval of New  WH Solar AdjustMI 5" xfId="14069"/>
    <cellStyle name="_Portfolio SPlan Base Case.xls Chart 3_Book2_Electric Rev Req Model (2009 GRC) Rebuttal REmoval of New  WH Solar AdjustMI_DEM-WP(C) ENERG10C--ctn Mid-C_042010 2010GRC" xfId="14070"/>
    <cellStyle name="_Portfolio SPlan Base Case.xls Chart 3_Book2_Electric Rev Req Model (2009 GRC) Rebuttal REmoval of New  WH Solar AdjustMI_DEM-WP(C) ENERG10C--ctn Mid-C_042010 2010GRC 2" xfId="14071"/>
    <cellStyle name="_Portfolio SPlan Base Case.xls Chart 3_Book2_Electric Rev Req Model (2009 GRC) Revised 01-18-2010" xfId="712"/>
    <cellStyle name="_Portfolio SPlan Base Case.xls Chart 3_Book2_Electric Rev Req Model (2009 GRC) Revised 01-18-2010 2" xfId="14072"/>
    <cellStyle name="_Portfolio SPlan Base Case.xls Chart 3_Book2_Electric Rev Req Model (2009 GRC) Revised 01-18-2010 2 2" xfId="14073"/>
    <cellStyle name="_Portfolio SPlan Base Case.xls Chart 3_Book2_Electric Rev Req Model (2009 GRC) Revised 01-18-2010 2 2 2" xfId="14074"/>
    <cellStyle name="_Portfolio SPlan Base Case.xls Chart 3_Book2_Electric Rev Req Model (2009 GRC) Revised 01-18-2010 2 2 2 2" xfId="14075"/>
    <cellStyle name="_Portfolio SPlan Base Case.xls Chart 3_Book2_Electric Rev Req Model (2009 GRC) Revised 01-18-2010 2 2 3" xfId="14076"/>
    <cellStyle name="_Portfolio SPlan Base Case.xls Chart 3_Book2_Electric Rev Req Model (2009 GRC) Revised 01-18-2010 2 2 4" xfId="14077"/>
    <cellStyle name="_Portfolio SPlan Base Case.xls Chart 3_Book2_Electric Rev Req Model (2009 GRC) Revised 01-18-2010 2 3" xfId="14078"/>
    <cellStyle name="_Portfolio SPlan Base Case.xls Chart 3_Book2_Electric Rev Req Model (2009 GRC) Revised 01-18-2010 2 3 2" xfId="14079"/>
    <cellStyle name="_Portfolio SPlan Base Case.xls Chart 3_Book2_Electric Rev Req Model (2009 GRC) Revised 01-18-2010 2 4" xfId="14080"/>
    <cellStyle name="_Portfolio SPlan Base Case.xls Chart 3_Book2_Electric Rev Req Model (2009 GRC) Revised 01-18-2010 3" xfId="14081"/>
    <cellStyle name="_Portfolio SPlan Base Case.xls Chart 3_Book2_Electric Rev Req Model (2009 GRC) Revised 01-18-2010 3 2" xfId="14082"/>
    <cellStyle name="_Portfolio SPlan Base Case.xls Chart 3_Book2_Electric Rev Req Model (2009 GRC) Revised 01-18-2010 3 2 2" xfId="14083"/>
    <cellStyle name="_Portfolio SPlan Base Case.xls Chart 3_Book2_Electric Rev Req Model (2009 GRC) Revised 01-18-2010 3 3" xfId="14084"/>
    <cellStyle name="_Portfolio SPlan Base Case.xls Chart 3_Book2_Electric Rev Req Model (2009 GRC) Revised 01-18-2010 3 4" xfId="14085"/>
    <cellStyle name="_Portfolio SPlan Base Case.xls Chart 3_Book2_Electric Rev Req Model (2009 GRC) Revised 01-18-2010 4" xfId="14086"/>
    <cellStyle name="_Portfolio SPlan Base Case.xls Chart 3_Book2_Electric Rev Req Model (2009 GRC) Revised 01-18-2010 4 2" xfId="14087"/>
    <cellStyle name="_Portfolio SPlan Base Case.xls Chart 3_Book2_Electric Rev Req Model (2009 GRC) Revised 01-18-2010 5" xfId="14088"/>
    <cellStyle name="_Portfolio SPlan Base Case.xls Chart 3_Book2_Electric Rev Req Model (2009 GRC) Revised 01-18-2010_DEM-WP(C) ENERG10C--ctn Mid-C_042010 2010GRC" xfId="14089"/>
    <cellStyle name="_Portfolio SPlan Base Case.xls Chart 3_Book2_Electric Rev Req Model (2009 GRC) Revised 01-18-2010_DEM-WP(C) ENERG10C--ctn Mid-C_042010 2010GRC 2" xfId="14090"/>
    <cellStyle name="_Portfolio SPlan Base Case.xls Chart 3_Book2_Final Order Electric EXHIBIT A-1" xfId="713"/>
    <cellStyle name="_Portfolio SPlan Base Case.xls Chart 3_Book2_Final Order Electric EXHIBIT A-1 2" xfId="14091"/>
    <cellStyle name="_Portfolio SPlan Base Case.xls Chart 3_Book2_Final Order Electric EXHIBIT A-1 2 2" xfId="14092"/>
    <cellStyle name="_Portfolio SPlan Base Case.xls Chart 3_Book2_Final Order Electric EXHIBIT A-1 2 2 2" xfId="14093"/>
    <cellStyle name="_Portfolio SPlan Base Case.xls Chart 3_Book2_Final Order Electric EXHIBIT A-1 2 3" xfId="14094"/>
    <cellStyle name="_Portfolio SPlan Base Case.xls Chart 3_Book2_Final Order Electric EXHIBIT A-1 2 4" xfId="14095"/>
    <cellStyle name="_Portfolio SPlan Base Case.xls Chart 3_Book2_Final Order Electric EXHIBIT A-1 3" xfId="14096"/>
    <cellStyle name="_Portfolio SPlan Base Case.xls Chart 3_Book2_Final Order Electric EXHIBIT A-1 3 2" xfId="14097"/>
    <cellStyle name="_Portfolio SPlan Base Case.xls Chart 3_Book2_Final Order Electric EXHIBIT A-1 4" xfId="14098"/>
    <cellStyle name="_Portfolio SPlan Base Case.xls Chart 3_Book2_Final Order Electric EXHIBIT A-1 5" xfId="14099"/>
    <cellStyle name="_Portfolio SPlan Base Case.xls Chart 3_Book2_Final Order Electric EXHIBIT A-1 6" xfId="14100"/>
    <cellStyle name="_Portfolio SPlan Base Case.xls Chart 3_Chelan PUD Power Costs (8-10)" xfId="14101"/>
    <cellStyle name="_Portfolio SPlan Base Case.xls Chart 3_Chelan PUD Power Costs (8-10) 2" xfId="14102"/>
    <cellStyle name="_Portfolio SPlan Base Case.xls Chart 3_Colstrip 1&amp;2 Annual O&amp;M Budgets" xfId="14103"/>
    <cellStyle name="_Portfolio SPlan Base Case.xls Chart 3_Confidential Material" xfId="14104"/>
    <cellStyle name="_Portfolio SPlan Base Case.xls Chart 3_Confidential Material 2" xfId="14105"/>
    <cellStyle name="_Portfolio SPlan Base Case.xls Chart 3_DEM-WP(C) Colstrip 12 Coal Cost Forecast 2010GRC" xfId="14106"/>
    <cellStyle name="_Portfolio SPlan Base Case.xls Chart 3_DEM-WP(C) Colstrip 12 Coal Cost Forecast 2010GRC 2" xfId="14107"/>
    <cellStyle name="_Portfolio SPlan Base Case.xls Chart 3_DEM-WP(C) ENERG10C--ctn Mid-C_042010 2010GRC" xfId="14108"/>
    <cellStyle name="_Portfolio SPlan Base Case.xls Chart 3_DEM-WP(C) ENERG10C--ctn Mid-C_042010 2010GRC 2" xfId="14109"/>
    <cellStyle name="_Portfolio SPlan Base Case.xls Chart 3_DEM-WP(C) Production O&amp;M 2010GRC As-Filed" xfId="14110"/>
    <cellStyle name="_Portfolio SPlan Base Case.xls Chart 3_DEM-WP(C) Production O&amp;M 2010GRC As-Filed 2" xfId="14111"/>
    <cellStyle name="_Portfolio SPlan Base Case.xls Chart 3_DEM-WP(C) Production O&amp;M 2010GRC As-Filed 2 2" xfId="14112"/>
    <cellStyle name="_Portfolio SPlan Base Case.xls Chart 3_DEM-WP(C) Production O&amp;M 2010GRC As-Filed 3" xfId="14113"/>
    <cellStyle name="_Portfolio SPlan Base Case.xls Chart 3_DEM-WP(C) Production O&amp;M 2010GRC As-Filed 3 2" xfId="14114"/>
    <cellStyle name="_Portfolio SPlan Base Case.xls Chart 3_DEM-WP(C) Production O&amp;M 2010GRC As-Filed 4" xfId="14115"/>
    <cellStyle name="_Portfolio SPlan Base Case.xls Chart 3_DEM-WP(C) Production O&amp;M 2010GRC As-Filed 4 2" xfId="14116"/>
    <cellStyle name="_Portfolio SPlan Base Case.xls Chart 3_DEM-WP(C) Production O&amp;M 2010GRC As-Filed 5" xfId="14117"/>
    <cellStyle name="_Portfolio SPlan Base Case.xls Chart 3_DEM-WP(C) Production O&amp;M 2010GRC As-Filed 5 2" xfId="14118"/>
    <cellStyle name="_Portfolio SPlan Base Case.xls Chart 3_DEM-WP(C) Production O&amp;M 2010GRC As-Filed 6" xfId="14119"/>
    <cellStyle name="_Portfolio SPlan Base Case.xls Chart 3_DEM-WP(C) Production O&amp;M 2010GRC As-Filed 6 2" xfId="14120"/>
    <cellStyle name="_Portfolio SPlan Base Case.xls Chart 3_Electric Rev Req Model (2009 GRC) " xfId="714"/>
    <cellStyle name="_Portfolio SPlan Base Case.xls Chart 3_Electric Rev Req Model (2009 GRC)  2" xfId="14121"/>
    <cellStyle name="_Portfolio SPlan Base Case.xls Chart 3_Electric Rev Req Model (2009 GRC)  2 2" xfId="14122"/>
    <cellStyle name="_Portfolio SPlan Base Case.xls Chart 3_Electric Rev Req Model (2009 GRC)  2 2 2" xfId="14123"/>
    <cellStyle name="_Portfolio SPlan Base Case.xls Chart 3_Electric Rev Req Model (2009 GRC)  2 2 2 2" xfId="14124"/>
    <cellStyle name="_Portfolio SPlan Base Case.xls Chart 3_Electric Rev Req Model (2009 GRC)  2 2 3" xfId="14125"/>
    <cellStyle name="_Portfolio SPlan Base Case.xls Chart 3_Electric Rev Req Model (2009 GRC)  2 2 4" xfId="14126"/>
    <cellStyle name="_Portfolio SPlan Base Case.xls Chart 3_Electric Rev Req Model (2009 GRC)  2 3" xfId="14127"/>
    <cellStyle name="_Portfolio SPlan Base Case.xls Chart 3_Electric Rev Req Model (2009 GRC)  2 3 2" xfId="14128"/>
    <cellStyle name="_Portfolio SPlan Base Case.xls Chart 3_Electric Rev Req Model (2009 GRC)  2 4" xfId="14129"/>
    <cellStyle name="_Portfolio SPlan Base Case.xls Chart 3_Electric Rev Req Model (2009 GRC)  3" xfId="14130"/>
    <cellStyle name="_Portfolio SPlan Base Case.xls Chart 3_Electric Rev Req Model (2009 GRC)  3 2" xfId="14131"/>
    <cellStyle name="_Portfolio SPlan Base Case.xls Chart 3_Electric Rev Req Model (2009 GRC)  3 2 2" xfId="14132"/>
    <cellStyle name="_Portfolio SPlan Base Case.xls Chart 3_Electric Rev Req Model (2009 GRC)  3 3" xfId="14133"/>
    <cellStyle name="_Portfolio SPlan Base Case.xls Chart 3_Electric Rev Req Model (2009 GRC)  3 4" xfId="14134"/>
    <cellStyle name="_Portfolio SPlan Base Case.xls Chart 3_Electric Rev Req Model (2009 GRC)  4" xfId="14135"/>
    <cellStyle name="_Portfolio SPlan Base Case.xls Chart 3_Electric Rev Req Model (2009 GRC)  4 2" xfId="14136"/>
    <cellStyle name="_Portfolio SPlan Base Case.xls Chart 3_Electric Rev Req Model (2009 GRC)  5" xfId="14137"/>
    <cellStyle name="_Portfolio SPlan Base Case.xls Chart 3_Electric Rev Req Model (2009 GRC) _DEM-WP(C) ENERG10C--ctn Mid-C_042010 2010GRC" xfId="14138"/>
    <cellStyle name="_Portfolio SPlan Base Case.xls Chart 3_Electric Rev Req Model (2009 GRC) _DEM-WP(C) ENERG10C--ctn Mid-C_042010 2010GRC 2" xfId="14139"/>
    <cellStyle name="_Portfolio SPlan Base Case.xls Chart 3_Electric Rev Req Model (2009 GRC) Rebuttal" xfId="715"/>
    <cellStyle name="_Portfolio SPlan Base Case.xls Chart 3_Electric Rev Req Model (2009 GRC) Rebuttal 2" xfId="14140"/>
    <cellStyle name="_Portfolio SPlan Base Case.xls Chart 3_Electric Rev Req Model (2009 GRC) Rebuttal 2 2" xfId="14141"/>
    <cellStyle name="_Portfolio SPlan Base Case.xls Chart 3_Electric Rev Req Model (2009 GRC) Rebuttal 2 2 2" xfId="14142"/>
    <cellStyle name="_Portfolio SPlan Base Case.xls Chart 3_Electric Rev Req Model (2009 GRC) Rebuttal 2 3" xfId="14143"/>
    <cellStyle name="_Portfolio SPlan Base Case.xls Chart 3_Electric Rev Req Model (2009 GRC) Rebuttal 3" xfId="14144"/>
    <cellStyle name="_Portfolio SPlan Base Case.xls Chart 3_Electric Rev Req Model (2009 GRC) Rebuttal 3 2" xfId="14145"/>
    <cellStyle name="_Portfolio SPlan Base Case.xls Chart 3_Electric Rev Req Model (2009 GRC) Rebuttal 4" xfId="14146"/>
    <cellStyle name="_Portfolio SPlan Base Case.xls Chart 3_Electric Rev Req Model (2009 GRC) Rebuttal REmoval of New  WH Solar AdjustMI" xfId="716"/>
    <cellStyle name="_Portfolio SPlan Base Case.xls Chart 3_Electric Rev Req Model (2009 GRC) Rebuttal REmoval of New  WH Solar AdjustMI 2" xfId="14147"/>
    <cellStyle name="_Portfolio SPlan Base Case.xls Chart 3_Electric Rev Req Model (2009 GRC) Rebuttal REmoval of New  WH Solar AdjustMI 2 2" xfId="14148"/>
    <cellStyle name="_Portfolio SPlan Base Case.xls Chart 3_Electric Rev Req Model (2009 GRC) Rebuttal REmoval of New  WH Solar AdjustMI 2 2 2" xfId="14149"/>
    <cellStyle name="_Portfolio SPlan Base Case.xls Chart 3_Electric Rev Req Model (2009 GRC) Rebuttal REmoval of New  WH Solar AdjustMI 2 2 2 2" xfId="14150"/>
    <cellStyle name="_Portfolio SPlan Base Case.xls Chart 3_Electric Rev Req Model (2009 GRC) Rebuttal REmoval of New  WH Solar AdjustMI 2 2 3" xfId="14151"/>
    <cellStyle name="_Portfolio SPlan Base Case.xls Chart 3_Electric Rev Req Model (2009 GRC) Rebuttal REmoval of New  WH Solar AdjustMI 2 2 4" xfId="14152"/>
    <cellStyle name="_Portfolio SPlan Base Case.xls Chart 3_Electric Rev Req Model (2009 GRC) Rebuttal REmoval of New  WH Solar AdjustMI 2 3" xfId="14153"/>
    <cellStyle name="_Portfolio SPlan Base Case.xls Chart 3_Electric Rev Req Model (2009 GRC) Rebuttal REmoval of New  WH Solar AdjustMI 2 3 2" xfId="14154"/>
    <cellStyle name="_Portfolio SPlan Base Case.xls Chart 3_Electric Rev Req Model (2009 GRC) Rebuttal REmoval of New  WH Solar AdjustMI 2 4" xfId="14155"/>
    <cellStyle name="_Portfolio SPlan Base Case.xls Chart 3_Electric Rev Req Model (2009 GRC) Rebuttal REmoval of New  WH Solar AdjustMI 3" xfId="14156"/>
    <cellStyle name="_Portfolio SPlan Base Case.xls Chart 3_Electric Rev Req Model (2009 GRC) Rebuttal REmoval of New  WH Solar AdjustMI 3 2" xfId="14157"/>
    <cellStyle name="_Portfolio SPlan Base Case.xls Chart 3_Electric Rev Req Model (2009 GRC) Rebuttal REmoval of New  WH Solar AdjustMI 3 2 2" xfId="14158"/>
    <cellStyle name="_Portfolio SPlan Base Case.xls Chart 3_Electric Rev Req Model (2009 GRC) Rebuttal REmoval of New  WH Solar AdjustMI 3 3" xfId="14159"/>
    <cellStyle name="_Portfolio SPlan Base Case.xls Chart 3_Electric Rev Req Model (2009 GRC) Rebuttal REmoval of New  WH Solar AdjustMI 3 4" xfId="14160"/>
    <cellStyle name="_Portfolio SPlan Base Case.xls Chart 3_Electric Rev Req Model (2009 GRC) Rebuttal REmoval of New  WH Solar AdjustMI 4" xfId="14161"/>
    <cellStyle name="_Portfolio SPlan Base Case.xls Chart 3_Electric Rev Req Model (2009 GRC) Rebuttal REmoval of New  WH Solar AdjustMI 4 2" xfId="14162"/>
    <cellStyle name="_Portfolio SPlan Base Case.xls Chart 3_Electric Rev Req Model (2009 GRC) Rebuttal REmoval of New  WH Solar AdjustMI 5" xfId="14163"/>
    <cellStyle name="_Portfolio SPlan Base Case.xls Chart 3_Electric Rev Req Model (2009 GRC) Rebuttal REmoval of New  WH Solar AdjustMI_DEM-WP(C) ENERG10C--ctn Mid-C_042010 2010GRC" xfId="14164"/>
    <cellStyle name="_Portfolio SPlan Base Case.xls Chart 3_Electric Rev Req Model (2009 GRC) Rebuttal REmoval of New  WH Solar AdjustMI_DEM-WP(C) ENERG10C--ctn Mid-C_042010 2010GRC 2" xfId="14165"/>
    <cellStyle name="_Portfolio SPlan Base Case.xls Chart 3_Electric Rev Req Model (2009 GRC) Revised 01-18-2010" xfId="717"/>
    <cellStyle name="_Portfolio SPlan Base Case.xls Chart 3_Electric Rev Req Model (2009 GRC) Revised 01-18-2010 2" xfId="14166"/>
    <cellStyle name="_Portfolio SPlan Base Case.xls Chart 3_Electric Rev Req Model (2009 GRC) Revised 01-18-2010 2 2" xfId="14167"/>
    <cellStyle name="_Portfolio SPlan Base Case.xls Chart 3_Electric Rev Req Model (2009 GRC) Revised 01-18-2010 2 2 2" xfId="14168"/>
    <cellStyle name="_Portfolio SPlan Base Case.xls Chart 3_Electric Rev Req Model (2009 GRC) Revised 01-18-2010 2 2 2 2" xfId="14169"/>
    <cellStyle name="_Portfolio SPlan Base Case.xls Chart 3_Electric Rev Req Model (2009 GRC) Revised 01-18-2010 2 2 3" xfId="14170"/>
    <cellStyle name="_Portfolio SPlan Base Case.xls Chart 3_Electric Rev Req Model (2009 GRC) Revised 01-18-2010 2 2 4" xfId="14171"/>
    <cellStyle name="_Portfolio SPlan Base Case.xls Chart 3_Electric Rev Req Model (2009 GRC) Revised 01-18-2010 2 3" xfId="14172"/>
    <cellStyle name="_Portfolio SPlan Base Case.xls Chart 3_Electric Rev Req Model (2009 GRC) Revised 01-18-2010 2 3 2" xfId="14173"/>
    <cellStyle name="_Portfolio SPlan Base Case.xls Chart 3_Electric Rev Req Model (2009 GRC) Revised 01-18-2010 2 4" xfId="14174"/>
    <cellStyle name="_Portfolio SPlan Base Case.xls Chart 3_Electric Rev Req Model (2009 GRC) Revised 01-18-2010 3" xfId="14175"/>
    <cellStyle name="_Portfolio SPlan Base Case.xls Chart 3_Electric Rev Req Model (2009 GRC) Revised 01-18-2010 3 2" xfId="14176"/>
    <cellStyle name="_Portfolio SPlan Base Case.xls Chart 3_Electric Rev Req Model (2009 GRC) Revised 01-18-2010 3 2 2" xfId="14177"/>
    <cellStyle name="_Portfolio SPlan Base Case.xls Chart 3_Electric Rev Req Model (2009 GRC) Revised 01-18-2010 3 3" xfId="14178"/>
    <cellStyle name="_Portfolio SPlan Base Case.xls Chart 3_Electric Rev Req Model (2009 GRC) Revised 01-18-2010 3 4" xfId="14179"/>
    <cellStyle name="_Portfolio SPlan Base Case.xls Chart 3_Electric Rev Req Model (2009 GRC) Revised 01-18-2010 4" xfId="14180"/>
    <cellStyle name="_Portfolio SPlan Base Case.xls Chart 3_Electric Rev Req Model (2009 GRC) Revised 01-18-2010 4 2" xfId="14181"/>
    <cellStyle name="_Portfolio SPlan Base Case.xls Chart 3_Electric Rev Req Model (2009 GRC) Revised 01-18-2010 5" xfId="14182"/>
    <cellStyle name="_Portfolio SPlan Base Case.xls Chart 3_Electric Rev Req Model (2009 GRC) Revised 01-18-2010_DEM-WP(C) ENERG10C--ctn Mid-C_042010 2010GRC" xfId="14183"/>
    <cellStyle name="_Portfolio SPlan Base Case.xls Chart 3_Electric Rev Req Model (2009 GRC) Revised 01-18-2010_DEM-WP(C) ENERG10C--ctn Mid-C_042010 2010GRC 2" xfId="14184"/>
    <cellStyle name="_Portfolio SPlan Base Case.xls Chart 3_Electric Rev Req Model (2010 GRC)" xfId="14185"/>
    <cellStyle name="_Portfolio SPlan Base Case.xls Chart 3_Electric Rev Req Model (2010 GRC) 2" xfId="14186"/>
    <cellStyle name="_Portfolio SPlan Base Case.xls Chart 3_Electric Rev Req Model (2010 GRC) SF" xfId="14187"/>
    <cellStyle name="_Portfolio SPlan Base Case.xls Chart 3_Electric Rev Req Model (2010 GRC) SF 2" xfId="14188"/>
    <cellStyle name="_Portfolio SPlan Base Case.xls Chart 3_Final Order Electric EXHIBIT A-1" xfId="718"/>
    <cellStyle name="_Portfolio SPlan Base Case.xls Chart 3_Final Order Electric EXHIBIT A-1 2" xfId="14189"/>
    <cellStyle name="_Portfolio SPlan Base Case.xls Chart 3_Final Order Electric EXHIBIT A-1 2 2" xfId="14190"/>
    <cellStyle name="_Portfolio SPlan Base Case.xls Chart 3_Final Order Electric EXHIBIT A-1 2 2 2" xfId="14191"/>
    <cellStyle name="_Portfolio SPlan Base Case.xls Chart 3_Final Order Electric EXHIBIT A-1 2 3" xfId="14192"/>
    <cellStyle name="_Portfolio SPlan Base Case.xls Chart 3_Final Order Electric EXHIBIT A-1 2 4" xfId="14193"/>
    <cellStyle name="_Portfolio SPlan Base Case.xls Chart 3_Final Order Electric EXHIBIT A-1 3" xfId="14194"/>
    <cellStyle name="_Portfolio SPlan Base Case.xls Chart 3_Final Order Electric EXHIBIT A-1 3 2" xfId="14195"/>
    <cellStyle name="_Portfolio SPlan Base Case.xls Chart 3_Final Order Electric EXHIBIT A-1 4" xfId="14196"/>
    <cellStyle name="_Portfolio SPlan Base Case.xls Chart 3_Final Order Electric EXHIBIT A-1 5" xfId="14197"/>
    <cellStyle name="_Portfolio SPlan Base Case.xls Chart 3_Final Order Electric EXHIBIT A-1 6" xfId="14198"/>
    <cellStyle name="_Portfolio SPlan Base Case.xls Chart 3_NIM Summary" xfId="14199"/>
    <cellStyle name="_Portfolio SPlan Base Case.xls Chart 3_NIM Summary 2" xfId="14200"/>
    <cellStyle name="_Portfolio SPlan Base Case.xls Chart 3_NIM Summary 2 2" xfId="14201"/>
    <cellStyle name="_Portfolio SPlan Base Case.xls Chart 3_NIM Summary 2 2 2" xfId="14202"/>
    <cellStyle name="_Portfolio SPlan Base Case.xls Chart 3_NIM Summary 2 2 2 2" xfId="14203"/>
    <cellStyle name="_Portfolio SPlan Base Case.xls Chart 3_NIM Summary 2 2 3" xfId="14204"/>
    <cellStyle name="_Portfolio SPlan Base Case.xls Chart 3_NIM Summary 2 2 4" xfId="14205"/>
    <cellStyle name="_Portfolio SPlan Base Case.xls Chart 3_NIM Summary 2 3" xfId="14206"/>
    <cellStyle name="_Portfolio SPlan Base Case.xls Chart 3_NIM Summary 2 3 2" xfId="14207"/>
    <cellStyle name="_Portfolio SPlan Base Case.xls Chart 3_NIM Summary 2 4" xfId="14208"/>
    <cellStyle name="_Portfolio SPlan Base Case.xls Chart 3_NIM Summary 3" xfId="14209"/>
    <cellStyle name="_Portfolio SPlan Base Case.xls Chart 3_NIM Summary 3 2" xfId="14210"/>
    <cellStyle name="_Portfolio SPlan Base Case.xls Chart 3_NIM Summary 3 2 2" xfId="14211"/>
    <cellStyle name="_Portfolio SPlan Base Case.xls Chart 3_NIM Summary 3 3" xfId="14212"/>
    <cellStyle name="_Portfolio SPlan Base Case.xls Chart 3_NIM Summary 3 4" xfId="14213"/>
    <cellStyle name="_Portfolio SPlan Base Case.xls Chart 3_NIM Summary 4" xfId="14214"/>
    <cellStyle name="_Portfolio SPlan Base Case.xls Chart 3_NIM Summary 4 2" xfId="14215"/>
    <cellStyle name="_Portfolio SPlan Base Case.xls Chart 3_NIM Summary 5" xfId="14216"/>
    <cellStyle name="_Portfolio SPlan Base Case.xls Chart 3_NIM Summary_DEM-WP(C) ENERG10C--ctn Mid-C_042010 2010GRC" xfId="14217"/>
    <cellStyle name="_Portfolio SPlan Base Case.xls Chart 3_NIM Summary_DEM-WP(C) ENERG10C--ctn Mid-C_042010 2010GRC 2" xfId="14218"/>
    <cellStyle name="_Portfolio SPlan Base Case.xls Chart 3_Rebuttal Power Costs" xfId="719"/>
    <cellStyle name="_Portfolio SPlan Base Case.xls Chart 3_Rebuttal Power Costs 2" xfId="14219"/>
    <cellStyle name="_Portfolio SPlan Base Case.xls Chart 3_Rebuttal Power Costs 2 2" xfId="14220"/>
    <cellStyle name="_Portfolio SPlan Base Case.xls Chart 3_Rebuttal Power Costs 2 2 2" xfId="14221"/>
    <cellStyle name="_Portfolio SPlan Base Case.xls Chart 3_Rebuttal Power Costs 2 2 2 2" xfId="14222"/>
    <cellStyle name="_Portfolio SPlan Base Case.xls Chart 3_Rebuttal Power Costs 2 2 3" xfId="14223"/>
    <cellStyle name="_Portfolio SPlan Base Case.xls Chart 3_Rebuttal Power Costs 2 2 4" xfId="14224"/>
    <cellStyle name="_Portfolio SPlan Base Case.xls Chart 3_Rebuttal Power Costs 2 3" xfId="14225"/>
    <cellStyle name="_Portfolio SPlan Base Case.xls Chart 3_Rebuttal Power Costs 2 3 2" xfId="14226"/>
    <cellStyle name="_Portfolio SPlan Base Case.xls Chart 3_Rebuttal Power Costs 2 4" xfId="14227"/>
    <cellStyle name="_Portfolio SPlan Base Case.xls Chart 3_Rebuttal Power Costs 3" xfId="14228"/>
    <cellStyle name="_Portfolio SPlan Base Case.xls Chart 3_Rebuttal Power Costs 3 2" xfId="14229"/>
    <cellStyle name="_Portfolio SPlan Base Case.xls Chart 3_Rebuttal Power Costs 3 2 2" xfId="14230"/>
    <cellStyle name="_Portfolio SPlan Base Case.xls Chart 3_Rebuttal Power Costs 3 3" xfId="14231"/>
    <cellStyle name="_Portfolio SPlan Base Case.xls Chart 3_Rebuttal Power Costs 3 4" xfId="14232"/>
    <cellStyle name="_Portfolio SPlan Base Case.xls Chart 3_Rebuttal Power Costs 4" xfId="14233"/>
    <cellStyle name="_Portfolio SPlan Base Case.xls Chart 3_Rebuttal Power Costs 4 2" xfId="14234"/>
    <cellStyle name="_Portfolio SPlan Base Case.xls Chart 3_Rebuttal Power Costs 5" xfId="14235"/>
    <cellStyle name="_Portfolio SPlan Base Case.xls Chart 3_Rebuttal Power Costs_Adj Bench DR 3 for Initial Briefs (Electric)" xfId="720"/>
    <cellStyle name="_Portfolio SPlan Base Case.xls Chart 3_Rebuttal Power Costs_Adj Bench DR 3 for Initial Briefs (Electric) 2" xfId="14236"/>
    <cellStyle name="_Portfolio SPlan Base Case.xls Chart 3_Rebuttal Power Costs_Adj Bench DR 3 for Initial Briefs (Electric) 2 2" xfId="14237"/>
    <cellStyle name="_Portfolio SPlan Base Case.xls Chart 3_Rebuttal Power Costs_Adj Bench DR 3 for Initial Briefs (Electric) 2 2 2" xfId="14238"/>
    <cellStyle name="_Portfolio SPlan Base Case.xls Chart 3_Rebuttal Power Costs_Adj Bench DR 3 for Initial Briefs (Electric) 2 2 2 2" xfId="14239"/>
    <cellStyle name="_Portfolio SPlan Base Case.xls Chart 3_Rebuttal Power Costs_Adj Bench DR 3 for Initial Briefs (Electric) 2 2 3" xfId="14240"/>
    <cellStyle name="_Portfolio SPlan Base Case.xls Chart 3_Rebuttal Power Costs_Adj Bench DR 3 for Initial Briefs (Electric) 2 2 4" xfId="14241"/>
    <cellStyle name="_Portfolio SPlan Base Case.xls Chart 3_Rebuttal Power Costs_Adj Bench DR 3 for Initial Briefs (Electric) 2 3" xfId="14242"/>
    <cellStyle name="_Portfolio SPlan Base Case.xls Chart 3_Rebuttal Power Costs_Adj Bench DR 3 for Initial Briefs (Electric) 2 3 2" xfId="14243"/>
    <cellStyle name="_Portfolio SPlan Base Case.xls Chart 3_Rebuttal Power Costs_Adj Bench DR 3 for Initial Briefs (Electric) 2 4" xfId="14244"/>
    <cellStyle name="_Portfolio SPlan Base Case.xls Chart 3_Rebuttal Power Costs_Adj Bench DR 3 for Initial Briefs (Electric) 3" xfId="14245"/>
    <cellStyle name="_Portfolio SPlan Base Case.xls Chart 3_Rebuttal Power Costs_Adj Bench DR 3 for Initial Briefs (Electric) 3 2" xfId="14246"/>
    <cellStyle name="_Portfolio SPlan Base Case.xls Chart 3_Rebuttal Power Costs_Adj Bench DR 3 for Initial Briefs (Electric) 3 2 2" xfId="14247"/>
    <cellStyle name="_Portfolio SPlan Base Case.xls Chart 3_Rebuttal Power Costs_Adj Bench DR 3 for Initial Briefs (Electric) 3 3" xfId="14248"/>
    <cellStyle name="_Portfolio SPlan Base Case.xls Chart 3_Rebuttal Power Costs_Adj Bench DR 3 for Initial Briefs (Electric) 3 4" xfId="14249"/>
    <cellStyle name="_Portfolio SPlan Base Case.xls Chart 3_Rebuttal Power Costs_Adj Bench DR 3 for Initial Briefs (Electric) 4" xfId="14250"/>
    <cellStyle name="_Portfolio SPlan Base Case.xls Chart 3_Rebuttal Power Costs_Adj Bench DR 3 for Initial Briefs (Electric) 4 2" xfId="14251"/>
    <cellStyle name="_Portfolio SPlan Base Case.xls Chart 3_Rebuttal Power Costs_Adj Bench DR 3 for Initial Briefs (Electric) 5" xfId="14252"/>
    <cellStyle name="_Portfolio SPlan Base Case.xls Chart 3_Rebuttal Power Costs_Adj Bench DR 3 for Initial Briefs (Electric)_DEM-WP(C) ENERG10C--ctn Mid-C_042010 2010GRC" xfId="14253"/>
    <cellStyle name="_Portfolio SPlan Base Case.xls Chart 3_Rebuttal Power Costs_Adj Bench DR 3 for Initial Briefs (Electric)_DEM-WP(C) ENERG10C--ctn Mid-C_042010 2010GRC 2" xfId="14254"/>
    <cellStyle name="_Portfolio SPlan Base Case.xls Chart 3_Rebuttal Power Costs_DEM-WP(C) ENERG10C--ctn Mid-C_042010 2010GRC" xfId="14255"/>
    <cellStyle name="_Portfolio SPlan Base Case.xls Chart 3_Rebuttal Power Costs_DEM-WP(C) ENERG10C--ctn Mid-C_042010 2010GRC 2" xfId="14256"/>
    <cellStyle name="_Portfolio SPlan Base Case.xls Chart 3_Rebuttal Power Costs_Electric Rev Req Model (2009 GRC) Rebuttal" xfId="721"/>
    <cellStyle name="_Portfolio SPlan Base Case.xls Chart 3_Rebuttal Power Costs_Electric Rev Req Model (2009 GRC) Rebuttal 2" xfId="14257"/>
    <cellStyle name="_Portfolio SPlan Base Case.xls Chart 3_Rebuttal Power Costs_Electric Rev Req Model (2009 GRC) Rebuttal 2 2" xfId="14258"/>
    <cellStyle name="_Portfolio SPlan Base Case.xls Chart 3_Rebuttal Power Costs_Electric Rev Req Model (2009 GRC) Rebuttal 2 2 2" xfId="14259"/>
    <cellStyle name="_Portfolio SPlan Base Case.xls Chart 3_Rebuttal Power Costs_Electric Rev Req Model (2009 GRC) Rebuttal 2 3" xfId="14260"/>
    <cellStyle name="_Portfolio SPlan Base Case.xls Chart 3_Rebuttal Power Costs_Electric Rev Req Model (2009 GRC) Rebuttal 3" xfId="14261"/>
    <cellStyle name="_Portfolio SPlan Base Case.xls Chart 3_Rebuttal Power Costs_Electric Rev Req Model (2009 GRC) Rebuttal 3 2" xfId="14262"/>
    <cellStyle name="_Portfolio SPlan Base Case.xls Chart 3_Rebuttal Power Costs_Electric Rev Req Model (2009 GRC) Rebuttal 4" xfId="14263"/>
    <cellStyle name="_Portfolio SPlan Base Case.xls Chart 3_Rebuttal Power Costs_Electric Rev Req Model (2009 GRC) Rebuttal REmoval of New  WH Solar AdjustMI" xfId="722"/>
    <cellStyle name="_Portfolio SPlan Base Case.xls Chart 3_Rebuttal Power Costs_Electric Rev Req Model (2009 GRC) Rebuttal REmoval of New  WH Solar AdjustMI 2" xfId="14264"/>
    <cellStyle name="_Portfolio SPlan Base Case.xls Chart 3_Rebuttal Power Costs_Electric Rev Req Model (2009 GRC) Rebuttal REmoval of New  WH Solar AdjustMI 2 2" xfId="14265"/>
    <cellStyle name="_Portfolio SPlan Base Case.xls Chart 3_Rebuttal Power Costs_Electric Rev Req Model (2009 GRC) Rebuttal REmoval of New  WH Solar AdjustMI 2 2 2" xfId="14266"/>
    <cellStyle name="_Portfolio SPlan Base Case.xls Chart 3_Rebuttal Power Costs_Electric Rev Req Model (2009 GRC) Rebuttal REmoval of New  WH Solar AdjustMI 2 2 2 2" xfId="14267"/>
    <cellStyle name="_Portfolio SPlan Base Case.xls Chart 3_Rebuttal Power Costs_Electric Rev Req Model (2009 GRC) Rebuttal REmoval of New  WH Solar AdjustMI 2 2 3" xfId="14268"/>
    <cellStyle name="_Portfolio SPlan Base Case.xls Chart 3_Rebuttal Power Costs_Electric Rev Req Model (2009 GRC) Rebuttal REmoval of New  WH Solar AdjustMI 2 2 4" xfId="14269"/>
    <cellStyle name="_Portfolio SPlan Base Case.xls Chart 3_Rebuttal Power Costs_Electric Rev Req Model (2009 GRC) Rebuttal REmoval of New  WH Solar AdjustMI 2 3" xfId="14270"/>
    <cellStyle name="_Portfolio SPlan Base Case.xls Chart 3_Rebuttal Power Costs_Electric Rev Req Model (2009 GRC) Rebuttal REmoval of New  WH Solar AdjustMI 2 3 2" xfId="14271"/>
    <cellStyle name="_Portfolio SPlan Base Case.xls Chart 3_Rebuttal Power Costs_Electric Rev Req Model (2009 GRC) Rebuttal REmoval of New  WH Solar AdjustMI 2 4" xfId="14272"/>
    <cellStyle name="_Portfolio SPlan Base Case.xls Chart 3_Rebuttal Power Costs_Electric Rev Req Model (2009 GRC) Rebuttal REmoval of New  WH Solar AdjustMI 3" xfId="14273"/>
    <cellStyle name="_Portfolio SPlan Base Case.xls Chart 3_Rebuttal Power Costs_Electric Rev Req Model (2009 GRC) Rebuttal REmoval of New  WH Solar AdjustMI 3 2" xfId="14274"/>
    <cellStyle name="_Portfolio SPlan Base Case.xls Chart 3_Rebuttal Power Costs_Electric Rev Req Model (2009 GRC) Rebuttal REmoval of New  WH Solar AdjustMI 3 2 2" xfId="14275"/>
    <cellStyle name="_Portfolio SPlan Base Case.xls Chart 3_Rebuttal Power Costs_Electric Rev Req Model (2009 GRC) Rebuttal REmoval of New  WH Solar AdjustMI 3 3" xfId="14276"/>
    <cellStyle name="_Portfolio SPlan Base Case.xls Chart 3_Rebuttal Power Costs_Electric Rev Req Model (2009 GRC) Rebuttal REmoval of New  WH Solar AdjustMI 3 4" xfId="14277"/>
    <cellStyle name="_Portfolio SPlan Base Case.xls Chart 3_Rebuttal Power Costs_Electric Rev Req Model (2009 GRC) Rebuttal REmoval of New  WH Solar AdjustMI 4" xfId="14278"/>
    <cellStyle name="_Portfolio SPlan Base Case.xls Chart 3_Rebuttal Power Costs_Electric Rev Req Model (2009 GRC) Rebuttal REmoval of New  WH Solar AdjustMI 4 2" xfId="14279"/>
    <cellStyle name="_Portfolio SPlan Base Case.xls Chart 3_Rebuttal Power Costs_Electric Rev Req Model (2009 GRC) Rebuttal REmoval of New  WH Solar AdjustMI 5" xfId="14280"/>
    <cellStyle name="_Portfolio SPlan Base Case.xls Chart 3_Rebuttal Power Costs_Electric Rev Req Model (2009 GRC) Rebuttal REmoval of New  WH Solar AdjustMI_DEM-WP(C) ENERG10C--ctn Mid-C_042010 2010GRC" xfId="14281"/>
    <cellStyle name="_Portfolio SPlan Base Case.xls Chart 3_Rebuttal Power Costs_Electric Rev Req Model (2009 GRC) Rebuttal REmoval of New  WH Solar AdjustMI_DEM-WP(C) ENERG10C--ctn Mid-C_042010 2010GRC 2" xfId="14282"/>
    <cellStyle name="_Portfolio SPlan Base Case.xls Chart 3_Rebuttal Power Costs_Electric Rev Req Model (2009 GRC) Revised 01-18-2010" xfId="723"/>
    <cellStyle name="_Portfolio SPlan Base Case.xls Chart 3_Rebuttal Power Costs_Electric Rev Req Model (2009 GRC) Revised 01-18-2010 2" xfId="14283"/>
    <cellStyle name="_Portfolio SPlan Base Case.xls Chart 3_Rebuttal Power Costs_Electric Rev Req Model (2009 GRC) Revised 01-18-2010 2 2" xfId="14284"/>
    <cellStyle name="_Portfolio SPlan Base Case.xls Chart 3_Rebuttal Power Costs_Electric Rev Req Model (2009 GRC) Revised 01-18-2010 2 2 2" xfId="14285"/>
    <cellStyle name="_Portfolio SPlan Base Case.xls Chart 3_Rebuttal Power Costs_Electric Rev Req Model (2009 GRC) Revised 01-18-2010 2 2 2 2" xfId="14286"/>
    <cellStyle name="_Portfolio SPlan Base Case.xls Chart 3_Rebuttal Power Costs_Electric Rev Req Model (2009 GRC) Revised 01-18-2010 2 2 3" xfId="14287"/>
    <cellStyle name="_Portfolio SPlan Base Case.xls Chart 3_Rebuttal Power Costs_Electric Rev Req Model (2009 GRC) Revised 01-18-2010 2 2 4" xfId="14288"/>
    <cellStyle name="_Portfolio SPlan Base Case.xls Chart 3_Rebuttal Power Costs_Electric Rev Req Model (2009 GRC) Revised 01-18-2010 2 3" xfId="14289"/>
    <cellStyle name="_Portfolio SPlan Base Case.xls Chart 3_Rebuttal Power Costs_Electric Rev Req Model (2009 GRC) Revised 01-18-2010 2 3 2" xfId="14290"/>
    <cellStyle name="_Portfolio SPlan Base Case.xls Chart 3_Rebuttal Power Costs_Electric Rev Req Model (2009 GRC) Revised 01-18-2010 2 4" xfId="14291"/>
    <cellStyle name="_Portfolio SPlan Base Case.xls Chart 3_Rebuttal Power Costs_Electric Rev Req Model (2009 GRC) Revised 01-18-2010 3" xfId="14292"/>
    <cellStyle name="_Portfolio SPlan Base Case.xls Chart 3_Rebuttal Power Costs_Electric Rev Req Model (2009 GRC) Revised 01-18-2010 3 2" xfId="14293"/>
    <cellStyle name="_Portfolio SPlan Base Case.xls Chart 3_Rebuttal Power Costs_Electric Rev Req Model (2009 GRC) Revised 01-18-2010 3 2 2" xfId="14294"/>
    <cellStyle name="_Portfolio SPlan Base Case.xls Chart 3_Rebuttal Power Costs_Electric Rev Req Model (2009 GRC) Revised 01-18-2010 3 3" xfId="14295"/>
    <cellStyle name="_Portfolio SPlan Base Case.xls Chart 3_Rebuttal Power Costs_Electric Rev Req Model (2009 GRC) Revised 01-18-2010 3 4" xfId="14296"/>
    <cellStyle name="_Portfolio SPlan Base Case.xls Chart 3_Rebuttal Power Costs_Electric Rev Req Model (2009 GRC) Revised 01-18-2010 4" xfId="14297"/>
    <cellStyle name="_Portfolio SPlan Base Case.xls Chart 3_Rebuttal Power Costs_Electric Rev Req Model (2009 GRC) Revised 01-18-2010 4 2" xfId="14298"/>
    <cellStyle name="_Portfolio SPlan Base Case.xls Chart 3_Rebuttal Power Costs_Electric Rev Req Model (2009 GRC) Revised 01-18-2010 5" xfId="14299"/>
    <cellStyle name="_Portfolio SPlan Base Case.xls Chart 3_Rebuttal Power Costs_Electric Rev Req Model (2009 GRC) Revised 01-18-2010_DEM-WP(C) ENERG10C--ctn Mid-C_042010 2010GRC" xfId="14300"/>
    <cellStyle name="_Portfolio SPlan Base Case.xls Chart 3_Rebuttal Power Costs_Electric Rev Req Model (2009 GRC) Revised 01-18-2010_DEM-WP(C) ENERG10C--ctn Mid-C_042010 2010GRC 2" xfId="14301"/>
    <cellStyle name="_Portfolio SPlan Base Case.xls Chart 3_Rebuttal Power Costs_Final Order Electric EXHIBIT A-1" xfId="724"/>
    <cellStyle name="_Portfolio SPlan Base Case.xls Chart 3_Rebuttal Power Costs_Final Order Electric EXHIBIT A-1 2" xfId="14302"/>
    <cellStyle name="_Portfolio SPlan Base Case.xls Chart 3_Rebuttal Power Costs_Final Order Electric EXHIBIT A-1 2 2" xfId="14303"/>
    <cellStyle name="_Portfolio SPlan Base Case.xls Chart 3_Rebuttal Power Costs_Final Order Electric EXHIBIT A-1 2 2 2" xfId="14304"/>
    <cellStyle name="_Portfolio SPlan Base Case.xls Chart 3_Rebuttal Power Costs_Final Order Electric EXHIBIT A-1 2 3" xfId="14305"/>
    <cellStyle name="_Portfolio SPlan Base Case.xls Chart 3_Rebuttal Power Costs_Final Order Electric EXHIBIT A-1 2 4" xfId="14306"/>
    <cellStyle name="_Portfolio SPlan Base Case.xls Chart 3_Rebuttal Power Costs_Final Order Electric EXHIBIT A-1 3" xfId="14307"/>
    <cellStyle name="_Portfolio SPlan Base Case.xls Chart 3_Rebuttal Power Costs_Final Order Electric EXHIBIT A-1 3 2" xfId="14308"/>
    <cellStyle name="_Portfolio SPlan Base Case.xls Chart 3_Rebuttal Power Costs_Final Order Electric EXHIBIT A-1 4" xfId="14309"/>
    <cellStyle name="_Portfolio SPlan Base Case.xls Chart 3_Rebuttal Power Costs_Final Order Electric EXHIBIT A-1 5" xfId="14310"/>
    <cellStyle name="_Portfolio SPlan Base Case.xls Chart 3_Rebuttal Power Costs_Final Order Electric EXHIBIT A-1 6" xfId="14311"/>
    <cellStyle name="_Portfolio SPlan Base Case.xls Chart 3_TENASKA REGULATORY ASSET" xfId="725"/>
    <cellStyle name="_Portfolio SPlan Base Case.xls Chart 3_TENASKA REGULATORY ASSET 2" xfId="14312"/>
    <cellStyle name="_Portfolio SPlan Base Case.xls Chart 3_TENASKA REGULATORY ASSET 2 2" xfId="14313"/>
    <cellStyle name="_Portfolio SPlan Base Case.xls Chart 3_TENASKA REGULATORY ASSET 2 2 2" xfId="14314"/>
    <cellStyle name="_Portfolio SPlan Base Case.xls Chart 3_TENASKA REGULATORY ASSET 2 3" xfId="14315"/>
    <cellStyle name="_Portfolio SPlan Base Case.xls Chart 3_TENASKA REGULATORY ASSET 2 4" xfId="14316"/>
    <cellStyle name="_Portfolio SPlan Base Case.xls Chart 3_TENASKA REGULATORY ASSET 3" xfId="14317"/>
    <cellStyle name="_Portfolio SPlan Base Case.xls Chart 3_TENASKA REGULATORY ASSET 3 2" xfId="14318"/>
    <cellStyle name="_Portfolio SPlan Base Case.xls Chart 3_TENASKA REGULATORY ASSET 4" xfId="14319"/>
    <cellStyle name="_Portfolio SPlan Base Case.xls Chart 3_TENASKA REGULATORY ASSET 5" xfId="14320"/>
    <cellStyle name="_Portfolio SPlan Base Case.xls Chart 3_TENASKA REGULATORY ASSET 6" xfId="14321"/>
    <cellStyle name="_Power Cost Value Copy 11.30.05 gas 1.09.06 AURORA at 1.10.06" xfId="726"/>
    <cellStyle name="_Power Cost Value Copy 11.30.05 gas 1.09.06 AURORA at 1.10.06 10" xfId="14322"/>
    <cellStyle name="_Power Cost Value Copy 11.30.05 gas 1.09.06 AURORA at 1.10.06 2" xfId="727"/>
    <cellStyle name="_Power Cost Value Copy 11.30.05 gas 1.09.06 AURORA at 1.10.06 2 2" xfId="14323"/>
    <cellStyle name="_Power Cost Value Copy 11.30.05 gas 1.09.06 AURORA at 1.10.06 2 2 2" xfId="14324"/>
    <cellStyle name="_Power Cost Value Copy 11.30.05 gas 1.09.06 AURORA at 1.10.06 2 2 2 2" xfId="14325"/>
    <cellStyle name="_Power Cost Value Copy 11.30.05 gas 1.09.06 AURORA at 1.10.06 2 2 2 2 2" xfId="14326"/>
    <cellStyle name="_Power Cost Value Copy 11.30.05 gas 1.09.06 AURORA at 1.10.06 2 2 2 3" xfId="14327"/>
    <cellStyle name="_Power Cost Value Copy 11.30.05 gas 1.09.06 AURORA at 1.10.06 2 2 2 4" xfId="14328"/>
    <cellStyle name="_Power Cost Value Copy 11.30.05 gas 1.09.06 AURORA at 1.10.06 2 2 3" xfId="14329"/>
    <cellStyle name="_Power Cost Value Copy 11.30.05 gas 1.09.06 AURORA at 1.10.06 2 2 3 2" xfId="14330"/>
    <cellStyle name="_Power Cost Value Copy 11.30.05 gas 1.09.06 AURORA at 1.10.06 2 2 4" xfId="14331"/>
    <cellStyle name="_Power Cost Value Copy 11.30.05 gas 1.09.06 AURORA at 1.10.06 2 3" xfId="14332"/>
    <cellStyle name="_Power Cost Value Copy 11.30.05 gas 1.09.06 AURORA at 1.10.06 2 3 2" xfId="14333"/>
    <cellStyle name="_Power Cost Value Copy 11.30.05 gas 1.09.06 AURORA at 1.10.06 2 3 2 2" xfId="14334"/>
    <cellStyle name="_Power Cost Value Copy 11.30.05 gas 1.09.06 AURORA at 1.10.06 2 3 3" xfId="14335"/>
    <cellStyle name="_Power Cost Value Copy 11.30.05 gas 1.09.06 AURORA at 1.10.06 2 3 4" xfId="14336"/>
    <cellStyle name="_Power Cost Value Copy 11.30.05 gas 1.09.06 AURORA at 1.10.06 2 4" xfId="14337"/>
    <cellStyle name="_Power Cost Value Copy 11.30.05 gas 1.09.06 AURORA at 1.10.06 2 4 2" xfId="14338"/>
    <cellStyle name="_Power Cost Value Copy 11.30.05 gas 1.09.06 AURORA at 1.10.06 2 5" xfId="14339"/>
    <cellStyle name="_Power Cost Value Copy 11.30.05 gas 1.09.06 AURORA at 1.10.06 3" xfId="14340"/>
    <cellStyle name="_Power Cost Value Copy 11.30.05 gas 1.09.06 AURORA at 1.10.06 3 2" xfId="14341"/>
    <cellStyle name="_Power Cost Value Copy 11.30.05 gas 1.09.06 AURORA at 1.10.06 3 2 2" xfId="14342"/>
    <cellStyle name="_Power Cost Value Copy 11.30.05 gas 1.09.06 AURORA at 1.10.06 3 2 2 2" xfId="14343"/>
    <cellStyle name="_Power Cost Value Copy 11.30.05 gas 1.09.06 AURORA at 1.10.06 3 2 3" xfId="14344"/>
    <cellStyle name="_Power Cost Value Copy 11.30.05 gas 1.09.06 AURORA at 1.10.06 3 2 4" xfId="14345"/>
    <cellStyle name="_Power Cost Value Copy 11.30.05 gas 1.09.06 AURORA at 1.10.06 3 3" xfId="14346"/>
    <cellStyle name="_Power Cost Value Copy 11.30.05 gas 1.09.06 AURORA at 1.10.06 3 3 2" xfId="14347"/>
    <cellStyle name="_Power Cost Value Copy 11.30.05 gas 1.09.06 AURORA at 1.10.06 3 4" xfId="14348"/>
    <cellStyle name="_Power Cost Value Copy 11.30.05 gas 1.09.06 AURORA at 1.10.06 4" xfId="14349"/>
    <cellStyle name="_Power Cost Value Copy 11.30.05 gas 1.09.06 AURORA at 1.10.06 4 2" xfId="14350"/>
    <cellStyle name="_Power Cost Value Copy 11.30.05 gas 1.09.06 AURORA at 1.10.06 4 2 2" xfId="14351"/>
    <cellStyle name="_Power Cost Value Copy 11.30.05 gas 1.09.06 AURORA at 1.10.06 4 2 2 2" xfId="14352"/>
    <cellStyle name="_Power Cost Value Copy 11.30.05 gas 1.09.06 AURORA at 1.10.06 4 2 2 2 2" xfId="14353"/>
    <cellStyle name="_Power Cost Value Copy 11.30.05 gas 1.09.06 AURORA at 1.10.06 4 2 2 3" xfId="14354"/>
    <cellStyle name="_Power Cost Value Copy 11.30.05 gas 1.09.06 AURORA at 1.10.06 4 2 3" xfId="14355"/>
    <cellStyle name="_Power Cost Value Copy 11.30.05 gas 1.09.06 AURORA at 1.10.06 4 2 3 2" xfId="14356"/>
    <cellStyle name="_Power Cost Value Copy 11.30.05 gas 1.09.06 AURORA at 1.10.06 4 2 4" xfId="14357"/>
    <cellStyle name="_Power Cost Value Copy 11.30.05 gas 1.09.06 AURORA at 1.10.06 4 3" xfId="14358"/>
    <cellStyle name="_Power Cost Value Copy 11.30.05 gas 1.09.06 AURORA at 1.10.06 4 3 2" xfId="14359"/>
    <cellStyle name="_Power Cost Value Copy 11.30.05 gas 1.09.06 AURORA at 1.10.06 4 3 2 2" xfId="14360"/>
    <cellStyle name="_Power Cost Value Copy 11.30.05 gas 1.09.06 AURORA at 1.10.06 4 3 3" xfId="14361"/>
    <cellStyle name="_Power Cost Value Copy 11.30.05 gas 1.09.06 AURORA at 1.10.06 4 3 4" xfId="14362"/>
    <cellStyle name="_Power Cost Value Copy 11.30.05 gas 1.09.06 AURORA at 1.10.06 4 4" xfId="14363"/>
    <cellStyle name="_Power Cost Value Copy 11.30.05 gas 1.09.06 AURORA at 1.10.06 4 4 2" xfId="14364"/>
    <cellStyle name="_Power Cost Value Copy 11.30.05 gas 1.09.06 AURORA at 1.10.06 4 5" xfId="14365"/>
    <cellStyle name="_Power Cost Value Copy 11.30.05 gas 1.09.06 AURORA at 1.10.06 5" xfId="14366"/>
    <cellStyle name="_Power Cost Value Copy 11.30.05 gas 1.09.06 AURORA at 1.10.06 5 2" xfId="14367"/>
    <cellStyle name="_Power Cost Value Copy 11.30.05 gas 1.09.06 AURORA at 1.10.06 5 2 2" xfId="14368"/>
    <cellStyle name="_Power Cost Value Copy 11.30.05 gas 1.09.06 AURORA at 1.10.06 5 2 2 2" xfId="14369"/>
    <cellStyle name="_Power Cost Value Copy 11.30.05 gas 1.09.06 AURORA at 1.10.06 5 2 2 2 2" xfId="14370"/>
    <cellStyle name="_Power Cost Value Copy 11.30.05 gas 1.09.06 AURORA at 1.10.06 5 2 2 3" xfId="14371"/>
    <cellStyle name="_Power Cost Value Copy 11.30.05 gas 1.09.06 AURORA at 1.10.06 5 2 3" xfId="14372"/>
    <cellStyle name="_Power Cost Value Copy 11.30.05 gas 1.09.06 AURORA at 1.10.06 5 2 3 2" xfId="14373"/>
    <cellStyle name="_Power Cost Value Copy 11.30.05 gas 1.09.06 AURORA at 1.10.06 5 2 4" xfId="14374"/>
    <cellStyle name="_Power Cost Value Copy 11.30.05 gas 1.09.06 AURORA at 1.10.06 5 2 5" xfId="14375"/>
    <cellStyle name="_Power Cost Value Copy 11.30.05 gas 1.09.06 AURORA at 1.10.06 5 3" xfId="14376"/>
    <cellStyle name="_Power Cost Value Copy 11.30.05 gas 1.09.06 AURORA at 1.10.06 5 3 2" xfId="14377"/>
    <cellStyle name="_Power Cost Value Copy 11.30.05 gas 1.09.06 AURORA at 1.10.06 5 3 2 2" xfId="14378"/>
    <cellStyle name="_Power Cost Value Copy 11.30.05 gas 1.09.06 AURORA at 1.10.06 5 3 3" xfId="14379"/>
    <cellStyle name="_Power Cost Value Copy 11.30.05 gas 1.09.06 AURORA at 1.10.06 5 4" xfId="14380"/>
    <cellStyle name="_Power Cost Value Copy 11.30.05 gas 1.09.06 AURORA at 1.10.06 5 4 2" xfId="14381"/>
    <cellStyle name="_Power Cost Value Copy 11.30.05 gas 1.09.06 AURORA at 1.10.06 5 5" xfId="14382"/>
    <cellStyle name="_Power Cost Value Copy 11.30.05 gas 1.09.06 AURORA at 1.10.06 6" xfId="14383"/>
    <cellStyle name="_Power Cost Value Copy 11.30.05 gas 1.09.06 AURORA at 1.10.06 6 2" xfId="14384"/>
    <cellStyle name="_Power Cost Value Copy 11.30.05 gas 1.09.06 AURORA at 1.10.06 6 2 2" xfId="14385"/>
    <cellStyle name="_Power Cost Value Copy 11.30.05 gas 1.09.06 AURORA at 1.10.06 6 2 2 2" xfId="14386"/>
    <cellStyle name="_Power Cost Value Copy 11.30.05 gas 1.09.06 AURORA at 1.10.06 6 2 3" xfId="14387"/>
    <cellStyle name="_Power Cost Value Copy 11.30.05 gas 1.09.06 AURORA at 1.10.06 6 3" xfId="14388"/>
    <cellStyle name="_Power Cost Value Copy 11.30.05 gas 1.09.06 AURORA at 1.10.06 6 3 2" xfId="14389"/>
    <cellStyle name="_Power Cost Value Copy 11.30.05 gas 1.09.06 AURORA at 1.10.06 6 4" xfId="14390"/>
    <cellStyle name="_Power Cost Value Copy 11.30.05 gas 1.09.06 AURORA at 1.10.06 7" xfId="14391"/>
    <cellStyle name="_Power Cost Value Copy 11.30.05 gas 1.09.06 AURORA at 1.10.06 7 2" xfId="14392"/>
    <cellStyle name="_Power Cost Value Copy 11.30.05 gas 1.09.06 AURORA at 1.10.06 7 2 2" xfId="14393"/>
    <cellStyle name="_Power Cost Value Copy 11.30.05 gas 1.09.06 AURORA at 1.10.06 7 2 2 2" xfId="14394"/>
    <cellStyle name="_Power Cost Value Copy 11.30.05 gas 1.09.06 AURORA at 1.10.06 7 2 3" xfId="14395"/>
    <cellStyle name="_Power Cost Value Copy 11.30.05 gas 1.09.06 AURORA at 1.10.06 7 3" xfId="14396"/>
    <cellStyle name="_Power Cost Value Copy 11.30.05 gas 1.09.06 AURORA at 1.10.06 7 3 2" xfId="14397"/>
    <cellStyle name="_Power Cost Value Copy 11.30.05 gas 1.09.06 AURORA at 1.10.06 7 4" xfId="14398"/>
    <cellStyle name="_Power Cost Value Copy 11.30.05 gas 1.09.06 AURORA at 1.10.06 8" xfId="14399"/>
    <cellStyle name="_Power Cost Value Copy 11.30.05 gas 1.09.06 AURORA at 1.10.06 8 2" xfId="14400"/>
    <cellStyle name="_Power Cost Value Copy 11.30.05 gas 1.09.06 AURORA at 1.10.06 8 2 2" xfId="14401"/>
    <cellStyle name="_Power Cost Value Copy 11.30.05 gas 1.09.06 AURORA at 1.10.06 8 2 2 2" xfId="14402"/>
    <cellStyle name="_Power Cost Value Copy 11.30.05 gas 1.09.06 AURORA at 1.10.06 8 2 3" xfId="14403"/>
    <cellStyle name="_Power Cost Value Copy 11.30.05 gas 1.09.06 AURORA at 1.10.06 8 3" xfId="14404"/>
    <cellStyle name="_Power Cost Value Copy 11.30.05 gas 1.09.06 AURORA at 1.10.06 8 3 2" xfId="14405"/>
    <cellStyle name="_Power Cost Value Copy 11.30.05 gas 1.09.06 AURORA at 1.10.06 8 4" xfId="14406"/>
    <cellStyle name="_Power Cost Value Copy 11.30.05 gas 1.09.06 AURORA at 1.10.06 9" xfId="14407"/>
    <cellStyle name="_Power Cost Value Copy 11.30.05 gas 1.09.06 AURORA at 1.10.06 9 2" xfId="14408"/>
    <cellStyle name="_Power Cost Value Copy 11.30.05 gas 1.09.06 AURORA at 1.10.06 9 3" xfId="14409"/>
    <cellStyle name="_Power Cost Value Copy 11.30.05 gas 1.09.06 AURORA at 1.10.06_04 07E Wild Horse Wind Expansion (C) (2)" xfId="728"/>
    <cellStyle name="_Power Cost Value Copy 11.30.05 gas 1.09.06 AURORA at 1.10.06_04 07E Wild Horse Wind Expansion (C) (2) 2" xfId="14410"/>
    <cellStyle name="_Power Cost Value Copy 11.30.05 gas 1.09.06 AURORA at 1.10.06_04 07E Wild Horse Wind Expansion (C) (2) 2 2" xfId="14411"/>
    <cellStyle name="_Power Cost Value Copy 11.30.05 gas 1.09.06 AURORA at 1.10.06_04 07E Wild Horse Wind Expansion (C) (2) 2 2 2" xfId="14412"/>
    <cellStyle name="_Power Cost Value Copy 11.30.05 gas 1.09.06 AURORA at 1.10.06_04 07E Wild Horse Wind Expansion (C) (2) 2 2 2 2" xfId="14413"/>
    <cellStyle name="_Power Cost Value Copy 11.30.05 gas 1.09.06 AURORA at 1.10.06_04 07E Wild Horse Wind Expansion (C) (2) 2 2 3" xfId="14414"/>
    <cellStyle name="_Power Cost Value Copy 11.30.05 gas 1.09.06 AURORA at 1.10.06_04 07E Wild Horse Wind Expansion (C) (2) 2 2 4" xfId="14415"/>
    <cellStyle name="_Power Cost Value Copy 11.30.05 gas 1.09.06 AURORA at 1.10.06_04 07E Wild Horse Wind Expansion (C) (2) 2 3" xfId="14416"/>
    <cellStyle name="_Power Cost Value Copy 11.30.05 gas 1.09.06 AURORA at 1.10.06_04 07E Wild Horse Wind Expansion (C) (2) 2 3 2" xfId="14417"/>
    <cellStyle name="_Power Cost Value Copy 11.30.05 gas 1.09.06 AURORA at 1.10.06_04 07E Wild Horse Wind Expansion (C) (2) 2 4" xfId="14418"/>
    <cellStyle name="_Power Cost Value Copy 11.30.05 gas 1.09.06 AURORA at 1.10.06_04 07E Wild Horse Wind Expansion (C) (2) 3" xfId="14419"/>
    <cellStyle name="_Power Cost Value Copy 11.30.05 gas 1.09.06 AURORA at 1.10.06_04 07E Wild Horse Wind Expansion (C) (2) 3 2" xfId="14420"/>
    <cellStyle name="_Power Cost Value Copy 11.30.05 gas 1.09.06 AURORA at 1.10.06_04 07E Wild Horse Wind Expansion (C) (2) 3 2 2" xfId="14421"/>
    <cellStyle name="_Power Cost Value Copy 11.30.05 gas 1.09.06 AURORA at 1.10.06_04 07E Wild Horse Wind Expansion (C) (2) 3 3" xfId="14422"/>
    <cellStyle name="_Power Cost Value Copy 11.30.05 gas 1.09.06 AURORA at 1.10.06_04 07E Wild Horse Wind Expansion (C) (2) 3 4" xfId="14423"/>
    <cellStyle name="_Power Cost Value Copy 11.30.05 gas 1.09.06 AURORA at 1.10.06_04 07E Wild Horse Wind Expansion (C) (2) 4" xfId="14424"/>
    <cellStyle name="_Power Cost Value Copy 11.30.05 gas 1.09.06 AURORA at 1.10.06_04 07E Wild Horse Wind Expansion (C) (2) 4 2" xfId="14425"/>
    <cellStyle name="_Power Cost Value Copy 11.30.05 gas 1.09.06 AURORA at 1.10.06_04 07E Wild Horse Wind Expansion (C) (2) 5" xfId="14426"/>
    <cellStyle name="_Power Cost Value Copy 11.30.05 gas 1.09.06 AURORA at 1.10.06_04 07E Wild Horse Wind Expansion (C) (2)_Adj Bench DR 3 for Initial Briefs (Electric)" xfId="729"/>
    <cellStyle name="_Power Cost Value Copy 11.30.05 gas 1.09.06 AURORA at 1.10.06_04 07E Wild Horse Wind Expansion (C) (2)_Adj Bench DR 3 for Initial Briefs (Electric) 2" xfId="14427"/>
    <cellStyle name="_Power Cost Value Copy 11.30.05 gas 1.09.06 AURORA at 1.10.06_04 07E Wild Horse Wind Expansion (C) (2)_Adj Bench DR 3 for Initial Briefs (Electric) 2 2" xfId="14428"/>
    <cellStyle name="_Power Cost Value Copy 11.30.05 gas 1.09.06 AURORA at 1.10.06_04 07E Wild Horse Wind Expansion (C) (2)_Adj Bench DR 3 for Initial Briefs (Electric) 2 2 2" xfId="14429"/>
    <cellStyle name="_Power Cost Value Copy 11.30.05 gas 1.09.06 AURORA at 1.10.06_04 07E Wild Horse Wind Expansion (C) (2)_Adj Bench DR 3 for Initial Briefs (Electric) 2 2 2 2" xfId="14430"/>
    <cellStyle name="_Power Cost Value Copy 11.30.05 gas 1.09.06 AURORA at 1.10.06_04 07E Wild Horse Wind Expansion (C) (2)_Adj Bench DR 3 for Initial Briefs (Electric) 2 2 3" xfId="14431"/>
    <cellStyle name="_Power Cost Value Copy 11.30.05 gas 1.09.06 AURORA at 1.10.06_04 07E Wild Horse Wind Expansion (C) (2)_Adj Bench DR 3 for Initial Briefs (Electric) 2 2 4" xfId="14432"/>
    <cellStyle name="_Power Cost Value Copy 11.30.05 gas 1.09.06 AURORA at 1.10.06_04 07E Wild Horse Wind Expansion (C) (2)_Adj Bench DR 3 for Initial Briefs (Electric) 2 3" xfId="14433"/>
    <cellStyle name="_Power Cost Value Copy 11.30.05 gas 1.09.06 AURORA at 1.10.06_04 07E Wild Horse Wind Expansion (C) (2)_Adj Bench DR 3 for Initial Briefs (Electric) 2 3 2" xfId="14434"/>
    <cellStyle name="_Power Cost Value Copy 11.30.05 gas 1.09.06 AURORA at 1.10.06_04 07E Wild Horse Wind Expansion (C) (2)_Adj Bench DR 3 for Initial Briefs (Electric) 2 4" xfId="14435"/>
    <cellStyle name="_Power Cost Value Copy 11.30.05 gas 1.09.06 AURORA at 1.10.06_04 07E Wild Horse Wind Expansion (C) (2)_Adj Bench DR 3 for Initial Briefs (Electric) 3" xfId="14436"/>
    <cellStyle name="_Power Cost Value Copy 11.30.05 gas 1.09.06 AURORA at 1.10.06_04 07E Wild Horse Wind Expansion (C) (2)_Adj Bench DR 3 for Initial Briefs (Electric) 3 2" xfId="14437"/>
    <cellStyle name="_Power Cost Value Copy 11.30.05 gas 1.09.06 AURORA at 1.10.06_04 07E Wild Horse Wind Expansion (C) (2)_Adj Bench DR 3 for Initial Briefs (Electric) 3 2 2" xfId="14438"/>
    <cellStyle name="_Power Cost Value Copy 11.30.05 gas 1.09.06 AURORA at 1.10.06_04 07E Wild Horse Wind Expansion (C) (2)_Adj Bench DR 3 for Initial Briefs (Electric) 3 3" xfId="14439"/>
    <cellStyle name="_Power Cost Value Copy 11.30.05 gas 1.09.06 AURORA at 1.10.06_04 07E Wild Horse Wind Expansion (C) (2)_Adj Bench DR 3 for Initial Briefs (Electric) 3 4" xfId="14440"/>
    <cellStyle name="_Power Cost Value Copy 11.30.05 gas 1.09.06 AURORA at 1.10.06_04 07E Wild Horse Wind Expansion (C) (2)_Adj Bench DR 3 for Initial Briefs (Electric) 4" xfId="14441"/>
    <cellStyle name="_Power Cost Value Copy 11.30.05 gas 1.09.06 AURORA at 1.10.06_04 07E Wild Horse Wind Expansion (C) (2)_Adj Bench DR 3 for Initial Briefs (Electric) 4 2" xfId="14442"/>
    <cellStyle name="_Power Cost Value Copy 11.30.05 gas 1.09.06 AURORA at 1.10.06_04 07E Wild Horse Wind Expansion (C) (2)_Adj Bench DR 3 for Initial Briefs (Electric) 5" xfId="14443"/>
    <cellStyle name="_Power Cost Value Copy 11.30.05 gas 1.09.06 AURORA at 1.10.06_04 07E Wild Horse Wind Expansion (C) (2)_Adj Bench DR 3 for Initial Briefs (Electric)_DEM-WP(C) ENERG10C--ctn Mid-C_042010 2010GRC" xfId="14444"/>
    <cellStyle name="_Power Cost Value Copy 11.30.05 gas 1.09.06 AURORA at 1.10.06_04 07E Wild Horse Wind Expansion (C) (2)_Adj Bench DR 3 for Initial Briefs (Electric)_DEM-WP(C) ENERG10C--ctn Mid-C_042010 2010GRC 2" xfId="14445"/>
    <cellStyle name="_Power Cost Value Copy 11.30.05 gas 1.09.06 AURORA at 1.10.06_04 07E Wild Horse Wind Expansion (C) (2)_Book1" xfId="14446"/>
    <cellStyle name="_Power Cost Value Copy 11.30.05 gas 1.09.06 AURORA at 1.10.06_04 07E Wild Horse Wind Expansion (C) (2)_Book1 2" xfId="14447"/>
    <cellStyle name="_Power Cost Value Copy 11.30.05 gas 1.09.06 AURORA at 1.10.06_04 07E Wild Horse Wind Expansion (C) (2)_DEM-WP(C) ENERG10C--ctn Mid-C_042010 2010GRC" xfId="14448"/>
    <cellStyle name="_Power Cost Value Copy 11.30.05 gas 1.09.06 AURORA at 1.10.06_04 07E Wild Horse Wind Expansion (C) (2)_DEM-WP(C) ENERG10C--ctn Mid-C_042010 2010GRC 2" xfId="14449"/>
    <cellStyle name="_Power Cost Value Copy 11.30.05 gas 1.09.06 AURORA at 1.10.06_04 07E Wild Horse Wind Expansion (C) (2)_Electric Rev Req Model (2009 GRC) " xfId="730"/>
    <cellStyle name="_Power Cost Value Copy 11.30.05 gas 1.09.06 AURORA at 1.10.06_04 07E Wild Horse Wind Expansion (C) (2)_Electric Rev Req Model (2009 GRC)  2" xfId="14450"/>
    <cellStyle name="_Power Cost Value Copy 11.30.05 gas 1.09.06 AURORA at 1.10.06_04 07E Wild Horse Wind Expansion (C) (2)_Electric Rev Req Model (2009 GRC)  2 2" xfId="14451"/>
    <cellStyle name="_Power Cost Value Copy 11.30.05 gas 1.09.06 AURORA at 1.10.06_04 07E Wild Horse Wind Expansion (C) (2)_Electric Rev Req Model (2009 GRC)  2 2 2" xfId="14452"/>
    <cellStyle name="_Power Cost Value Copy 11.30.05 gas 1.09.06 AURORA at 1.10.06_04 07E Wild Horse Wind Expansion (C) (2)_Electric Rev Req Model (2009 GRC)  2 2 2 2" xfId="14453"/>
    <cellStyle name="_Power Cost Value Copy 11.30.05 gas 1.09.06 AURORA at 1.10.06_04 07E Wild Horse Wind Expansion (C) (2)_Electric Rev Req Model (2009 GRC)  2 2 3" xfId="14454"/>
    <cellStyle name="_Power Cost Value Copy 11.30.05 gas 1.09.06 AURORA at 1.10.06_04 07E Wild Horse Wind Expansion (C) (2)_Electric Rev Req Model (2009 GRC)  2 2 4" xfId="14455"/>
    <cellStyle name="_Power Cost Value Copy 11.30.05 gas 1.09.06 AURORA at 1.10.06_04 07E Wild Horse Wind Expansion (C) (2)_Electric Rev Req Model (2009 GRC)  2 3" xfId="14456"/>
    <cellStyle name="_Power Cost Value Copy 11.30.05 gas 1.09.06 AURORA at 1.10.06_04 07E Wild Horse Wind Expansion (C) (2)_Electric Rev Req Model (2009 GRC)  2 3 2" xfId="14457"/>
    <cellStyle name="_Power Cost Value Copy 11.30.05 gas 1.09.06 AURORA at 1.10.06_04 07E Wild Horse Wind Expansion (C) (2)_Electric Rev Req Model (2009 GRC)  2 4" xfId="14458"/>
    <cellStyle name="_Power Cost Value Copy 11.30.05 gas 1.09.06 AURORA at 1.10.06_04 07E Wild Horse Wind Expansion (C) (2)_Electric Rev Req Model (2009 GRC)  3" xfId="14459"/>
    <cellStyle name="_Power Cost Value Copy 11.30.05 gas 1.09.06 AURORA at 1.10.06_04 07E Wild Horse Wind Expansion (C) (2)_Electric Rev Req Model (2009 GRC)  3 2" xfId="14460"/>
    <cellStyle name="_Power Cost Value Copy 11.30.05 gas 1.09.06 AURORA at 1.10.06_04 07E Wild Horse Wind Expansion (C) (2)_Electric Rev Req Model (2009 GRC)  3 2 2" xfId="14461"/>
    <cellStyle name="_Power Cost Value Copy 11.30.05 gas 1.09.06 AURORA at 1.10.06_04 07E Wild Horse Wind Expansion (C) (2)_Electric Rev Req Model (2009 GRC)  3 3" xfId="14462"/>
    <cellStyle name="_Power Cost Value Copy 11.30.05 gas 1.09.06 AURORA at 1.10.06_04 07E Wild Horse Wind Expansion (C) (2)_Electric Rev Req Model (2009 GRC)  3 4" xfId="14463"/>
    <cellStyle name="_Power Cost Value Copy 11.30.05 gas 1.09.06 AURORA at 1.10.06_04 07E Wild Horse Wind Expansion (C) (2)_Electric Rev Req Model (2009 GRC)  4" xfId="14464"/>
    <cellStyle name="_Power Cost Value Copy 11.30.05 gas 1.09.06 AURORA at 1.10.06_04 07E Wild Horse Wind Expansion (C) (2)_Electric Rev Req Model (2009 GRC)  4 2" xfId="14465"/>
    <cellStyle name="_Power Cost Value Copy 11.30.05 gas 1.09.06 AURORA at 1.10.06_04 07E Wild Horse Wind Expansion (C) (2)_Electric Rev Req Model (2009 GRC)  5" xfId="14466"/>
    <cellStyle name="_Power Cost Value Copy 11.30.05 gas 1.09.06 AURORA at 1.10.06_04 07E Wild Horse Wind Expansion (C) (2)_Electric Rev Req Model (2009 GRC) _DEM-WP(C) ENERG10C--ctn Mid-C_042010 2010GRC" xfId="14467"/>
    <cellStyle name="_Power Cost Value Copy 11.30.05 gas 1.09.06 AURORA at 1.10.06_04 07E Wild Horse Wind Expansion (C) (2)_Electric Rev Req Model (2009 GRC) _DEM-WP(C) ENERG10C--ctn Mid-C_042010 2010GRC 2" xfId="14468"/>
    <cellStyle name="_Power Cost Value Copy 11.30.05 gas 1.09.06 AURORA at 1.10.06_04 07E Wild Horse Wind Expansion (C) (2)_Electric Rev Req Model (2009 GRC) Rebuttal" xfId="731"/>
    <cellStyle name="_Power Cost Value Copy 11.30.05 gas 1.09.06 AURORA at 1.10.06_04 07E Wild Horse Wind Expansion (C) (2)_Electric Rev Req Model (2009 GRC) Rebuttal 2" xfId="14469"/>
    <cellStyle name="_Power Cost Value Copy 11.30.05 gas 1.09.06 AURORA at 1.10.06_04 07E Wild Horse Wind Expansion (C) (2)_Electric Rev Req Model (2009 GRC) Rebuttal 2 2" xfId="14470"/>
    <cellStyle name="_Power Cost Value Copy 11.30.05 gas 1.09.06 AURORA at 1.10.06_04 07E Wild Horse Wind Expansion (C) (2)_Electric Rev Req Model (2009 GRC) Rebuttal 2 2 2" xfId="14471"/>
    <cellStyle name="_Power Cost Value Copy 11.30.05 gas 1.09.06 AURORA at 1.10.06_04 07E Wild Horse Wind Expansion (C) (2)_Electric Rev Req Model (2009 GRC) Rebuttal 2 3" xfId="14472"/>
    <cellStyle name="_Power Cost Value Copy 11.30.05 gas 1.09.06 AURORA at 1.10.06_04 07E Wild Horse Wind Expansion (C) (2)_Electric Rev Req Model (2009 GRC) Rebuttal 3" xfId="14473"/>
    <cellStyle name="_Power Cost Value Copy 11.30.05 gas 1.09.06 AURORA at 1.10.06_04 07E Wild Horse Wind Expansion (C) (2)_Electric Rev Req Model (2009 GRC) Rebuttal 3 2" xfId="14474"/>
    <cellStyle name="_Power Cost Value Copy 11.30.05 gas 1.09.06 AURORA at 1.10.06_04 07E Wild Horse Wind Expansion (C) (2)_Electric Rev Req Model (2009 GRC) Rebuttal 4" xfId="14475"/>
    <cellStyle name="_Power Cost Value Copy 11.30.05 gas 1.09.06 AURORA at 1.10.06_04 07E Wild Horse Wind Expansion (C) (2)_Electric Rev Req Model (2009 GRC) Rebuttal REmoval of New  WH Solar AdjustMI" xfId="732"/>
    <cellStyle name="_Power Cost Value Copy 11.30.05 gas 1.09.06 AURORA at 1.10.06_04 07E Wild Horse Wind Expansion (C) (2)_Electric Rev Req Model (2009 GRC) Rebuttal REmoval of New  WH Solar AdjustMI 2" xfId="14476"/>
    <cellStyle name="_Power Cost Value Copy 11.30.05 gas 1.09.06 AURORA at 1.10.06_04 07E Wild Horse Wind Expansion (C) (2)_Electric Rev Req Model (2009 GRC) Rebuttal REmoval of New  WH Solar AdjustMI 2 2" xfId="14477"/>
    <cellStyle name="_Power Cost Value Copy 11.30.05 gas 1.09.06 AURORA at 1.10.06_04 07E Wild Horse Wind Expansion (C) (2)_Electric Rev Req Model (2009 GRC) Rebuttal REmoval of New  WH Solar AdjustMI 2 2 2" xfId="14478"/>
    <cellStyle name="_Power Cost Value Copy 11.30.05 gas 1.09.06 AURORA at 1.10.06_04 07E Wild Horse Wind Expansion (C) (2)_Electric Rev Req Model (2009 GRC) Rebuttal REmoval of New  WH Solar AdjustMI 2 2 2 2" xfId="14479"/>
    <cellStyle name="_Power Cost Value Copy 11.30.05 gas 1.09.06 AURORA at 1.10.06_04 07E Wild Horse Wind Expansion (C) (2)_Electric Rev Req Model (2009 GRC) Rebuttal REmoval of New  WH Solar AdjustMI 2 2 3" xfId="14480"/>
    <cellStyle name="_Power Cost Value Copy 11.30.05 gas 1.09.06 AURORA at 1.10.06_04 07E Wild Horse Wind Expansion (C) (2)_Electric Rev Req Model (2009 GRC) Rebuttal REmoval of New  WH Solar AdjustMI 2 3" xfId="14481"/>
    <cellStyle name="_Power Cost Value Copy 11.30.05 gas 1.09.06 AURORA at 1.10.06_04 07E Wild Horse Wind Expansion (C) (2)_Electric Rev Req Model (2009 GRC) Rebuttal REmoval of New  WH Solar AdjustMI 2 3 2" xfId="14482"/>
    <cellStyle name="_Power Cost Value Copy 11.30.05 gas 1.09.06 AURORA at 1.10.06_04 07E Wild Horse Wind Expansion (C) (2)_Electric Rev Req Model (2009 GRC) Rebuttal REmoval of New  WH Solar AdjustMI 2 4" xfId="14483"/>
    <cellStyle name="_Power Cost Value Copy 11.30.05 gas 1.09.06 AURORA at 1.10.06_04 07E Wild Horse Wind Expansion (C) (2)_Electric Rev Req Model (2009 GRC) Rebuttal REmoval of New  WH Solar AdjustMI 3" xfId="14484"/>
    <cellStyle name="_Power Cost Value Copy 11.30.05 gas 1.09.06 AURORA at 1.10.06_04 07E Wild Horse Wind Expansion (C) (2)_Electric Rev Req Model (2009 GRC) Rebuttal REmoval of New  WH Solar AdjustMI 3 2" xfId="14485"/>
    <cellStyle name="_Power Cost Value Copy 11.30.05 gas 1.09.06 AURORA at 1.10.06_04 07E Wild Horse Wind Expansion (C) (2)_Electric Rev Req Model (2009 GRC) Rebuttal REmoval of New  WH Solar AdjustMI 3 2 2" xfId="14486"/>
    <cellStyle name="_Power Cost Value Copy 11.30.05 gas 1.09.06 AURORA at 1.10.06_04 07E Wild Horse Wind Expansion (C) (2)_Electric Rev Req Model (2009 GRC) Rebuttal REmoval of New  WH Solar AdjustMI 3 3" xfId="14487"/>
    <cellStyle name="_Power Cost Value Copy 11.30.05 gas 1.09.06 AURORA at 1.10.06_04 07E Wild Horse Wind Expansion (C) (2)_Electric Rev Req Model (2009 GRC) Rebuttal REmoval of New  WH Solar AdjustMI 3 4" xfId="14488"/>
    <cellStyle name="_Power Cost Value Copy 11.30.05 gas 1.09.06 AURORA at 1.10.06_04 07E Wild Horse Wind Expansion (C) (2)_Electric Rev Req Model (2009 GRC) Rebuttal REmoval of New  WH Solar AdjustMI 4" xfId="14489"/>
    <cellStyle name="_Power Cost Value Copy 11.30.05 gas 1.09.06 AURORA at 1.10.06_04 07E Wild Horse Wind Expansion (C) (2)_Electric Rev Req Model (2009 GRC) Rebuttal REmoval of New  WH Solar AdjustMI 4 2" xfId="14490"/>
    <cellStyle name="_Power Cost Value Copy 11.30.05 gas 1.09.06 AURORA at 1.10.06_04 07E Wild Horse Wind Expansion (C) (2)_Electric Rev Req Model (2009 GRC) Rebuttal REmoval of New  WH Solar AdjustMI 5" xfId="14491"/>
    <cellStyle name="_Power Cost Value Copy 11.30.05 gas 1.09.06 AURORA at 1.10.06_04 07E Wild Horse Wind Expansion (C) (2)_Electric Rev Req Model (2009 GRC) Rebuttal REmoval of New  WH Solar AdjustMI_DEM-WP(C) ENERG10C--ctn Mid-C_042010 2010GRC" xfId="14492"/>
    <cellStyle name="_Power Cost Value Copy 11.30.05 gas 1.09.06 AURORA at 1.10.06_04 07E Wild Horse Wind Expansion (C) (2)_Electric Rev Req Model (2009 GRC) Rebuttal REmoval of New  WH Solar AdjustMI_DEM-WP(C) ENERG10C--ctn Mid-C_042010 2010GRC 2" xfId="14493"/>
    <cellStyle name="_Power Cost Value Copy 11.30.05 gas 1.09.06 AURORA at 1.10.06_04 07E Wild Horse Wind Expansion (C) (2)_Electric Rev Req Model (2009 GRC) Revised 01-18-2010" xfId="733"/>
    <cellStyle name="_Power Cost Value Copy 11.30.05 gas 1.09.06 AURORA at 1.10.06_04 07E Wild Horse Wind Expansion (C) (2)_Electric Rev Req Model (2009 GRC) Revised 01-18-2010 2" xfId="14494"/>
    <cellStyle name="_Power Cost Value Copy 11.30.05 gas 1.09.06 AURORA at 1.10.06_04 07E Wild Horse Wind Expansion (C) (2)_Electric Rev Req Model (2009 GRC) Revised 01-18-2010 2 2" xfId="14495"/>
    <cellStyle name="_Power Cost Value Copy 11.30.05 gas 1.09.06 AURORA at 1.10.06_04 07E Wild Horse Wind Expansion (C) (2)_Electric Rev Req Model (2009 GRC) Revised 01-18-2010 2 2 2" xfId="14496"/>
    <cellStyle name="_Power Cost Value Copy 11.30.05 gas 1.09.06 AURORA at 1.10.06_04 07E Wild Horse Wind Expansion (C) (2)_Electric Rev Req Model (2009 GRC) Revised 01-18-2010 2 2 2 2" xfId="14497"/>
    <cellStyle name="_Power Cost Value Copy 11.30.05 gas 1.09.06 AURORA at 1.10.06_04 07E Wild Horse Wind Expansion (C) (2)_Electric Rev Req Model (2009 GRC) Revised 01-18-2010 2 2 3" xfId="14498"/>
    <cellStyle name="_Power Cost Value Copy 11.30.05 gas 1.09.06 AURORA at 1.10.06_04 07E Wild Horse Wind Expansion (C) (2)_Electric Rev Req Model (2009 GRC) Revised 01-18-2010 2 3" xfId="14499"/>
    <cellStyle name="_Power Cost Value Copy 11.30.05 gas 1.09.06 AURORA at 1.10.06_04 07E Wild Horse Wind Expansion (C) (2)_Electric Rev Req Model (2009 GRC) Revised 01-18-2010 2 3 2" xfId="14500"/>
    <cellStyle name="_Power Cost Value Copy 11.30.05 gas 1.09.06 AURORA at 1.10.06_04 07E Wild Horse Wind Expansion (C) (2)_Electric Rev Req Model (2009 GRC) Revised 01-18-2010 2 4" xfId="14501"/>
    <cellStyle name="_Power Cost Value Copy 11.30.05 gas 1.09.06 AURORA at 1.10.06_04 07E Wild Horse Wind Expansion (C) (2)_Electric Rev Req Model (2009 GRC) Revised 01-18-2010 3" xfId="14502"/>
    <cellStyle name="_Power Cost Value Copy 11.30.05 gas 1.09.06 AURORA at 1.10.06_04 07E Wild Horse Wind Expansion (C) (2)_Electric Rev Req Model (2009 GRC) Revised 01-18-2010 3 2" xfId="14503"/>
    <cellStyle name="_Power Cost Value Copy 11.30.05 gas 1.09.06 AURORA at 1.10.06_04 07E Wild Horse Wind Expansion (C) (2)_Electric Rev Req Model (2009 GRC) Revised 01-18-2010 3 2 2" xfId="14504"/>
    <cellStyle name="_Power Cost Value Copy 11.30.05 gas 1.09.06 AURORA at 1.10.06_04 07E Wild Horse Wind Expansion (C) (2)_Electric Rev Req Model (2009 GRC) Revised 01-18-2010 3 3" xfId="14505"/>
    <cellStyle name="_Power Cost Value Copy 11.30.05 gas 1.09.06 AURORA at 1.10.06_04 07E Wild Horse Wind Expansion (C) (2)_Electric Rev Req Model (2009 GRC) Revised 01-18-2010 3 4" xfId="14506"/>
    <cellStyle name="_Power Cost Value Copy 11.30.05 gas 1.09.06 AURORA at 1.10.06_04 07E Wild Horse Wind Expansion (C) (2)_Electric Rev Req Model (2009 GRC) Revised 01-18-2010 4" xfId="14507"/>
    <cellStyle name="_Power Cost Value Copy 11.30.05 gas 1.09.06 AURORA at 1.10.06_04 07E Wild Horse Wind Expansion (C) (2)_Electric Rev Req Model (2009 GRC) Revised 01-18-2010 4 2" xfId="14508"/>
    <cellStyle name="_Power Cost Value Copy 11.30.05 gas 1.09.06 AURORA at 1.10.06_04 07E Wild Horse Wind Expansion (C) (2)_Electric Rev Req Model (2009 GRC) Revised 01-18-2010 5" xfId="14509"/>
    <cellStyle name="_Power Cost Value Copy 11.30.05 gas 1.09.06 AURORA at 1.10.06_04 07E Wild Horse Wind Expansion (C) (2)_Electric Rev Req Model (2009 GRC) Revised 01-18-2010_DEM-WP(C) ENERG10C--ctn Mid-C_042010 2010GRC" xfId="14510"/>
    <cellStyle name="_Power Cost Value Copy 11.30.05 gas 1.09.06 AURORA at 1.10.06_04 07E Wild Horse Wind Expansion (C) (2)_Electric Rev Req Model (2009 GRC) Revised 01-18-2010_DEM-WP(C) ENERG10C--ctn Mid-C_042010 2010GRC 2" xfId="14511"/>
    <cellStyle name="_Power Cost Value Copy 11.30.05 gas 1.09.06 AURORA at 1.10.06_04 07E Wild Horse Wind Expansion (C) (2)_Electric Rev Req Model (2010 GRC)" xfId="14512"/>
    <cellStyle name="_Power Cost Value Copy 11.30.05 gas 1.09.06 AURORA at 1.10.06_04 07E Wild Horse Wind Expansion (C) (2)_Electric Rev Req Model (2010 GRC) 2" xfId="14513"/>
    <cellStyle name="_Power Cost Value Copy 11.30.05 gas 1.09.06 AURORA at 1.10.06_04 07E Wild Horse Wind Expansion (C) (2)_Electric Rev Req Model (2010 GRC) SF" xfId="14514"/>
    <cellStyle name="_Power Cost Value Copy 11.30.05 gas 1.09.06 AURORA at 1.10.06_04 07E Wild Horse Wind Expansion (C) (2)_Electric Rev Req Model (2010 GRC) SF 2" xfId="14515"/>
    <cellStyle name="_Power Cost Value Copy 11.30.05 gas 1.09.06 AURORA at 1.10.06_04 07E Wild Horse Wind Expansion (C) (2)_Final Order Electric EXHIBIT A-1" xfId="734"/>
    <cellStyle name="_Power Cost Value Copy 11.30.05 gas 1.09.06 AURORA at 1.10.06_04 07E Wild Horse Wind Expansion (C) (2)_Final Order Electric EXHIBIT A-1 2" xfId="14516"/>
    <cellStyle name="_Power Cost Value Copy 11.30.05 gas 1.09.06 AURORA at 1.10.06_04 07E Wild Horse Wind Expansion (C) (2)_Final Order Electric EXHIBIT A-1 2 2" xfId="14517"/>
    <cellStyle name="_Power Cost Value Copy 11.30.05 gas 1.09.06 AURORA at 1.10.06_04 07E Wild Horse Wind Expansion (C) (2)_Final Order Electric EXHIBIT A-1 2 2 2" xfId="14518"/>
    <cellStyle name="_Power Cost Value Copy 11.30.05 gas 1.09.06 AURORA at 1.10.06_04 07E Wild Horse Wind Expansion (C) (2)_Final Order Electric EXHIBIT A-1 2 3" xfId="14519"/>
    <cellStyle name="_Power Cost Value Copy 11.30.05 gas 1.09.06 AURORA at 1.10.06_04 07E Wild Horse Wind Expansion (C) (2)_Final Order Electric EXHIBIT A-1 2 4" xfId="14520"/>
    <cellStyle name="_Power Cost Value Copy 11.30.05 gas 1.09.06 AURORA at 1.10.06_04 07E Wild Horse Wind Expansion (C) (2)_Final Order Electric EXHIBIT A-1 3" xfId="14521"/>
    <cellStyle name="_Power Cost Value Copy 11.30.05 gas 1.09.06 AURORA at 1.10.06_04 07E Wild Horse Wind Expansion (C) (2)_Final Order Electric EXHIBIT A-1 3 2" xfId="14522"/>
    <cellStyle name="_Power Cost Value Copy 11.30.05 gas 1.09.06 AURORA at 1.10.06_04 07E Wild Horse Wind Expansion (C) (2)_Final Order Electric EXHIBIT A-1 4" xfId="14523"/>
    <cellStyle name="_Power Cost Value Copy 11.30.05 gas 1.09.06 AURORA at 1.10.06_04 07E Wild Horse Wind Expansion (C) (2)_Final Order Electric EXHIBIT A-1 5" xfId="14524"/>
    <cellStyle name="_Power Cost Value Copy 11.30.05 gas 1.09.06 AURORA at 1.10.06_04 07E Wild Horse Wind Expansion (C) (2)_Final Order Electric EXHIBIT A-1 6" xfId="14525"/>
    <cellStyle name="_Power Cost Value Copy 11.30.05 gas 1.09.06 AURORA at 1.10.06_04 07E Wild Horse Wind Expansion (C) (2)_TENASKA REGULATORY ASSET" xfId="735"/>
    <cellStyle name="_Power Cost Value Copy 11.30.05 gas 1.09.06 AURORA at 1.10.06_04 07E Wild Horse Wind Expansion (C) (2)_TENASKA REGULATORY ASSET 2" xfId="14526"/>
    <cellStyle name="_Power Cost Value Copy 11.30.05 gas 1.09.06 AURORA at 1.10.06_04 07E Wild Horse Wind Expansion (C) (2)_TENASKA REGULATORY ASSET 2 2" xfId="14527"/>
    <cellStyle name="_Power Cost Value Copy 11.30.05 gas 1.09.06 AURORA at 1.10.06_04 07E Wild Horse Wind Expansion (C) (2)_TENASKA REGULATORY ASSET 2 2 2" xfId="14528"/>
    <cellStyle name="_Power Cost Value Copy 11.30.05 gas 1.09.06 AURORA at 1.10.06_04 07E Wild Horse Wind Expansion (C) (2)_TENASKA REGULATORY ASSET 2 3" xfId="14529"/>
    <cellStyle name="_Power Cost Value Copy 11.30.05 gas 1.09.06 AURORA at 1.10.06_04 07E Wild Horse Wind Expansion (C) (2)_TENASKA REGULATORY ASSET 2 4" xfId="14530"/>
    <cellStyle name="_Power Cost Value Copy 11.30.05 gas 1.09.06 AURORA at 1.10.06_04 07E Wild Horse Wind Expansion (C) (2)_TENASKA REGULATORY ASSET 3" xfId="14531"/>
    <cellStyle name="_Power Cost Value Copy 11.30.05 gas 1.09.06 AURORA at 1.10.06_04 07E Wild Horse Wind Expansion (C) (2)_TENASKA REGULATORY ASSET 3 2" xfId="14532"/>
    <cellStyle name="_Power Cost Value Copy 11.30.05 gas 1.09.06 AURORA at 1.10.06_04 07E Wild Horse Wind Expansion (C) (2)_TENASKA REGULATORY ASSET 4" xfId="14533"/>
    <cellStyle name="_Power Cost Value Copy 11.30.05 gas 1.09.06 AURORA at 1.10.06_04 07E Wild Horse Wind Expansion (C) (2)_TENASKA REGULATORY ASSET 5" xfId="14534"/>
    <cellStyle name="_Power Cost Value Copy 11.30.05 gas 1.09.06 AURORA at 1.10.06_04 07E Wild Horse Wind Expansion (C) (2)_TENASKA REGULATORY ASSET 6" xfId="14535"/>
    <cellStyle name="_Power Cost Value Copy 11.30.05 gas 1.09.06 AURORA at 1.10.06_16.37E Wild Horse Expansion DeferralRevwrkingfile SF" xfId="736"/>
    <cellStyle name="_Power Cost Value Copy 11.30.05 gas 1.09.06 AURORA at 1.10.06_16.37E Wild Horse Expansion DeferralRevwrkingfile SF 2" xfId="14536"/>
    <cellStyle name="_Power Cost Value Copy 11.30.05 gas 1.09.06 AURORA at 1.10.06_16.37E Wild Horse Expansion DeferralRevwrkingfile SF 2 2" xfId="14537"/>
    <cellStyle name="_Power Cost Value Copy 11.30.05 gas 1.09.06 AURORA at 1.10.06_16.37E Wild Horse Expansion DeferralRevwrkingfile SF 2 2 2" xfId="14538"/>
    <cellStyle name="_Power Cost Value Copy 11.30.05 gas 1.09.06 AURORA at 1.10.06_16.37E Wild Horse Expansion DeferralRevwrkingfile SF 2 2 2 2" xfId="14539"/>
    <cellStyle name="_Power Cost Value Copy 11.30.05 gas 1.09.06 AURORA at 1.10.06_16.37E Wild Horse Expansion DeferralRevwrkingfile SF 2 2 3" xfId="14540"/>
    <cellStyle name="_Power Cost Value Copy 11.30.05 gas 1.09.06 AURORA at 1.10.06_16.37E Wild Horse Expansion DeferralRevwrkingfile SF 2 3" xfId="14541"/>
    <cellStyle name="_Power Cost Value Copy 11.30.05 gas 1.09.06 AURORA at 1.10.06_16.37E Wild Horse Expansion DeferralRevwrkingfile SF 2 3 2" xfId="14542"/>
    <cellStyle name="_Power Cost Value Copy 11.30.05 gas 1.09.06 AURORA at 1.10.06_16.37E Wild Horse Expansion DeferralRevwrkingfile SF 2 4" xfId="14543"/>
    <cellStyle name="_Power Cost Value Copy 11.30.05 gas 1.09.06 AURORA at 1.10.06_16.37E Wild Horse Expansion DeferralRevwrkingfile SF 3" xfId="14544"/>
    <cellStyle name="_Power Cost Value Copy 11.30.05 gas 1.09.06 AURORA at 1.10.06_16.37E Wild Horse Expansion DeferralRevwrkingfile SF 3 2" xfId="14545"/>
    <cellStyle name="_Power Cost Value Copy 11.30.05 gas 1.09.06 AURORA at 1.10.06_16.37E Wild Horse Expansion DeferralRevwrkingfile SF 3 2 2" xfId="14546"/>
    <cellStyle name="_Power Cost Value Copy 11.30.05 gas 1.09.06 AURORA at 1.10.06_16.37E Wild Horse Expansion DeferralRevwrkingfile SF 3 3" xfId="14547"/>
    <cellStyle name="_Power Cost Value Copy 11.30.05 gas 1.09.06 AURORA at 1.10.06_16.37E Wild Horse Expansion DeferralRevwrkingfile SF 3 4" xfId="14548"/>
    <cellStyle name="_Power Cost Value Copy 11.30.05 gas 1.09.06 AURORA at 1.10.06_16.37E Wild Horse Expansion DeferralRevwrkingfile SF 4" xfId="14549"/>
    <cellStyle name="_Power Cost Value Copy 11.30.05 gas 1.09.06 AURORA at 1.10.06_16.37E Wild Horse Expansion DeferralRevwrkingfile SF 4 2" xfId="14550"/>
    <cellStyle name="_Power Cost Value Copy 11.30.05 gas 1.09.06 AURORA at 1.10.06_16.37E Wild Horse Expansion DeferralRevwrkingfile SF 5" xfId="14551"/>
    <cellStyle name="_Power Cost Value Copy 11.30.05 gas 1.09.06 AURORA at 1.10.06_16.37E Wild Horse Expansion DeferralRevwrkingfile SF_DEM-WP(C) ENERG10C--ctn Mid-C_042010 2010GRC" xfId="14552"/>
    <cellStyle name="_Power Cost Value Copy 11.30.05 gas 1.09.06 AURORA at 1.10.06_16.37E Wild Horse Expansion DeferralRevwrkingfile SF_DEM-WP(C) ENERG10C--ctn Mid-C_042010 2010GRC 2" xfId="14553"/>
    <cellStyle name="_Power Cost Value Copy 11.30.05 gas 1.09.06 AURORA at 1.10.06_2009 Compliance Filing PCA Exhibits for GRC" xfId="14554"/>
    <cellStyle name="_Power Cost Value Copy 11.30.05 gas 1.09.06 AURORA at 1.10.06_2009 Compliance Filing PCA Exhibits for GRC 2" xfId="14555"/>
    <cellStyle name="_Power Cost Value Copy 11.30.05 gas 1.09.06 AURORA at 1.10.06_2009 Compliance Filing PCA Exhibits for GRC 2 2" xfId="14556"/>
    <cellStyle name="_Power Cost Value Copy 11.30.05 gas 1.09.06 AURORA at 1.10.06_2009 Compliance Filing PCA Exhibits for GRC 3" xfId="14557"/>
    <cellStyle name="_Power Cost Value Copy 11.30.05 gas 1.09.06 AURORA at 1.10.06_2009 GRC Compl Filing - Exhibit D" xfId="14558"/>
    <cellStyle name="_Power Cost Value Copy 11.30.05 gas 1.09.06 AURORA at 1.10.06_2009 GRC Compl Filing - Exhibit D 2" xfId="14559"/>
    <cellStyle name="_Power Cost Value Copy 11.30.05 gas 1.09.06 AURORA at 1.10.06_2009 GRC Compl Filing - Exhibit D 2 2" xfId="14560"/>
    <cellStyle name="_Power Cost Value Copy 11.30.05 gas 1.09.06 AURORA at 1.10.06_2009 GRC Compl Filing - Exhibit D 2 2 2" xfId="14561"/>
    <cellStyle name="_Power Cost Value Copy 11.30.05 gas 1.09.06 AURORA at 1.10.06_2009 GRC Compl Filing - Exhibit D 2 2 2 2" xfId="14562"/>
    <cellStyle name="_Power Cost Value Copy 11.30.05 gas 1.09.06 AURORA at 1.10.06_2009 GRC Compl Filing - Exhibit D 2 2 3" xfId="14563"/>
    <cellStyle name="_Power Cost Value Copy 11.30.05 gas 1.09.06 AURORA at 1.10.06_2009 GRC Compl Filing - Exhibit D 2 3" xfId="14564"/>
    <cellStyle name="_Power Cost Value Copy 11.30.05 gas 1.09.06 AURORA at 1.10.06_2009 GRC Compl Filing - Exhibit D 2 3 2" xfId="14565"/>
    <cellStyle name="_Power Cost Value Copy 11.30.05 gas 1.09.06 AURORA at 1.10.06_2009 GRC Compl Filing - Exhibit D 2 4" xfId="14566"/>
    <cellStyle name="_Power Cost Value Copy 11.30.05 gas 1.09.06 AURORA at 1.10.06_2009 GRC Compl Filing - Exhibit D 3" xfId="14567"/>
    <cellStyle name="_Power Cost Value Copy 11.30.05 gas 1.09.06 AURORA at 1.10.06_2009 GRC Compl Filing - Exhibit D 3 2" xfId="14568"/>
    <cellStyle name="_Power Cost Value Copy 11.30.05 gas 1.09.06 AURORA at 1.10.06_2009 GRC Compl Filing - Exhibit D 3 2 2" xfId="14569"/>
    <cellStyle name="_Power Cost Value Copy 11.30.05 gas 1.09.06 AURORA at 1.10.06_2009 GRC Compl Filing - Exhibit D 3 3" xfId="14570"/>
    <cellStyle name="_Power Cost Value Copy 11.30.05 gas 1.09.06 AURORA at 1.10.06_2009 GRC Compl Filing - Exhibit D 3 4" xfId="14571"/>
    <cellStyle name="_Power Cost Value Copy 11.30.05 gas 1.09.06 AURORA at 1.10.06_2009 GRC Compl Filing - Exhibit D 4" xfId="14572"/>
    <cellStyle name="_Power Cost Value Copy 11.30.05 gas 1.09.06 AURORA at 1.10.06_2009 GRC Compl Filing - Exhibit D 4 2" xfId="14573"/>
    <cellStyle name="_Power Cost Value Copy 11.30.05 gas 1.09.06 AURORA at 1.10.06_2009 GRC Compl Filing - Exhibit D 5" xfId="14574"/>
    <cellStyle name="_Power Cost Value Copy 11.30.05 gas 1.09.06 AURORA at 1.10.06_2009 GRC Compl Filing - Exhibit D_DEM-WP(C) ENERG10C--ctn Mid-C_042010 2010GRC" xfId="14575"/>
    <cellStyle name="_Power Cost Value Copy 11.30.05 gas 1.09.06 AURORA at 1.10.06_2009 GRC Compl Filing - Exhibit D_DEM-WP(C) ENERG10C--ctn Mid-C_042010 2010GRC 2" xfId="14576"/>
    <cellStyle name="_Power Cost Value Copy 11.30.05 gas 1.09.06 AURORA at 1.10.06_3.01 Income Statement" xfId="737"/>
    <cellStyle name="_Power Cost Value Copy 11.30.05 gas 1.09.06 AURORA at 1.10.06_4 31 Regulatory Assets and Liabilities  7 06- Exhibit D" xfId="738"/>
    <cellStyle name="_Power Cost Value Copy 11.30.05 gas 1.09.06 AURORA at 1.10.06_4 31 Regulatory Assets and Liabilities  7 06- Exhibit D 2" xfId="14577"/>
    <cellStyle name="_Power Cost Value Copy 11.30.05 gas 1.09.06 AURORA at 1.10.06_4 31 Regulatory Assets and Liabilities  7 06- Exhibit D 2 2" xfId="14578"/>
    <cellStyle name="_Power Cost Value Copy 11.30.05 gas 1.09.06 AURORA at 1.10.06_4 31 Regulatory Assets and Liabilities  7 06- Exhibit D 2 2 2" xfId="14579"/>
    <cellStyle name="_Power Cost Value Copy 11.30.05 gas 1.09.06 AURORA at 1.10.06_4 31 Regulatory Assets and Liabilities  7 06- Exhibit D 2 2 2 2" xfId="14580"/>
    <cellStyle name="_Power Cost Value Copy 11.30.05 gas 1.09.06 AURORA at 1.10.06_4 31 Regulatory Assets and Liabilities  7 06- Exhibit D 2 2 3" xfId="14581"/>
    <cellStyle name="_Power Cost Value Copy 11.30.05 gas 1.09.06 AURORA at 1.10.06_4 31 Regulatory Assets and Liabilities  7 06- Exhibit D 2 3" xfId="14582"/>
    <cellStyle name="_Power Cost Value Copy 11.30.05 gas 1.09.06 AURORA at 1.10.06_4 31 Regulatory Assets and Liabilities  7 06- Exhibit D 2 3 2" xfId="14583"/>
    <cellStyle name="_Power Cost Value Copy 11.30.05 gas 1.09.06 AURORA at 1.10.06_4 31 Regulatory Assets and Liabilities  7 06- Exhibit D 2 4" xfId="14584"/>
    <cellStyle name="_Power Cost Value Copy 11.30.05 gas 1.09.06 AURORA at 1.10.06_4 31 Regulatory Assets and Liabilities  7 06- Exhibit D 3" xfId="14585"/>
    <cellStyle name="_Power Cost Value Copy 11.30.05 gas 1.09.06 AURORA at 1.10.06_4 31 Regulatory Assets and Liabilities  7 06- Exhibit D 3 2" xfId="14586"/>
    <cellStyle name="_Power Cost Value Copy 11.30.05 gas 1.09.06 AURORA at 1.10.06_4 31 Regulatory Assets and Liabilities  7 06- Exhibit D 3 2 2" xfId="14587"/>
    <cellStyle name="_Power Cost Value Copy 11.30.05 gas 1.09.06 AURORA at 1.10.06_4 31 Regulatory Assets and Liabilities  7 06- Exhibit D 3 3" xfId="14588"/>
    <cellStyle name="_Power Cost Value Copy 11.30.05 gas 1.09.06 AURORA at 1.10.06_4 31 Regulatory Assets and Liabilities  7 06- Exhibit D 3 4" xfId="14589"/>
    <cellStyle name="_Power Cost Value Copy 11.30.05 gas 1.09.06 AURORA at 1.10.06_4 31 Regulatory Assets and Liabilities  7 06- Exhibit D 4" xfId="14590"/>
    <cellStyle name="_Power Cost Value Copy 11.30.05 gas 1.09.06 AURORA at 1.10.06_4 31 Regulatory Assets and Liabilities  7 06- Exhibit D 4 2" xfId="14591"/>
    <cellStyle name="_Power Cost Value Copy 11.30.05 gas 1.09.06 AURORA at 1.10.06_4 31 Regulatory Assets and Liabilities  7 06- Exhibit D 5" xfId="14592"/>
    <cellStyle name="_Power Cost Value Copy 11.30.05 gas 1.09.06 AURORA at 1.10.06_4 31 Regulatory Assets and Liabilities  7 06- Exhibit D_DEM-WP(C) ENERG10C--ctn Mid-C_042010 2010GRC" xfId="14593"/>
    <cellStyle name="_Power Cost Value Copy 11.30.05 gas 1.09.06 AURORA at 1.10.06_4 31 Regulatory Assets and Liabilities  7 06- Exhibit D_DEM-WP(C) ENERG10C--ctn Mid-C_042010 2010GRC 2" xfId="14594"/>
    <cellStyle name="_Power Cost Value Copy 11.30.05 gas 1.09.06 AURORA at 1.10.06_4 31 Regulatory Assets and Liabilities  7 06- Exhibit D_NIM Summary" xfId="14595"/>
    <cellStyle name="_Power Cost Value Copy 11.30.05 gas 1.09.06 AURORA at 1.10.06_4 31 Regulatory Assets and Liabilities  7 06- Exhibit D_NIM Summary 2" xfId="14596"/>
    <cellStyle name="_Power Cost Value Copy 11.30.05 gas 1.09.06 AURORA at 1.10.06_4 31 Regulatory Assets and Liabilities  7 06- Exhibit D_NIM Summary 2 2" xfId="14597"/>
    <cellStyle name="_Power Cost Value Copy 11.30.05 gas 1.09.06 AURORA at 1.10.06_4 31 Regulatory Assets and Liabilities  7 06- Exhibit D_NIM Summary 2 2 2" xfId="14598"/>
    <cellStyle name="_Power Cost Value Copy 11.30.05 gas 1.09.06 AURORA at 1.10.06_4 31 Regulatory Assets and Liabilities  7 06- Exhibit D_NIM Summary 2 2 2 2" xfId="14599"/>
    <cellStyle name="_Power Cost Value Copy 11.30.05 gas 1.09.06 AURORA at 1.10.06_4 31 Regulatory Assets and Liabilities  7 06- Exhibit D_NIM Summary 2 2 3" xfId="14600"/>
    <cellStyle name="_Power Cost Value Copy 11.30.05 gas 1.09.06 AURORA at 1.10.06_4 31 Regulatory Assets and Liabilities  7 06- Exhibit D_NIM Summary 2 3" xfId="14601"/>
    <cellStyle name="_Power Cost Value Copy 11.30.05 gas 1.09.06 AURORA at 1.10.06_4 31 Regulatory Assets and Liabilities  7 06- Exhibit D_NIM Summary 2 3 2" xfId="14602"/>
    <cellStyle name="_Power Cost Value Copy 11.30.05 gas 1.09.06 AURORA at 1.10.06_4 31 Regulatory Assets and Liabilities  7 06- Exhibit D_NIM Summary 2 4" xfId="14603"/>
    <cellStyle name="_Power Cost Value Copy 11.30.05 gas 1.09.06 AURORA at 1.10.06_4 31 Regulatory Assets and Liabilities  7 06- Exhibit D_NIM Summary 3" xfId="14604"/>
    <cellStyle name="_Power Cost Value Copy 11.30.05 gas 1.09.06 AURORA at 1.10.06_4 31 Regulatory Assets and Liabilities  7 06- Exhibit D_NIM Summary 3 2" xfId="14605"/>
    <cellStyle name="_Power Cost Value Copy 11.30.05 gas 1.09.06 AURORA at 1.10.06_4 31 Regulatory Assets and Liabilities  7 06- Exhibit D_NIM Summary 3 2 2" xfId="14606"/>
    <cellStyle name="_Power Cost Value Copy 11.30.05 gas 1.09.06 AURORA at 1.10.06_4 31 Regulatory Assets and Liabilities  7 06- Exhibit D_NIM Summary 3 3" xfId="14607"/>
    <cellStyle name="_Power Cost Value Copy 11.30.05 gas 1.09.06 AURORA at 1.10.06_4 31 Regulatory Assets and Liabilities  7 06- Exhibit D_NIM Summary 3 4" xfId="14608"/>
    <cellStyle name="_Power Cost Value Copy 11.30.05 gas 1.09.06 AURORA at 1.10.06_4 31 Regulatory Assets and Liabilities  7 06- Exhibit D_NIM Summary 4" xfId="14609"/>
    <cellStyle name="_Power Cost Value Copy 11.30.05 gas 1.09.06 AURORA at 1.10.06_4 31 Regulatory Assets and Liabilities  7 06- Exhibit D_NIM Summary 4 2" xfId="14610"/>
    <cellStyle name="_Power Cost Value Copy 11.30.05 gas 1.09.06 AURORA at 1.10.06_4 31 Regulatory Assets and Liabilities  7 06- Exhibit D_NIM Summary 5" xfId="14611"/>
    <cellStyle name="_Power Cost Value Copy 11.30.05 gas 1.09.06 AURORA at 1.10.06_4 31 Regulatory Assets and Liabilities  7 06- Exhibit D_NIM Summary_DEM-WP(C) ENERG10C--ctn Mid-C_042010 2010GRC" xfId="14612"/>
    <cellStyle name="_Power Cost Value Copy 11.30.05 gas 1.09.06 AURORA at 1.10.06_4 31 Regulatory Assets and Liabilities  7 06- Exhibit D_NIM Summary_DEM-WP(C) ENERG10C--ctn Mid-C_042010 2010GRC 2" xfId="14613"/>
    <cellStyle name="_Power Cost Value Copy 11.30.05 gas 1.09.06 AURORA at 1.10.06_4 31E Reg Asset  Liab and EXH D" xfId="14614"/>
    <cellStyle name="_Power Cost Value Copy 11.30.05 gas 1.09.06 AURORA at 1.10.06_4 31E Reg Asset  Liab and EXH D _ Aug 10 Filing (2)" xfId="14615"/>
    <cellStyle name="_Power Cost Value Copy 11.30.05 gas 1.09.06 AURORA at 1.10.06_4 31E Reg Asset  Liab and EXH D _ Aug 10 Filing (2) 2" xfId="14616"/>
    <cellStyle name="_Power Cost Value Copy 11.30.05 gas 1.09.06 AURORA at 1.10.06_4 31E Reg Asset  Liab and EXH D _ Aug 10 Filing (2) 2 2" xfId="14617"/>
    <cellStyle name="_Power Cost Value Copy 11.30.05 gas 1.09.06 AURORA at 1.10.06_4 31E Reg Asset  Liab and EXH D _ Aug 10 Filing (2) 2 2 2" xfId="14618"/>
    <cellStyle name="_Power Cost Value Copy 11.30.05 gas 1.09.06 AURORA at 1.10.06_4 31E Reg Asset  Liab and EXH D _ Aug 10 Filing (2) 2 3" xfId="14619"/>
    <cellStyle name="_Power Cost Value Copy 11.30.05 gas 1.09.06 AURORA at 1.10.06_4 31E Reg Asset  Liab and EXH D _ Aug 10 Filing (2) 2 4" xfId="14620"/>
    <cellStyle name="_Power Cost Value Copy 11.30.05 gas 1.09.06 AURORA at 1.10.06_4 31E Reg Asset  Liab and EXH D _ Aug 10 Filing (2) 3" xfId="14621"/>
    <cellStyle name="_Power Cost Value Copy 11.30.05 gas 1.09.06 AURORA at 1.10.06_4 31E Reg Asset  Liab and EXH D _ Aug 10 Filing (2) 3 2" xfId="14622"/>
    <cellStyle name="_Power Cost Value Copy 11.30.05 gas 1.09.06 AURORA at 1.10.06_4 31E Reg Asset  Liab and EXH D _ Aug 10 Filing (2) 4" xfId="14623"/>
    <cellStyle name="_Power Cost Value Copy 11.30.05 gas 1.09.06 AURORA at 1.10.06_4 31E Reg Asset  Liab and EXH D 10" xfId="14624"/>
    <cellStyle name="_Power Cost Value Copy 11.30.05 gas 1.09.06 AURORA at 1.10.06_4 31E Reg Asset  Liab and EXH D 10 2" xfId="14625"/>
    <cellStyle name="_Power Cost Value Copy 11.30.05 gas 1.09.06 AURORA at 1.10.06_4 31E Reg Asset  Liab and EXH D 10 2 2" xfId="14626"/>
    <cellStyle name="_Power Cost Value Copy 11.30.05 gas 1.09.06 AURORA at 1.10.06_4 31E Reg Asset  Liab and EXH D 10 3" xfId="14627"/>
    <cellStyle name="_Power Cost Value Copy 11.30.05 gas 1.09.06 AURORA at 1.10.06_4 31E Reg Asset  Liab and EXH D 11" xfId="14628"/>
    <cellStyle name="_Power Cost Value Copy 11.30.05 gas 1.09.06 AURORA at 1.10.06_4 31E Reg Asset  Liab and EXH D 11 2" xfId="14629"/>
    <cellStyle name="_Power Cost Value Copy 11.30.05 gas 1.09.06 AURORA at 1.10.06_4 31E Reg Asset  Liab and EXH D 11 2 2" xfId="14630"/>
    <cellStyle name="_Power Cost Value Copy 11.30.05 gas 1.09.06 AURORA at 1.10.06_4 31E Reg Asset  Liab and EXH D 11 3" xfId="14631"/>
    <cellStyle name="_Power Cost Value Copy 11.30.05 gas 1.09.06 AURORA at 1.10.06_4 31E Reg Asset  Liab and EXH D 12" xfId="14632"/>
    <cellStyle name="_Power Cost Value Copy 11.30.05 gas 1.09.06 AURORA at 1.10.06_4 31E Reg Asset  Liab and EXH D 12 2" xfId="14633"/>
    <cellStyle name="_Power Cost Value Copy 11.30.05 gas 1.09.06 AURORA at 1.10.06_4 31E Reg Asset  Liab and EXH D 12 2 2" xfId="14634"/>
    <cellStyle name="_Power Cost Value Copy 11.30.05 gas 1.09.06 AURORA at 1.10.06_4 31E Reg Asset  Liab and EXH D 12 3" xfId="14635"/>
    <cellStyle name="_Power Cost Value Copy 11.30.05 gas 1.09.06 AURORA at 1.10.06_4 31E Reg Asset  Liab and EXH D 13" xfId="14636"/>
    <cellStyle name="_Power Cost Value Copy 11.30.05 gas 1.09.06 AURORA at 1.10.06_4 31E Reg Asset  Liab and EXH D 13 2" xfId="14637"/>
    <cellStyle name="_Power Cost Value Copy 11.30.05 gas 1.09.06 AURORA at 1.10.06_4 31E Reg Asset  Liab and EXH D 13 2 2" xfId="14638"/>
    <cellStyle name="_Power Cost Value Copy 11.30.05 gas 1.09.06 AURORA at 1.10.06_4 31E Reg Asset  Liab and EXH D 13 3" xfId="14639"/>
    <cellStyle name="_Power Cost Value Copy 11.30.05 gas 1.09.06 AURORA at 1.10.06_4 31E Reg Asset  Liab and EXH D 14" xfId="14640"/>
    <cellStyle name="_Power Cost Value Copy 11.30.05 gas 1.09.06 AURORA at 1.10.06_4 31E Reg Asset  Liab and EXH D 14 2" xfId="14641"/>
    <cellStyle name="_Power Cost Value Copy 11.30.05 gas 1.09.06 AURORA at 1.10.06_4 31E Reg Asset  Liab and EXH D 14 2 2" xfId="14642"/>
    <cellStyle name="_Power Cost Value Copy 11.30.05 gas 1.09.06 AURORA at 1.10.06_4 31E Reg Asset  Liab and EXH D 14 3" xfId="14643"/>
    <cellStyle name="_Power Cost Value Copy 11.30.05 gas 1.09.06 AURORA at 1.10.06_4 31E Reg Asset  Liab and EXH D 15" xfId="14644"/>
    <cellStyle name="_Power Cost Value Copy 11.30.05 gas 1.09.06 AURORA at 1.10.06_4 31E Reg Asset  Liab and EXH D 15 2" xfId="14645"/>
    <cellStyle name="_Power Cost Value Copy 11.30.05 gas 1.09.06 AURORA at 1.10.06_4 31E Reg Asset  Liab and EXH D 15 2 2" xfId="14646"/>
    <cellStyle name="_Power Cost Value Copy 11.30.05 gas 1.09.06 AURORA at 1.10.06_4 31E Reg Asset  Liab and EXH D 15 3" xfId="14647"/>
    <cellStyle name="_Power Cost Value Copy 11.30.05 gas 1.09.06 AURORA at 1.10.06_4 31E Reg Asset  Liab and EXH D 16" xfId="14648"/>
    <cellStyle name="_Power Cost Value Copy 11.30.05 gas 1.09.06 AURORA at 1.10.06_4 31E Reg Asset  Liab and EXH D 16 2" xfId="14649"/>
    <cellStyle name="_Power Cost Value Copy 11.30.05 gas 1.09.06 AURORA at 1.10.06_4 31E Reg Asset  Liab and EXH D 16 2 2" xfId="14650"/>
    <cellStyle name="_Power Cost Value Copy 11.30.05 gas 1.09.06 AURORA at 1.10.06_4 31E Reg Asset  Liab and EXH D 16 3" xfId="14651"/>
    <cellStyle name="_Power Cost Value Copy 11.30.05 gas 1.09.06 AURORA at 1.10.06_4 31E Reg Asset  Liab and EXH D 17" xfId="14652"/>
    <cellStyle name="_Power Cost Value Copy 11.30.05 gas 1.09.06 AURORA at 1.10.06_4 31E Reg Asset  Liab and EXH D 17 2" xfId="14653"/>
    <cellStyle name="_Power Cost Value Copy 11.30.05 gas 1.09.06 AURORA at 1.10.06_4 31E Reg Asset  Liab and EXH D 17 2 2" xfId="14654"/>
    <cellStyle name="_Power Cost Value Copy 11.30.05 gas 1.09.06 AURORA at 1.10.06_4 31E Reg Asset  Liab and EXH D 17 3" xfId="14655"/>
    <cellStyle name="_Power Cost Value Copy 11.30.05 gas 1.09.06 AURORA at 1.10.06_4 31E Reg Asset  Liab and EXH D 18" xfId="14656"/>
    <cellStyle name="_Power Cost Value Copy 11.30.05 gas 1.09.06 AURORA at 1.10.06_4 31E Reg Asset  Liab and EXH D 18 2" xfId="14657"/>
    <cellStyle name="_Power Cost Value Copy 11.30.05 gas 1.09.06 AURORA at 1.10.06_4 31E Reg Asset  Liab and EXH D 18 2 2" xfId="14658"/>
    <cellStyle name="_Power Cost Value Copy 11.30.05 gas 1.09.06 AURORA at 1.10.06_4 31E Reg Asset  Liab and EXH D 18 3" xfId="14659"/>
    <cellStyle name="_Power Cost Value Copy 11.30.05 gas 1.09.06 AURORA at 1.10.06_4 31E Reg Asset  Liab and EXH D 19" xfId="14660"/>
    <cellStyle name="_Power Cost Value Copy 11.30.05 gas 1.09.06 AURORA at 1.10.06_4 31E Reg Asset  Liab and EXH D 19 2" xfId="14661"/>
    <cellStyle name="_Power Cost Value Copy 11.30.05 gas 1.09.06 AURORA at 1.10.06_4 31E Reg Asset  Liab and EXH D 2" xfId="14662"/>
    <cellStyle name="_Power Cost Value Copy 11.30.05 gas 1.09.06 AURORA at 1.10.06_4 31E Reg Asset  Liab and EXH D 2 2" xfId="14663"/>
    <cellStyle name="_Power Cost Value Copy 11.30.05 gas 1.09.06 AURORA at 1.10.06_4 31E Reg Asset  Liab and EXH D 2 2 2" xfId="14664"/>
    <cellStyle name="_Power Cost Value Copy 11.30.05 gas 1.09.06 AURORA at 1.10.06_4 31E Reg Asset  Liab and EXH D 2 3" xfId="14665"/>
    <cellStyle name="_Power Cost Value Copy 11.30.05 gas 1.09.06 AURORA at 1.10.06_4 31E Reg Asset  Liab and EXH D 2 4" xfId="14666"/>
    <cellStyle name="_Power Cost Value Copy 11.30.05 gas 1.09.06 AURORA at 1.10.06_4 31E Reg Asset  Liab and EXH D 20" xfId="14667"/>
    <cellStyle name="_Power Cost Value Copy 11.30.05 gas 1.09.06 AURORA at 1.10.06_4 31E Reg Asset  Liab and EXH D 20 2" xfId="14668"/>
    <cellStyle name="_Power Cost Value Copy 11.30.05 gas 1.09.06 AURORA at 1.10.06_4 31E Reg Asset  Liab and EXH D 21" xfId="14669"/>
    <cellStyle name="_Power Cost Value Copy 11.30.05 gas 1.09.06 AURORA at 1.10.06_4 31E Reg Asset  Liab and EXH D 21 2" xfId="14670"/>
    <cellStyle name="_Power Cost Value Copy 11.30.05 gas 1.09.06 AURORA at 1.10.06_4 31E Reg Asset  Liab and EXH D 22" xfId="14671"/>
    <cellStyle name="_Power Cost Value Copy 11.30.05 gas 1.09.06 AURORA at 1.10.06_4 31E Reg Asset  Liab and EXH D 22 2" xfId="14672"/>
    <cellStyle name="_Power Cost Value Copy 11.30.05 gas 1.09.06 AURORA at 1.10.06_4 31E Reg Asset  Liab and EXH D 23" xfId="14673"/>
    <cellStyle name="_Power Cost Value Copy 11.30.05 gas 1.09.06 AURORA at 1.10.06_4 31E Reg Asset  Liab and EXH D 23 2" xfId="14674"/>
    <cellStyle name="_Power Cost Value Copy 11.30.05 gas 1.09.06 AURORA at 1.10.06_4 31E Reg Asset  Liab and EXH D 24" xfId="14675"/>
    <cellStyle name="_Power Cost Value Copy 11.30.05 gas 1.09.06 AURORA at 1.10.06_4 31E Reg Asset  Liab and EXH D 24 2" xfId="14676"/>
    <cellStyle name="_Power Cost Value Copy 11.30.05 gas 1.09.06 AURORA at 1.10.06_4 31E Reg Asset  Liab and EXH D 25" xfId="14677"/>
    <cellStyle name="_Power Cost Value Copy 11.30.05 gas 1.09.06 AURORA at 1.10.06_4 31E Reg Asset  Liab and EXH D 25 2" xfId="14678"/>
    <cellStyle name="_Power Cost Value Copy 11.30.05 gas 1.09.06 AURORA at 1.10.06_4 31E Reg Asset  Liab and EXH D 26" xfId="14679"/>
    <cellStyle name="_Power Cost Value Copy 11.30.05 gas 1.09.06 AURORA at 1.10.06_4 31E Reg Asset  Liab and EXH D 26 2" xfId="14680"/>
    <cellStyle name="_Power Cost Value Copy 11.30.05 gas 1.09.06 AURORA at 1.10.06_4 31E Reg Asset  Liab and EXH D 27" xfId="14681"/>
    <cellStyle name="_Power Cost Value Copy 11.30.05 gas 1.09.06 AURORA at 1.10.06_4 31E Reg Asset  Liab and EXH D 27 2" xfId="14682"/>
    <cellStyle name="_Power Cost Value Copy 11.30.05 gas 1.09.06 AURORA at 1.10.06_4 31E Reg Asset  Liab and EXH D 28" xfId="14683"/>
    <cellStyle name="_Power Cost Value Copy 11.30.05 gas 1.09.06 AURORA at 1.10.06_4 31E Reg Asset  Liab and EXH D 28 2" xfId="14684"/>
    <cellStyle name="_Power Cost Value Copy 11.30.05 gas 1.09.06 AURORA at 1.10.06_4 31E Reg Asset  Liab and EXH D 29" xfId="14685"/>
    <cellStyle name="_Power Cost Value Copy 11.30.05 gas 1.09.06 AURORA at 1.10.06_4 31E Reg Asset  Liab and EXH D 29 2" xfId="14686"/>
    <cellStyle name="_Power Cost Value Copy 11.30.05 gas 1.09.06 AURORA at 1.10.06_4 31E Reg Asset  Liab and EXH D 3" xfId="14687"/>
    <cellStyle name="_Power Cost Value Copy 11.30.05 gas 1.09.06 AURORA at 1.10.06_4 31E Reg Asset  Liab and EXH D 3 2" xfId="14688"/>
    <cellStyle name="_Power Cost Value Copy 11.30.05 gas 1.09.06 AURORA at 1.10.06_4 31E Reg Asset  Liab and EXH D 3 2 2" xfId="14689"/>
    <cellStyle name="_Power Cost Value Copy 11.30.05 gas 1.09.06 AURORA at 1.10.06_4 31E Reg Asset  Liab and EXH D 3 3" xfId="14690"/>
    <cellStyle name="_Power Cost Value Copy 11.30.05 gas 1.09.06 AURORA at 1.10.06_4 31E Reg Asset  Liab and EXH D 3 4" xfId="14691"/>
    <cellStyle name="_Power Cost Value Copy 11.30.05 gas 1.09.06 AURORA at 1.10.06_4 31E Reg Asset  Liab and EXH D 30" xfId="14692"/>
    <cellStyle name="_Power Cost Value Copy 11.30.05 gas 1.09.06 AURORA at 1.10.06_4 31E Reg Asset  Liab and EXH D 30 2" xfId="14693"/>
    <cellStyle name="_Power Cost Value Copy 11.30.05 gas 1.09.06 AURORA at 1.10.06_4 31E Reg Asset  Liab and EXH D 31" xfId="14694"/>
    <cellStyle name="_Power Cost Value Copy 11.30.05 gas 1.09.06 AURORA at 1.10.06_4 31E Reg Asset  Liab and EXH D 32" xfId="14695"/>
    <cellStyle name="_Power Cost Value Copy 11.30.05 gas 1.09.06 AURORA at 1.10.06_4 31E Reg Asset  Liab and EXH D 33" xfId="14696"/>
    <cellStyle name="_Power Cost Value Copy 11.30.05 gas 1.09.06 AURORA at 1.10.06_4 31E Reg Asset  Liab and EXH D 34" xfId="14697"/>
    <cellStyle name="_Power Cost Value Copy 11.30.05 gas 1.09.06 AURORA at 1.10.06_4 31E Reg Asset  Liab and EXH D 35" xfId="14698"/>
    <cellStyle name="_Power Cost Value Copy 11.30.05 gas 1.09.06 AURORA at 1.10.06_4 31E Reg Asset  Liab and EXH D 36" xfId="14699"/>
    <cellStyle name="_Power Cost Value Copy 11.30.05 gas 1.09.06 AURORA at 1.10.06_4 31E Reg Asset  Liab and EXH D 4" xfId="14700"/>
    <cellStyle name="_Power Cost Value Copy 11.30.05 gas 1.09.06 AURORA at 1.10.06_4 31E Reg Asset  Liab and EXH D 4 2" xfId="14701"/>
    <cellStyle name="_Power Cost Value Copy 11.30.05 gas 1.09.06 AURORA at 1.10.06_4 31E Reg Asset  Liab and EXH D 4 2 2" xfId="14702"/>
    <cellStyle name="_Power Cost Value Copy 11.30.05 gas 1.09.06 AURORA at 1.10.06_4 31E Reg Asset  Liab and EXH D 4 3" xfId="14703"/>
    <cellStyle name="_Power Cost Value Copy 11.30.05 gas 1.09.06 AURORA at 1.10.06_4 31E Reg Asset  Liab and EXH D 5" xfId="14704"/>
    <cellStyle name="_Power Cost Value Copy 11.30.05 gas 1.09.06 AURORA at 1.10.06_4 31E Reg Asset  Liab and EXH D 5 2" xfId="14705"/>
    <cellStyle name="_Power Cost Value Copy 11.30.05 gas 1.09.06 AURORA at 1.10.06_4 31E Reg Asset  Liab and EXH D 5 2 2" xfId="14706"/>
    <cellStyle name="_Power Cost Value Copy 11.30.05 gas 1.09.06 AURORA at 1.10.06_4 31E Reg Asset  Liab and EXH D 5 3" xfId="14707"/>
    <cellStyle name="_Power Cost Value Copy 11.30.05 gas 1.09.06 AURORA at 1.10.06_4 31E Reg Asset  Liab and EXH D 6" xfId="14708"/>
    <cellStyle name="_Power Cost Value Copy 11.30.05 gas 1.09.06 AURORA at 1.10.06_4 31E Reg Asset  Liab and EXH D 6 2" xfId="14709"/>
    <cellStyle name="_Power Cost Value Copy 11.30.05 gas 1.09.06 AURORA at 1.10.06_4 31E Reg Asset  Liab and EXH D 6 2 2" xfId="14710"/>
    <cellStyle name="_Power Cost Value Copy 11.30.05 gas 1.09.06 AURORA at 1.10.06_4 31E Reg Asset  Liab and EXH D 6 3" xfId="14711"/>
    <cellStyle name="_Power Cost Value Copy 11.30.05 gas 1.09.06 AURORA at 1.10.06_4 31E Reg Asset  Liab and EXH D 7" xfId="14712"/>
    <cellStyle name="_Power Cost Value Copy 11.30.05 gas 1.09.06 AURORA at 1.10.06_4 31E Reg Asset  Liab and EXH D 7 2" xfId="14713"/>
    <cellStyle name="_Power Cost Value Copy 11.30.05 gas 1.09.06 AURORA at 1.10.06_4 31E Reg Asset  Liab and EXH D 7 2 2" xfId="14714"/>
    <cellStyle name="_Power Cost Value Copy 11.30.05 gas 1.09.06 AURORA at 1.10.06_4 31E Reg Asset  Liab and EXH D 7 3" xfId="14715"/>
    <cellStyle name="_Power Cost Value Copy 11.30.05 gas 1.09.06 AURORA at 1.10.06_4 31E Reg Asset  Liab and EXH D 8" xfId="14716"/>
    <cellStyle name="_Power Cost Value Copy 11.30.05 gas 1.09.06 AURORA at 1.10.06_4 31E Reg Asset  Liab and EXH D 8 2" xfId="14717"/>
    <cellStyle name="_Power Cost Value Copy 11.30.05 gas 1.09.06 AURORA at 1.10.06_4 31E Reg Asset  Liab and EXH D 8 2 2" xfId="14718"/>
    <cellStyle name="_Power Cost Value Copy 11.30.05 gas 1.09.06 AURORA at 1.10.06_4 31E Reg Asset  Liab and EXH D 8 3" xfId="14719"/>
    <cellStyle name="_Power Cost Value Copy 11.30.05 gas 1.09.06 AURORA at 1.10.06_4 31E Reg Asset  Liab and EXH D 9" xfId="14720"/>
    <cellStyle name="_Power Cost Value Copy 11.30.05 gas 1.09.06 AURORA at 1.10.06_4 31E Reg Asset  Liab and EXH D 9 2" xfId="14721"/>
    <cellStyle name="_Power Cost Value Copy 11.30.05 gas 1.09.06 AURORA at 1.10.06_4 31E Reg Asset  Liab and EXH D 9 2 2" xfId="14722"/>
    <cellStyle name="_Power Cost Value Copy 11.30.05 gas 1.09.06 AURORA at 1.10.06_4 31E Reg Asset  Liab and EXH D 9 3" xfId="14723"/>
    <cellStyle name="_Power Cost Value Copy 11.30.05 gas 1.09.06 AURORA at 1.10.06_4 32 Regulatory Assets and Liabilities  7 06- Exhibit D" xfId="739"/>
    <cellStyle name="_Power Cost Value Copy 11.30.05 gas 1.09.06 AURORA at 1.10.06_4 32 Regulatory Assets and Liabilities  7 06- Exhibit D 2" xfId="14724"/>
    <cellStyle name="_Power Cost Value Copy 11.30.05 gas 1.09.06 AURORA at 1.10.06_4 32 Regulatory Assets and Liabilities  7 06- Exhibit D 2 2" xfId="14725"/>
    <cellStyle name="_Power Cost Value Copy 11.30.05 gas 1.09.06 AURORA at 1.10.06_4 32 Regulatory Assets and Liabilities  7 06- Exhibit D 2 2 2" xfId="14726"/>
    <cellStyle name="_Power Cost Value Copy 11.30.05 gas 1.09.06 AURORA at 1.10.06_4 32 Regulatory Assets and Liabilities  7 06- Exhibit D 2 2 2 2" xfId="14727"/>
    <cellStyle name="_Power Cost Value Copy 11.30.05 gas 1.09.06 AURORA at 1.10.06_4 32 Regulatory Assets and Liabilities  7 06- Exhibit D 2 2 3" xfId="14728"/>
    <cellStyle name="_Power Cost Value Copy 11.30.05 gas 1.09.06 AURORA at 1.10.06_4 32 Regulatory Assets and Liabilities  7 06- Exhibit D 2 3" xfId="14729"/>
    <cellStyle name="_Power Cost Value Copy 11.30.05 gas 1.09.06 AURORA at 1.10.06_4 32 Regulatory Assets and Liabilities  7 06- Exhibit D 2 3 2" xfId="14730"/>
    <cellStyle name="_Power Cost Value Copy 11.30.05 gas 1.09.06 AURORA at 1.10.06_4 32 Regulatory Assets and Liabilities  7 06- Exhibit D 2 4" xfId="14731"/>
    <cellStyle name="_Power Cost Value Copy 11.30.05 gas 1.09.06 AURORA at 1.10.06_4 32 Regulatory Assets and Liabilities  7 06- Exhibit D 3" xfId="14732"/>
    <cellStyle name="_Power Cost Value Copy 11.30.05 gas 1.09.06 AURORA at 1.10.06_4 32 Regulatory Assets and Liabilities  7 06- Exhibit D 3 2" xfId="14733"/>
    <cellStyle name="_Power Cost Value Copy 11.30.05 gas 1.09.06 AURORA at 1.10.06_4 32 Regulatory Assets and Liabilities  7 06- Exhibit D 3 2 2" xfId="14734"/>
    <cellStyle name="_Power Cost Value Copy 11.30.05 gas 1.09.06 AURORA at 1.10.06_4 32 Regulatory Assets and Liabilities  7 06- Exhibit D 3 3" xfId="14735"/>
    <cellStyle name="_Power Cost Value Copy 11.30.05 gas 1.09.06 AURORA at 1.10.06_4 32 Regulatory Assets and Liabilities  7 06- Exhibit D 3 4" xfId="14736"/>
    <cellStyle name="_Power Cost Value Copy 11.30.05 gas 1.09.06 AURORA at 1.10.06_4 32 Regulatory Assets and Liabilities  7 06- Exhibit D 4" xfId="14737"/>
    <cellStyle name="_Power Cost Value Copy 11.30.05 gas 1.09.06 AURORA at 1.10.06_4 32 Regulatory Assets and Liabilities  7 06- Exhibit D 4 2" xfId="14738"/>
    <cellStyle name="_Power Cost Value Copy 11.30.05 gas 1.09.06 AURORA at 1.10.06_4 32 Regulatory Assets and Liabilities  7 06- Exhibit D 5" xfId="14739"/>
    <cellStyle name="_Power Cost Value Copy 11.30.05 gas 1.09.06 AURORA at 1.10.06_4 32 Regulatory Assets and Liabilities  7 06- Exhibit D_DEM-WP(C) ENERG10C--ctn Mid-C_042010 2010GRC" xfId="14740"/>
    <cellStyle name="_Power Cost Value Copy 11.30.05 gas 1.09.06 AURORA at 1.10.06_4 32 Regulatory Assets and Liabilities  7 06- Exhibit D_DEM-WP(C) ENERG10C--ctn Mid-C_042010 2010GRC 2" xfId="14741"/>
    <cellStyle name="_Power Cost Value Copy 11.30.05 gas 1.09.06 AURORA at 1.10.06_4 32 Regulatory Assets and Liabilities  7 06- Exhibit D_NIM Summary" xfId="14742"/>
    <cellStyle name="_Power Cost Value Copy 11.30.05 gas 1.09.06 AURORA at 1.10.06_4 32 Regulatory Assets and Liabilities  7 06- Exhibit D_NIM Summary 2" xfId="14743"/>
    <cellStyle name="_Power Cost Value Copy 11.30.05 gas 1.09.06 AURORA at 1.10.06_4 32 Regulatory Assets and Liabilities  7 06- Exhibit D_NIM Summary 2 2" xfId="14744"/>
    <cellStyle name="_Power Cost Value Copy 11.30.05 gas 1.09.06 AURORA at 1.10.06_4 32 Regulatory Assets and Liabilities  7 06- Exhibit D_NIM Summary 2 2 2" xfId="14745"/>
    <cellStyle name="_Power Cost Value Copy 11.30.05 gas 1.09.06 AURORA at 1.10.06_4 32 Regulatory Assets and Liabilities  7 06- Exhibit D_NIM Summary 2 2 2 2" xfId="14746"/>
    <cellStyle name="_Power Cost Value Copy 11.30.05 gas 1.09.06 AURORA at 1.10.06_4 32 Regulatory Assets and Liabilities  7 06- Exhibit D_NIM Summary 2 2 3" xfId="14747"/>
    <cellStyle name="_Power Cost Value Copy 11.30.05 gas 1.09.06 AURORA at 1.10.06_4 32 Regulatory Assets and Liabilities  7 06- Exhibit D_NIM Summary 2 3" xfId="14748"/>
    <cellStyle name="_Power Cost Value Copy 11.30.05 gas 1.09.06 AURORA at 1.10.06_4 32 Regulatory Assets and Liabilities  7 06- Exhibit D_NIM Summary 2 3 2" xfId="14749"/>
    <cellStyle name="_Power Cost Value Copy 11.30.05 gas 1.09.06 AURORA at 1.10.06_4 32 Regulatory Assets and Liabilities  7 06- Exhibit D_NIM Summary 2 4" xfId="14750"/>
    <cellStyle name="_Power Cost Value Copy 11.30.05 gas 1.09.06 AURORA at 1.10.06_4 32 Regulatory Assets and Liabilities  7 06- Exhibit D_NIM Summary 3" xfId="14751"/>
    <cellStyle name="_Power Cost Value Copy 11.30.05 gas 1.09.06 AURORA at 1.10.06_4 32 Regulatory Assets and Liabilities  7 06- Exhibit D_NIM Summary 3 2" xfId="14752"/>
    <cellStyle name="_Power Cost Value Copy 11.30.05 gas 1.09.06 AURORA at 1.10.06_4 32 Regulatory Assets and Liabilities  7 06- Exhibit D_NIM Summary 3 2 2" xfId="14753"/>
    <cellStyle name="_Power Cost Value Copy 11.30.05 gas 1.09.06 AURORA at 1.10.06_4 32 Regulatory Assets and Liabilities  7 06- Exhibit D_NIM Summary 3 3" xfId="14754"/>
    <cellStyle name="_Power Cost Value Copy 11.30.05 gas 1.09.06 AURORA at 1.10.06_4 32 Regulatory Assets and Liabilities  7 06- Exhibit D_NIM Summary 3 4" xfId="14755"/>
    <cellStyle name="_Power Cost Value Copy 11.30.05 gas 1.09.06 AURORA at 1.10.06_4 32 Regulatory Assets and Liabilities  7 06- Exhibit D_NIM Summary 4" xfId="14756"/>
    <cellStyle name="_Power Cost Value Copy 11.30.05 gas 1.09.06 AURORA at 1.10.06_4 32 Regulatory Assets and Liabilities  7 06- Exhibit D_NIM Summary 4 2" xfId="14757"/>
    <cellStyle name="_Power Cost Value Copy 11.30.05 gas 1.09.06 AURORA at 1.10.06_4 32 Regulatory Assets and Liabilities  7 06- Exhibit D_NIM Summary 5" xfId="14758"/>
    <cellStyle name="_Power Cost Value Copy 11.30.05 gas 1.09.06 AURORA at 1.10.06_4 32 Regulatory Assets and Liabilities  7 06- Exhibit D_NIM Summary_DEM-WP(C) ENERG10C--ctn Mid-C_042010 2010GRC" xfId="14759"/>
    <cellStyle name="_Power Cost Value Copy 11.30.05 gas 1.09.06 AURORA at 1.10.06_4 32 Regulatory Assets and Liabilities  7 06- Exhibit D_NIM Summary_DEM-WP(C) ENERG10C--ctn Mid-C_042010 2010GRC 2" xfId="14760"/>
    <cellStyle name="_Power Cost Value Copy 11.30.05 gas 1.09.06 AURORA at 1.10.06_AURORA Total New" xfId="14761"/>
    <cellStyle name="_Power Cost Value Copy 11.30.05 gas 1.09.06 AURORA at 1.10.06_AURORA Total New 2" xfId="14762"/>
    <cellStyle name="_Power Cost Value Copy 11.30.05 gas 1.09.06 AURORA at 1.10.06_AURORA Total New 2 2" xfId="14763"/>
    <cellStyle name="_Power Cost Value Copy 11.30.05 gas 1.09.06 AURORA at 1.10.06_AURORA Total New 2 2 2" xfId="14764"/>
    <cellStyle name="_Power Cost Value Copy 11.30.05 gas 1.09.06 AURORA at 1.10.06_AURORA Total New 2 2 2 2" xfId="14765"/>
    <cellStyle name="_Power Cost Value Copy 11.30.05 gas 1.09.06 AURORA at 1.10.06_AURORA Total New 2 2 3" xfId="14766"/>
    <cellStyle name="_Power Cost Value Copy 11.30.05 gas 1.09.06 AURORA at 1.10.06_AURORA Total New 2 3" xfId="14767"/>
    <cellStyle name="_Power Cost Value Copy 11.30.05 gas 1.09.06 AURORA at 1.10.06_AURORA Total New 2 3 2" xfId="14768"/>
    <cellStyle name="_Power Cost Value Copy 11.30.05 gas 1.09.06 AURORA at 1.10.06_AURORA Total New 2 4" xfId="14769"/>
    <cellStyle name="_Power Cost Value Copy 11.30.05 gas 1.09.06 AURORA at 1.10.06_AURORA Total New 3" xfId="14770"/>
    <cellStyle name="_Power Cost Value Copy 11.30.05 gas 1.09.06 AURORA at 1.10.06_AURORA Total New 3 2" xfId="14771"/>
    <cellStyle name="_Power Cost Value Copy 11.30.05 gas 1.09.06 AURORA at 1.10.06_AURORA Total New 3 2 2" xfId="14772"/>
    <cellStyle name="_Power Cost Value Copy 11.30.05 gas 1.09.06 AURORA at 1.10.06_AURORA Total New 3 3" xfId="14773"/>
    <cellStyle name="_Power Cost Value Copy 11.30.05 gas 1.09.06 AURORA at 1.10.06_AURORA Total New 4" xfId="14774"/>
    <cellStyle name="_Power Cost Value Copy 11.30.05 gas 1.09.06 AURORA at 1.10.06_AURORA Total New 4 2" xfId="14775"/>
    <cellStyle name="_Power Cost Value Copy 11.30.05 gas 1.09.06 AURORA at 1.10.06_AURORA Total New 5" xfId="14776"/>
    <cellStyle name="_Power Cost Value Copy 11.30.05 gas 1.09.06 AURORA at 1.10.06_Book2" xfId="740"/>
    <cellStyle name="_Power Cost Value Copy 11.30.05 gas 1.09.06 AURORA at 1.10.06_Book2 2" xfId="14777"/>
    <cellStyle name="_Power Cost Value Copy 11.30.05 gas 1.09.06 AURORA at 1.10.06_Book2 2 2" xfId="14778"/>
    <cellStyle name="_Power Cost Value Copy 11.30.05 gas 1.09.06 AURORA at 1.10.06_Book2 2 2 2" xfId="14779"/>
    <cellStyle name="_Power Cost Value Copy 11.30.05 gas 1.09.06 AURORA at 1.10.06_Book2 2 2 2 2" xfId="14780"/>
    <cellStyle name="_Power Cost Value Copy 11.30.05 gas 1.09.06 AURORA at 1.10.06_Book2 2 2 3" xfId="14781"/>
    <cellStyle name="_Power Cost Value Copy 11.30.05 gas 1.09.06 AURORA at 1.10.06_Book2 2 3" xfId="14782"/>
    <cellStyle name="_Power Cost Value Copy 11.30.05 gas 1.09.06 AURORA at 1.10.06_Book2 2 3 2" xfId="14783"/>
    <cellStyle name="_Power Cost Value Copy 11.30.05 gas 1.09.06 AURORA at 1.10.06_Book2 2 4" xfId="14784"/>
    <cellStyle name="_Power Cost Value Copy 11.30.05 gas 1.09.06 AURORA at 1.10.06_Book2 3" xfId="14785"/>
    <cellStyle name="_Power Cost Value Copy 11.30.05 gas 1.09.06 AURORA at 1.10.06_Book2 3 2" xfId="14786"/>
    <cellStyle name="_Power Cost Value Copy 11.30.05 gas 1.09.06 AURORA at 1.10.06_Book2 3 2 2" xfId="14787"/>
    <cellStyle name="_Power Cost Value Copy 11.30.05 gas 1.09.06 AURORA at 1.10.06_Book2 3 3" xfId="14788"/>
    <cellStyle name="_Power Cost Value Copy 11.30.05 gas 1.09.06 AURORA at 1.10.06_Book2 3 4" xfId="14789"/>
    <cellStyle name="_Power Cost Value Copy 11.30.05 gas 1.09.06 AURORA at 1.10.06_Book2 4" xfId="14790"/>
    <cellStyle name="_Power Cost Value Copy 11.30.05 gas 1.09.06 AURORA at 1.10.06_Book2 4 2" xfId="14791"/>
    <cellStyle name="_Power Cost Value Copy 11.30.05 gas 1.09.06 AURORA at 1.10.06_Book2 5" xfId="14792"/>
    <cellStyle name="_Power Cost Value Copy 11.30.05 gas 1.09.06 AURORA at 1.10.06_Book2_Adj Bench DR 3 for Initial Briefs (Electric)" xfId="741"/>
    <cellStyle name="_Power Cost Value Copy 11.30.05 gas 1.09.06 AURORA at 1.10.06_Book2_Adj Bench DR 3 for Initial Briefs (Electric) 2" xfId="14793"/>
    <cellStyle name="_Power Cost Value Copy 11.30.05 gas 1.09.06 AURORA at 1.10.06_Book2_Adj Bench DR 3 for Initial Briefs (Electric) 2 2" xfId="14794"/>
    <cellStyle name="_Power Cost Value Copy 11.30.05 gas 1.09.06 AURORA at 1.10.06_Book2_Adj Bench DR 3 for Initial Briefs (Electric) 2 2 2" xfId="14795"/>
    <cellStyle name="_Power Cost Value Copy 11.30.05 gas 1.09.06 AURORA at 1.10.06_Book2_Adj Bench DR 3 for Initial Briefs (Electric) 2 2 2 2" xfId="14796"/>
    <cellStyle name="_Power Cost Value Copy 11.30.05 gas 1.09.06 AURORA at 1.10.06_Book2_Adj Bench DR 3 for Initial Briefs (Electric) 2 2 3" xfId="14797"/>
    <cellStyle name="_Power Cost Value Copy 11.30.05 gas 1.09.06 AURORA at 1.10.06_Book2_Adj Bench DR 3 for Initial Briefs (Electric) 2 3" xfId="14798"/>
    <cellStyle name="_Power Cost Value Copy 11.30.05 gas 1.09.06 AURORA at 1.10.06_Book2_Adj Bench DR 3 for Initial Briefs (Electric) 2 3 2" xfId="14799"/>
    <cellStyle name="_Power Cost Value Copy 11.30.05 gas 1.09.06 AURORA at 1.10.06_Book2_Adj Bench DR 3 for Initial Briefs (Electric) 2 4" xfId="14800"/>
    <cellStyle name="_Power Cost Value Copy 11.30.05 gas 1.09.06 AURORA at 1.10.06_Book2_Adj Bench DR 3 for Initial Briefs (Electric) 3" xfId="14801"/>
    <cellStyle name="_Power Cost Value Copy 11.30.05 gas 1.09.06 AURORA at 1.10.06_Book2_Adj Bench DR 3 for Initial Briefs (Electric) 3 2" xfId="14802"/>
    <cellStyle name="_Power Cost Value Copy 11.30.05 gas 1.09.06 AURORA at 1.10.06_Book2_Adj Bench DR 3 for Initial Briefs (Electric) 3 2 2" xfId="14803"/>
    <cellStyle name="_Power Cost Value Copy 11.30.05 gas 1.09.06 AURORA at 1.10.06_Book2_Adj Bench DR 3 for Initial Briefs (Electric) 3 3" xfId="14804"/>
    <cellStyle name="_Power Cost Value Copy 11.30.05 gas 1.09.06 AURORA at 1.10.06_Book2_Adj Bench DR 3 for Initial Briefs (Electric) 3 4" xfId="14805"/>
    <cellStyle name="_Power Cost Value Copy 11.30.05 gas 1.09.06 AURORA at 1.10.06_Book2_Adj Bench DR 3 for Initial Briefs (Electric) 4" xfId="14806"/>
    <cellStyle name="_Power Cost Value Copy 11.30.05 gas 1.09.06 AURORA at 1.10.06_Book2_Adj Bench DR 3 for Initial Briefs (Electric) 4 2" xfId="14807"/>
    <cellStyle name="_Power Cost Value Copy 11.30.05 gas 1.09.06 AURORA at 1.10.06_Book2_Adj Bench DR 3 for Initial Briefs (Electric) 5" xfId="14808"/>
    <cellStyle name="_Power Cost Value Copy 11.30.05 gas 1.09.06 AURORA at 1.10.06_Book2_Adj Bench DR 3 for Initial Briefs (Electric)_DEM-WP(C) ENERG10C--ctn Mid-C_042010 2010GRC" xfId="14809"/>
    <cellStyle name="_Power Cost Value Copy 11.30.05 gas 1.09.06 AURORA at 1.10.06_Book2_Adj Bench DR 3 for Initial Briefs (Electric)_DEM-WP(C) ENERG10C--ctn Mid-C_042010 2010GRC 2" xfId="14810"/>
    <cellStyle name="_Power Cost Value Copy 11.30.05 gas 1.09.06 AURORA at 1.10.06_Book2_DEM-WP(C) ENERG10C--ctn Mid-C_042010 2010GRC" xfId="14811"/>
    <cellStyle name="_Power Cost Value Copy 11.30.05 gas 1.09.06 AURORA at 1.10.06_Book2_DEM-WP(C) ENERG10C--ctn Mid-C_042010 2010GRC 2" xfId="14812"/>
    <cellStyle name="_Power Cost Value Copy 11.30.05 gas 1.09.06 AURORA at 1.10.06_Book2_Electric Rev Req Model (2009 GRC) Rebuttal" xfId="742"/>
    <cellStyle name="_Power Cost Value Copy 11.30.05 gas 1.09.06 AURORA at 1.10.06_Book2_Electric Rev Req Model (2009 GRC) Rebuttal 2" xfId="14813"/>
    <cellStyle name="_Power Cost Value Copy 11.30.05 gas 1.09.06 AURORA at 1.10.06_Book2_Electric Rev Req Model (2009 GRC) Rebuttal 2 2" xfId="14814"/>
    <cellStyle name="_Power Cost Value Copy 11.30.05 gas 1.09.06 AURORA at 1.10.06_Book2_Electric Rev Req Model (2009 GRC) Rebuttal 2 2 2" xfId="14815"/>
    <cellStyle name="_Power Cost Value Copy 11.30.05 gas 1.09.06 AURORA at 1.10.06_Book2_Electric Rev Req Model (2009 GRC) Rebuttal 2 3" xfId="14816"/>
    <cellStyle name="_Power Cost Value Copy 11.30.05 gas 1.09.06 AURORA at 1.10.06_Book2_Electric Rev Req Model (2009 GRC) Rebuttal 3" xfId="14817"/>
    <cellStyle name="_Power Cost Value Copy 11.30.05 gas 1.09.06 AURORA at 1.10.06_Book2_Electric Rev Req Model (2009 GRC) Rebuttal 3 2" xfId="14818"/>
    <cellStyle name="_Power Cost Value Copy 11.30.05 gas 1.09.06 AURORA at 1.10.06_Book2_Electric Rev Req Model (2009 GRC) Rebuttal 4" xfId="14819"/>
    <cellStyle name="_Power Cost Value Copy 11.30.05 gas 1.09.06 AURORA at 1.10.06_Book2_Electric Rev Req Model (2009 GRC) Rebuttal REmoval of New  WH Solar AdjustMI" xfId="743"/>
    <cellStyle name="_Power Cost Value Copy 11.30.05 gas 1.09.06 AURORA at 1.10.06_Book2_Electric Rev Req Model (2009 GRC) Rebuttal REmoval of New  WH Solar AdjustMI 2" xfId="14820"/>
    <cellStyle name="_Power Cost Value Copy 11.30.05 gas 1.09.06 AURORA at 1.10.06_Book2_Electric Rev Req Model (2009 GRC) Rebuttal REmoval of New  WH Solar AdjustMI 2 2" xfId="14821"/>
    <cellStyle name="_Power Cost Value Copy 11.30.05 gas 1.09.06 AURORA at 1.10.06_Book2_Electric Rev Req Model (2009 GRC) Rebuttal REmoval of New  WH Solar AdjustMI 2 2 2" xfId="14822"/>
    <cellStyle name="_Power Cost Value Copy 11.30.05 gas 1.09.06 AURORA at 1.10.06_Book2_Electric Rev Req Model (2009 GRC) Rebuttal REmoval of New  WH Solar AdjustMI 2 2 2 2" xfId="14823"/>
    <cellStyle name="_Power Cost Value Copy 11.30.05 gas 1.09.06 AURORA at 1.10.06_Book2_Electric Rev Req Model (2009 GRC) Rebuttal REmoval of New  WH Solar AdjustMI 2 2 3" xfId="14824"/>
    <cellStyle name="_Power Cost Value Copy 11.30.05 gas 1.09.06 AURORA at 1.10.06_Book2_Electric Rev Req Model (2009 GRC) Rebuttal REmoval of New  WH Solar AdjustMI 2 3" xfId="14825"/>
    <cellStyle name="_Power Cost Value Copy 11.30.05 gas 1.09.06 AURORA at 1.10.06_Book2_Electric Rev Req Model (2009 GRC) Rebuttal REmoval of New  WH Solar AdjustMI 2 3 2" xfId="14826"/>
    <cellStyle name="_Power Cost Value Copy 11.30.05 gas 1.09.06 AURORA at 1.10.06_Book2_Electric Rev Req Model (2009 GRC) Rebuttal REmoval of New  WH Solar AdjustMI 2 4" xfId="14827"/>
    <cellStyle name="_Power Cost Value Copy 11.30.05 gas 1.09.06 AURORA at 1.10.06_Book2_Electric Rev Req Model (2009 GRC) Rebuttal REmoval of New  WH Solar AdjustMI 3" xfId="14828"/>
    <cellStyle name="_Power Cost Value Copy 11.30.05 gas 1.09.06 AURORA at 1.10.06_Book2_Electric Rev Req Model (2009 GRC) Rebuttal REmoval of New  WH Solar AdjustMI 3 2" xfId="14829"/>
    <cellStyle name="_Power Cost Value Copy 11.30.05 gas 1.09.06 AURORA at 1.10.06_Book2_Electric Rev Req Model (2009 GRC) Rebuttal REmoval of New  WH Solar AdjustMI 3 2 2" xfId="14830"/>
    <cellStyle name="_Power Cost Value Copy 11.30.05 gas 1.09.06 AURORA at 1.10.06_Book2_Electric Rev Req Model (2009 GRC) Rebuttal REmoval of New  WH Solar AdjustMI 3 3" xfId="14831"/>
    <cellStyle name="_Power Cost Value Copy 11.30.05 gas 1.09.06 AURORA at 1.10.06_Book2_Electric Rev Req Model (2009 GRC) Rebuttal REmoval of New  WH Solar AdjustMI 3 4" xfId="14832"/>
    <cellStyle name="_Power Cost Value Copy 11.30.05 gas 1.09.06 AURORA at 1.10.06_Book2_Electric Rev Req Model (2009 GRC) Rebuttal REmoval of New  WH Solar AdjustMI 4" xfId="14833"/>
    <cellStyle name="_Power Cost Value Copy 11.30.05 gas 1.09.06 AURORA at 1.10.06_Book2_Electric Rev Req Model (2009 GRC) Rebuttal REmoval of New  WH Solar AdjustMI 4 2" xfId="14834"/>
    <cellStyle name="_Power Cost Value Copy 11.30.05 gas 1.09.06 AURORA at 1.10.06_Book2_Electric Rev Req Model (2009 GRC) Rebuttal REmoval of New  WH Solar AdjustMI 5" xfId="14835"/>
    <cellStyle name="_Power Cost Value Copy 11.30.05 gas 1.09.06 AURORA at 1.10.06_Book2_Electric Rev Req Model (2009 GRC) Rebuttal REmoval of New  WH Solar AdjustMI_DEM-WP(C) ENERG10C--ctn Mid-C_042010 2010GRC" xfId="14836"/>
    <cellStyle name="_Power Cost Value Copy 11.30.05 gas 1.09.06 AURORA at 1.10.06_Book2_Electric Rev Req Model (2009 GRC) Rebuttal REmoval of New  WH Solar AdjustMI_DEM-WP(C) ENERG10C--ctn Mid-C_042010 2010GRC 2" xfId="14837"/>
    <cellStyle name="_Power Cost Value Copy 11.30.05 gas 1.09.06 AURORA at 1.10.06_Book2_Electric Rev Req Model (2009 GRC) Revised 01-18-2010" xfId="744"/>
    <cellStyle name="_Power Cost Value Copy 11.30.05 gas 1.09.06 AURORA at 1.10.06_Book2_Electric Rev Req Model (2009 GRC) Revised 01-18-2010 2" xfId="14838"/>
    <cellStyle name="_Power Cost Value Copy 11.30.05 gas 1.09.06 AURORA at 1.10.06_Book2_Electric Rev Req Model (2009 GRC) Revised 01-18-2010 2 2" xfId="14839"/>
    <cellStyle name="_Power Cost Value Copy 11.30.05 gas 1.09.06 AURORA at 1.10.06_Book2_Electric Rev Req Model (2009 GRC) Revised 01-18-2010 2 2 2" xfId="14840"/>
    <cellStyle name="_Power Cost Value Copy 11.30.05 gas 1.09.06 AURORA at 1.10.06_Book2_Electric Rev Req Model (2009 GRC) Revised 01-18-2010 2 2 2 2" xfId="14841"/>
    <cellStyle name="_Power Cost Value Copy 11.30.05 gas 1.09.06 AURORA at 1.10.06_Book2_Electric Rev Req Model (2009 GRC) Revised 01-18-2010 2 2 3" xfId="14842"/>
    <cellStyle name="_Power Cost Value Copy 11.30.05 gas 1.09.06 AURORA at 1.10.06_Book2_Electric Rev Req Model (2009 GRC) Revised 01-18-2010 2 3" xfId="14843"/>
    <cellStyle name="_Power Cost Value Copy 11.30.05 gas 1.09.06 AURORA at 1.10.06_Book2_Electric Rev Req Model (2009 GRC) Revised 01-18-2010 2 3 2" xfId="14844"/>
    <cellStyle name="_Power Cost Value Copy 11.30.05 gas 1.09.06 AURORA at 1.10.06_Book2_Electric Rev Req Model (2009 GRC) Revised 01-18-2010 2 4" xfId="14845"/>
    <cellStyle name="_Power Cost Value Copy 11.30.05 gas 1.09.06 AURORA at 1.10.06_Book2_Electric Rev Req Model (2009 GRC) Revised 01-18-2010 3" xfId="14846"/>
    <cellStyle name="_Power Cost Value Copy 11.30.05 gas 1.09.06 AURORA at 1.10.06_Book2_Electric Rev Req Model (2009 GRC) Revised 01-18-2010 3 2" xfId="14847"/>
    <cellStyle name="_Power Cost Value Copy 11.30.05 gas 1.09.06 AURORA at 1.10.06_Book2_Electric Rev Req Model (2009 GRC) Revised 01-18-2010 3 2 2" xfId="14848"/>
    <cellStyle name="_Power Cost Value Copy 11.30.05 gas 1.09.06 AURORA at 1.10.06_Book2_Electric Rev Req Model (2009 GRC) Revised 01-18-2010 3 3" xfId="14849"/>
    <cellStyle name="_Power Cost Value Copy 11.30.05 gas 1.09.06 AURORA at 1.10.06_Book2_Electric Rev Req Model (2009 GRC) Revised 01-18-2010 3 4" xfId="14850"/>
    <cellStyle name="_Power Cost Value Copy 11.30.05 gas 1.09.06 AURORA at 1.10.06_Book2_Electric Rev Req Model (2009 GRC) Revised 01-18-2010 4" xfId="14851"/>
    <cellStyle name="_Power Cost Value Copy 11.30.05 gas 1.09.06 AURORA at 1.10.06_Book2_Electric Rev Req Model (2009 GRC) Revised 01-18-2010 4 2" xfId="14852"/>
    <cellStyle name="_Power Cost Value Copy 11.30.05 gas 1.09.06 AURORA at 1.10.06_Book2_Electric Rev Req Model (2009 GRC) Revised 01-18-2010 5" xfId="14853"/>
    <cellStyle name="_Power Cost Value Copy 11.30.05 gas 1.09.06 AURORA at 1.10.06_Book2_Electric Rev Req Model (2009 GRC) Revised 01-18-2010_DEM-WP(C) ENERG10C--ctn Mid-C_042010 2010GRC" xfId="14854"/>
    <cellStyle name="_Power Cost Value Copy 11.30.05 gas 1.09.06 AURORA at 1.10.06_Book2_Electric Rev Req Model (2009 GRC) Revised 01-18-2010_DEM-WP(C) ENERG10C--ctn Mid-C_042010 2010GRC 2" xfId="14855"/>
    <cellStyle name="_Power Cost Value Copy 11.30.05 gas 1.09.06 AURORA at 1.10.06_Book2_Final Order Electric EXHIBIT A-1" xfId="745"/>
    <cellStyle name="_Power Cost Value Copy 11.30.05 gas 1.09.06 AURORA at 1.10.06_Book2_Final Order Electric EXHIBIT A-1 2" xfId="14856"/>
    <cellStyle name="_Power Cost Value Copy 11.30.05 gas 1.09.06 AURORA at 1.10.06_Book2_Final Order Electric EXHIBIT A-1 2 2" xfId="14857"/>
    <cellStyle name="_Power Cost Value Copy 11.30.05 gas 1.09.06 AURORA at 1.10.06_Book2_Final Order Electric EXHIBIT A-1 2 2 2" xfId="14858"/>
    <cellStyle name="_Power Cost Value Copy 11.30.05 gas 1.09.06 AURORA at 1.10.06_Book2_Final Order Electric EXHIBIT A-1 2 3" xfId="14859"/>
    <cellStyle name="_Power Cost Value Copy 11.30.05 gas 1.09.06 AURORA at 1.10.06_Book2_Final Order Electric EXHIBIT A-1 2 4" xfId="14860"/>
    <cellStyle name="_Power Cost Value Copy 11.30.05 gas 1.09.06 AURORA at 1.10.06_Book2_Final Order Electric EXHIBIT A-1 3" xfId="14861"/>
    <cellStyle name="_Power Cost Value Copy 11.30.05 gas 1.09.06 AURORA at 1.10.06_Book2_Final Order Electric EXHIBIT A-1 3 2" xfId="14862"/>
    <cellStyle name="_Power Cost Value Copy 11.30.05 gas 1.09.06 AURORA at 1.10.06_Book2_Final Order Electric EXHIBIT A-1 4" xfId="14863"/>
    <cellStyle name="_Power Cost Value Copy 11.30.05 gas 1.09.06 AURORA at 1.10.06_Book2_Final Order Electric EXHIBIT A-1 5" xfId="14864"/>
    <cellStyle name="_Power Cost Value Copy 11.30.05 gas 1.09.06 AURORA at 1.10.06_Book2_Final Order Electric EXHIBIT A-1 6" xfId="14865"/>
    <cellStyle name="_Power Cost Value Copy 11.30.05 gas 1.09.06 AURORA at 1.10.06_Book4" xfId="746"/>
    <cellStyle name="_Power Cost Value Copy 11.30.05 gas 1.09.06 AURORA at 1.10.06_Book4 2" xfId="14866"/>
    <cellStyle name="_Power Cost Value Copy 11.30.05 gas 1.09.06 AURORA at 1.10.06_Book4 2 2" xfId="14867"/>
    <cellStyle name="_Power Cost Value Copy 11.30.05 gas 1.09.06 AURORA at 1.10.06_Book4 2 2 2" xfId="14868"/>
    <cellStyle name="_Power Cost Value Copy 11.30.05 gas 1.09.06 AURORA at 1.10.06_Book4 2 2 2 2" xfId="14869"/>
    <cellStyle name="_Power Cost Value Copy 11.30.05 gas 1.09.06 AURORA at 1.10.06_Book4 2 2 3" xfId="14870"/>
    <cellStyle name="_Power Cost Value Copy 11.30.05 gas 1.09.06 AURORA at 1.10.06_Book4 2 3" xfId="14871"/>
    <cellStyle name="_Power Cost Value Copy 11.30.05 gas 1.09.06 AURORA at 1.10.06_Book4 2 3 2" xfId="14872"/>
    <cellStyle name="_Power Cost Value Copy 11.30.05 gas 1.09.06 AURORA at 1.10.06_Book4 2 4" xfId="14873"/>
    <cellStyle name="_Power Cost Value Copy 11.30.05 gas 1.09.06 AURORA at 1.10.06_Book4 3" xfId="14874"/>
    <cellStyle name="_Power Cost Value Copy 11.30.05 gas 1.09.06 AURORA at 1.10.06_Book4 3 2" xfId="14875"/>
    <cellStyle name="_Power Cost Value Copy 11.30.05 gas 1.09.06 AURORA at 1.10.06_Book4 3 2 2" xfId="14876"/>
    <cellStyle name="_Power Cost Value Copy 11.30.05 gas 1.09.06 AURORA at 1.10.06_Book4 3 3" xfId="14877"/>
    <cellStyle name="_Power Cost Value Copy 11.30.05 gas 1.09.06 AURORA at 1.10.06_Book4 3 4" xfId="14878"/>
    <cellStyle name="_Power Cost Value Copy 11.30.05 gas 1.09.06 AURORA at 1.10.06_Book4 4" xfId="14879"/>
    <cellStyle name="_Power Cost Value Copy 11.30.05 gas 1.09.06 AURORA at 1.10.06_Book4 4 2" xfId="14880"/>
    <cellStyle name="_Power Cost Value Copy 11.30.05 gas 1.09.06 AURORA at 1.10.06_Book4 5" xfId="14881"/>
    <cellStyle name="_Power Cost Value Copy 11.30.05 gas 1.09.06 AURORA at 1.10.06_Book4_DEM-WP(C) ENERG10C--ctn Mid-C_042010 2010GRC" xfId="14882"/>
    <cellStyle name="_Power Cost Value Copy 11.30.05 gas 1.09.06 AURORA at 1.10.06_Book4_DEM-WP(C) ENERG10C--ctn Mid-C_042010 2010GRC 2" xfId="14883"/>
    <cellStyle name="_Power Cost Value Copy 11.30.05 gas 1.09.06 AURORA at 1.10.06_Book9" xfId="747"/>
    <cellStyle name="_Power Cost Value Copy 11.30.05 gas 1.09.06 AURORA at 1.10.06_Book9 2" xfId="14884"/>
    <cellStyle name="_Power Cost Value Copy 11.30.05 gas 1.09.06 AURORA at 1.10.06_Book9 2 2" xfId="14885"/>
    <cellStyle name="_Power Cost Value Copy 11.30.05 gas 1.09.06 AURORA at 1.10.06_Book9 2 2 2" xfId="14886"/>
    <cellStyle name="_Power Cost Value Copy 11.30.05 gas 1.09.06 AURORA at 1.10.06_Book9 2 2 2 2" xfId="14887"/>
    <cellStyle name="_Power Cost Value Copy 11.30.05 gas 1.09.06 AURORA at 1.10.06_Book9 2 2 3" xfId="14888"/>
    <cellStyle name="_Power Cost Value Copy 11.30.05 gas 1.09.06 AURORA at 1.10.06_Book9 2 3" xfId="14889"/>
    <cellStyle name="_Power Cost Value Copy 11.30.05 gas 1.09.06 AURORA at 1.10.06_Book9 2 3 2" xfId="14890"/>
    <cellStyle name="_Power Cost Value Copy 11.30.05 gas 1.09.06 AURORA at 1.10.06_Book9 2 4" xfId="14891"/>
    <cellStyle name="_Power Cost Value Copy 11.30.05 gas 1.09.06 AURORA at 1.10.06_Book9 3" xfId="14892"/>
    <cellStyle name="_Power Cost Value Copy 11.30.05 gas 1.09.06 AURORA at 1.10.06_Book9 3 2" xfId="14893"/>
    <cellStyle name="_Power Cost Value Copy 11.30.05 gas 1.09.06 AURORA at 1.10.06_Book9 3 2 2" xfId="14894"/>
    <cellStyle name="_Power Cost Value Copy 11.30.05 gas 1.09.06 AURORA at 1.10.06_Book9 3 3" xfId="14895"/>
    <cellStyle name="_Power Cost Value Copy 11.30.05 gas 1.09.06 AURORA at 1.10.06_Book9 3 4" xfId="14896"/>
    <cellStyle name="_Power Cost Value Copy 11.30.05 gas 1.09.06 AURORA at 1.10.06_Book9 4" xfId="14897"/>
    <cellStyle name="_Power Cost Value Copy 11.30.05 gas 1.09.06 AURORA at 1.10.06_Book9 4 2" xfId="14898"/>
    <cellStyle name="_Power Cost Value Copy 11.30.05 gas 1.09.06 AURORA at 1.10.06_Book9 5" xfId="14899"/>
    <cellStyle name="_Power Cost Value Copy 11.30.05 gas 1.09.06 AURORA at 1.10.06_Book9_DEM-WP(C) ENERG10C--ctn Mid-C_042010 2010GRC" xfId="14900"/>
    <cellStyle name="_Power Cost Value Copy 11.30.05 gas 1.09.06 AURORA at 1.10.06_Book9_DEM-WP(C) ENERG10C--ctn Mid-C_042010 2010GRC 2" xfId="14901"/>
    <cellStyle name="_Power Cost Value Copy 11.30.05 gas 1.09.06 AURORA at 1.10.06_Check the Interest Calculation" xfId="748"/>
    <cellStyle name="_Power Cost Value Copy 11.30.05 gas 1.09.06 AURORA at 1.10.06_Check the Interest Calculation 2" xfId="14902"/>
    <cellStyle name="_Power Cost Value Copy 11.30.05 gas 1.09.06 AURORA at 1.10.06_Check the Interest Calculation_Scenario 1 REC vs PTC Offset" xfId="749"/>
    <cellStyle name="_Power Cost Value Copy 11.30.05 gas 1.09.06 AURORA at 1.10.06_Check the Interest Calculation_Scenario 1 REC vs PTC Offset 2" xfId="14903"/>
    <cellStyle name="_Power Cost Value Copy 11.30.05 gas 1.09.06 AURORA at 1.10.06_Check the Interest Calculation_Scenario 3" xfId="750"/>
    <cellStyle name="_Power Cost Value Copy 11.30.05 gas 1.09.06 AURORA at 1.10.06_Check the Interest Calculation_Scenario 3 2" xfId="14904"/>
    <cellStyle name="_Power Cost Value Copy 11.30.05 gas 1.09.06 AURORA at 1.10.06_Chelan PUD Power Costs (8-10)" xfId="14905"/>
    <cellStyle name="_Power Cost Value Copy 11.30.05 gas 1.09.06 AURORA at 1.10.06_Chelan PUD Power Costs (8-10) 2" xfId="14906"/>
    <cellStyle name="_Power Cost Value Copy 11.30.05 gas 1.09.06 AURORA at 1.10.06_DEM-WP(C) Chelan Power Costs" xfId="14907"/>
    <cellStyle name="_Power Cost Value Copy 11.30.05 gas 1.09.06 AURORA at 1.10.06_DEM-WP(C) Chelan Power Costs 2" xfId="14908"/>
    <cellStyle name="_Power Cost Value Copy 11.30.05 gas 1.09.06 AURORA at 1.10.06_DEM-WP(C) Chelan Power Costs 2 2" xfId="14909"/>
    <cellStyle name="_Power Cost Value Copy 11.30.05 gas 1.09.06 AURORA at 1.10.06_DEM-WP(C) Chelan Power Costs 2 2 2" xfId="14910"/>
    <cellStyle name="_Power Cost Value Copy 11.30.05 gas 1.09.06 AURORA at 1.10.06_DEM-WP(C) Chelan Power Costs 2 3" xfId="14911"/>
    <cellStyle name="_Power Cost Value Copy 11.30.05 gas 1.09.06 AURORA at 1.10.06_DEM-WP(C) Chelan Power Costs 2 4" xfId="14912"/>
    <cellStyle name="_Power Cost Value Copy 11.30.05 gas 1.09.06 AURORA at 1.10.06_DEM-WP(C) Chelan Power Costs 3" xfId="14913"/>
    <cellStyle name="_Power Cost Value Copy 11.30.05 gas 1.09.06 AURORA at 1.10.06_DEM-WP(C) Chelan Power Costs 3 2" xfId="14914"/>
    <cellStyle name="_Power Cost Value Copy 11.30.05 gas 1.09.06 AURORA at 1.10.06_DEM-WP(C) Chelan Power Costs 4" xfId="14915"/>
    <cellStyle name="_Power Cost Value Copy 11.30.05 gas 1.09.06 AURORA at 1.10.06_DEM-WP(C) ENERG10C--ctn Mid-C_042010 2010GRC" xfId="14916"/>
    <cellStyle name="_Power Cost Value Copy 11.30.05 gas 1.09.06 AURORA at 1.10.06_DEM-WP(C) ENERG10C--ctn Mid-C_042010 2010GRC 2" xfId="14917"/>
    <cellStyle name="_Power Cost Value Copy 11.30.05 gas 1.09.06 AURORA at 1.10.06_DEM-WP(C) Gas Transport 2010GRC" xfId="14918"/>
    <cellStyle name="_Power Cost Value Copy 11.30.05 gas 1.09.06 AURORA at 1.10.06_DEM-WP(C) Gas Transport 2010GRC 2" xfId="14919"/>
    <cellStyle name="_Power Cost Value Copy 11.30.05 gas 1.09.06 AURORA at 1.10.06_DEM-WP(C) Gas Transport 2010GRC 2 2" xfId="14920"/>
    <cellStyle name="_Power Cost Value Copy 11.30.05 gas 1.09.06 AURORA at 1.10.06_DEM-WP(C) Gas Transport 2010GRC 2 2 2" xfId="14921"/>
    <cellStyle name="_Power Cost Value Copy 11.30.05 gas 1.09.06 AURORA at 1.10.06_DEM-WP(C) Gas Transport 2010GRC 2 3" xfId="14922"/>
    <cellStyle name="_Power Cost Value Copy 11.30.05 gas 1.09.06 AURORA at 1.10.06_DEM-WP(C) Gas Transport 2010GRC 2 4" xfId="14923"/>
    <cellStyle name="_Power Cost Value Copy 11.30.05 gas 1.09.06 AURORA at 1.10.06_DEM-WP(C) Gas Transport 2010GRC 3" xfId="14924"/>
    <cellStyle name="_Power Cost Value Copy 11.30.05 gas 1.09.06 AURORA at 1.10.06_DEM-WP(C) Gas Transport 2010GRC 3 2" xfId="14925"/>
    <cellStyle name="_Power Cost Value Copy 11.30.05 gas 1.09.06 AURORA at 1.10.06_DEM-WP(C) Gas Transport 2010GRC 4" xfId="14926"/>
    <cellStyle name="_Power Cost Value Copy 11.30.05 gas 1.09.06 AURORA at 1.10.06_Direct Assignment Distribution Plant 2008" xfId="14927"/>
    <cellStyle name="_Power Cost Value Copy 11.30.05 gas 1.09.06 AURORA at 1.10.06_Direct Assignment Distribution Plant 2008 2" xfId="14928"/>
    <cellStyle name="_Power Cost Value Copy 11.30.05 gas 1.09.06 AURORA at 1.10.06_Direct Assignment Distribution Plant 2008 2 2" xfId="14929"/>
    <cellStyle name="_Power Cost Value Copy 11.30.05 gas 1.09.06 AURORA at 1.10.06_Direct Assignment Distribution Plant 2008 2 2 2" xfId="14930"/>
    <cellStyle name="_Power Cost Value Copy 11.30.05 gas 1.09.06 AURORA at 1.10.06_Direct Assignment Distribution Plant 2008 2 2 2 2" xfId="14931"/>
    <cellStyle name="_Power Cost Value Copy 11.30.05 gas 1.09.06 AURORA at 1.10.06_Direct Assignment Distribution Plant 2008 2 2 3" xfId="14932"/>
    <cellStyle name="_Power Cost Value Copy 11.30.05 gas 1.09.06 AURORA at 1.10.06_Direct Assignment Distribution Plant 2008 2 3" xfId="14933"/>
    <cellStyle name="_Power Cost Value Copy 11.30.05 gas 1.09.06 AURORA at 1.10.06_Direct Assignment Distribution Plant 2008 2 3 2" xfId="14934"/>
    <cellStyle name="_Power Cost Value Copy 11.30.05 gas 1.09.06 AURORA at 1.10.06_Direct Assignment Distribution Plant 2008 2 3 2 2" xfId="14935"/>
    <cellStyle name="_Power Cost Value Copy 11.30.05 gas 1.09.06 AURORA at 1.10.06_Direct Assignment Distribution Plant 2008 2 3 3" xfId="14936"/>
    <cellStyle name="_Power Cost Value Copy 11.30.05 gas 1.09.06 AURORA at 1.10.06_Direct Assignment Distribution Plant 2008 2 4" xfId="14937"/>
    <cellStyle name="_Power Cost Value Copy 11.30.05 gas 1.09.06 AURORA at 1.10.06_Direct Assignment Distribution Plant 2008 2 4 2" xfId="14938"/>
    <cellStyle name="_Power Cost Value Copy 11.30.05 gas 1.09.06 AURORA at 1.10.06_Direct Assignment Distribution Plant 2008 2 4 2 2" xfId="14939"/>
    <cellStyle name="_Power Cost Value Copy 11.30.05 gas 1.09.06 AURORA at 1.10.06_Direct Assignment Distribution Plant 2008 2 4 3" xfId="14940"/>
    <cellStyle name="_Power Cost Value Copy 11.30.05 gas 1.09.06 AURORA at 1.10.06_Direct Assignment Distribution Plant 2008 2 5" xfId="14941"/>
    <cellStyle name="_Power Cost Value Copy 11.30.05 gas 1.09.06 AURORA at 1.10.06_Direct Assignment Distribution Plant 2008 3" xfId="14942"/>
    <cellStyle name="_Power Cost Value Copy 11.30.05 gas 1.09.06 AURORA at 1.10.06_Direct Assignment Distribution Plant 2008 3 2" xfId="14943"/>
    <cellStyle name="_Power Cost Value Copy 11.30.05 gas 1.09.06 AURORA at 1.10.06_Direct Assignment Distribution Plant 2008 3 2 2" xfId="14944"/>
    <cellStyle name="_Power Cost Value Copy 11.30.05 gas 1.09.06 AURORA at 1.10.06_Direct Assignment Distribution Plant 2008 3 3" xfId="14945"/>
    <cellStyle name="_Power Cost Value Copy 11.30.05 gas 1.09.06 AURORA at 1.10.06_Direct Assignment Distribution Plant 2008 4" xfId="14946"/>
    <cellStyle name="_Power Cost Value Copy 11.30.05 gas 1.09.06 AURORA at 1.10.06_Direct Assignment Distribution Plant 2008 4 2" xfId="14947"/>
    <cellStyle name="_Power Cost Value Copy 11.30.05 gas 1.09.06 AURORA at 1.10.06_Direct Assignment Distribution Plant 2008 4 2 2" xfId="14948"/>
    <cellStyle name="_Power Cost Value Copy 11.30.05 gas 1.09.06 AURORA at 1.10.06_Direct Assignment Distribution Plant 2008 4 3" xfId="14949"/>
    <cellStyle name="_Power Cost Value Copy 11.30.05 gas 1.09.06 AURORA at 1.10.06_Direct Assignment Distribution Plant 2008 5" xfId="14950"/>
    <cellStyle name="_Power Cost Value Copy 11.30.05 gas 1.09.06 AURORA at 1.10.06_Direct Assignment Distribution Plant 2008 5 2" xfId="14951"/>
    <cellStyle name="_Power Cost Value Copy 11.30.05 gas 1.09.06 AURORA at 1.10.06_Direct Assignment Distribution Plant 2008 6" xfId="14952"/>
    <cellStyle name="_Power Cost Value Copy 11.30.05 gas 1.09.06 AURORA at 1.10.06_Electric COS Inputs" xfId="14953"/>
    <cellStyle name="_Power Cost Value Copy 11.30.05 gas 1.09.06 AURORA at 1.10.06_Electric COS Inputs 2" xfId="14954"/>
    <cellStyle name="_Power Cost Value Copy 11.30.05 gas 1.09.06 AURORA at 1.10.06_Electric COS Inputs 2 2" xfId="14955"/>
    <cellStyle name="_Power Cost Value Copy 11.30.05 gas 1.09.06 AURORA at 1.10.06_Electric COS Inputs 2 2 2" xfId="14956"/>
    <cellStyle name="_Power Cost Value Copy 11.30.05 gas 1.09.06 AURORA at 1.10.06_Electric COS Inputs 2 2 2 2" xfId="14957"/>
    <cellStyle name="_Power Cost Value Copy 11.30.05 gas 1.09.06 AURORA at 1.10.06_Electric COS Inputs 2 2 3" xfId="14958"/>
    <cellStyle name="_Power Cost Value Copy 11.30.05 gas 1.09.06 AURORA at 1.10.06_Electric COS Inputs 2 3" xfId="14959"/>
    <cellStyle name="_Power Cost Value Copy 11.30.05 gas 1.09.06 AURORA at 1.10.06_Electric COS Inputs 2 3 2" xfId="14960"/>
    <cellStyle name="_Power Cost Value Copy 11.30.05 gas 1.09.06 AURORA at 1.10.06_Electric COS Inputs 2 3 2 2" xfId="14961"/>
    <cellStyle name="_Power Cost Value Copy 11.30.05 gas 1.09.06 AURORA at 1.10.06_Electric COS Inputs 2 3 3" xfId="14962"/>
    <cellStyle name="_Power Cost Value Copy 11.30.05 gas 1.09.06 AURORA at 1.10.06_Electric COS Inputs 2 4" xfId="14963"/>
    <cellStyle name="_Power Cost Value Copy 11.30.05 gas 1.09.06 AURORA at 1.10.06_Electric COS Inputs 2 4 2" xfId="14964"/>
    <cellStyle name="_Power Cost Value Copy 11.30.05 gas 1.09.06 AURORA at 1.10.06_Electric COS Inputs 2 4 2 2" xfId="14965"/>
    <cellStyle name="_Power Cost Value Copy 11.30.05 gas 1.09.06 AURORA at 1.10.06_Electric COS Inputs 2 4 3" xfId="14966"/>
    <cellStyle name="_Power Cost Value Copy 11.30.05 gas 1.09.06 AURORA at 1.10.06_Electric COS Inputs 2 5" xfId="14967"/>
    <cellStyle name="_Power Cost Value Copy 11.30.05 gas 1.09.06 AURORA at 1.10.06_Electric COS Inputs 3" xfId="14968"/>
    <cellStyle name="_Power Cost Value Copy 11.30.05 gas 1.09.06 AURORA at 1.10.06_Electric COS Inputs 3 2" xfId="14969"/>
    <cellStyle name="_Power Cost Value Copy 11.30.05 gas 1.09.06 AURORA at 1.10.06_Electric COS Inputs 3 2 2" xfId="14970"/>
    <cellStyle name="_Power Cost Value Copy 11.30.05 gas 1.09.06 AURORA at 1.10.06_Electric COS Inputs 3 3" xfId="14971"/>
    <cellStyle name="_Power Cost Value Copy 11.30.05 gas 1.09.06 AURORA at 1.10.06_Electric COS Inputs 4" xfId="14972"/>
    <cellStyle name="_Power Cost Value Copy 11.30.05 gas 1.09.06 AURORA at 1.10.06_Electric COS Inputs 4 2" xfId="14973"/>
    <cellStyle name="_Power Cost Value Copy 11.30.05 gas 1.09.06 AURORA at 1.10.06_Electric COS Inputs 4 2 2" xfId="14974"/>
    <cellStyle name="_Power Cost Value Copy 11.30.05 gas 1.09.06 AURORA at 1.10.06_Electric COS Inputs 4 3" xfId="14975"/>
    <cellStyle name="_Power Cost Value Copy 11.30.05 gas 1.09.06 AURORA at 1.10.06_Electric COS Inputs 5" xfId="14976"/>
    <cellStyle name="_Power Cost Value Copy 11.30.05 gas 1.09.06 AURORA at 1.10.06_Electric COS Inputs 5 2" xfId="14977"/>
    <cellStyle name="_Power Cost Value Copy 11.30.05 gas 1.09.06 AURORA at 1.10.06_Electric COS Inputs 6" xfId="14978"/>
    <cellStyle name="_Power Cost Value Copy 11.30.05 gas 1.09.06 AURORA at 1.10.06_Electric Rate Spread and Rate Design 3.23.09" xfId="14979"/>
    <cellStyle name="_Power Cost Value Copy 11.30.05 gas 1.09.06 AURORA at 1.10.06_Electric Rate Spread and Rate Design 3.23.09 2" xfId="14980"/>
    <cellStyle name="_Power Cost Value Copy 11.30.05 gas 1.09.06 AURORA at 1.10.06_Electric Rate Spread and Rate Design 3.23.09 2 2" xfId="14981"/>
    <cellStyle name="_Power Cost Value Copy 11.30.05 gas 1.09.06 AURORA at 1.10.06_Electric Rate Spread and Rate Design 3.23.09 2 2 2" xfId="14982"/>
    <cellStyle name="_Power Cost Value Copy 11.30.05 gas 1.09.06 AURORA at 1.10.06_Electric Rate Spread and Rate Design 3.23.09 2 2 2 2" xfId="14983"/>
    <cellStyle name="_Power Cost Value Copy 11.30.05 gas 1.09.06 AURORA at 1.10.06_Electric Rate Spread and Rate Design 3.23.09 2 2 3" xfId="14984"/>
    <cellStyle name="_Power Cost Value Copy 11.30.05 gas 1.09.06 AURORA at 1.10.06_Electric Rate Spread and Rate Design 3.23.09 2 3" xfId="14985"/>
    <cellStyle name="_Power Cost Value Copy 11.30.05 gas 1.09.06 AURORA at 1.10.06_Electric Rate Spread and Rate Design 3.23.09 2 3 2" xfId="14986"/>
    <cellStyle name="_Power Cost Value Copy 11.30.05 gas 1.09.06 AURORA at 1.10.06_Electric Rate Spread and Rate Design 3.23.09 2 3 2 2" xfId="14987"/>
    <cellStyle name="_Power Cost Value Copy 11.30.05 gas 1.09.06 AURORA at 1.10.06_Electric Rate Spread and Rate Design 3.23.09 2 3 3" xfId="14988"/>
    <cellStyle name="_Power Cost Value Copy 11.30.05 gas 1.09.06 AURORA at 1.10.06_Electric Rate Spread and Rate Design 3.23.09 2 4" xfId="14989"/>
    <cellStyle name="_Power Cost Value Copy 11.30.05 gas 1.09.06 AURORA at 1.10.06_Electric Rate Spread and Rate Design 3.23.09 2 4 2" xfId="14990"/>
    <cellStyle name="_Power Cost Value Copy 11.30.05 gas 1.09.06 AURORA at 1.10.06_Electric Rate Spread and Rate Design 3.23.09 2 4 2 2" xfId="14991"/>
    <cellStyle name="_Power Cost Value Copy 11.30.05 gas 1.09.06 AURORA at 1.10.06_Electric Rate Spread and Rate Design 3.23.09 2 4 3" xfId="14992"/>
    <cellStyle name="_Power Cost Value Copy 11.30.05 gas 1.09.06 AURORA at 1.10.06_Electric Rate Spread and Rate Design 3.23.09 2 5" xfId="14993"/>
    <cellStyle name="_Power Cost Value Copy 11.30.05 gas 1.09.06 AURORA at 1.10.06_Electric Rate Spread and Rate Design 3.23.09 3" xfId="14994"/>
    <cellStyle name="_Power Cost Value Copy 11.30.05 gas 1.09.06 AURORA at 1.10.06_Electric Rate Spread and Rate Design 3.23.09 3 2" xfId="14995"/>
    <cellStyle name="_Power Cost Value Copy 11.30.05 gas 1.09.06 AURORA at 1.10.06_Electric Rate Spread and Rate Design 3.23.09 3 2 2" xfId="14996"/>
    <cellStyle name="_Power Cost Value Copy 11.30.05 gas 1.09.06 AURORA at 1.10.06_Electric Rate Spread and Rate Design 3.23.09 3 3" xfId="14997"/>
    <cellStyle name="_Power Cost Value Copy 11.30.05 gas 1.09.06 AURORA at 1.10.06_Electric Rate Spread and Rate Design 3.23.09 4" xfId="14998"/>
    <cellStyle name="_Power Cost Value Copy 11.30.05 gas 1.09.06 AURORA at 1.10.06_Electric Rate Spread and Rate Design 3.23.09 4 2" xfId="14999"/>
    <cellStyle name="_Power Cost Value Copy 11.30.05 gas 1.09.06 AURORA at 1.10.06_Electric Rate Spread and Rate Design 3.23.09 4 2 2" xfId="15000"/>
    <cellStyle name="_Power Cost Value Copy 11.30.05 gas 1.09.06 AURORA at 1.10.06_Electric Rate Spread and Rate Design 3.23.09 4 3" xfId="15001"/>
    <cellStyle name="_Power Cost Value Copy 11.30.05 gas 1.09.06 AURORA at 1.10.06_Electric Rate Spread and Rate Design 3.23.09 5" xfId="15002"/>
    <cellStyle name="_Power Cost Value Copy 11.30.05 gas 1.09.06 AURORA at 1.10.06_Electric Rate Spread and Rate Design 3.23.09 5 2" xfId="15003"/>
    <cellStyle name="_Power Cost Value Copy 11.30.05 gas 1.09.06 AURORA at 1.10.06_Electric Rate Spread and Rate Design 3.23.09 6" xfId="15004"/>
    <cellStyle name="_Power Cost Value Copy 11.30.05 gas 1.09.06 AURORA at 1.10.06_Exh A-1 resulting from UE-112050 effective Jan 1 2012" xfId="15005"/>
    <cellStyle name="_Power Cost Value Copy 11.30.05 gas 1.09.06 AURORA at 1.10.06_Exh A-1 resulting from UE-112050 effective Jan 1 2012 2" xfId="15006"/>
    <cellStyle name="_Power Cost Value Copy 11.30.05 gas 1.09.06 AURORA at 1.10.06_Exh G - Klamath Peaker PPA fr C Locke 2-12" xfId="15007"/>
    <cellStyle name="_Power Cost Value Copy 11.30.05 gas 1.09.06 AURORA at 1.10.06_Exh G - Klamath Peaker PPA fr C Locke 2-12 2" xfId="15008"/>
    <cellStyle name="_Power Cost Value Copy 11.30.05 gas 1.09.06 AURORA at 1.10.06_Exhibit A-1 effective 4-1-11 fr S Free 12-11" xfId="15009"/>
    <cellStyle name="_Power Cost Value Copy 11.30.05 gas 1.09.06 AURORA at 1.10.06_Exhibit A-1 effective 4-1-11 fr S Free 12-11 2" xfId="15010"/>
    <cellStyle name="_Power Cost Value Copy 11.30.05 gas 1.09.06 AURORA at 1.10.06_Exhibit D fr R Gho 12-31-08" xfId="15011"/>
    <cellStyle name="_Power Cost Value Copy 11.30.05 gas 1.09.06 AURORA at 1.10.06_Exhibit D fr R Gho 12-31-08 2" xfId="15012"/>
    <cellStyle name="_Power Cost Value Copy 11.30.05 gas 1.09.06 AURORA at 1.10.06_Exhibit D fr R Gho 12-31-08 2 2" xfId="15013"/>
    <cellStyle name="_Power Cost Value Copy 11.30.05 gas 1.09.06 AURORA at 1.10.06_Exhibit D fr R Gho 12-31-08 2 2 2" xfId="15014"/>
    <cellStyle name="_Power Cost Value Copy 11.30.05 gas 1.09.06 AURORA at 1.10.06_Exhibit D fr R Gho 12-31-08 2 2 2 2" xfId="15015"/>
    <cellStyle name="_Power Cost Value Copy 11.30.05 gas 1.09.06 AURORA at 1.10.06_Exhibit D fr R Gho 12-31-08 2 2 3" xfId="15016"/>
    <cellStyle name="_Power Cost Value Copy 11.30.05 gas 1.09.06 AURORA at 1.10.06_Exhibit D fr R Gho 12-31-08 2 3" xfId="15017"/>
    <cellStyle name="_Power Cost Value Copy 11.30.05 gas 1.09.06 AURORA at 1.10.06_Exhibit D fr R Gho 12-31-08 2 3 2" xfId="15018"/>
    <cellStyle name="_Power Cost Value Copy 11.30.05 gas 1.09.06 AURORA at 1.10.06_Exhibit D fr R Gho 12-31-08 2 4" xfId="15019"/>
    <cellStyle name="_Power Cost Value Copy 11.30.05 gas 1.09.06 AURORA at 1.10.06_Exhibit D fr R Gho 12-31-08 2 5" xfId="15020"/>
    <cellStyle name="_Power Cost Value Copy 11.30.05 gas 1.09.06 AURORA at 1.10.06_Exhibit D fr R Gho 12-31-08 3" xfId="15021"/>
    <cellStyle name="_Power Cost Value Copy 11.30.05 gas 1.09.06 AURORA at 1.10.06_Exhibit D fr R Gho 12-31-08 3 2" xfId="15022"/>
    <cellStyle name="_Power Cost Value Copy 11.30.05 gas 1.09.06 AURORA at 1.10.06_Exhibit D fr R Gho 12-31-08 3 2 2" xfId="15023"/>
    <cellStyle name="_Power Cost Value Copy 11.30.05 gas 1.09.06 AURORA at 1.10.06_Exhibit D fr R Gho 12-31-08 3 3" xfId="15024"/>
    <cellStyle name="_Power Cost Value Copy 11.30.05 gas 1.09.06 AURORA at 1.10.06_Exhibit D fr R Gho 12-31-08 3 4" xfId="15025"/>
    <cellStyle name="_Power Cost Value Copy 11.30.05 gas 1.09.06 AURORA at 1.10.06_Exhibit D fr R Gho 12-31-08 4" xfId="15026"/>
    <cellStyle name="_Power Cost Value Copy 11.30.05 gas 1.09.06 AURORA at 1.10.06_Exhibit D fr R Gho 12-31-08 4 2" xfId="15027"/>
    <cellStyle name="_Power Cost Value Copy 11.30.05 gas 1.09.06 AURORA at 1.10.06_Exhibit D fr R Gho 12-31-08 5" xfId="15028"/>
    <cellStyle name="_Power Cost Value Copy 11.30.05 gas 1.09.06 AURORA at 1.10.06_Exhibit D fr R Gho 12-31-08 6" xfId="15029"/>
    <cellStyle name="_Power Cost Value Copy 11.30.05 gas 1.09.06 AURORA at 1.10.06_Exhibit D fr R Gho 12-31-08 v2" xfId="15030"/>
    <cellStyle name="_Power Cost Value Copy 11.30.05 gas 1.09.06 AURORA at 1.10.06_Exhibit D fr R Gho 12-31-08 v2 2" xfId="15031"/>
    <cellStyle name="_Power Cost Value Copy 11.30.05 gas 1.09.06 AURORA at 1.10.06_Exhibit D fr R Gho 12-31-08 v2 2 2" xfId="15032"/>
    <cellStyle name="_Power Cost Value Copy 11.30.05 gas 1.09.06 AURORA at 1.10.06_Exhibit D fr R Gho 12-31-08 v2 2 2 2" xfId="15033"/>
    <cellStyle name="_Power Cost Value Copy 11.30.05 gas 1.09.06 AURORA at 1.10.06_Exhibit D fr R Gho 12-31-08 v2 2 2 2 2" xfId="15034"/>
    <cellStyle name="_Power Cost Value Copy 11.30.05 gas 1.09.06 AURORA at 1.10.06_Exhibit D fr R Gho 12-31-08 v2 2 2 3" xfId="15035"/>
    <cellStyle name="_Power Cost Value Copy 11.30.05 gas 1.09.06 AURORA at 1.10.06_Exhibit D fr R Gho 12-31-08 v2 2 3" xfId="15036"/>
    <cellStyle name="_Power Cost Value Copy 11.30.05 gas 1.09.06 AURORA at 1.10.06_Exhibit D fr R Gho 12-31-08 v2 2 3 2" xfId="15037"/>
    <cellStyle name="_Power Cost Value Copy 11.30.05 gas 1.09.06 AURORA at 1.10.06_Exhibit D fr R Gho 12-31-08 v2 2 4" xfId="15038"/>
    <cellStyle name="_Power Cost Value Copy 11.30.05 gas 1.09.06 AURORA at 1.10.06_Exhibit D fr R Gho 12-31-08 v2 2 5" xfId="15039"/>
    <cellStyle name="_Power Cost Value Copy 11.30.05 gas 1.09.06 AURORA at 1.10.06_Exhibit D fr R Gho 12-31-08 v2 3" xfId="15040"/>
    <cellStyle name="_Power Cost Value Copy 11.30.05 gas 1.09.06 AURORA at 1.10.06_Exhibit D fr R Gho 12-31-08 v2 3 2" xfId="15041"/>
    <cellStyle name="_Power Cost Value Copy 11.30.05 gas 1.09.06 AURORA at 1.10.06_Exhibit D fr R Gho 12-31-08 v2 3 2 2" xfId="15042"/>
    <cellStyle name="_Power Cost Value Copy 11.30.05 gas 1.09.06 AURORA at 1.10.06_Exhibit D fr R Gho 12-31-08 v2 3 3" xfId="15043"/>
    <cellStyle name="_Power Cost Value Copy 11.30.05 gas 1.09.06 AURORA at 1.10.06_Exhibit D fr R Gho 12-31-08 v2 3 4" xfId="15044"/>
    <cellStyle name="_Power Cost Value Copy 11.30.05 gas 1.09.06 AURORA at 1.10.06_Exhibit D fr R Gho 12-31-08 v2 4" xfId="15045"/>
    <cellStyle name="_Power Cost Value Copy 11.30.05 gas 1.09.06 AURORA at 1.10.06_Exhibit D fr R Gho 12-31-08 v2 4 2" xfId="15046"/>
    <cellStyle name="_Power Cost Value Copy 11.30.05 gas 1.09.06 AURORA at 1.10.06_Exhibit D fr R Gho 12-31-08 v2 5" xfId="15047"/>
    <cellStyle name="_Power Cost Value Copy 11.30.05 gas 1.09.06 AURORA at 1.10.06_Exhibit D fr R Gho 12-31-08 v2 6" xfId="15048"/>
    <cellStyle name="_Power Cost Value Copy 11.30.05 gas 1.09.06 AURORA at 1.10.06_Exhibit D fr R Gho 12-31-08 v2_DEM-WP(C) ENERG10C--ctn Mid-C_042010 2010GRC" xfId="15049"/>
    <cellStyle name="_Power Cost Value Copy 11.30.05 gas 1.09.06 AURORA at 1.10.06_Exhibit D fr R Gho 12-31-08 v2_DEM-WP(C) ENERG10C--ctn Mid-C_042010 2010GRC 2" xfId="15050"/>
    <cellStyle name="_Power Cost Value Copy 11.30.05 gas 1.09.06 AURORA at 1.10.06_Exhibit D fr R Gho 12-31-08 v2_NIM Summary" xfId="15051"/>
    <cellStyle name="_Power Cost Value Copy 11.30.05 gas 1.09.06 AURORA at 1.10.06_Exhibit D fr R Gho 12-31-08 v2_NIM Summary 2" xfId="15052"/>
    <cellStyle name="_Power Cost Value Copy 11.30.05 gas 1.09.06 AURORA at 1.10.06_Exhibit D fr R Gho 12-31-08 v2_NIM Summary 2 2" xfId="15053"/>
    <cellStyle name="_Power Cost Value Copy 11.30.05 gas 1.09.06 AURORA at 1.10.06_Exhibit D fr R Gho 12-31-08 v2_NIM Summary 2 2 2" xfId="15054"/>
    <cellStyle name="_Power Cost Value Copy 11.30.05 gas 1.09.06 AURORA at 1.10.06_Exhibit D fr R Gho 12-31-08 v2_NIM Summary 2 2 2 2" xfId="15055"/>
    <cellStyle name="_Power Cost Value Copy 11.30.05 gas 1.09.06 AURORA at 1.10.06_Exhibit D fr R Gho 12-31-08 v2_NIM Summary 2 2 3" xfId="15056"/>
    <cellStyle name="_Power Cost Value Copy 11.30.05 gas 1.09.06 AURORA at 1.10.06_Exhibit D fr R Gho 12-31-08 v2_NIM Summary 2 3" xfId="15057"/>
    <cellStyle name="_Power Cost Value Copy 11.30.05 gas 1.09.06 AURORA at 1.10.06_Exhibit D fr R Gho 12-31-08 v2_NIM Summary 2 3 2" xfId="15058"/>
    <cellStyle name="_Power Cost Value Copy 11.30.05 gas 1.09.06 AURORA at 1.10.06_Exhibit D fr R Gho 12-31-08 v2_NIM Summary 2 4" xfId="15059"/>
    <cellStyle name="_Power Cost Value Copy 11.30.05 gas 1.09.06 AURORA at 1.10.06_Exhibit D fr R Gho 12-31-08 v2_NIM Summary 2 5" xfId="15060"/>
    <cellStyle name="_Power Cost Value Copy 11.30.05 gas 1.09.06 AURORA at 1.10.06_Exhibit D fr R Gho 12-31-08 v2_NIM Summary 3" xfId="15061"/>
    <cellStyle name="_Power Cost Value Copy 11.30.05 gas 1.09.06 AURORA at 1.10.06_Exhibit D fr R Gho 12-31-08 v2_NIM Summary 3 2" xfId="15062"/>
    <cellStyle name="_Power Cost Value Copy 11.30.05 gas 1.09.06 AURORA at 1.10.06_Exhibit D fr R Gho 12-31-08 v2_NIM Summary 3 2 2" xfId="15063"/>
    <cellStyle name="_Power Cost Value Copy 11.30.05 gas 1.09.06 AURORA at 1.10.06_Exhibit D fr R Gho 12-31-08 v2_NIM Summary 3 3" xfId="15064"/>
    <cellStyle name="_Power Cost Value Copy 11.30.05 gas 1.09.06 AURORA at 1.10.06_Exhibit D fr R Gho 12-31-08 v2_NIM Summary 3 4" xfId="15065"/>
    <cellStyle name="_Power Cost Value Copy 11.30.05 gas 1.09.06 AURORA at 1.10.06_Exhibit D fr R Gho 12-31-08 v2_NIM Summary 4" xfId="15066"/>
    <cellStyle name="_Power Cost Value Copy 11.30.05 gas 1.09.06 AURORA at 1.10.06_Exhibit D fr R Gho 12-31-08 v2_NIM Summary 4 2" xfId="15067"/>
    <cellStyle name="_Power Cost Value Copy 11.30.05 gas 1.09.06 AURORA at 1.10.06_Exhibit D fr R Gho 12-31-08 v2_NIM Summary 5" xfId="15068"/>
    <cellStyle name="_Power Cost Value Copy 11.30.05 gas 1.09.06 AURORA at 1.10.06_Exhibit D fr R Gho 12-31-08 v2_NIM Summary 6" xfId="15069"/>
    <cellStyle name="_Power Cost Value Copy 11.30.05 gas 1.09.06 AURORA at 1.10.06_Exhibit D fr R Gho 12-31-08 v2_NIM Summary_DEM-WP(C) ENERG10C--ctn Mid-C_042010 2010GRC" xfId="15070"/>
    <cellStyle name="_Power Cost Value Copy 11.30.05 gas 1.09.06 AURORA at 1.10.06_Exhibit D fr R Gho 12-31-08 v2_NIM Summary_DEM-WP(C) ENERG10C--ctn Mid-C_042010 2010GRC 2" xfId="15071"/>
    <cellStyle name="_Power Cost Value Copy 11.30.05 gas 1.09.06 AURORA at 1.10.06_Exhibit D fr R Gho 12-31-08_DEM-WP(C) ENERG10C--ctn Mid-C_042010 2010GRC" xfId="15072"/>
    <cellStyle name="_Power Cost Value Copy 11.30.05 gas 1.09.06 AURORA at 1.10.06_Exhibit D fr R Gho 12-31-08_DEM-WP(C) ENERG10C--ctn Mid-C_042010 2010GRC 2" xfId="15073"/>
    <cellStyle name="_Power Cost Value Copy 11.30.05 gas 1.09.06 AURORA at 1.10.06_Exhibit D fr R Gho 12-31-08_NIM Summary" xfId="15074"/>
    <cellStyle name="_Power Cost Value Copy 11.30.05 gas 1.09.06 AURORA at 1.10.06_Exhibit D fr R Gho 12-31-08_NIM Summary 2" xfId="15075"/>
    <cellStyle name="_Power Cost Value Copy 11.30.05 gas 1.09.06 AURORA at 1.10.06_Exhibit D fr R Gho 12-31-08_NIM Summary 2 2" xfId="15076"/>
    <cellStyle name="_Power Cost Value Copy 11.30.05 gas 1.09.06 AURORA at 1.10.06_Exhibit D fr R Gho 12-31-08_NIM Summary 2 2 2" xfId="15077"/>
    <cellStyle name="_Power Cost Value Copy 11.30.05 gas 1.09.06 AURORA at 1.10.06_Exhibit D fr R Gho 12-31-08_NIM Summary 2 2 2 2" xfId="15078"/>
    <cellStyle name="_Power Cost Value Copy 11.30.05 gas 1.09.06 AURORA at 1.10.06_Exhibit D fr R Gho 12-31-08_NIM Summary 2 2 3" xfId="15079"/>
    <cellStyle name="_Power Cost Value Copy 11.30.05 gas 1.09.06 AURORA at 1.10.06_Exhibit D fr R Gho 12-31-08_NIM Summary 2 3" xfId="15080"/>
    <cellStyle name="_Power Cost Value Copy 11.30.05 gas 1.09.06 AURORA at 1.10.06_Exhibit D fr R Gho 12-31-08_NIM Summary 2 3 2" xfId="15081"/>
    <cellStyle name="_Power Cost Value Copy 11.30.05 gas 1.09.06 AURORA at 1.10.06_Exhibit D fr R Gho 12-31-08_NIM Summary 2 4" xfId="15082"/>
    <cellStyle name="_Power Cost Value Copy 11.30.05 gas 1.09.06 AURORA at 1.10.06_Exhibit D fr R Gho 12-31-08_NIM Summary 2 5" xfId="15083"/>
    <cellStyle name="_Power Cost Value Copy 11.30.05 gas 1.09.06 AURORA at 1.10.06_Exhibit D fr R Gho 12-31-08_NIM Summary 3" xfId="15084"/>
    <cellStyle name="_Power Cost Value Copy 11.30.05 gas 1.09.06 AURORA at 1.10.06_Exhibit D fr R Gho 12-31-08_NIM Summary 3 2" xfId="15085"/>
    <cellStyle name="_Power Cost Value Copy 11.30.05 gas 1.09.06 AURORA at 1.10.06_Exhibit D fr R Gho 12-31-08_NIM Summary 3 2 2" xfId="15086"/>
    <cellStyle name="_Power Cost Value Copy 11.30.05 gas 1.09.06 AURORA at 1.10.06_Exhibit D fr R Gho 12-31-08_NIM Summary 3 3" xfId="15087"/>
    <cellStyle name="_Power Cost Value Copy 11.30.05 gas 1.09.06 AURORA at 1.10.06_Exhibit D fr R Gho 12-31-08_NIM Summary 3 4" xfId="15088"/>
    <cellStyle name="_Power Cost Value Copy 11.30.05 gas 1.09.06 AURORA at 1.10.06_Exhibit D fr R Gho 12-31-08_NIM Summary 4" xfId="15089"/>
    <cellStyle name="_Power Cost Value Copy 11.30.05 gas 1.09.06 AURORA at 1.10.06_Exhibit D fr R Gho 12-31-08_NIM Summary 4 2" xfId="15090"/>
    <cellStyle name="_Power Cost Value Copy 11.30.05 gas 1.09.06 AURORA at 1.10.06_Exhibit D fr R Gho 12-31-08_NIM Summary 5" xfId="15091"/>
    <cellStyle name="_Power Cost Value Copy 11.30.05 gas 1.09.06 AURORA at 1.10.06_Exhibit D fr R Gho 12-31-08_NIM Summary 6" xfId="15092"/>
    <cellStyle name="_Power Cost Value Copy 11.30.05 gas 1.09.06 AURORA at 1.10.06_Exhibit D fr R Gho 12-31-08_NIM Summary_DEM-WP(C) ENERG10C--ctn Mid-C_042010 2010GRC" xfId="15093"/>
    <cellStyle name="_Power Cost Value Copy 11.30.05 gas 1.09.06 AURORA at 1.10.06_Exhibit D fr R Gho 12-31-08_NIM Summary_DEM-WP(C) ENERG10C--ctn Mid-C_042010 2010GRC 2" xfId="15094"/>
    <cellStyle name="_Power Cost Value Copy 11.30.05 gas 1.09.06 AURORA at 1.10.06_Hopkins Ridge Prepaid Tran - Interest Earned RY 12ME Feb  '11" xfId="15095"/>
    <cellStyle name="_Power Cost Value Copy 11.30.05 gas 1.09.06 AURORA at 1.10.06_Hopkins Ridge Prepaid Tran - Interest Earned RY 12ME Feb  '11 2" xfId="15096"/>
    <cellStyle name="_Power Cost Value Copy 11.30.05 gas 1.09.06 AURORA at 1.10.06_Hopkins Ridge Prepaid Tran - Interest Earned RY 12ME Feb  '11 2 2" xfId="15097"/>
    <cellStyle name="_Power Cost Value Copy 11.30.05 gas 1.09.06 AURORA at 1.10.06_Hopkins Ridge Prepaid Tran - Interest Earned RY 12ME Feb  '11 2 2 2" xfId="15098"/>
    <cellStyle name="_Power Cost Value Copy 11.30.05 gas 1.09.06 AURORA at 1.10.06_Hopkins Ridge Prepaid Tran - Interest Earned RY 12ME Feb  '11 2 2 2 2" xfId="15099"/>
    <cellStyle name="_Power Cost Value Copy 11.30.05 gas 1.09.06 AURORA at 1.10.06_Hopkins Ridge Prepaid Tran - Interest Earned RY 12ME Feb  '11 2 2 3" xfId="15100"/>
    <cellStyle name="_Power Cost Value Copy 11.30.05 gas 1.09.06 AURORA at 1.10.06_Hopkins Ridge Prepaid Tran - Interest Earned RY 12ME Feb  '11 2 3" xfId="15101"/>
    <cellStyle name="_Power Cost Value Copy 11.30.05 gas 1.09.06 AURORA at 1.10.06_Hopkins Ridge Prepaid Tran - Interest Earned RY 12ME Feb  '11 2 3 2" xfId="15102"/>
    <cellStyle name="_Power Cost Value Copy 11.30.05 gas 1.09.06 AURORA at 1.10.06_Hopkins Ridge Prepaid Tran - Interest Earned RY 12ME Feb  '11 2 4" xfId="15103"/>
    <cellStyle name="_Power Cost Value Copy 11.30.05 gas 1.09.06 AURORA at 1.10.06_Hopkins Ridge Prepaid Tran - Interest Earned RY 12ME Feb  '11 2 5" xfId="15104"/>
    <cellStyle name="_Power Cost Value Copy 11.30.05 gas 1.09.06 AURORA at 1.10.06_Hopkins Ridge Prepaid Tran - Interest Earned RY 12ME Feb  '11 3" xfId="15105"/>
    <cellStyle name="_Power Cost Value Copy 11.30.05 gas 1.09.06 AURORA at 1.10.06_Hopkins Ridge Prepaid Tran - Interest Earned RY 12ME Feb  '11 3 2" xfId="15106"/>
    <cellStyle name="_Power Cost Value Copy 11.30.05 gas 1.09.06 AURORA at 1.10.06_Hopkins Ridge Prepaid Tran - Interest Earned RY 12ME Feb  '11 3 2 2" xfId="15107"/>
    <cellStyle name="_Power Cost Value Copy 11.30.05 gas 1.09.06 AURORA at 1.10.06_Hopkins Ridge Prepaid Tran - Interest Earned RY 12ME Feb  '11 3 3" xfId="15108"/>
    <cellStyle name="_Power Cost Value Copy 11.30.05 gas 1.09.06 AURORA at 1.10.06_Hopkins Ridge Prepaid Tran - Interest Earned RY 12ME Feb  '11 3 4" xfId="15109"/>
    <cellStyle name="_Power Cost Value Copy 11.30.05 gas 1.09.06 AURORA at 1.10.06_Hopkins Ridge Prepaid Tran - Interest Earned RY 12ME Feb  '11 4" xfId="15110"/>
    <cellStyle name="_Power Cost Value Copy 11.30.05 gas 1.09.06 AURORA at 1.10.06_Hopkins Ridge Prepaid Tran - Interest Earned RY 12ME Feb  '11 4 2" xfId="15111"/>
    <cellStyle name="_Power Cost Value Copy 11.30.05 gas 1.09.06 AURORA at 1.10.06_Hopkins Ridge Prepaid Tran - Interest Earned RY 12ME Feb  '11 5" xfId="15112"/>
    <cellStyle name="_Power Cost Value Copy 11.30.05 gas 1.09.06 AURORA at 1.10.06_Hopkins Ridge Prepaid Tran - Interest Earned RY 12ME Feb  '11 6" xfId="15113"/>
    <cellStyle name="_Power Cost Value Copy 11.30.05 gas 1.09.06 AURORA at 1.10.06_Hopkins Ridge Prepaid Tran - Interest Earned RY 12ME Feb  '11_DEM-WP(C) ENERG10C--ctn Mid-C_042010 2010GRC" xfId="15114"/>
    <cellStyle name="_Power Cost Value Copy 11.30.05 gas 1.09.06 AURORA at 1.10.06_Hopkins Ridge Prepaid Tran - Interest Earned RY 12ME Feb  '11_DEM-WP(C) ENERG10C--ctn Mid-C_042010 2010GRC 2" xfId="15115"/>
    <cellStyle name="_Power Cost Value Copy 11.30.05 gas 1.09.06 AURORA at 1.10.06_Hopkins Ridge Prepaid Tran - Interest Earned RY 12ME Feb  '11_NIM Summary" xfId="15116"/>
    <cellStyle name="_Power Cost Value Copy 11.30.05 gas 1.09.06 AURORA at 1.10.06_Hopkins Ridge Prepaid Tran - Interest Earned RY 12ME Feb  '11_NIM Summary 2" xfId="15117"/>
    <cellStyle name="_Power Cost Value Copy 11.30.05 gas 1.09.06 AURORA at 1.10.06_Hopkins Ridge Prepaid Tran - Interest Earned RY 12ME Feb  '11_NIM Summary 2 2" xfId="15118"/>
    <cellStyle name="_Power Cost Value Copy 11.30.05 gas 1.09.06 AURORA at 1.10.06_Hopkins Ridge Prepaid Tran - Interest Earned RY 12ME Feb  '11_NIM Summary 2 2 2" xfId="15119"/>
    <cellStyle name="_Power Cost Value Copy 11.30.05 gas 1.09.06 AURORA at 1.10.06_Hopkins Ridge Prepaid Tran - Interest Earned RY 12ME Feb  '11_NIM Summary 2 2 2 2" xfId="15120"/>
    <cellStyle name="_Power Cost Value Copy 11.30.05 gas 1.09.06 AURORA at 1.10.06_Hopkins Ridge Prepaid Tran - Interest Earned RY 12ME Feb  '11_NIM Summary 2 2 3" xfId="15121"/>
    <cellStyle name="_Power Cost Value Copy 11.30.05 gas 1.09.06 AURORA at 1.10.06_Hopkins Ridge Prepaid Tran - Interest Earned RY 12ME Feb  '11_NIM Summary 2 3" xfId="15122"/>
    <cellStyle name="_Power Cost Value Copy 11.30.05 gas 1.09.06 AURORA at 1.10.06_Hopkins Ridge Prepaid Tran - Interest Earned RY 12ME Feb  '11_NIM Summary 2 3 2" xfId="15123"/>
    <cellStyle name="_Power Cost Value Copy 11.30.05 gas 1.09.06 AURORA at 1.10.06_Hopkins Ridge Prepaid Tran - Interest Earned RY 12ME Feb  '11_NIM Summary 2 4" xfId="15124"/>
    <cellStyle name="_Power Cost Value Copy 11.30.05 gas 1.09.06 AURORA at 1.10.06_Hopkins Ridge Prepaid Tran - Interest Earned RY 12ME Feb  '11_NIM Summary 2 5" xfId="15125"/>
    <cellStyle name="_Power Cost Value Copy 11.30.05 gas 1.09.06 AURORA at 1.10.06_Hopkins Ridge Prepaid Tran - Interest Earned RY 12ME Feb  '11_NIM Summary 3" xfId="15126"/>
    <cellStyle name="_Power Cost Value Copy 11.30.05 gas 1.09.06 AURORA at 1.10.06_Hopkins Ridge Prepaid Tran - Interest Earned RY 12ME Feb  '11_NIM Summary 3 2" xfId="15127"/>
    <cellStyle name="_Power Cost Value Copy 11.30.05 gas 1.09.06 AURORA at 1.10.06_Hopkins Ridge Prepaid Tran - Interest Earned RY 12ME Feb  '11_NIM Summary 3 2 2" xfId="15128"/>
    <cellStyle name="_Power Cost Value Copy 11.30.05 gas 1.09.06 AURORA at 1.10.06_Hopkins Ridge Prepaid Tran - Interest Earned RY 12ME Feb  '11_NIM Summary 3 3" xfId="15129"/>
    <cellStyle name="_Power Cost Value Copy 11.30.05 gas 1.09.06 AURORA at 1.10.06_Hopkins Ridge Prepaid Tran - Interest Earned RY 12ME Feb  '11_NIM Summary 3 4" xfId="15130"/>
    <cellStyle name="_Power Cost Value Copy 11.30.05 gas 1.09.06 AURORA at 1.10.06_Hopkins Ridge Prepaid Tran - Interest Earned RY 12ME Feb  '11_NIM Summary 4" xfId="15131"/>
    <cellStyle name="_Power Cost Value Copy 11.30.05 gas 1.09.06 AURORA at 1.10.06_Hopkins Ridge Prepaid Tran - Interest Earned RY 12ME Feb  '11_NIM Summary 4 2" xfId="15132"/>
    <cellStyle name="_Power Cost Value Copy 11.30.05 gas 1.09.06 AURORA at 1.10.06_Hopkins Ridge Prepaid Tran - Interest Earned RY 12ME Feb  '11_NIM Summary 5" xfId="15133"/>
    <cellStyle name="_Power Cost Value Copy 11.30.05 gas 1.09.06 AURORA at 1.10.06_Hopkins Ridge Prepaid Tran - Interest Earned RY 12ME Feb  '11_NIM Summary 6" xfId="15134"/>
    <cellStyle name="_Power Cost Value Copy 11.30.05 gas 1.09.06 AURORA at 1.10.06_Hopkins Ridge Prepaid Tran - Interest Earned RY 12ME Feb  '11_NIM Summary_DEM-WP(C) ENERG10C--ctn Mid-C_042010 2010GRC" xfId="15135"/>
    <cellStyle name="_Power Cost Value Copy 11.30.05 gas 1.09.06 AURORA at 1.10.06_Hopkins Ridge Prepaid Tran - Interest Earned RY 12ME Feb  '11_NIM Summary_DEM-WP(C) ENERG10C--ctn Mid-C_042010 2010GRC 2" xfId="15136"/>
    <cellStyle name="_Power Cost Value Copy 11.30.05 gas 1.09.06 AURORA at 1.10.06_Hopkins Ridge Prepaid Tran - Interest Earned RY 12ME Feb  '11_Transmission Workbook for May BOD" xfId="15137"/>
    <cellStyle name="_Power Cost Value Copy 11.30.05 gas 1.09.06 AURORA at 1.10.06_Hopkins Ridge Prepaid Tran - Interest Earned RY 12ME Feb  '11_Transmission Workbook for May BOD 2" xfId="15138"/>
    <cellStyle name="_Power Cost Value Copy 11.30.05 gas 1.09.06 AURORA at 1.10.06_Hopkins Ridge Prepaid Tran - Interest Earned RY 12ME Feb  '11_Transmission Workbook for May BOD 2 2" xfId="15139"/>
    <cellStyle name="_Power Cost Value Copy 11.30.05 gas 1.09.06 AURORA at 1.10.06_Hopkins Ridge Prepaid Tran - Interest Earned RY 12ME Feb  '11_Transmission Workbook for May BOD 2 2 2" xfId="15140"/>
    <cellStyle name="_Power Cost Value Copy 11.30.05 gas 1.09.06 AURORA at 1.10.06_Hopkins Ridge Prepaid Tran - Interest Earned RY 12ME Feb  '11_Transmission Workbook for May BOD 2 2 2 2" xfId="15141"/>
    <cellStyle name="_Power Cost Value Copy 11.30.05 gas 1.09.06 AURORA at 1.10.06_Hopkins Ridge Prepaid Tran - Interest Earned RY 12ME Feb  '11_Transmission Workbook for May BOD 2 2 3" xfId="15142"/>
    <cellStyle name="_Power Cost Value Copy 11.30.05 gas 1.09.06 AURORA at 1.10.06_Hopkins Ridge Prepaid Tran - Interest Earned RY 12ME Feb  '11_Transmission Workbook for May BOD 2 3" xfId="15143"/>
    <cellStyle name="_Power Cost Value Copy 11.30.05 gas 1.09.06 AURORA at 1.10.06_Hopkins Ridge Prepaid Tran - Interest Earned RY 12ME Feb  '11_Transmission Workbook for May BOD 2 3 2" xfId="15144"/>
    <cellStyle name="_Power Cost Value Copy 11.30.05 gas 1.09.06 AURORA at 1.10.06_Hopkins Ridge Prepaid Tran - Interest Earned RY 12ME Feb  '11_Transmission Workbook for May BOD 2 4" xfId="15145"/>
    <cellStyle name="_Power Cost Value Copy 11.30.05 gas 1.09.06 AURORA at 1.10.06_Hopkins Ridge Prepaid Tran - Interest Earned RY 12ME Feb  '11_Transmission Workbook for May BOD 2 5" xfId="15146"/>
    <cellStyle name="_Power Cost Value Copy 11.30.05 gas 1.09.06 AURORA at 1.10.06_Hopkins Ridge Prepaid Tran - Interest Earned RY 12ME Feb  '11_Transmission Workbook for May BOD 3" xfId="15147"/>
    <cellStyle name="_Power Cost Value Copy 11.30.05 gas 1.09.06 AURORA at 1.10.06_Hopkins Ridge Prepaid Tran - Interest Earned RY 12ME Feb  '11_Transmission Workbook for May BOD 3 2" xfId="15148"/>
    <cellStyle name="_Power Cost Value Copy 11.30.05 gas 1.09.06 AURORA at 1.10.06_Hopkins Ridge Prepaid Tran - Interest Earned RY 12ME Feb  '11_Transmission Workbook for May BOD 3 2 2" xfId="15149"/>
    <cellStyle name="_Power Cost Value Copy 11.30.05 gas 1.09.06 AURORA at 1.10.06_Hopkins Ridge Prepaid Tran - Interest Earned RY 12ME Feb  '11_Transmission Workbook for May BOD 3 3" xfId="15150"/>
    <cellStyle name="_Power Cost Value Copy 11.30.05 gas 1.09.06 AURORA at 1.10.06_Hopkins Ridge Prepaid Tran - Interest Earned RY 12ME Feb  '11_Transmission Workbook for May BOD 3 4" xfId="15151"/>
    <cellStyle name="_Power Cost Value Copy 11.30.05 gas 1.09.06 AURORA at 1.10.06_Hopkins Ridge Prepaid Tran - Interest Earned RY 12ME Feb  '11_Transmission Workbook for May BOD 4" xfId="15152"/>
    <cellStyle name="_Power Cost Value Copy 11.30.05 gas 1.09.06 AURORA at 1.10.06_Hopkins Ridge Prepaid Tran - Interest Earned RY 12ME Feb  '11_Transmission Workbook for May BOD 4 2" xfId="15153"/>
    <cellStyle name="_Power Cost Value Copy 11.30.05 gas 1.09.06 AURORA at 1.10.06_Hopkins Ridge Prepaid Tran - Interest Earned RY 12ME Feb  '11_Transmission Workbook for May BOD 5" xfId="15154"/>
    <cellStyle name="_Power Cost Value Copy 11.30.05 gas 1.09.06 AURORA at 1.10.06_Hopkins Ridge Prepaid Tran - Interest Earned RY 12ME Feb  '11_Transmission Workbook for May BOD 6" xfId="15155"/>
    <cellStyle name="_Power Cost Value Copy 11.30.05 gas 1.09.06 AURORA at 1.10.06_Hopkins Ridge Prepaid Tran - Interest Earned RY 12ME Feb  '11_Transmission Workbook for May BOD_DEM-WP(C) ENERG10C--ctn Mid-C_042010 2010GRC" xfId="15156"/>
    <cellStyle name="_Power Cost Value Copy 11.30.05 gas 1.09.06 AURORA at 1.10.06_Hopkins Ridge Prepaid Tran - Interest Earned RY 12ME Feb  '11_Transmission Workbook for May BOD_DEM-WP(C) ENERG10C--ctn Mid-C_042010 2010GRC 2" xfId="15157"/>
    <cellStyle name="_Power Cost Value Copy 11.30.05 gas 1.09.06 AURORA at 1.10.06_INPUTS" xfId="15158"/>
    <cellStyle name="_Power Cost Value Copy 11.30.05 gas 1.09.06 AURORA at 1.10.06_INPUTS 2" xfId="15159"/>
    <cellStyle name="_Power Cost Value Copy 11.30.05 gas 1.09.06 AURORA at 1.10.06_INPUTS 2 2" xfId="15160"/>
    <cellStyle name="_Power Cost Value Copy 11.30.05 gas 1.09.06 AURORA at 1.10.06_INPUTS 2 2 2" xfId="15161"/>
    <cellStyle name="_Power Cost Value Copy 11.30.05 gas 1.09.06 AURORA at 1.10.06_INPUTS 2 2 2 2" xfId="15162"/>
    <cellStyle name="_Power Cost Value Copy 11.30.05 gas 1.09.06 AURORA at 1.10.06_INPUTS 2 2 3" xfId="15163"/>
    <cellStyle name="_Power Cost Value Copy 11.30.05 gas 1.09.06 AURORA at 1.10.06_INPUTS 2 3" xfId="15164"/>
    <cellStyle name="_Power Cost Value Copy 11.30.05 gas 1.09.06 AURORA at 1.10.06_INPUTS 2 3 2" xfId="15165"/>
    <cellStyle name="_Power Cost Value Copy 11.30.05 gas 1.09.06 AURORA at 1.10.06_INPUTS 2 3 2 2" xfId="15166"/>
    <cellStyle name="_Power Cost Value Copy 11.30.05 gas 1.09.06 AURORA at 1.10.06_INPUTS 2 3 3" xfId="15167"/>
    <cellStyle name="_Power Cost Value Copy 11.30.05 gas 1.09.06 AURORA at 1.10.06_INPUTS 2 4" xfId="15168"/>
    <cellStyle name="_Power Cost Value Copy 11.30.05 gas 1.09.06 AURORA at 1.10.06_INPUTS 2 4 2" xfId="15169"/>
    <cellStyle name="_Power Cost Value Copy 11.30.05 gas 1.09.06 AURORA at 1.10.06_INPUTS 2 4 2 2" xfId="15170"/>
    <cellStyle name="_Power Cost Value Copy 11.30.05 gas 1.09.06 AURORA at 1.10.06_INPUTS 2 4 3" xfId="15171"/>
    <cellStyle name="_Power Cost Value Copy 11.30.05 gas 1.09.06 AURORA at 1.10.06_INPUTS 2 5" xfId="15172"/>
    <cellStyle name="_Power Cost Value Copy 11.30.05 gas 1.09.06 AURORA at 1.10.06_INPUTS 3" xfId="15173"/>
    <cellStyle name="_Power Cost Value Copy 11.30.05 gas 1.09.06 AURORA at 1.10.06_INPUTS 3 2" xfId="15174"/>
    <cellStyle name="_Power Cost Value Copy 11.30.05 gas 1.09.06 AURORA at 1.10.06_INPUTS 3 2 2" xfId="15175"/>
    <cellStyle name="_Power Cost Value Copy 11.30.05 gas 1.09.06 AURORA at 1.10.06_INPUTS 3 3" xfId="15176"/>
    <cellStyle name="_Power Cost Value Copy 11.30.05 gas 1.09.06 AURORA at 1.10.06_INPUTS 4" xfId="15177"/>
    <cellStyle name="_Power Cost Value Copy 11.30.05 gas 1.09.06 AURORA at 1.10.06_INPUTS 4 2" xfId="15178"/>
    <cellStyle name="_Power Cost Value Copy 11.30.05 gas 1.09.06 AURORA at 1.10.06_INPUTS 4 2 2" xfId="15179"/>
    <cellStyle name="_Power Cost Value Copy 11.30.05 gas 1.09.06 AURORA at 1.10.06_INPUTS 4 3" xfId="15180"/>
    <cellStyle name="_Power Cost Value Copy 11.30.05 gas 1.09.06 AURORA at 1.10.06_INPUTS 5" xfId="15181"/>
    <cellStyle name="_Power Cost Value Copy 11.30.05 gas 1.09.06 AURORA at 1.10.06_INPUTS 5 2" xfId="15182"/>
    <cellStyle name="_Power Cost Value Copy 11.30.05 gas 1.09.06 AURORA at 1.10.06_INPUTS 6" xfId="15183"/>
    <cellStyle name="_Power Cost Value Copy 11.30.05 gas 1.09.06 AURORA at 1.10.06_Leased Transformer &amp; Substation Plant &amp; Rev 12-2009" xfId="15184"/>
    <cellStyle name="_Power Cost Value Copy 11.30.05 gas 1.09.06 AURORA at 1.10.06_Leased Transformer &amp; Substation Plant &amp; Rev 12-2009 2" xfId="15185"/>
    <cellStyle name="_Power Cost Value Copy 11.30.05 gas 1.09.06 AURORA at 1.10.06_Leased Transformer &amp; Substation Plant &amp; Rev 12-2009 2 2" xfId="15186"/>
    <cellStyle name="_Power Cost Value Copy 11.30.05 gas 1.09.06 AURORA at 1.10.06_Leased Transformer &amp; Substation Plant &amp; Rev 12-2009 2 2 2" xfId="15187"/>
    <cellStyle name="_Power Cost Value Copy 11.30.05 gas 1.09.06 AURORA at 1.10.06_Leased Transformer &amp; Substation Plant &amp; Rev 12-2009 2 2 2 2" xfId="15188"/>
    <cellStyle name="_Power Cost Value Copy 11.30.05 gas 1.09.06 AURORA at 1.10.06_Leased Transformer &amp; Substation Plant &amp; Rev 12-2009 2 2 3" xfId="15189"/>
    <cellStyle name="_Power Cost Value Copy 11.30.05 gas 1.09.06 AURORA at 1.10.06_Leased Transformer &amp; Substation Plant &amp; Rev 12-2009 2 3" xfId="15190"/>
    <cellStyle name="_Power Cost Value Copy 11.30.05 gas 1.09.06 AURORA at 1.10.06_Leased Transformer &amp; Substation Plant &amp; Rev 12-2009 2 3 2" xfId="15191"/>
    <cellStyle name="_Power Cost Value Copy 11.30.05 gas 1.09.06 AURORA at 1.10.06_Leased Transformer &amp; Substation Plant &amp; Rev 12-2009 2 3 2 2" xfId="15192"/>
    <cellStyle name="_Power Cost Value Copy 11.30.05 gas 1.09.06 AURORA at 1.10.06_Leased Transformer &amp; Substation Plant &amp; Rev 12-2009 2 3 3" xfId="15193"/>
    <cellStyle name="_Power Cost Value Copy 11.30.05 gas 1.09.06 AURORA at 1.10.06_Leased Transformer &amp; Substation Plant &amp; Rev 12-2009 2 4" xfId="15194"/>
    <cellStyle name="_Power Cost Value Copy 11.30.05 gas 1.09.06 AURORA at 1.10.06_Leased Transformer &amp; Substation Plant &amp; Rev 12-2009 2 4 2" xfId="15195"/>
    <cellStyle name="_Power Cost Value Copy 11.30.05 gas 1.09.06 AURORA at 1.10.06_Leased Transformer &amp; Substation Plant &amp; Rev 12-2009 2 4 2 2" xfId="15196"/>
    <cellStyle name="_Power Cost Value Copy 11.30.05 gas 1.09.06 AURORA at 1.10.06_Leased Transformer &amp; Substation Plant &amp; Rev 12-2009 2 4 3" xfId="15197"/>
    <cellStyle name="_Power Cost Value Copy 11.30.05 gas 1.09.06 AURORA at 1.10.06_Leased Transformer &amp; Substation Plant &amp; Rev 12-2009 2 5" xfId="15198"/>
    <cellStyle name="_Power Cost Value Copy 11.30.05 gas 1.09.06 AURORA at 1.10.06_Leased Transformer &amp; Substation Plant &amp; Rev 12-2009 3" xfId="15199"/>
    <cellStyle name="_Power Cost Value Copy 11.30.05 gas 1.09.06 AURORA at 1.10.06_Leased Transformer &amp; Substation Plant &amp; Rev 12-2009 3 2" xfId="15200"/>
    <cellStyle name="_Power Cost Value Copy 11.30.05 gas 1.09.06 AURORA at 1.10.06_Leased Transformer &amp; Substation Plant &amp; Rev 12-2009 3 2 2" xfId="15201"/>
    <cellStyle name="_Power Cost Value Copy 11.30.05 gas 1.09.06 AURORA at 1.10.06_Leased Transformer &amp; Substation Plant &amp; Rev 12-2009 3 3" xfId="15202"/>
    <cellStyle name="_Power Cost Value Copy 11.30.05 gas 1.09.06 AURORA at 1.10.06_Leased Transformer &amp; Substation Plant &amp; Rev 12-2009 4" xfId="15203"/>
    <cellStyle name="_Power Cost Value Copy 11.30.05 gas 1.09.06 AURORA at 1.10.06_Leased Transformer &amp; Substation Plant &amp; Rev 12-2009 4 2" xfId="15204"/>
    <cellStyle name="_Power Cost Value Copy 11.30.05 gas 1.09.06 AURORA at 1.10.06_Leased Transformer &amp; Substation Plant &amp; Rev 12-2009 4 2 2" xfId="15205"/>
    <cellStyle name="_Power Cost Value Copy 11.30.05 gas 1.09.06 AURORA at 1.10.06_Leased Transformer &amp; Substation Plant &amp; Rev 12-2009 4 3" xfId="15206"/>
    <cellStyle name="_Power Cost Value Copy 11.30.05 gas 1.09.06 AURORA at 1.10.06_Leased Transformer &amp; Substation Plant &amp; Rev 12-2009 5" xfId="15207"/>
    <cellStyle name="_Power Cost Value Copy 11.30.05 gas 1.09.06 AURORA at 1.10.06_Leased Transformer &amp; Substation Plant &amp; Rev 12-2009 5 2" xfId="15208"/>
    <cellStyle name="_Power Cost Value Copy 11.30.05 gas 1.09.06 AURORA at 1.10.06_Leased Transformer &amp; Substation Plant &amp; Rev 12-2009 6" xfId="15209"/>
    <cellStyle name="_Power Cost Value Copy 11.30.05 gas 1.09.06 AURORA at 1.10.06_Mint Farm Generation BPA" xfId="15210"/>
    <cellStyle name="_Power Cost Value Copy 11.30.05 gas 1.09.06 AURORA at 1.10.06_NIM Summary" xfId="15211"/>
    <cellStyle name="_Power Cost Value Copy 11.30.05 gas 1.09.06 AURORA at 1.10.06_NIM Summary 09GRC" xfId="15212"/>
    <cellStyle name="_Power Cost Value Copy 11.30.05 gas 1.09.06 AURORA at 1.10.06_NIM Summary 09GRC 2" xfId="15213"/>
    <cellStyle name="_Power Cost Value Copy 11.30.05 gas 1.09.06 AURORA at 1.10.06_NIM Summary 09GRC 2 2" xfId="15214"/>
    <cellStyle name="_Power Cost Value Copy 11.30.05 gas 1.09.06 AURORA at 1.10.06_NIM Summary 09GRC 2 2 2" xfId="15215"/>
    <cellStyle name="_Power Cost Value Copy 11.30.05 gas 1.09.06 AURORA at 1.10.06_NIM Summary 09GRC 2 2 2 2" xfId="15216"/>
    <cellStyle name="_Power Cost Value Copy 11.30.05 gas 1.09.06 AURORA at 1.10.06_NIM Summary 09GRC 2 2 3" xfId="15217"/>
    <cellStyle name="_Power Cost Value Copy 11.30.05 gas 1.09.06 AURORA at 1.10.06_NIM Summary 09GRC 2 3" xfId="15218"/>
    <cellStyle name="_Power Cost Value Copy 11.30.05 gas 1.09.06 AURORA at 1.10.06_NIM Summary 09GRC 2 3 2" xfId="15219"/>
    <cellStyle name="_Power Cost Value Copy 11.30.05 gas 1.09.06 AURORA at 1.10.06_NIM Summary 09GRC 2 4" xfId="15220"/>
    <cellStyle name="_Power Cost Value Copy 11.30.05 gas 1.09.06 AURORA at 1.10.06_NIM Summary 09GRC 2 5" xfId="15221"/>
    <cellStyle name="_Power Cost Value Copy 11.30.05 gas 1.09.06 AURORA at 1.10.06_NIM Summary 09GRC 3" xfId="15222"/>
    <cellStyle name="_Power Cost Value Copy 11.30.05 gas 1.09.06 AURORA at 1.10.06_NIM Summary 09GRC 3 2" xfId="15223"/>
    <cellStyle name="_Power Cost Value Copy 11.30.05 gas 1.09.06 AURORA at 1.10.06_NIM Summary 09GRC 3 2 2" xfId="15224"/>
    <cellStyle name="_Power Cost Value Copy 11.30.05 gas 1.09.06 AURORA at 1.10.06_NIM Summary 09GRC 3 3" xfId="15225"/>
    <cellStyle name="_Power Cost Value Copy 11.30.05 gas 1.09.06 AURORA at 1.10.06_NIM Summary 09GRC 3 4" xfId="15226"/>
    <cellStyle name="_Power Cost Value Copy 11.30.05 gas 1.09.06 AURORA at 1.10.06_NIM Summary 09GRC 4" xfId="15227"/>
    <cellStyle name="_Power Cost Value Copy 11.30.05 gas 1.09.06 AURORA at 1.10.06_NIM Summary 09GRC 4 2" xfId="15228"/>
    <cellStyle name="_Power Cost Value Copy 11.30.05 gas 1.09.06 AURORA at 1.10.06_NIM Summary 09GRC 5" xfId="15229"/>
    <cellStyle name="_Power Cost Value Copy 11.30.05 gas 1.09.06 AURORA at 1.10.06_NIM Summary 09GRC 6" xfId="15230"/>
    <cellStyle name="_Power Cost Value Copy 11.30.05 gas 1.09.06 AURORA at 1.10.06_NIM Summary 09GRC_DEM-WP(C) ENERG10C--ctn Mid-C_042010 2010GRC" xfId="15231"/>
    <cellStyle name="_Power Cost Value Copy 11.30.05 gas 1.09.06 AURORA at 1.10.06_NIM Summary 09GRC_DEM-WP(C) ENERG10C--ctn Mid-C_042010 2010GRC 2" xfId="15232"/>
    <cellStyle name="_Power Cost Value Copy 11.30.05 gas 1.09.06 AURORA at 1.10.06_NIM Summary 10" xfId="15233"/>
    <cellStyle name="_Power Cost Value Copy 11.30.05 gas 1.09.06 AURORA at 1.10.06_NIM Summary 10 2" xfId="15234"/>
    <cellStyle name="_Power Cost Value Copy 11.30.05 gas 1.09.06 AURORA at 1.10.06_NIM Summary 10 2 2" xfId="15235"/>
    <cellStyle name="_Power Cost Value Copy 11.30.05 gas 1.09.06 AURORA at 1.10.06_NIM Summary 10 3" xfId="15236"/>
    <cellStyle name="_Power Cost Value Copy 11.30.05 gas 1.09.06 AURORA at 1.10.06_NIM Summary 10 4" xfId="15237"/>
    <cellStyle name="_Power Cost Value Copy 11.30.05 gas 1.09.06 AURORA at 1.10.06_NIM Summary 11" xfId="15238"/>
    <cellStyle name="_Power Cost Value Copy 11.30.05 gas 1.09.06 AURORA at 1.10.06_NIM Summary 11 2" xfId="15239"/>
    <cellStyle name="_Power Cost Value Copy 11.30.05 gas 1.09.06 AURORA at 1.10.06_NIM Summary 11 2 2" xfId="15240"/>
    <cellStyle name="_Power Cost Value Copy 11.30.05 gas 1.09.06 AURORA at 1.10.06_NIM Summary 11 3" xfId="15241"/>
    <cellStyle name="_Power Cost Value Copy 11.30.05 gas 1.09.06 AURORA at 1.10.06_NIM Summary 11 4" xfId="15242"/>
    <cellStyle name="_Power Cost Value Copy 11.30.05 gas 1.09.06 AURORA at 1.10.06_NIM Summary 12" xfId="15243"/>
    <cellStyle name="_Power Cost Value Copy 11.30.05 gas 1.09.06 AURORA at 1.10.06_NIM Summary 12 2" xfId="15244"/>
    <cellStyle name="_Power Cost Value Copy 11.30.05 gas 1.09.06 AURORA at 1.10.06_NIM Summary 12 2 2" xfId="15245"/>
    <cellStyle name="_Power Cost Value Copy 11.30.05 gas 1.09.06 AURORA at 1.10.06_NIM Summary 12 3" xfId="15246"/>
    <cellStyle name="_Power Cost Value Copy 11.30.05 gas 1.09.06 AURORA at 1.10.06_NIM Summary 12 4" xfId="15247"/>
    <cellStyle name="_Power Cost Value Copy 11.30.05 gas 1.09.06 AURORA at 1.10.06_NIM Summary 13" xfId="15248"/>
    <cellStyle name="_Power Cost Value Copy 11.30.05 gas 1.09.06 AURORA at 1.10.06_NIM Summary 13 2" xfId="15249"/>
    <cellStyle name="_Power Cost Value Copy 11.30.05 gas 1.09.06 AURORA at 1.10.06_NIM Summary 13 2 2" xfId="15250"/>
    <cellStyle name="_Power Cost Value Copy 11.30.05 gas 1.09.06 AURORA at 1.10.06_NIM Summary 13 3" xfId="15251"/>
    <cellStyle name="_Power Cost Value Copy 11.30.05 gas 1.09.06 AURORA at 1.10.06_NIM Summary 13 4" xfId="15252"/>
    <cellStyle name="_Power Cost Value Copy 11.30.05 gas 1.09.06 AURORA at 1.10.06_NIM Summary 14" xfId="15253"/>
    <cellStyle name="_Power Cost Value Copy 11.30.05 gas 1.09.06 AURORA at 1.10.06_NIM Summary 14 2" xfId="15254"/>
    <cellStyle name="_Power Cost Value Copy 11.30.05 gas 1.09.06 AURORA at 1.10.06_NIM Summary 14 2 2" xfId="15255"/>
    <cellStyle name="_Power Cost Value Copy 11.30.05 gas 1.09.06 AURORA at 1.10.06_NIM Summary 14 3" xfId="15256"/>
    <cellStyle name="_Power Cost Value Copy 11.30.05 gas 1.09.06 AURORA at 1.10.06_NIM Summary 14 4" xfId="15257"/>
    <cellStyle name="_Power Cost Value Copy 11.30.05 gas 1.09.06 AURORA at 1.10.06_NIM Summary 15" xfId="15258"/>
    <cellStyle name="_Power Cost Value Copy 11.30.05 gas 1.09.06 AURORA at 1.10.06_NIM Summary 15 2" xfId="15259"/>
    <cellStyle name="_Power Cost Value Copy 11.30.05 gas 1.09.06 AURORA at 1.10.06_NIM Summary 15 2 2" xfId="15260"/>
    <cellStyle name="_Power Cost Value Copy 11.30.05 gas 1.09.06 AURORA at 1.10.06_NIM Summary 15 3" xfId="15261"/>
    <cellStyle name="_Power Cost Value Copy 11.30.05 gas 1.09.06 AURORA at 1.10.06_NIM Summary 15 4" xfId="15262"/>
    <cellStyle name="_Power Cost Value Copy 11.30.05 gas 1.09.06 AURORA at 1.10.06_NIM Summary 16" xfId="15263"/>
    <cellStyle name="_Power Cost Value Copy 11.30.05 gas 1.09.06 AURORA at 1.10.06_NIM Summary 16 2" xfId="15264"/>
    <cellStyle name="_Power Cost Value Copy 11.30.05 gas 1.09.06 AURORA at 1.10.06_NIM Summary 16 2 2" xfId="15265"/>
    <cellStyle name="_Power Cost Value Copy 11.30.05 gas 1.09.06 AURORA at 1.10.06_NIM Summary 16 3" xfId="15266"/>
    <cellStyle name="_Power Cost Value Copy 11.30.05 gas 1.09.06 AURORA at 1.10.06_NIM Summary 16 4" xfId="15267"/>
    <cellStyle name="_Power Cost Value Copy 11.30.05 gas 1.09.06 AURORA at 1.10.06_NIM Summary 17" xfId="15268"/>
    <cellStyle name="_Power Cost Value Copy 11.30.05 gas 1.09.06 AURORA at 1.10.06_NIM Summary 17 2" xfId="15269"/>
    <cellStyle name="_Power Cost Value Copy 11.30.05 gas 1.09.06 AURORA at 1.10.06_NIM Summary 17 2 2" xfId="15270"/>
    <cellStyle name="_Power Cost Value Copy 11.30.05 gas 1.09.06 AURORA at 1.10.06_NIM Summary 17 3" xfId="15271"/>
    <cellStyle name="_Power Cost Value Copy 11.30.05 gas 1.09.06 AURORA at 1.10.06_NIM Summary 17 4" xfId="15272"/>
    <cellStyle name="_Power Cost Value Copy 11.30.05 gas 1.09.06 AURORA at 1.10.06_NIM Summary 18" xfId="15273"/>
    <cellStyle name="_Power Cost Value Copy 11.30.05 gas 1.09.06 AURORA at 1.10.06_NIM Summary 18 2" xfId="15274"/>
    <cellStyle name="_Power Cost Value Copy 11.30.05 gas 1.09.06 AURORA at 1.10.06_NIM Summary 18 2 2" xfId="15275"/>
    <cellStyle name="_Power Cost Value Copy 11.30.05 gas 1.09.06 AURORA at 1.10.06_NIM Summary 18 3" xfId="15276"/>
    <cellStyle name="_Power Cost Value Copy 11.30.05 gas 1.09.06 AURORA at 1.10.06_NIM Summary 18 4" xfId="15277"/>
    <cellStyle name="_Power Cost Value Copy 11.30.05 gas 1.09.06 AURORA at 1.10.06_NIM Summary 19" xfId="15278"/>
    <cellStyle name="_Power Cost Value Copy 11.30.05 gas 1.09.06 AURORA at 1.10.06_NIM Summary 19 2" xfId="15279"/>
    <cellStyle name="_Power Cost Value Copy 11.30.05 gas 1.09.06 AURORA at 1.10.06_NIM Summary 19 2 2" xfId="15280"/>
    <cellStyle name="_Power Cost Value Copy 11.30.05 gas 1.09.06 AURORA at 1.10.06_NIM Summary 19 3" xfId="15281"/>
    <cellStyle name="_Power Cost Value Copy 11.30.05 gas 1.09.06 AURORA at 1.10.06_NIM Summary 19 4" xfId="15282"/>
    <cellStyle name="_Power Cost Value Copy 11.30.05 gas 1.09.06 AURORA at 1.10.06_NIM Summary 2" xfId="15283"/>
    <cellStyle name="_Power Cost Value Copy 11.30.05 gas 1.09.06 AURORA at 1.10.06_NIM Summary 2 2" xfId="15284"/>
    <cellStyle name="_Power Cost Value Copy 11.30.05 gas 1.09.06 AURORA at 1.10.06_NIM Summary 2 2 2" xfId="15285"/>
    <cellStyle name="_Power Cost Value Copy 11.30.05 gas 1.09.06 AURORA at 1.10.06_NIM Summary 2 2 2 2" xfId="15286"/>
    <cellStyle name="_Power Cost Value Copy 11.30.05 gas 1.09.06 AURORA at 1.10.06_NIM Summary 2 2 3" xfId="15287"/>
    <cellStyle name="_Power Cost Value Copy 11.30.05 gas 1.09.06 AURORA at 1.10.06_NIM Summary 2 3" xfId="15288"/>
    <cellStyle name="_Power Cost Value Copy 11.30.05 gas 1.09.06 AURORA at 1.10.06_NIM Summary 2 3 2" xfId="15289"/>
    <cellStyle name="_Power Cost Value Copy 11.30.05 gas 1.09.06 AURORA at 1.10.06_NIM Summary 2 4" xfId="15290"/>
    <cellStyle name="_Power Cost Value Copy 11.30.05 gas 1.09.06 AURORA at 1.10.06_NIM Summary 2 5" xfId="15291"/>
    <cellStyle name="_Power Cost Value Copy 11.30.05 gas 1.09.06 AURORA at 1.10.06_NIM Summary 20" xfId="15292"/>
    <cellStyle name="_Power Cost Value Copy 11.30.05 gas 1.09.06 AURORA at 1.10.06_NIM Summary 20 2" xfId="15293"/>
    <cellStyle name="_Power Cost Value Copy 11.30.05 gas 1.09.06 AURORA at 1.10.06_NIM Summary 20 3" xfId="15294"/>
    <cellStyle name="_Power Cost Value Copy 11.30.05 gas 1.09.06 AURORA at 1.10.06_NIM Summary 21" xfId="15295"/>
    <cellStyle name="_Power Cost Value Copy 11.30.05 gas 1.09.06 AURORA at 1.10.06_NIM Summary 21 2" xfId="15296"/>
    <cellStyle name="_Power Cost Value Copy 11.30.05 gas 1.09.06 AURORA at 1.10.06_NIM Summary 21 3" xfId="15297"/>
    <cellStyle name="_Power Cost Value Copy 11.30.05 gas 1.09.06 AURORA at 1.10.06_NIM Summary 22" xfId="15298"/>
    <cellStyle name="_Power Cost Value Copy 11.30.05 gas 1.09.06 AURORA at 1.10.06_NIM Summary 22 2" xfId="15299"/>
    <cellStyle name="_Power Cost Value Copy 11.30.05 gas 1.09.06 AURORA at 1.10.06_NIM Summary 22 3" xfId="15300"/>
    <cellStyle name="_Power Cost Value Copy 11.30.05 gas 1.09.06 AURORA at 1.10.06_NIM Summary 23" xfId="15301"/>
    <cellStyle name="_Power Cost Value Copy 11.30.05 gas 1.09.06 AURORA at 1.10.06_NIM Summary 23 2" xfId="15302"/>
    <cellStyle name="_Power Cost Value Copy 11.30.05 gas 1.09.06 AURORA at 1.10.06_NIM Summary 23 3" xfId="15303"/>
    <cellStyle name="_Power Cost Value Copy 11.30.05 gas 1.09.06 AURORA at 1.10.06_NIM Summary 24" xfId="15304"/>
    <cellStyle name="_Power Cost Value Copy 11.30.05 gas 1.09.06 AURORA at 1.10.06_NIM Summary 24 2" xfId="15305"/>
    <cellStyle name="_Power Cost Value Copy 11.30.05 gas 1.09.06 AURORA at 1.10.06_NIM Summary 24 3" xfId="15306"/>
    <cellStyle name="_Power Cost Value Copy 11.30.05 gas 1.09.06 AURORA at 1.10.06_NIM Summary 25" xfId="15307"/>
    <cellStyle name="_Power Cost Value Copy 11.30.05 gas 1.09.06 AURORA at 1.10.06_NIM Summary 25 2" xfId="15308"/>
    <cellStyle name="_Power Cost Value Copy 11.30.05 gas 1.09.06 AURORA at 1.10.06_NIM Summary 25 3" xfId="15309"/>
    <cellStyle name="_Power Cost Value Copy 11.30.05 gas 1.09.06 AURORA at 1.10.06_NIM Summary 26" xfId="15310"/>
    <cellStyle name="_Power Cost Value Copy 11.30.05 gas 1.09.06 AURORA at 1.10.06_NIM Summary 26 2" xfId="15311"/>
    <cellStyle name="_Power Cost Value Copy 11.30.05 gas 1.09.06 AURORA at 1.10.06_NIM Summary 26 3" xfId="15312"/>
    <cellStyle name="_Power Cost Value Copy 11.30.05 gas 1.09.06 AURORA at 1.10.06_NIM Summary 27" xfId="15313"/>
    <cellStyle name="_Power Cost Value Copy 11.30.05 gas 1.09.06 AURORA at 1.10.06_NIM Summary 27 2" xfId="15314"/>
    <cellStyle name="_Power Cost Value Copy 11.30.05 gas 1.09.06 AURORA at 1.10.06_NIM Summary 27 3" xfId="15315"/>
    <cellStyle name="_Power Cost Value Copy 11.30.05 gas 1.09.06 AURORA at 1.10.06_NIM Summary 28" xfId="15316"/>
    <cellStyle name="_Power Cost Value Copy 11.30.05 gas 1.09.06 AURORA at 1.10.06_NIM Summary 28 2" xfId="15317"/>
    <cellStyle name="_Power Cost Value Copy 11.30.05 gas 1.09.06 AURORA at 1.10.06_NIM Summary 28 3" xfId="15318"/>
    <cellStyle name="_Power Cost Value Copy 11.30.05 gas 1.09.06 AURORA at 1.10.06_NIM Summary 29" xfId="15319"/>
    <cellStyle name="_Power Cost Value Copy 11.30.05 gas 1.09.06 AURORA at 1.10.06_NIM Summary 29 2" xfId="15320"/>
    <cellStyle name="_Power Cost Value Copy 11.30.05 gas 1.09.06 AURORA at 1.10.06_NIM Summary 29 3" xfId="15321"/>
    <cellStyle name="_Power Cost Value Copy 11.30.05 gas 1.09.06 AURORA at 1.10.06_NIM Summary 3" xfId="15322"/>
    <cellStyle name="_Power Cost Value Copy 11.30.05 gas 1.09.06 AURORA at 1.10.06_NIM Summary 3 2" xfId="15323"/>
    <cellStyle name="_Power Cost Value Copy 11.30.05 gas 1.09.06 AURORA at 1.10.06_NIM Summary 3 2 2" xfId="15324"/>
    <cellStyle name="_Power Cost Value Copy 11.30.05 gas 1.09.06 AURORA at 1.10.06_NIM Summary 3 3" xfId="15325"/>
    <cellStyle name="_Power Cost Value Copy 11.30.05 gas 1.09.06 AURORA at 1.10.06_NIM Summary 3 4" xfId="15326"/>
    <cellStyle name="_Power Cost Value Copy 11.30.05 gas 1.09.06 AURORA at 1.10.06_NIM Summary 3 5" xfId="15327"/>
    <cellStyle name="_Power Cost Value Copy 11.30.05 gas 1.09.06 AURORA at 1.10.06_NIM Summary 30" xfId="15328"/>
    <cellStyle name="_Power Cost Value Copy 11.30.05 gas 1.09.06 AURORA at 1.10.06_NIM Summary 30 2" xfId="15329"/>
    <cellStyle name="_Power Cost Value Copy 11.30.05 gas 1.09.06 AURORA at 1.10.06_NIM Summary 30 3" xfId="15330"/>
    <cellStyle name="_Power Cost Value Copy 11.30.05 gas 1.09.06 AURORA at 1.10.06_NIM Summary 31" xfId="15331"/>
    <cellStyle name="_Power Cost Value Copy 11.30.05 gas 1.09.06 AURORA at 1.10.06_NIM Summary 31 2" xfId="15332"/>
    <cellStyle name="_Power Cost Value Copy 11.30.05 gas 1.09.06 AURORA at 1.10.06_NIM Summary 31 3" xfId="15333"/>
    <cellStyle name="_Power Cost Value Copy 11.30.05 gas 1.09.06 AURORA at 1.10.06_NIM Summary 32" xfId="15334"/>
    <cellStyle name="_Power Cost Value Copy 11.30.05 gas 1.09.06 AURORA at 1.10.06_NIM Summary 32 2" xfId="15335"/>
    <cellStyle name="_Power Cost Value Copy 11.30.05 gas 1.09.06 AURORA at 1.10.06_NIM Summary 33" xfId="15336"/>
    <cellStyle name="_Power Cost Value Copy 11.30.05 gas 1.09.06 AURORA at 1.10.06_NIM Summary 33 2" xfId="15337"/>
    <cellStyle name="_Power Cost Value Copy 11.30.05 gas 1.09.06 AURORA at 1.10.06_NIM Summary 34" xfId="15338"/>
    <cellStyle name="_Power Cost Value Copy 11.30.05 gas 1.09.06 AURORA at 1.10.06_NIM Summary 34 2" xfId="15339"/>
    <cellStyle name="_Power Cost Value Copy 11.30.05 gas 1.09.06 AURORA at 1.10.06_NIM Summary 35" xfId="15340"/>
    <cellStyle name="_Power Cost Value Copy 11.30.05 gas 1.09.06 AURORA at 1.10.06_NIM Summary 35 2" xfId="15341"/>
    <cellStyle name="_Power Cost Value Copy 11.30.05 gas 1.09.06 AURORA at 1.10.06_NIM Summary 36" xfId="15342"/>
    <cellStyle name="_Power Cost Value Copy 11.30.05 gas 1.09.06 AURORA at 1.10.06_NIM Summary 36 2" xfId="15343"/>
    <cellStyle name="_Power Cost Value Copy 11.30.05 gas 1.09.06 AURORA at 1.10.06_NIM Summary 37" xfId="15344"/>
    <cellStyle name="_Power Cost Value Copy 11.30.05 gas 1.09.06 AURORA at 1.10.06_NIM Summary 37 2" xfId="15345"/>
    <cellStyle name="_Power Cost Value Copy 11.30.05 gas 1.09.06 AURORA at 1.10.06_NIM Summary 38" xfId="15346"/>
    <cellStyle name="_Power Cost Value Copy 11.30.05 gas 1.09.06 AURORA at 1.10.06_NIM Summary 38 2" xfId="15347"/>
    <cellStyle name="_Power Cost Value Copy 11.30.05 gas 1.09.06 AURORA at 1.10.06_NIM Summary 39" xfId="15348"/>
    <cellStyle name="_Power Cost Value Copy 11.30.05 gas 1.09.06 AURORA at 1.10.06_NIM Summary 39 2" xfId="15349"/>
    <cellStyle name="_Power Cost Value Copy 11.30.05 gas 1.09.06 AURORA at 1.10.06_NIM Summary 4" xfId="15350"/>
    <cellStyle name="_Power Cost Value Copy 11.30.05 gas 1.09.06 AURORA at 1.10.06_NIM Summary 4 2" xfId="15351"/>
    <cellStyle name="_Power Cost Value Copy 11.30.05 gas 1.09.06 AURORA at 1.10.06_NIM Summary 4 2 2" xfId="15352"/>
    <cellStyle name="_Power Cost Value Copy 11.30.05 gas 1.09.06 AURORA at 1.10.06_NIM Summary 4 3" xfId="15353"/>
    <cellStyle name="_Power Cost Value Copy 11.30.05 gas 1.09.06 AURORA at 1.10.06_NIM Summary 4 4" xfId="15354"/>
    <cellStyle name="_Power Cost Value Copy 11.30.05 gas 1.09.06 AURORA at 1.10.06_NIM Summary 4 5" xfId="15355"/>
    <cellStyle name="_Power Cost Value Copy 11.30.05 gas 1.09.06 AURORA at 1.10.06_NIM Summary 40" xfId="15356"/>
    <cellStyle name="_Power Cost Value Copy 11.30.05 gas 1.09.06 AURORA at 1.10.06_NIM Summary 40 2" xfId="15357"/>
    <cellStyle name="_Power Cost Value Copy 11.30.05 gas 1.09.06 AURORA at 1.10.06_NIM Summary 41" xfId="15358"/>
    <cellStyle name="_Power Cost Value Copy 11.30.05 gas 1.09.06 AURORA at 1.10.06_NIM Summary 41 2" xfId="15359"/>
    <cellStyle name="_Power Cost Value Copy 11.30.05 gas 1.09.06 AURORA at 1.10.06_NIM Summary 42" xfId="15360"/>
    <cellStyle name="_Power Cost Value Copy 11.30.05 gas 1.09.06 AURORA at 1.10.06_NIM Summary 42 2" xfId="15361"/>
    <cellStyle name="_Power Cost Value Copy 11.30.05 gas 1.09.06 AURORA at 1.10.06_NIM Summary 43" xfId="15362"/>
    <cellStyle name="_Power Cost Value Copy 11.30.05 gas 1.09.06 AURORA at 1.10.06_NIM Summary 43 2" xfId="15363"/>
    <cellStyle name="_Power Cost Value Copy 11.30.05 gas 1.09.06 AURORA at 1.10.06_NIM Summary 44" xfId="15364"/>
    <cellStyle name="_Power Cost Value Copy 11.30.05 gas 1.09.06 AURORA at 1.10.06_NIM Summary 44 2" xfId="15365"/>
    <cellStyle name="_Power Cost Value Copy 11.30.05 gas 1.09.06 AURORA at 1.10.06_NIM Summary 45" xfId="15366"/>
    <cellStyle name="_Power Cost Value Copy 11.30.05 gas 1.09.06 AURORA at 1.10.06_NIM Summary 45 2" xfId="15367"/>
    <cellStyle name="_Power Cost Value Copy 11.30.05 gas 1.09.06 AURORA at 1.10.06_NIM Summary 46" xfId="15368"/>
    <cellStyle name="_Power Cost Value Copy 11.30.05 gas 1.09.06 AURORA at 1.10.06_NIM Summary 46 2" xfId="15369"/>
    <cellStyle name="_Power Cost Value Copy 11.30.05 gas 1.09.06 AURORA at 1.10.06_NIM Summary 47" xfId="15370"/>
    <cellStyle name="_Power Cost Value Copy 11.30.05 gas 1.09.06 AURORA at 1.10.06_NIM Summary 47 2" xfId="15371"/>
    <cellStyle name="_Power Cost Value Copy 11.30.05 gas 1.09.06 AURORA at 1.10.06_NIM Summary 48" xfId="15372"/>
    <cellStyle name="_Power Cost Value Copy 11.30.05 gas 1.09.06 AURORA at 1.10.06_NIM Summary 49" xfId="15373"/>
    <cellStyle name="_Power Cost Value Copy 11.30.05 gas 1.09.06 AURORA at 1.10.06_NIM Summary 5" xfId="15374"/>
    <cellStyle name="_Power Cost Value Copy 11.30.05 gas 1.09.06 AURORA at 1.10.06_NIM Summary 5 2" xfId="15375"/>
    <cellStyle name="_Power Cost Value Copy 11.30.05 gas 1.09.06 AURORA at 1.10.06_NIM Summary 5 2 2" xfId="15376"/>
    <cellStyle name="_Power Cost Value Copy 11.30.05 gas 1.09.06 AURORA at 1.10.06_NIM Summary 5 3" xfId="15377"/>
    <cellStyle name="_Power Cost Value Copy 11.30.05 gas 1.09.06 AURORA at 1.10.06_NIM Summary 5 4" xfId="15378"/>
    <cellStyle name="_Power Cost Value Copy 11.30.05 gas 1.09.06 AURORA at 1.10.06_NIM Summary 5 5" xfId="15379"/>
    <cellStyle name="_Power Cost Value Copy 11.30.05 gas 1.09.06 AURORA at 1.10.06_NIM Summary 50" xfId="15380"/>
    <cellStyle name="_Power Cost Value Copy 11.30.05 gas 1.09.06 AURORA at 1.10.06_NIM Summary 51" xfId="15381"/>
    <cellStyle name="_Power Cost Value Copy 11.30.05 gas 1.09.06 AURORA at 1.10.06_NIM Summary 52" xfId="15382"/>
    <cellStyle name="_Power Cost Value Copy 11.30.05 gas 1.09.06 AURORA at 1.10.06_NIM Summary 6" xfId="15383"/>
    <cellStyle name="_Power Cost Value Copy 11.30.05 gas 1.09.06 AURORA at 1.10.06_NIM Summary 6 2" xfId="15384"/>
    <cellStyle name="_Power Cost Value Copy 11.30.05 gas 1.09.06 AURORA at 1.10.06_NIM Summary 6 2 2" xfId="15385"/>
    <cellStyle name="_Power Cost Value Copy 11.30.05 gas 1.09.06 AURORA at 1.10.06_NIM Summary 6 3" xfId="15386"/>
    <cellStyle name="_Power Cost Value Copy 11.30.05 gas 1.09.06 AURORA at 1.10.06_NIM Summary 6 4" xfId="15387"/>
    <cellStyle name="_Power Cost Value Copy 11.30.05 gas 1.09.06 AURORA at 1.10.06_NIM Summary 6 5" xfId="15388"/>
    <cellStyle name="_Power Cost Value Copy 11.30.05 gas 1.09.06 AURORA at 1.10.06_NIM Summary 7" xfId="15389"/>
    <cellStyle name="_Power Cost Value Copy 11.30.05 gas 1.09.06 AURORA at 1.10.06_NIM Summary 7 2" xfId="15390"/>
    <cellStyle name="_Power Cost Value Copy 11.30.05 gas 1.09.06 AURORA at 1.10.06_NIM Summary 7 2 2" xfId="15391"/>
    <cellStyle name="_Power Cost Value Copy 11.30.05 gas 1.09.06 AURORA at 1.10.06_NIM Summary 7 3" xfId="15392"/>
    <cellStyle name="_Power Cost Value Copy 11.30.05 gas 1.09.06 AURORA at 1.10.06_NIM Summary 7 4" xfId="15393"/>
    <cellStyle name="_Power Cost Value Copy 11.30.05 gas 1.09.06 AURORA at 1.10.06_NIM Summary 7 5" xfId="15394"/>
    <cellStyle name="_Power Cost Value Copy 11.30.05 gas 1.09.06 AURORA at 1.10.06_NIM Summary 8" xfId="15395"/>
    <cellStyle name="_Power Cost Value Copy 11.30.05 gas 1.09.06 AURORA at 1.10.06_NIM Summary 8 2" xfId="15396"/>
    <cellStyle name="_Power Cost Value Copy 11.30.05 gas 1.09.06 AURORA at 1.10.06_NIM Summary 8 2 2" xfId="15397"/>
    <cellStyle name="_Power Cost Value Copy 11.30.05 gas 1.09.06 AURORA at 1.10.06_NIM Summary 8 3" xfId="15398"/>
    <cellStyle name="_Power Cost Value Copy 11.30.05 gas 1.09.06 AURORA at 1.10.06_NIM Summary 8 4" xfId="15399"/>
    <cellStyle name="_Power Cost Value Copy 11.30.05 gas 1.09.06 AURORA at 1.10.06_NIM Summary 8 5" xfId="15400"/>
    <cellStyle name="_Power Cost Value Copy 11.30.05 gas 1.09.06 AURORA at 1.10.06_NIM Summary 9" xfId="15401"/>
    <cellStyle name="_Power Cost Value Copy 11.30.05 gas 1.09.06 AURORA at 1.10.06_NIM Summary 9 2" xfId="15402"/>
    <cellStyle name="_Power Cost Value Copy 11.30.05 gas 1.09.06 AURORA at 1.10.06_NIM Summary 9 2 2" xfId="15403"/>
    <cellStyle name="_Power Cost Value Copy 11.30.05 gas 1.09.06 AURORA at 1.10.06_NIM Summary 9 3" xfId="15404"/>
    <cellStyle name="_Power Cost Value Copy 11.30.05 gas 1.09.06 AURORA at 1.10.06_NIM Summary 9 4" xfId="15405"/>
    <cellStyle name="_Power Cost Value Copy 11.30.05 gas 1.09.06 AURORA at 1.10.06_NIM Summary 9 5" xfId="15406"/>
    <cellStyle name="_Power Cost Value Copy 11.30.05 gas 1.09.06 AURORA at 1.10.06_NIM Summary_DEM-WP(C) ENERG10C--ctn Mid-C_042010 2010GRC" xfId="15407"/>
    <cellStyle name="_Power Cost Value Copy 11.30.05 gas 1.09.06 AURORA at 1.10.06_NIM Summary_DEM-WP(C) ENERG10C--ctn Mid-C_042010 2010GRC 2" xfId="15408"/>
    <cellStyle name="_Power Cost Value Copy 11.30.05 gas 1.09.06 AURORA at 1.10.06_PCA 10 -  Exhibit D Dec 2011" xfId="15409"/>
    <cellStyle name="_Power Cost Value Copy 11.30.05 gas 1.09.06 AURORA at 1.10.06_PCA 10 -  Exhibit D Dec 2011 2" xfId="15410"/>
    <cellStyle name="_Power Cost Value Copy 11.30.05 gas 1.09.06 AURORA at 1.10.06_PCA 10 -  Exhibit D from A Kellogg Jan 2011" xfId="15411"/>
    <cellStyle name="_Power Cost Value Copy 11.30.05 gas 1.09.06 AURORA at 1.10.06_PCA 10 -  Exhibit D from A Kellogg Jan 2011 2" xfId="15412"/>
    <cellStyle name="_Power Cost Value Copy 11.30.05 gas 1.09.06 AURORA at 1.10.06_PCA 10 -  Exhibit D from A Kellogg July 2011" xfId="15413"/>
    <cellStyle name="_Power Cost Value Copy 11.30.05 gas 1.09.06 AURORA at 1.10.06_PCA 10 -  Exhibit D from A Kellogg July 2011 2" xfId="15414"/>
    <cellStyle name="_Power Cost Value Copy 11.30.05 gas 1.09.06 AURORA at 1.10.06_PCA 10 -  Exhibit D from S Free Rcv'd 12-11" xfId="15415"/>
    <cellStyle name="_Power Cost Value Copy 11.30.05 gas 1.09.06 AURORA at 1.10.06_PCA 10 -  Exhibit D from S Free Rcv'd 12-11 2" xfId="15416"/>
    <cellStyle name="_Power Cost Value Copy 11.30.05 gas 1.09.06 AURORA at 1.10.06_PCA 11 -  Exhibit D Jan 2012 fr A Kellogg" xfId="15417"/>
    <cellStyle name="_Power Cost Value Copy 11.30.05 gas 1.09.06 AURORA at 1.10.06_PCA 11 -  Exhibit D Jan 2012 fr A Kellogg 2" xfId="15418"/>
    <cellStyle name="_Power Cost Value Copy 11.30.05 gas 1.09.06 AURORA at 1.10.06_PCA 11 -  Exhibit D Jan 2012 WF" xfId="15419"/>
    <cellStyle name="_Power Cost Value Copy 11.30.05 gas 1.09.06 AURORA at 1.10.06_PCA 11 -  Exhibit D Jan 2012 WF 2" xfId="15420"/>
    <cellStyle name="_Power Cost Value Copy 11.30.05 gas 1.09.06 AURORA at 1.10.06_PCA 7 - Exhibit D update 11_30_08 (2)" xfId="15421"/>
    <cellStyle name="_Power Cost Value Copy 11.30.05 gas 1.09.06 AURORA at 1.10.06_PCA 7 - Exhibit D update 11_30_08 (2) 2" xfId="15422"/>
    <cellStyle name="_Power Cost Value Copy 11.30.05 gas 1.09.06 AURORA at 1.10.06_PCA 7 - Exhibit D update 11_30_08 (2) 2 2" xfId="15423"/>
    <cellStyle name="_Power Cost Value Copy 11.30.05 gas 1.09.06 AURORA at 1.10.06_PCA 7 - Exhibit D update 11_30_08 (2) 2 2 2" xfId="15424"/>
    <cellStyle name="_Power Cost Value Copy 11.30.05 gas 1.09.06 AURORA at 1.10.06_PCA 7 - Exhibit D update 11_30_08 (2) 2 2 2 2" xfId="15425"/>
    <cellStyle name="_Power Cost Value Copy 11.30.05 gas 1.09.06 AURORA at 1.10.06_PCA 7 - Exhibit D update 11_30_08 (2) 2 2 2 2 2" xfId="15426"/>
    <cellStyle name="_Power Cost Value Copy 11.30.05 gas 1.09.06 AURORA at 1.10.06_PCA 7 - Exhibit D update 11_30_08 (2) 2 2 2 3" xfId="15427"/>
    <cellStyle name="_Power Cost Value Copy 11.30.05 gas 1.09.06 AURORA at 1.10.06_PCA 7 - Exhibit D update 11_30_08 (2) 2 2 3" xfId="15428"/>
    <cellStyle name="_Power Cost Value Copy 11.30.05 gas 1.09.06 AURORA at 1.10.06_PCA 7 - Exhibit D update 11_30_08 (2) 2 2 3 2" xfId="15429"/>
    <cellStyle name="_Power Cost Value Copy 11.30.05 gas 1.09.06 AURORA at 1.10.06_PCA 7 - Exhibit D update 11_30_08 (2) 2 2 4" xfId="15430"/>
    <cellStyle name="_Power Cost Value Copy 11.30.05 gas 1.09.06 AURORA at 1.10.06_PCA 7 - Exhibit D update 11_30_08 (2) 2 2 5" xfId="15431"/>
    <cellStyle name="_Power Cost Value Copy 11.30.05 gas 1.09.06 AURORA at 1.10.06_PCA 7 - Exhibit D update 11_30_08 (2) 2 3" xfId="15432"/>
    <cellStyle name="_Power Cost Value Copy 11.30.05 gas 1.09.06 AURORA at 1.10.06_PCA 7 - Exhibit D update 11_30_08 (2) 2 3 2" xfId="15433"/>
    <cellStyle name="_Power Cost Value Copy 11.30.05 gas 1.09.06 AURORA at 1.10.06_PCA 7 - Exhibit D update 11_30_08 (2) 2 3 2 2" xfId="15434"/>
    <cellStyle name="_Power Cost Value Copy 11.30.05 gas 1.09.06 AURORA at 1.10.06_PCA 7 - Exhibit D update 11_30_08 (2) 2 3 3" xfId="15435"/>
    <cellStyle name="_Power Cost Value Copy 11.30.05 gas 1.09.06 AURORA at 1.10.06_PCA 7 - Exhibit D update 11_30_08 (2) 2 4" xfId="15436"/>
    <cellStyle name="_Power Cost Value Copy 11.30.05 gas 1.09.06 AURORA at 1.10.06_PCA 7 - Exhibit D update 11_30_08 (2) 2 4 2" xfId="15437"/>
    <cellStyle name="_Power Cost Value Copy 11.30.05 gas 1.09.06 AURORA at 1.10.06_PCA 7 - Exhibit D update 11_30_08 (2) 2 5" xfId="15438"/>
    <cellStyle name="_Power Cost Value Copy 11.30.05 gas 1.09.06 AURORA at 1.10.06_PCA 7 - Exhibit D update 11_30_08 (2) 2 6" xfId="15439"/>
    <cellStyle name="_Power Cost Value Copy 11.30.05 gas 1.09.06 AURORA at 1.10.06_PCA 7 - Exhibit D update 11_30_08 (2) 3" xfId="15440"/>
    <cellStyle name="_Power Cost Value Copy 11.30.05 gas 1.09.06 AURORA at 1.10.06_PCA 7 - Exhibit D update 11_30_08 (2) 3 2" xfId="15441"/>
    <cellStyle name="_Power Cost Value Copy 11.30.05 gas 1.09.06 AURORA at 1.10.06_PCA 7 - Exhibit D update 11_30_08 (2) 3 2 2" xfId="15442"/>
    <cellStyle name="_Power Cost Value Copy 11.30.05 gas 1.09.06 AURORA at 1.10.06_PCA 7 - Exhibit D update 11_30_08 (2) 3 2 2 2" xfId="15443"/>
    <cellStyle name="_Power Cost Value Copy 11.30.05 gas 1.09.06 AURORA at 1.10.06_PCA 7 - Exhibit D update 11_30_08 (2) 3 2 3" xfId="15444"/>
    <cellStyle name="_Power Cost Value Copy 11.30.05 gas 1.09.06 AURORA at 1.10.06_PCA 7 - Exhibit D update 11_30_08 (2) 3 3" xfId="15445"/>
    <cellStyle name="_Power Cost Value Copy 11.30.05 gas 1.09.06 AURORA at 1.10.06_PCA 7 - Exhibit D update 11_30_08 (2) 3 3 2" xfId="15446"/>
    <cellStyle name="_Power Cost Value Copy 11.30.05 gas 1.09.06 AURORA at 1.10.06_PCA 7 - Exhibit D update 11_30_08 (2) 3 4" xfId="15447"/>
    <cellStyle name="_Power Cost Value Copy 11.30.05 gas 1.09.06 AURORA at 1.10.06_PCA 7 - Exhibit D update 11_30_08 (2) 3 5" xfId="15448"/>
    <cellStyle name="_Power Cost Value Copy 11.30.05 gas 1.09.06 AURORA at 1.10.06_PCA 7 - Exhibit D update 11_30_08 (2) 4" xfId="15449"/>
    <cellStyle name="_Power Cost Value Copy 11.30.05 gas 1.09.06 AURORA at 1.10.06_PCA 7 - Exhibit D update 11_30_08 (2) 4 2" xfId="15450"/>
    <cellStyle name="_Power Cost Value Copy 11.30.05 gas 1.09.06 AURORA at 1.10.06_PCA 7 - Exhibit D update 11_30_08 (2) 4 2 2" xfId="15451"/>
    <cellStyle name="_Power Cost Value Copy 11.30.05 gas 1.09.06 AURORA at 1.10.06_PCA 7 - Exhibit D update 11_30_08 (2) 4 3" xfId="15452"/>
    <cellStyle name="_Power Cost Value Copy 11.30.05 gas 1.09.06 AURORA at 1.10.06_PCA 7 - Exhibit D update 11_30_08 (2) 4 4" xfId="15453"/>
    <cellStyle name="_Power Cost Value Copy 11.30.05 gas 1.09.06 AURORA at 1.10.06_PCA 7 - Exhibit D update 11_30_08 (2) 5" xfId="15454"/>
    <cellStyle name="_Power Cost Value Copy 11.30.05 gas 1.09.06 AURORA at 1.10.06_PCA 7 - Exhibit D update 11_30_08 (2) 5 2" xfId="15455"/>
    <cellStyle name="_Power Cost Value Copy 11.30.05 gas 1.09.06 AURORA at 1.10.06_PCA 7 - Exhibit D update 11_30_08 (2) 6" xfId="15456"/>
    <cellStyle name="_Power Cost Value Copy 11.30.05 gas 1.09.06 AURORA at 1.10.06_PCA 7 - Exhibit D update 11_30_08 (2) 7" xfId="15457"/>
    <cellStyle name="_Power Cost Value Copy 11.30.05 gas 1.09.06 AURORA at 1.10.06_PCA 7 - Exhibit D update 11_30_08 (2)_DEM-WP(C) ENERG10C--ctn Mid-C_042010 2010GRC" xfId="15458"/>
    <cellStyle name="_Power Cost Value Copy 11.30.05 gas 1.09.06 AURORA at 1.10.06_PCA 7 - Exhibit D update 11_30_08 (2)_DEM-WP(C) ENERG10C--ctn Mid-C_042010 2010GRC 2" xfId="15459"/>
    <cellStyle name="_Power Cost Value Copy 11.30.05 gas 1.09.06 AURORA at 1.10.06_PCA 7 - Exhibit D update 11_30_08 (2)_NIM Summary" xfId="15460"/>
    <cellStyle name="_Power Cost Value Copy 11.30.05 gas 1.09.06 AURORA at 1.10.06_PCA 7 - Exhibit D update 11_30_08 (2)_NIM Summary 2" xfId="15461"/>
    <cellStyle name="_Power Cost Value Copy 11.30.05 gas 1.09.06 AURORA at 1.10.06_PCA 7 - Exhibit D update 11_30_08 (2)_NIM Summary 2 2" xfId="15462"/>
    <cellStyle name="_Power Cost Value Copy 11.30.05 gas 1.09.06 AURORA at 1.10.06_PCA 7 - Exhibit D update 11_30_08 (2)_NIM Summary 2 2 2" xfId="15463"/>
    <cellStyle name="_Power Cost Value Copy 11.30.05 gas 1.09.06 AURORA at 1.10.06_PCA 7 - Exhibit D update 11_30_08 (2)_NIM Summary 2 2 2 2" xfId="15464"/>
    <cellStyle name="_Power Cost Value Copy 11.30.05 gas 1.09.06 AURORA at 1.10.06_PCA 7 - Exhibit D update 11_30_08 (2)_NIM Summary 2 2 3" xfId="15465"/>
    <cellStyle name="_Power Cost Value Copy 11.30.05 gas 1.09.06 AURORA at 1.10.06_PCA 7 - Exhibit D update 11_30_08 (2)_NIM Summary 2 3" xfId="15466"/>
    <cellStyle name="_Power Cost Value Copy 11.30.05 gas 1.09.06 AURORA at 1.10.06_PCA 7 - Exhibit D update 11_30_08 (2)_NIM Summary 2 3 2" xfId="15467"/>
    <cellStyle name="_Power Cost Value Copy 11.30.05 gas 1.09.06 AURORA at 1.10.06_PCA 7 - Exhibit D update 11_30_08 (2)_NIM Summary 2 4" xfId="15468"/>
    <cellStyle name="_Power Cost Value Copy 11.30.05 gas 1.09.06 AURORA at 1.10.06_PCA 7 - Exhibit D update 11_30_08 (2)_NIM Summary 2 5" xfId="15469"/>
    <cellStyle name="_Power Cost Value Copy 11.30.05 gas 1.09.06 AURORA at 1.10.06_PCA 7 - Exhibit D update 11_30_08 (2)_NIM Summary 3" xfId="15470"/>
    <cellStyle name="_Power Cost Value Copy 11.30.05 gas 1.09.06 AURORA at 1.10.06_PCA 7 - Exhibit D update 11_30_08 (2)_NIM Summary 3 2" xfId="15471"/>
    <cellStyle name="_Power Cost Value Copy 11.30.05 gas 1.09.06 AURORA at 1.10.06_PCA 7 - Exhibit D update 11_30_08 (2)_NIM Summary 3 2 2" xfId="15472"/>
    <cellStyle name="_Power Cost Value Copy 11.30.05 gas 1.09.06 AURORA at 1.10.06_PCA 7 - Exhibit D update 11_30_08 (2)_NIM Summary 3 3" xfId="15473"/>
    <cellStyle name="_Power Cost Value Copy 11.30.05 gas 1.09.06 AURORA at 1.10.06_PCA 7 - Exhibit D update 11_30_08 (2)_NIM Summary 3 4" xfId="15474"/>
    <cellStyle name="_Power Cost Value Copy 11.30.05 gas 1.09.06 AURORA at 1.10.06_PCA 7 - Exhibit D update 11_30_08 (2)_NIM Summary 4" xfId="15475"/>
    <cellStyle name="_Power Cost Value Copy 11.30.05 gas 1.09.06 AURORA at 1.10.06_PCA 7 - Exhibit D update 11_30_08 (2)_NIM Summary 4 2" xfId="15476"/>
    <cellStyle name="_Power Cost Value Copy 11.30.05 gas 1.09.06 AURORA at 1.10.06_PCA 7 - Exhibit D update 11_30_08 (2)_NIM Summary 5" xfId="15477"/>
    <cellStyle name="_Power Cost Value Copy 11.30.05 gas 1.09.06 AURORA at 1.10.06_PCA 7 - Exhibit D update 11_30_08 (2)_NIM Summary 6" xfId="15478"/>
    <cellStyle name="_Power Cost Value Copy 11.30.05 gas 1.09.06 AURORA at 1.10.06_PCA 7 - Exhibit D update 11_30_08 (2)_NIM Summary_DEM-WP(C) ENERG10C--ctn Mid-C_042010 2010GRC" xfId="15479"/>
    <cellStyle name="_Power Cost Value Copy 11.30.05 gas 1.09.06 AURORA at 1.10.06_PCA 7 - Exhibit D update 11_30_08 (2)_NIM Summary_DEM-WP(C) ENERG10C--ctn Mid-C_042010 2010GRC 2" xfId="15480"/>
    <cellStyle name="_Power Cost Value Copy 11.30.05 gas 1.09.06 AURORA at 1.10.06_PCA 8 - Exhibit D update 12_31_09" xfId="15481"/>
    <cellStyle name="_Power Cost Value Copy 11.30.05 gas 1.09.06 AURORA at 1.10.06_PCA 8 - Exhibit D update 12_31_09 2" xfId="15482"/>
    <cellStyle name="_Power Cost Value Copy 11.30.05 gas 1.09.06 AURORA at 1.10.06_PCA 8 - Exhibit D update 12_31_09 2 2" xfId="15483"/>
    <cellStyle name="_Power Cost Value Copy 11.30.05 gas 1.09.06 AURORA at 1.10.06_PCA 8 - Exhibit D update 12_31_09 3" xfId="15484"/>
    <cellStyle name="_Power Cost Value Copy 11.30.05 gas 1.09.06 AURORA at 1.10.06_PCA 9 -  Exhibit D April 2010" xfId="15485"/>
    <cellStyle name="_Power Cost Value Copy 11.30.05 gas 1.09.06 AURORA at 1.10.06_PCA 9 -  Exhibit D April 2010 (3)" xfId="15486"/>
    <cellStyle name="_Power Cost Value Copy 11.30.05 gas 1.09.06 AURORA at 1.10.06_PCA 9 -  Exhibit D April 2010 (3) 2" xfId="15487"/>
    <cellStyle name="_Power Cost Value Copy 11.30.05 gas 1.09.06 AURORA at 1.10.06_PCA 9 -  Exhibit D April 2010 (3) 2 2" xfId="15488"/>
    <cellStyle name="_Power Cost Value Copy 11.30.05 gas 1.09.06 AURORA at 1.10.06_PCA 9 -  Exhibit D April 2010 (3) 2 2 2" xfId="15489"/>
    <cellStyle name="_Power Cost Value Copy 11.30.05 gas 1.09.06 AURORA at 1.10.06_PCA 9 -  Exhibit D April 2010 (3) 2 2 2 2" xfId="15490"/>
    <cellStyle name="_Power Cost Value Copy 11.30.05 gas 1.09.06 AURORA at 1.10.06_PCA 9 -  Exhibit D April 2010 (3) 2 2 3" xfId="15491"/>
    <cellStyle name="_Power Cost Value Copy 11.30.05 gas 1.09.06 AURORA at 1.10.06_PCA 9 -  Exhibit D April 2010 (3) 2 3" xfId="15492"/>
    <cellStyle name="_Power Cost Value Copy 11.30.05 gas 1.09.06 AURORA at 1.10.06_PCA 9 -  Exhibit D April 2010 (3) 2 3 2" xfId="15493"/>
    <cellStyle name="_Power Cost Value Copy 11.30.05 gas 1.09.06 AURORA at 1.10.06_PCA 9 -  Exhibit D April 2010 (3) 2 4" xfId="15494"/>
    <cellStyle name="_Power Cost Value Copy 11.30.05 gas 1.09.06 AURORA at 1.10.06_PCA 9 -  Exhibit D April 2010 (3) 2 5" xfId="15495"/>
    <cellStyle name="_Power Cost Value Copy 11.30.05 gas 1.09.06 AURORA at 1.10.06_PCA 9 -  Exhibit D April 2010 (3) 3" xfId="15496"/>
    <cellStyle name="_Power Cost Value Copy 11.30.05 gas 1.09.06 AURORA at 1.10.06_PCA 9 -  Exhibit D April 2010 (3) 3 2" xfId="15497"/>
    <cellStyle name="_Power Cost Value Copy 11.30.05 gas 1.09.06 AURORA at 1.10.06_PCA 9 -  Exhibit D April 2010 (3) 3 2 2" xfId="15498"/>
    <cellStyle name="_Power Cost Value Copy 11.30.05 gas 1.09.06 AURORA at 1.10.06_PCA 9 -  Exhibit D April 2010 (3) 3 3" xfId="15499"/>
    <cellStyle name="_Power Cost Value Copy 11.30.05 gas 1.09.06 AURORA at 1.10.06_PCA 9 -  Exhibit D April 2010 (3) 3 4" xfId="15500"/>
    <cellStyle name="_Power Cost Value Copy 11.30.05 gas 1.09.06 AURORA at 1.10.06_PCA 9 -  Exhibit D April 2010 (3) 4" xfId="15501"/>
    <cellStyle name="_Power Cost Value Copy 11.30.05 gas 1.09.06 AURORA at 1.10.06_PCA 9 -  Exhibit D April 2010 (3) 4 2" xfId="15502"/>
    <cellStyle name="_Power Cost Value Copy 11.30.05 gas 1.09.06 AURORA at 1.10.06_PCA 9 -  Exhibit D April 2010 (3) 5" xfId="15503"/>
    <cellStyle name="_Power Cost Value Copy 11.30.05 gas 1.09.06 AURORA at 1.10.06_PCA 9 -  Exhibit D April 2010 (3) 6" xfId="15504"/>
    <cellStyle name="_Power Cost Value Copy 11.30.05 gas 1.09.06 AURORA at 1.10.06_PCA 9 -  Exhibit D April 2010 (3)_DEM-WP(C) ENERG10C--ctn Mid-C_042010 2010GRC" xfId="15505"/>
    <cellStyle name="_Power Cost Value Copy 11.30.05 gas 1.09.06 AURORA at 1.10.06_PCA 9 -  Exhibit D April 2010 (3)_DEM-WP(C) ENERG10C--ctn Mid-C_042010 2010GRC 2" xfId="15506"/>
    <cellStyle name="_Power Cost Value Copy 11.30.05 gas 1.09.06 AURORA at 1.10.06_PCA 9 -  Exhibit D April 2010 2" xfId="15507"/>
    <cellStyle name="_Power Cost Value Copy 11.30.05 gas 1.09.06 AURORA at 1.10.06_PCA 9 -  Exhibit D April 2010 2 2" xfId="15508"/>
    <cellStyle name="_Power Cost Value Copy 11.30.05 gas 1.09.06 AURORA at 1.10.06_PCA 9 -  Exhibit D April 2010 3" xfId="15509"/>
    <cellStyle name="_Power Cost Value Copy 11.30.05 gas 1.09.06 AURORA at 1.10.06_PCA 9 -  Exhibit D April 2010 3 2" xfId="15510"/>
    <cellStyle name="_Power Cost Value Copy 11.30.05 gas 1.09.06 AURORA at 1.10.06_PCA 9 -  Exhibit D April 2010 4" xfId="15511"/>
    <cellStyle name="_Power Cost Value Copy 11.30.05 gas 1.09.06 AURORA at 1.10.06_PCA 9 -  Exhibit D April 2010 4 2" xfId="15512"/>
    <cellStyle name="_Power Cost Value Copy 11.30.05 gas 1.09.06 AURORA at 1.10.06_PCA 9 -  Exhibit D April 2010 5" xfId="15513"/>
    <cellStyle name="_Power Cost Value Copy 11.30.05 gas 1.09.06 AURORA at 1.10.06_PCA 9 -  Exhibit D April 2010 5 2" xfId="15514"/>
    <cellStyle name="_Power Cost Value Copy 11.30.05 gas 1.09.06 AURORA at 1.10.06_PCA 9 -  Exhibit D April 2010 6" xfId="15515"/>
    <cellStyle name="_Power Cost Value Copy 11.30.05 gas 1.09.06 AURORA at 1.10.06_PCA 9 -  Exhibit D April 2010 6 2" xfId="15516"/>
    <cellStyle name="_Power Cost Value Copy 11.30.05 gas 1.09.06 AURORA at 1.10.06_PCA 9 -  Exhibit D April 2010 7" xfId="15517"/>
    <cellStyle name="_Power Cost Value Copy 11.30.05 gas 1.09.06 AURORA at 1.10.06_PCA 9 -  Exhibit D Feb 2010" xfId="15518"/>
    <cellStyle name="_Power Cost Value Copy 11.30.05 gas 1.09.06 AURORA at 1.10.06_PCA 9 -  Exhibit D Feb 2010 2" xfId="15519"/>
    <cellStyle name="_Power Cost Value Copy 11.30.05 gas 1.09.06 AURORA at 1.10.06_PCA 9 -  Exhibit D Feb 2010 2 2" xfId="15520"/>
    <cellStyle name="_Power Cost Value Copy 11.30.05 gas 1.09.06 AURORA at 1.10.06_PCA 9 -  Exhibit D Feb 2010 3" xfId="15521"/>
    <cellStyle name="_Power Cost Value Copy 11.30.05 gas 1.09.06 AURORA at 1.10.06_PCA 9 -  Exhibit D Feb 2010 v2" xfId="15522"/>
    <cellStyle name="_Power Cost Value Copy 11.30.05 gas 1.09.06 AURORA at 1.10.06_PCA 9 -  Exhibit D Feb 2010 v2 2" xfId="15523"/>
    <cellStyle name="_Power Cost Value Copy 11.30.05 gas 1.09.06 AURORA at 1.10.06_PCA 9 -  Exhibit D Feb 2010 v2 2 2" xfId="15524"/>
    <cellStyle name="_Power Cost Value Copy 11.30.05 gas 1.09.06 AURORA at 1.10.06_PCA 9 -  Exhibit D Feb 2010 v2 3" xfId="15525"/>
    <cellStyle name="_Power Cost Value Copy 11.30.05 gas 1.09.06 AURORA at 1.10.06_PCA 9 -  Exhibit D Feb 2010 WF" xfId="15526"/>
    <cellStyle name="_Power Cost Value Copy 11.30.05 gas 1.09.06 AURORA at 1.10.06_PCA 9 -  Exhibit D Feb 2010 WF 2" xfId="15527"/>
    <cellStyle name="_Power Cost Value Copy 11.30.05 gas 1.09.06 AURORA at 1.10.06_PCA 9 -  Exhibit D Feb 2010 WF 2 2" xfId="15528"/>
    <cellStyle name="_Power Cost Value Copy 11.30.05 gas 1.09.06 AURORA at 1.10.06_PCA 9 -  Exhibit D Feb 2010 WF 3" xfId="15529"/>
    <cellStyle name="_Power Cost Value Copy 11.30.05 gas 1.09.06 AURORA at 1.10.06_PCA 9 -  Exhibit D Jan 2010" xfId="15530"/>
    <cellStyle name="_Power Cost Value Copy 11.30.05 gas 1.09.06 AURORA at 1.10.06_PCA 9 -  Exhibit D Jan 2010 2" xfId="15531"/>
    <cellStyle name="_Power Cost Value Copy 11.30.05 gas 1.09.06 AURORA at 1.10.06_PCA 9 -  Exhibit D Jan 2010 2 2" xfId="15532"/>
    <cellStyle name="_Power Cost Value Copy 11.30.05 gas 1.09.06 AURORA at 1.10.06_PCA 9 -  Exhibit D Jan 2010 3" xfId="15533"/>
    <cellStyle name="_Power Cost Value Copy 11.30.05 gas 1.09.06 AURORA at 1.10.06_PCA 9 -  Exhibit D March 2010 (2)" xfId="15534"/>
    <cellStyle name="_Power Cost Value Copy 11.30.05 gas 1.09.06 AURORA at 1.10.06_PCA 9 -  Exhibit D March 2010 (2) 2" xfId="15535"/>
    <cellStyle name="_Power Cost Value Copy 11.30.05 gas 1.09.06 AURORA at 1.10.06_PCA 9 -  Exhibit D March 2010 (2) 2 2" xfId="15536"/>
    <cellStyle name="_Power Cost Value Copy 11.30.05 gas 1.09.06 AURORA at 1.10.06_PCA 9 -  Exhibit D March 2010 (2) 3" xfId="15537"/>
    <cellStyle name="_Power Cost Value Copy 11.30.05 gas 1.09.06 AURORA at 1.10.06_PCA 9 -  Exhibit D Nov 2010" xfId="15538"/>
    <cellStyle name="_Power Cost Value Copy 11.30.05 gas 1.09.06 AURORA at 1.10.06_PCA 9 -  Exhibit D Nov 2010 2" xfId="15539"/>
    <cellStyle name="_Power Cost Value Copy 11.30.05 gas 1.09.06 AURORA at 1.10.06_PCA 9 -  Exhibit D Nov 2010 2 2" xfId="15540"/>
    <cellStyle name="_Power Cost Value Copy 11.30.05 gas 1.09.06 AURORA at 1.10.06_PCA 9 -  Exhibit D Nov 2010 3" xfId="15541"/>
    <cellStyle name="_Power Cost Value Copy 11.30.05 gas 1.09.06 AURORA at 1.10.06_PCA 9 - Exhibit D at August 2010" xfId="15542"/>
    <cellStyle name="_Power Cost Value Copy 11.30.05 gas 1.09.06 AURORA at 1.10.06_PCA 9 - Exhibit D at August 2010 2" xfId="15543"/>
    <cellStyle name="_Power Cost Value Copy 11.30.05 gas 1.09.06 AURORA at 1.10.06_PCA 9 - Exhibit D at August 2010 2 2" xfId="15544"/>
    <cellStyle name="_Power Cost Value Copy 11.30.05 gas 1.09.06 AURORA at 1.10.06_PCA 9 - Exhibit D at August 2010 3" xfId="15545"/>
    <cellStyle name="_Power Cost Value Copy 11.30.05 gas 1.09.06 AURORA at 1.10.06_PCA 9 - Exhibit D June 2010 GRC" xfId="15546"/>
    <cellStyle name="_Power Cost Value Copy 11.30.05 gas 1.09.06 AURORA at 1.10.06_PCA 9 - Exhibit D June 2010 GRC 2" xfId="15547"/>
    <cellStyle name="_Power Cost Value Copy 11.30.05 gas 1.09.06 AURORA at 1.10.06_PCA 9 - Exhibit D June 2010 GRC 2 2" xfId="15548"/>
    <cellStyle name="_Power Cost Value Copy 11.30.05 gas 1.09.06 AURORA at 1.10.06_PCA 9 - Exhibit D June 2010 GRC 3" xfId="15549"/>
    <cellStyle name="_Power Cost Value Copy 11.30.05 gas 1.09.06 AURORA at 1.10.06_Power Costs - Comparison bx Rbtl-Staff-Jt-PC" xfId="751"/>
    <cellStyle name="_Power Cost Value Copy 11.30.05 gas 1.09.06 AURORA at 1.10.06_Power Costs - Comparison bx Rbtl-Staff-Jt-PC 2" xfId="15550"/>
    <cellStyle name="_Power Cost Value Copy 11.30.05 gas 1.09.06 AURORA at 1.10.06_Power Costs - Comparison bx Rbtl-Staff-Jt-PC 2 2" xfId="15551"/>
    <cellStyle name="_Power Cost Value Copy 11.30.05 gas 1.09.06 AURORA at 1.10.06_Power Costs - Comparison bx Rbtl-Staff-Jt-PC 2 2 2" xfId="15552"/>
    <cellStyle name="_Power Cost Value Copy 11.30.05 gas 1.09.06 AURORA at 1.10.06_Power Costs - Comparison bx Rbtl-Staff-Jt-PC 2 2 2 2" xfId="15553"/>
    <cellStyle name="_Power Cost Value Copy 11.30.05 gas 1.09.06 AURORA at 1.10.06_Power Costs - Comparison bx Rbtl-Staff-Jt-PC 2 2 3" xfId="15554"/>
    <cellStyle name="_Power Cost Value Copy 11.30.05 gas 1.09.06 AURORA at 1.10.06_Power Costs - Comparison bx Rbtl-Staff-Jt-PC 2 2 4" xfId="15555"/>
    <cellStyle name="_Power Cost Value Copy 11.30.05 gas 1.09.06 AURORA at 1.10.06_Power Costs - Comparison bx Rbtl-Staff-Jt-PC 2 3" xfId="15556"/>
    <cellStyle name="_Power Cost Value Copy 11.30.05 gas 1.09.06 AURORA at 1.10.06_Power Costs - Comparison bx Rbtl-Staff-Jt-PC 2 3 2" xfId="15557"/>
    <cellStyle name="_Power Cost Value Copy 11.30.05 gas 1.09.06 AURORA at 1.10.06_Power Costs - Comparison bx Rbtl-Staff-Jt-PC 2 4" xfId="15558"/>
    <cellStyle name="_Power Cost Value Copy 11.30.05 gas 1.09.06 AURORA at 1.10.06_Power Costs - Comparison bx Rbtl-Staff-Jt-PC 2 5" xfId="15559"/>
    <cellStyle name="_Power Cost Value Copy 11.30.05 gas 1.09.06 AURORA at 1.10.06_Power Costs - Comparison bx Rbtl-Staff-Jt-PC 3" xfId="15560"/>
    <cellStyle name="_Power Cost Value Copy 11.30.05 gas 1.09.06 AURORA at 1.10.06_Power Costs - Comparison bx Rbtl-Staff-Jt-PC 3 2" xfId="15561"/>
    <cellStyle name="_Power Cost Value Copy 11.30.05 gas 1.09.06 AURORA at 1.10.06_Power Costs - Comparison bx Rbtl-Staff-Jt-PC 3 2 2" xfId="15562"/>
    <cellStyle name="_Power Cost Value Copy 11.30.05 gas 1.09.06 AURORA at 1.10.06_Power Costs - Comparison bx Rbtl-Staff-Jt-PC 3 3" xfId="15563"/>
    <cellStyle name="_Power Cost Value Copy 11.30.05 gas 1.09.06 AURORA at 1.10.06_Power Costs - Comparison bx Rbtl-Staff-Jt-PC 3 4" xfId="15564"/>
    <cellStyle name="_Power Cost Value Copy 11.30.05 gas 1.09.06 AURORA at 1.10.06_Power Costs - Comparison bx Rbtl-Staff-Jt-PC 3 5" xfId="15565"/>
    <cellStyle name="_Power Cost Value Copy 11.30.05 gas 1.09.06 AURORA at 1.10.06_Power Costs - Comparison bx Rbtl-Staff-Jt-PC 4" xfId="15566"/>
    <cellStyle name="_Power Cost Value Copy 11.30.05 gas 1.09.06 AURORA at 1.10.06_Power Costs - Comparison bx Rbtl-Staff-Jt-PC 4 2" xfId="15567"/>
    <cellStyle name="_Power Cost Value Copy 11.30.05 gas 1.09.06 AURORA at 1.10.06_Power Costs - Comparison bx Rbtl-Staff-Jt-PC 5" xfId="15568"/>
    <cellStyle name="_Power Cost Value Copy 11.30.05 gas 1.09.06 AURORA at 1.10.06_Power Costs - Comparison bx Rbtl-Staff-Jt-PC 6" xfId="15569"/>
    <cellStyle name="_Power Cost Value Copy 11.30.05 gas 1.09.06 AURORA at 1.10.06_Power Costs - Comparison bx Rbtl-Staff-Jt-PC_Adj Bench DR 3 for Initial Briefs (Electric)" xfId="752"/>
    <cellStyle name="_Power Cost Value Copy 11.30.05 gas 1.09.06 AURORA at 1.10.06_Power Costs - Comparison bx Rbtl-Staff-Jt-PC_Adj Bench DR 3 for Initial Briefs (Electric) 2" xfId="15570"/>
    <cellStyle name="_Power Cost Value Copy 11.30.05 gas 1.09.06 AURORA at 1.10.06_Power Costs - Comparison bx Rbtl-Staff-Jt-PC_Adj Bench DR 3 for Initial Briefs (Electric) 2 2" xfId="15571"/>
    <cellStyle name="_Power Cost Value Copy 11.30.05 gas 1.09.06 AURORA at 1.10.06_Power Costs - Comparison bx Rbtl-Staff-Jt-PC_Adj Bench DR 3 for Initial Briefs (Electric) 2 2 2" xfId="15572"/>
    <cellStyle name="_Power Cost Value Copy 11.30.05 gas 1.09.06 AURORA at 1.10.06_Power Costs - Comparison bx Rbtl-Staff-Jt-PC_Adj Bench DR 3 for Initial Briefs (Electric) 2 2 2 2" xfId="15573"/>
    <cellStyle name="_Power Cost Value Copy 11.30.05 gas 1.09.06 AURORA at 1.10.06_Power Costs - Comparison bx Rbtl-Staff-Jt-PC_Adj Bench DR 3 for Initial Briefs (Electric) 2 2 3" xfId="15574"/>
    <cellStyle name="_Power Cost Value Copy 11.30.05 gas 1.09.06 AURORA at 1.10.06_Power Costs - Comparison bx Rbtl-Staff-Jt-PC_Adj Bench DR 3 for Initial Briefs (Electric) 2 2 4" xfId="15575"/>
    <cellStyle name="_Power Cost Value Copy 11.30.05 gas 1.09.06 AURORA at 1.10.06_Power Costs - Comparison bx Rbtl-Staff-Jt-PC_Adj Bench DR 3 for Initial Briefs (Electric) 2 3" xfId="15576"/>
    <cellStyle name="_Power Cost Value Copy 11.30.05 gas 1.09.06 AURORA at 1.10.06_Power Costs - Comparison bx Rbtl-Staff-Jt-PC_Adj Bench DR 3 for Initial Briefs (Electric) 2 3 2" xfId="15577"/>
    <cellStyle name="_Power Cost Value Copy 11.30.05 gas 1.09.06 AURORA at 1.10.06_Power Costs - Comparison bx Rbtl-Staff-Jt-PC_Adj Bench DR 3 for Initial Briefs (Electric) 2 4" xfId="15578"/>
    <cellStyle name="_Power Cost Value Copy 11.30.05 gas 1.09.06 AURORA at 1.10.06_Power Costs - Comparison bx Rbtl-Staff-Jt-PC_Adj Bench DR 3 for Initial Briefs (Electric) 2 5" xfId="15579"/>
    <cellStyle name="_Power Cost Value Copy 11.30.05 gas 1.09.06 AURORA at 1.10.06_Power Costs - Comparison bx Rbtl-Staff-Jt-PC_Adj Bench DR 3 for Initial Briefs (Electric) 3" xfId="15580"/>
    <cellStyle name="_Power Cost Value Copy 11.30.05 gas 1.09.06 AURORA at 1.10.06_Power Costs - Comparison bx Rbtl-Staff-Jt-PC_Adj Bench DR 3 for Initial Briefs (Electric) 3 2" xfId="15581"/>
    <cellStyle name="_Power Cost Value Copy 11.30.05 gas 1.09.06 AURORA at 1.10.06_Power Costs - Comparison bx Rbtl-Staff-Jt-PC_Adj Bench DR 3 for Initial Briefs (Electric) 3 2 2" xfId="15582"/>
    <cellStyle name="_Power Cost Value Copy 11.30.05 gas 1.09.06 AURORA at 1.10.06_Power Costs - Comparison bx Rbtl-Staff-Jt-PC_Adj Bench DR 3 for Initial Briefs (Electric) 3 3" xfId="15583"/>
    <cellStyle name="_Power Cost Value Copy 11.30.05 gas 1.09.06 AURORA at 1.10.06_Power Costs - Comparison bx Rbtl-Staff-Jt-PC_Adj Bench DR 3 for Initial Briefs (Electric) 3 4" xfId="15584"/>
    <cellStyle name="_Power Cost Value Copy 11.30.05 gas 1.09.06 AURORA at 1.10.06_Power Costs - Comparison bx Rbtl-Staff-Jt-PC_Adj Bench DR 3 for Initial Briefs (Electric) 3 5" xfId="15585"/>
    <cellStyle name="_Power Cost Value Copy 11.30.05 gas 1.09.06 AURORA at 1.10.06_Power Costs - Comparison bx Rbtl-Staff-Jt-PC_Adj Bench DR 3 for Initial Briefs (Electric) 4" xfId="15586"/>
    <cellStyle name="_Power Cost Value Copy 11.30.05 gas 1.09.06 AURORA at 1.10.06_Power Costs - Comparison bx Rbtl-Staff-Jt-PC_Adj Bench DR 3 for Initial Briefs (Electric) 4 2" xfId="15587"/>
    <cellStyle name="_Power Cost Value Copy 11.30.05 gas 1.09.06 AURORA at 1.10.06_Power Costs - Comparison bx Rbtl-Staff-Jt-PC_Adj Bench DR 3 for Initial Briefs (Electric) 5" xfId="15588"/>
    <cellStyle name="_Power Cost Value Copy 11.30.05 gas 1.09.06 AURORA at 1.10.06_Power Costs - Comparison bx Rbtl-Staff-Jt-PC_Adj Bench DR 3 for Initial Briefs (Electric) 6" xfId="15589"/>
    <cellStyle name="_Power Cost Value Copy 11.30.05 gas 1.09.06 AURORA at 1.10.06_Power Costs - Comparison bx Rbtl-Staff-Jt-PC_Adj Bench DR 3 for Initial Briefs (Electric)_DEM-WP(C) ENERG10C--ctn Mid-C_042010 2010GRC" xfId="15590"/>
    <cellStyle name="_Power Cost Value Copy 11.30.05 gas 1.09.06 AURORA at 1.10.06_Power Costs - Comparison bx Rbtl-Staff-Jt-PC_Adj Bench DR 3 for Initial Briefs (Electric)_DEM-WP(C) ENERG10C--ctn Mid-C_042010 2010GRC 2" xfId="15591"/>
    <cellStyle name="_Power Cost Value Copy 11.30.05 gas 1.09.06 AURORA at 1.10.06_Power Costs - Comparison bx Rbtl-Staff-Jt-PC_DEM-WP(C) ENERG10C--ctn Mid-C_042010 2010GRC" xfId="15592"/>
    <cellStyle name="_Power Cost Value Copy 11.30.05 gas 1.09.06 AURORA at 1.10.06_Power Costs - Comparison bx Rbtl-Staff-Jt-PC_DEM-WP(C) ENERG10C--ctn Mid-C_042010 2010GRC 2" xfId="15593"/>
    <cellStyle name="_Power Cost Value Copy 11.30.05 gas 1.09.06 AURORA at 1.10.06_Power Costs - Comparison bx Rbtl-Staff-Jt-PC_Electric Rev Req Model (2009 GRC) Rebuttal" xfId="753"/>
    <cellStyle name="_Power Cost Value Copy 11.30.05 gas 1.09.06 AURORA at 1.10.06_Power Costs - Comparison bx Rbtl-Staff-Jt-PC_Electric Rev Req Model (2009 GRC) Rebuttal 2" xfId="15594"/>
    <cellStyle name="_Power Cost Value Copy 11.30.05 gas 1.09.06 AURORA at 1.10.06_Power Costs - Comparison bx Rbtl-Staff-Jt-PC_Electric Rev Req Model (2009 GRC) Rebuttal 2 2" xfId="15595"/>
    <cellStyle name="_Power Cost Value Copy 11.30.05 gas 1.09.06 AURORA at 1.10.06_Power Costs - Comparison bx Rbtl-Staff-Jt-PC_Electric Rev Req Model (2009 GRC) Rebuttal 2 2 2" xfId="15596"/>
    <cellStyle name="_Power Cost Value Copy 11.30.05 gas 1.09.06 AURORA at 1.10.06_Power Costs - Comparison bx Rbtl-Staff-Jt-PC_Electric Rev Req Model (2009 GRC) Rebuttal 2 3" xfId="15597"/>
    <cellStyle name="_Power Cost Value Copy 11.30.05 gas 1.09.06 AURORA at 1.10.06_Power Costs - Comparison bx Rbtl-Staff-Jt-PC_Electric Rev Req Model (2009 GRC) Rebuttal 2 4" xfId="15598"/>
    <cellStyle name="_Power Cost Value Copy 11.30.05 gas 1.09.06 AURORA at 1.10.06_Power Costs - Comparison bx Rbtl-Staff-Jt-PC_Electric Rev Req Model (2009 GRC) Rebuttal 3" xfId="15599"/>
    <cellStyle name="_Power Cost Value Copy 11.30.05 gas 1.09.06 AURORA at 1.10.06_Power Costs - Comparison bx Rbtl-Staff-Jt-PC_Electric Rev Req Model (2009 GRC) Rebuttal 3 2" xfId="15600"/>
    <cellStyle name="_Power Cost Value Copy 11.30.05 gas 1.09.06 AURORA at 1.10.06_Power Costs - Comparison bx Rbtl-Staff-Jt-PC_Electric Rev Req Model (2009 GRC) Rebuttal 4" xfId="15601"/>
    <cellStyle name="_Power Cost Value Copy 11.30.05 gas 1.09.06 AURORA at 1.10.06_Power Costs - Comparison bx Rbtl-Staff-Jt-PC_Electric Rev Req Model (2009 GRC) Rebuttal 5" xfId="15602"/>
    <cellStyle name="_Power Cost Value Copy 11.30.05 gas 1.09.06 AURORA at 1.10.06_Power Costs - Comparison bx Rbtl-Staff-Jt-PC_Electric Rev Req Model (2009 GRC) Rebuttal REmoval of New  WH Solar AdjustMI" xfId="754"/>
    <cellStyle name="_Power Cost Value Copy 11.30.05 gas 1.09.06 AURORA at 1.10.06_Power Costs - Comparison bx Rbtl-Staff-Jt-PC_Electric Rev Req Model (2009 GRC) Rebuttal REmoval of New  WH Solar AdjustMI 2" xfId="15603"/>
    <cellStyle name="_Power Cost Value Copy 11.30.05 gas 1.09.06 AURORA at 1.10.06_Power Costs - Comparison bx Rbtl-Staff-Jt-PC_Electric Rev Req Model (2009 GRC) Rebuttal REmoval of New  WH Solar AdjustMI 2 2" xfId="15604"/>
    <cellStyle name="_Power Cost Value Copy 11.30.05 gas 1.09.06 AURORA at 1.10.06_Power Costs - Comparison bx Rbtl-Staff-Jt-PC_Electric Rev Req Model (2009 GRC) Rebuttal REmoval of New  WH Solar AdjustMI 2 2 2" xfId="15605"/>
    <cellStyle name="_Power Cost Value Copy 11.30.05 gas 1.09.06 AURORA at 1.10.06_Power Costs - Comparison bx Rbtl-Staff-Jt-PC_Electric Rev Req Model (2009 GRC) Rebuttal REmoval of New  WH Solar AdjustMI 2 2 2 2" xfId="15606"/>
    <cellStyle name="_Power Cost Value Copy 11.30.05 gas 1.09.06 AURORA at 1.10.06_Power Costs - Comparison bx Rbtl-Staff-Jt-PC_Electric Rev Req Model (2009 GRC) Rebuttal REmoval of New  WH Solar AdjustMI 2 2 3" xfId="15607"/>
    <cellStyle name="_Power Cost Value Copy 11.30.05 gas 1.09.06 AURORA at 1.10.06_Power Costs - Comparison bx Rbtl-Staff-Jt-PC_Electric Rev Req Model (2009 GRC) Rebuttal REmoval of New  WH Solar AdjustMI 2 2 4" xfId="15608"/>
    <cellStyle name="_Power Cost Value Copy 11.30.05 gas 1.09.06 AURORA at 1.10.06_Power Costs - Comparison bx Rbtl-Staff-Jt-PC_Electric Rev Req Model (2009 GRC) Rebuttal REmoval of New  WH Solar AdjustMI 2 3" xfId="15609"/>
    <cellStyle name="_Power Cost Value Copy 11.30.05 gas 1.09.06 AURORA at 1.10.06_Power Costs - Comparison bx Rbtl-Staff-Jt-PC_Electric Rev Req Model (2009 GRC) Rebuttal REmoval of New  WH Solar AdjustMI 2 3 2" xfId="15610"/>
    <cellStyle name="_Power Cost Value Copy 11.30.05 gas 1.09.06 AURORA at 1.10.06_Power Costs - Comparison bx Rbtl-Staff-Jt-PC_Electric Rev Req Model (2009 GRC) Rebuttal REmoval of New  WH Solar AdjustMI 2 4" xfId="15611"/>
    <cellStyle name="_Power Cost Value Copy 11.30.05 gas 1.09.06 AURORA at 1.10.06_Power Costs - Comparison bx Rbtl-Staff-Jt-PC_Electric Rev Req Model (2009 GRC) Rebuttal REmoval of New  WH Solar AdjustMI 2 5" xfId="15612"/>
    <cellStyle name="_Power Cost Value Copy 11.30.05 gas 1.09.06 AURORA at 1.10.06_Power Costs - Comparison bx Rbtl-Staff-Jt-PC_Electric Rev Req Model (2009 GRC) Rebuttal REmoval of New  WH Solar AdjustMI 3" xfId="15613"/>
    <cellStyle name="_Power Cost Value Copy 11.30.05 gas 1.09.06 AURORA at 1.10.06_Power Costs - Comparison bx Rbtl-Staff-Jt-PC_Electric Rev Req Model (2009 GRC) Rebuttal REmoval of New  WH Solar AdjustMI 3 2" xfId="15614"/>
    <cellStyle name="_Power Cost Value Copy 11.30.05 gas 1.09.06 AURORA at 1.10.06_Power Costs - Comparison bx Rbtl-Staff-Jt-PC_Electric Rev Req Model (2009 GRC) Rebuttal REmoval of New  WH Solar AdjustMI 3 2 2" xfId="15615"/>
    <cellStyle name="_Power Cost Value Copy 11.30.05 gas 1.09.06 AURORA at 1.10.06_Power Costs - Comparison bx Rbtl-Staff-Jt-PC_Electric Rev Req Model (2009 GRC) Rebuttal REmoval of New  WH Solar AdjustMI 3 3" xfId="15616"/>
    <cellStyle name="_Power Cost Value Copy 11.30.05 gas 1.09.06 AURORA at 1.10.06_Power Costs - Comparison bx Rbtl-Staff-Jt-PC_Electric Rev Req Model (2009 GRC) Rebuttal REmoval of New  WH Solar AdjustMI 3 4" xfId="15617"/>
    <cellStyle name="_Power Cost Value Copy 11.30.05 gas 1.09.06 AURORA at 1.10.06_Power Costs - Comparison bx Rbtl-Staff-Jt-PC_Electric Rev Req Model (2009 GRC) Rebuttal REmoval of New  WH Solar AdjustMI 3 5" xfId="15618"/>
    <cellStyle name="_Power Cost Value Copy 11.30.05 gas 1.09.06 AURORA at 1.10.06_Power Costs - Comparison bx Rbtl-Staff-Jt-PC_Electric Rev Req Model (2009 GRC) Rebuttal REmoval of New  WH Solar AdjustMI 4" xfId="15619"/>
    <cellStyle name="_Power Cost Value Copy 11.30.05 gas 1.09.06 AURORA at 1.10.06_Power Costs - Comparison bx Rbtl-Staff-Jt-PC_Electric Rev Req Model (2009 GRC) Rebuttal REmoval of New  WH Solar AdjustMI 4 2" xfId="15620"/>
    <cellStyle name="_Power Cost Value Copy 11.30.05 gas 1.09.06 AURORA at 1.10.06_Power Costs - Comparison bx Rbtl-Staff-Jt-PC_Electric Rev Req Model (2009 GRC) Rebuttal REmoval of New  WH Solar AdjustMI 5" xfId="15621"/>
    <cellStyle name="_Power Cost Value Copy 11.30.05 gas 1.09.06 AURORA at 1.10.06_Power Costs - Comparison bx Rbtl-Staff-Jt-PC_Electric Rev Req Model (2009 GRC) Rebuttal REmoval of New  WH Solar AdjustMI 6" xfId="15622"/>
    <cellStyle name="_Power Cost Value Copy 11.30.05 gas 1.09.06 AURORA at 1.10.06_Power Costs - Comparison bx Rbtl-Staff-Jt-PC_Electric Rev Req Model (2009 GRC) Rebuttal REmoval of New  WH Solar AdjustMI_DEM-WP(C) ENERG10C--ctn Mid-C_042010 2010GRC" xfId="15623"/>
    <cellStyle name="_Power Cost Value Copy 11.30.05 gas 1.09.06 AURORA at 1.10.06_Power Costs - Comparison bx Rbtl-Staff-Jt-PC_Electric Rev Req Model (2009 GRC) Rebuttal REmoval of New  WH Solar AdjustMI_DEM-WP(C) ENERG10C--ctn Mid-C_042010 2010GRC 2" xfId="15624"/>
    <cellStyle name="_Power Cost Value Copy 11.30.05 gas 1.09.06 AURORA at 1.10.06_Power Costs - Comparison bx Rbtl-Staff-Jt-PC_Electric Rev Req Model (2009 GRC) Revised 01-18-2010" xfId="755"/>
    <cellStyle name="_Power Cost Value Copy 11.30.05 gas 1.09.06 AURORA at 1.10.06_Power Costs - Comparison bx Rbtl-Staff-Jt-PC_Electric Rev Req Model (2009 GRC) Revised 01-18-2010 2" xfId="15625"/>
    <cellStyle name="_Power Cost Value Copy 11.30.05 gas 1.09.06 AURORA at 1.10.06_Power Costs - Comparison bx Rbtl-Staff-Jt-PC_Electric Rev Req Model (2009 GRC) Revised 01-18-2010 2 2" xfId="15626"/>
    <cellStyle name="_Power Cost Value Copy 11.30.05 gas 1.09.06 AURORA at 1.10.06_Power Costs - Comparison bx Rbtl-Staff-Jt-PC_Electric Rev Req Model (2009 GRC) Revised 01-18-2010 2 2 2" xfId="15627"/>
    <cellStyle name="_Power Cost Value Copy 11.30.05 gas 1.09.06 AURORA at 1.10.06_Power Costs - Comparison bx Rbtl-Staff-Jt-PC_Electric Rev Req Model (2009 GRC) Revised 01-18-2010 2 2 2 2" xfId="15628"/>
    <cellStyle name="_Power Cost Value Copy 11.30.05 gas 1.09.06 AURORA at 1.10.06_Power Costs - Comparison bx Rbtl-Staff-Jt-PC_Electric Rev Req Model (2009 GRC) Revised 01-18-2010 2 2 3" xfId="15629"/>
    <cellStyle name="_Power Cost Value Copy 11.30.05 gas 1.09.06 AURORA at 1.10.06_Power Costs - Comparison bx Rbtl-Staff-Jt-PC_Electric Rev Req Model (2009 GRC) Revised 01-18-2010 2 2 4" xfId="15630"/>
    <cellStyle name="_Power Cost Value Copy 11.30.05 gas 1.09.06 AURORA at 1.10.06_Power Costs - Comparison bx Rbtl-Staff-Jt-PC_Electric Rev Req Model (2009 GRC) Revised 01-18-2010 2 3" xfId="15631"/>
    <cellStyle name="_Power Cost Value Copy 11.30.05 gas 1.09.06 AURORA at 1.10.06_Power Costs - Comparison bx Rbtl-Staff-Jt-PC_Electric Rev Req Model (2009 GRC) Revised 01-18-2010 2 3 2" xfId="15632"/>
    <cellStyle name="_Power Cost Value Copy 11.30.05 gas 1.09.06 AURORA at 1.10.06_Power Costs - Comparison bx Rbtl-Staff-Jt-PC_Electric Rev Req Model (2009 GRC) Revised 01-18-2010 2 4" xfId="15633"/>
    <cellStyle name="_Power Cost Value Copy 11.30.05 gas 1.09.06 AURORA at 1.10.06_Power Costs - Comparison bx Rbtl-Staff-Jt-PC_Electric Rev Req Model (2009 GRC) Revised 01-18-2010 2 5" xfId="15634"/>
    <cellStyle name="_Power Cost Value Copy 11.30.05 gas 1.09.06 AURORA at 1.10.06_Power Costs - Comparison bx Rbtl-Staff-Jt-PC_Electric Rev Req Model (2009 GRC) Revised 01-18-2010 3" xfId="15635"/>
    <cellStyle name="_Power Cost Value Copy 11.30.05 gas 1.09.06 AURORA at 1.10.06_Power Costs - Comparison bx Rbtl-Staff-Jt-PC_Electric Rev Req Model (2009 GRC) Revised 01-18-2010 3 2" xfId="15636"/>
    <cellStyle name="_Power Cost Value Copy 11.30.05 gas 1.09.06 AURORA at 1.10.06_Power Costs - Comparison bx Rbtl-Staff-Jt-PC_Electric Rev Req Model (2009 GRC) Revised 01-18-2010 3 2 2" xfId="15637"/>
    <cellStyle name="_Power Cost Value Copy 11.30.05 gas 1.09.06 AURORA at 1.10.06_Power Costs - Comparison bx Rbtl-Staff-Jt-PC_Electric Rev Req Model (2009 GRC) Revised 01-18-2010 3 3" xfId="15638"/>
    <cellStyle name="_Power Cost Value Copy 11.30.05 gas 1.09.06 AURORA at 1.10.06_Power Costs - Comparison bx Rbtl-Staff-Jt-PC_Electric Rev Req Model (2009 GRC) Revised 01-18-2010 3 4" xfId="15639"/>
    <cellStyle name="_Power Cost Value Copy 11.30.05 gas 1.09.06 AURORA at 1.10.06_Power Costs - Comparison bx Rbtl-Staff-Jt-PC_Electric Rev Req Model (2009 GRC) Revised 01-18-2010 3 5" xfId="15640"/>
    <cellStyle name="_Power Cost Value Copy 11.30.05 gas 1.09.06 AURORA at 1.10.06_Power Costs - Comparison bx Rbtl-Staff-Jt-PC_Electric Rev Req Model (2009 GRC) Revised 01-18-2010 4" xfId="15641"/>
    <cellStyle name="_Power Cost Value Copy 11.30.05 gas 1.09.06 AURORA at 1.10.06_Power Costs - Comparison bx Rbtl-Staff-Jt-PC_Electric Rev Req Model (2009 GRC) Revised 01-18-2010 4 2" xfId="15642"/>
    <cellStyle name="_Power Cost Value Copy 11.30.05 gas 1.09.06 AURORA at 1.10.06_Power Costs - Comparison bx Rbtl-Staff-Jt-PC_Electric Rev Req Model (2009 GRC) Revised 01-18-2010 5" xfId="15643"/>
    <cellStyle name="_Power Cost Value Copy 11.30.05 gas 1.09.06 AURORA at 1.10.06_Power Costs - Comparison bx Rbtl-Staff-Jt-PC_Electric Rev Req Model (2009 GRC) Revised 01-18-2010 6" xfId="15644"/>
    <cellStyle name="_Power Cost Value Copy 11.30.05 gas 1.09.06 AURORA at 1.10.06_Power Costs - Comparison bx Rbtl-Staff-Jt-PC_Electric Rev Req Model (2009 GRC) Revised 01-18-2010_DEM-WP(C) ENERG10C--ctn Mid-C_042010 2010GRC" xfId="15645"/>
    <cellStyle name="_Power Cost Value Copy 11.30.05 gas 1.09.06 AURORA at 1.10.06_Power Costs - Comparison bx Rbtl-Staff-Jt-PC_Electric Rev Req Model (2009 GRC) Revised 01-18-2010_DEM-WP(C) ENERG10C--ctn Mid-C_042010 2010GRC 2" xfId="15646"/>
    <cellStyle name="_Power Cost Value Copy 11.30.05 gas 1.09.06 AURORA at 1.10.06_Power Costs - Comparison bx Rbtl-Staff-Jt-PC_Final Order Electric EXHIBIT A-1" xfId="756"/>
    <cellStyle name="_Power Cost Value Copy 11.30.05 gas 1.09.06 AURORA at 1.10.06_Power Costs - Comparison bx Rbtl-Staff-Jt-PC_Final Order Electric EXHIBIT A-1 2" xfId="15647"/>
    <cellStyle name="_Power Cost Value Copy 11.30.05 gas 1.09.06 AURORA at 1.10.06_Power Costs - Comparison bx Rbtl-Staff-Jt-PC_Final Order Electric EXHIBIT A-1 2 2" xfId="15648"/>
    <cellStyle name="_Power Cost Value Copy 11.30.05 gas 1.09.06 AURORA at 1.10.06_Power Costs - Comparison bx Rbtl-Staff-Jt-PC_Final Order Electric EXHIBIT A-1 2 2 2" xfId="15649"/>
    <cellStyle name="_Power Cost Value Copy 11.30.05 gas 1.09.06 AURORA at 1.10.06_Power Costs - Comparison bx Rbtl-Staff-Jt-PC_Final Order Electric EXHIBIT A-1 2 3" xfId="15650"/>
    <cellStyle name="_Power Cost Value Copy 11.30.05 gas 1.09.06 AURORA at 1.10.06_Power Costs - Comparison bx Rbtl-Staff-Jt-PC_Final Order Electric EXHIBIT A-1 2 4" xfId="15651"/>
    <cellStyle name="_Power Cost Value Copy 11.30.05 gas 1.09.06 AURORA at 1.10.06_Power Costs - Comparison bx Rbtl-Staff-Jt-PC_Final Order Electric EXHIBIT A-1 2 5" xfId="15652"/>
    <cellStyle name="_Power Cost Value Copy 11.30.05 gas 1.09.06 AURORA at 1.10.06_Power Costs - Comparison bx Rbtl-Staff-Jt-PC_Final Order Electric EXHIBIT A-1 3" xfId="15653"/>
    <cellStyle name="_Power Cost Value Copy 11.30.05 gas 1.09.06 AURORA at 1.10.06_Power Costs - Comparison bx Rbtl-Staff-Jt-PC_Final Order Electric EXHIBIT A-1 3 2" xfId="15654"/>
    <cellStyle name="_Power Cost Value Copy 11.30.05 gas 1.09.06 AURORA at 1.10.06_Power Costs - Comparison bx Rbtl-Staff-Jt-PC_Final Order Electric EXHIBIT A-1 4" xfId="15655"/>
    <cellStyle name="_Power Cost Value Copy 11.30.05 gas 1.09.06 AURORA at 1.10.06_Power Costs - Comparison bx Rbtl-Staff-Jt-PC_Final Order Electric EXHIBIT A-1 5" xfId="15656"/>
    <cellStyle name="_Power Cost Value Copy 11.30.05 gas 1.09.06 AURORA at 1.10.06_Power Costs - Comparison bx Rbtl-Staff-Jt-PC_Final Order Electric EXHIBIT A-1 6" xfId="15657"/>
    <cellStyle name="_Power Cost Value Copy 11.30.05 gas 1.09.06 AURORA at 1.10.06_Power Costs - Comparison bx Rbtl-Staff-Jt-PC_Final Order Electric EXHIBIT A-1 7" xfId="15658"/>
    <cellStyle name="_Power Cost Value Copy 11.30.05 gas 1.09.06 AURORA at 1.10.06_Production Adj 4.37" xfId="15659"/>
    <cellStyle name="_Power Cost Value Copy 11.30.05 gas 1.09.06 AURORA at 1.10.06_Production Adj 4.37 2" xfId="15660"/>
    <cellStyle name="_Power Cost Value Copy 11.30.05 gas 1.09.06 AURORA at 1.10.06_Production Adj 4.37 2 2" xfId="15661"/>
    <cellStyle name="_Power Cost Value Copy 11.30.05 gas 1.09.06 AURORA at 1.10.06_Production Adj 4.37 2 2 2" xfId="15662"/>
    <cellStyle name="_Power Cost Value Copy 11.30.05 gas 1.09.06 AURORA at 1.10.06_Production Adj 4.37 2 3" xfId="15663"/>
    <cellStyle name="_Power Cost Value Copy 11.30.05 gas 1.09.06 AURORA at 1.10.06_Production Adj 4.37 3" xfId="15664"/>
    <cellStyle name="_Power Cost Value Copy 11.30.05 gas 1.09.06 AURORA at 1.10.06_Production Adj 4.37 3 2" xfId="15665"/>
    <cellStyle name="_Power Cost Value Copy 11.30.05 gas 1.09.06 AURORA at 1.10.06_Production Adj 4.37 4" xfId="15666"/>
    <cellStyle name="_Power Cost Value Copy 11.30.05 gas 1.09.06 AURORA at 1.10.06_Purchased Power Adj 4.03" xfId="15667"/>
    <cellStyle name="_Power Cost Value Copy 11.30.05 gas 1.09.06 AURORA at 1.10.06_Purchased Power Adj 4.03 2" xfId="15668"/>
    <cellStyle name="_Power Cost Value Copy 11.30.05 gas 1.09.06 AURORA at 1.10.06_Purchased Power Adj 4.03 2 2" xfId="15669"/>
    <cellStyle name="_Power Cost Value Copy 11.30.05 gas 1.09.06 AURORA at 1.10.06_Purchased Power Adj 4.03 2 2 2" xfId="15670"/>
    <cellStyle name="_Power Cost Value Copy 11.30.05 gas 1.09.06 AURORA at 1.10.06_Purchased Power Adj 4.03 2 3" xfId="15671"/>
    <cellStyle name="_Power Cost Value Copy 11.30.05 gas 1.09.06 AURORA at 1.10.06_Purchased Power Adj 4.03 3" xfId="15672"/>
    <cellStyle name="_Power Cost Value Copy 11.30.05 gas 1.09.06 AURORA at 1.10.06_Purchased Power Adj 4.03 3 2" xfId="15673"/>
    <cellStyle name="_Power Cost Value Copy 11.30.05 gas 1.09.06 AURORA at 1.10.06_Purchased Power Adj 4.03 4" xfId="15674"/>
    <cellStyle name="_Power Cost Value Copy 11.30.05 gas 1.09.06 AURORA at 1.10.06_Rate Design Sch 24" xfId="15675"/>
    <cellStyle name="_Power Cost Value Copy 11.30.05 gas 1.09.06 AURORA at 1.10.06_Rate Design Sch 24 2" xfId="15676"/>
    <cellStyle name="_Power Cost Value Copy 11.30.05 gas 1.09.06 AURORA at 1.10.06_Rate Design Sch 24 2 2" xfId="15677"/>
    <cellStyle name="_Power Cost Value Copy 11.30.05 gas 1.09.06 AURORA at 1.10.06_Rate Design Sch 24 3" xfId="15678"/>
    <cellStyle name="_Power Cost Value Copy 11.30.05 gas 1.09.06 AURORA at 1.10.06_Rate Design Sch 25" xfId="15679"/>
    <cellStyle name="_Power Cost Value Copy 11.30.05 gas 1.09.06 AURORA at 1.10.06_Rate Design Sch 25 2" xfId="15680"/>
    <cellStyle name="_Power Cost Value Copy 11.30.05 gas 1.09.06 AURORA at 1.10.06_Rate Design Sch 25 2 2" xfId="15681"/>
    <cellStyle name="_Power Cost Value Copy 11.30.05 gas 1.09.06 AURORA at 1.10.06_Rate Design Sch 25 2 2 2" xfId="15682"/>
    <cellStyle name="_Power Cost Value Copy 11.30.05 gas 1.09.06 AURORA at 1.10.06_Rate Design Sch 25 2 3" xfId="15683"/>
    <cellStyle name="_Power Cost Value Copy 11.30.05 gas 1.09.06 AURORA at 1.10.06_Rate Design Sch 25 3" xfId="15684"/>
    <cellStyle name="_Power Cost Value Copy 11.30.05 gas 1.09.06 AURORA at 1.10.06_Rate Design Sch 25 3 2" xfId="15685"/>
    <cellStyle name="_Power Cost Value Copy 11.30.05 gas 1.09.06 AURORA at 1.10.06_Rate Design Sch 25 4" xfId="15686"/>
    <cellStyle name="_Power Cost Value Copy 11.30.05 gas 1.09.06 AURORA at 1.10.06_Rate Design Sch 26" xfId="15687"/>
    <cellStyle name="_Power Cost Value Copy 11.30.05 gas 1.09.06 AURORA at 1.10.06_Rate Design Sch 26 2" xfId="15688"/>
    <cellStyle name="_Power Cost Value Copy 11.30.05 gas 1.09.06 AURORA at 1.10.06_Rate Design Sch 26 2 2" xfId="15689"/>
    <cellStyle name="_Power Cost Value Copy 11.30.05 gas 1.09.06 AURORA at 1.10.06_Rate Design Sch 26 2 2 2" xfId="15690"/>
    <cellStyle name="_Power Cost Value Copy 11.30.05 gas 1.09.06 AURORA at 1.10.06_Rate Design Sch 26 2 3" xfId="15691"/>
    <cellStyle name="_Power Cost Value Copy 11.30.05 gas 1.09.06 AURORA at 1.10.06_Rate Design Sch 26 3" xfId="15692"/>
    <cellStyle name="_Power Cost Value Copy 11.30.05 gas 1.09.06 AURORA at 1.10.06_Rate Design Sch 26 3 2" xfId="15693"/>
    <cellStyle name="_Power Cost Value Copy 11.30.05 gas 1.09.06 AURORA at 1.10.06_Rate Design Sch 26 4" xfId="15694"/>
    <cellStyle name="_Power Cost Value Copy 11.30.05 gas 1.09.06 AURORA at 1.10.06_Rate Design Sch 31" xfId="15695"/>
    <cellStyle name="_Power Cost Value Copy 11.30.05 gas 1.09.06 AURORA at 1.10.06_Rate Design Sch 31 2" xfId="15696"/>
    <cellStyle name="_Power Cost Value Copy 11.30.05 gas 1.09.06 AURORA at 1.10.06_Rate Design Sch 31 2 2" xfId="15697"/>
    <cellStyle name="_Power Cost Value Copy 11.30.05 gas 1.09.06 AURORA at 1.10.06_Rate Design Sch 31 2 2 2" xfId="15698"/>
    <cellStyle name="_Power Cost Value Copy 11.30.05 gas 1.09.06 AURORA at 1.10.06_Rate Design Sch 31 2 3" xfId="15699"/>
    <cellStyle name="_Power Cost Value Copy 11.30.05 gas 1.09.06 AURORA at 1.10.06_Rate Design Sch 31 3" xfId="15700"/>
    <cellStyle name="_Power Cost Value Copy 11.30.05 gas 1.09.06 AURORA at 1.10.06_Rate Design Sch 31 3 2" xfId="15701"/>
    <cellStyle name="_Power Cost Value Copy 11.30.05 gas 1.09.06 AURORA at 1.10.06_Rate Design Sch 31 4" xfId="15702"/>
    <cellStyle name="_Power Cost Value Copy 11.30.05 gas 1.09.06 AURORA at 1.10.06_Rate Design Sch 43" xfId="15703"/>
    <cellStyle name="_Power Cost Value Copy 11.30.05 gas 1.09.06 AURORA at 1.10.06_Rate Design Sch 43 2" xfId="15704"/>
    <cellStyle name="_Power Cost Value Copy 11.30.05 gas 1.09.06 AURORA at 1.10.06_Rate Design Sch 43 2 2" xfId="15705"/>
    <cellStyle name="_Power Cost Value Copy 11.30.05 gas 1.09.06 AURORA at 1.10.06_Rate Design Sch 43 2 2 2" xfId="15706"/>
    <cellStyle name="_Power Cost Value Copy 11.30.05 gas 1.09.06 AURORA at 1.10.06_Rate Design Sch 43 2 3" xfId="15707"/>
    <cellStyle name="_Power Cost Value Copy 11.30.05 gas 1.09.06 AURORA at 1.10.06_Rate Design Sch 43 3" xfId="15708"/>
    <cellStyle name="_Power Cost Value Copy 11.30.05 gas 1.09.06 AURORA at 1.10.06_Rate Design Sch 43 3 2" xfId="15709"/>
    <cellStyle name="_Power Cost Value Copy 11.30.05 gas 1.09.06 AURORA at 1.10.06_Rate Design Sch 43 4" xfId="15710"/>
    <cellStyle name="_Power Cost Value Copy 11.30.05 gas 1.09.06 AURORA at 1.10.06_Rate Design Sch 448-449" xfId="15711"/>
    <cellStyle name="_Power Cost Value Copy 11.30.05 gas 1.09.06 AURORA at 1.10.06_Rate Design Sch 448-449 2" xfId="15712"/>
    <cellStyle name="_Power Cost Value Copy 11.30.05 gas 1.09.06 AURORA at 1.10.06_Rate Design Sch 448-449 2 2" xfId="15713"/>
    <cellStyle name="_Power Cost Value Copy 11.30.05 gas 1.09.06 AURORA at 1.10.06_Rate Design Sch 448-449 3" xfId="15714"/>
    <cellStyle name="_Power Cost Value Copy 11.30.05 gas 1.09.06 AURORA at 1.10.06_Rate Design Sch 46" xfId="15715"/>
    <cellStyle name="_Power Cost Value Copy 11.30.05 gas 1.09.06 AURORA at 1.10.06_Rate Design Sch 46 2" xfId="15716"/>
    <cellStyle name="_Power Cost Value Copy 11.30.05 gas 1.09.06 AURORA at 1.10.06_Rate Design Sch 46 2 2" xfId="15717"/>
    <cellStyle name="_Power Cost Value Copy 11.30.05 gas 1.09.06 AURORA at 1.10.06_Rate Design Sch 46 2 2 2" xfId="15718"/>
    <cellStyle name="_Power Cost Value Copy 11.30.05 gas 1.09.06 AURORA at 1.10.06_Rate Design Sch 46 2 3" xfId="15719"/>
    <cellStyle name="_Power Cost Value Copy 11.30.05 gas 1.09.06 AURORA at 1.10.06_Rate Design Sch 46 3" xfId="15720"/>
    <cellStyle name="_Power Cost Value Copy 11.30.05 gas 1.09.06 AURORA at 1.10.06_Rate Design Sch 46 3 2" xfId="15721"/>
    <cellStyle name="_Power Cost Value Copy 11.30.05 gas 1.09.06 AURORA at 1.10.06_Rate Design Sch 46 4" xfId="15722"/>
    <cellStyle name="_Power Cost Value Copy 11.30.05 gas 1.09.06 AURORA at 1.10.06_Rate Spread" xfId="15723"/>
    <cellStyle name="_Power Cost Value Copy 11.30.05 gas 1.09.06 AURORA at 1.10.06_Rate Spread 2" xfId="15724"/>
    <cellStyle name="_Power Cost Value Copy 11.30.05 gas 1.09.06 AURORA at 1.10.06_Rate Spread 2 2" xfId="15725"/>
    <cellStyle name="_Power Cost Value Copy 11.30.05 gas 1.09.06 AURORA at 1.10.06_Rate Spread 2 2 2" xfId="15726"/>
    <cellStyle name="_Power Cost Value Copy 11.30.05 gas 1.09.06 AURORA at 1.10.06_Rate Spread 2 3" xfId="15727"/>
    <cellStyle name="_Power Cost Value Copy 11.30.05 gas 1.09.06 AURORA at 1.10.06_Rate Spread 3" xfId="15728"/>
    <cellStyle name="_Power Cost Value Copy 11.30.05 gas 1.09.06 AURORA at 1.10.06_Rate Spread 3 2" xfId="15729"/>
    <cellStyle name="_Power Cost Value Copy 11.30.05 gas 1.09.06 AURORA at 1.10.06_Rate Spread 4" xfId="15730"/>
    <cellStyle name="_Power Cost Value Copy 11.30.05 gas 1.09.06 AURORA at 1.10.06_Rebuttal Power Costs" xfId="757"/>
    <cellStyle name="_Power Cost Value Copy 11.30.05 gas 1.09.06 AURORA at 1.10.06_Rebuttal Power Costs 2" xfId="15731"/>
    <cellStyle name="_Power Cost Value Copy 11.30.05 gas 1.09.06 AURORA at 1.10.06_Rebuttal Power Costs 2 2" xfId="15732"/>
    <cellStyle name="_Power Cost Value Copy 11.30.05 gas 1.09.06 AURORA at 1.10.06_Rebuttal Power Costs 2 2 2" xfId="15733"/>
    <cellStyle name="_Power Cost Value Copy 11.30.05 gas 1.09.06 AURORA at 1.10.06_Rebuttal Power Costs 2 2 2 2" xfId="15734"/>
    <cellStyle name="_Power Cost Value Copy 11.30.05 gas 1.09.06 AURORA at 1.10.06_Rebuttal Power Costs 2 2 3" xfId="15735"/>
    <cellStyle name="_Power Cost Value Copy 11.30.05 gas 1.09.06 AURORA at 1.10.06_Rebuttal Power Costs 2 2 4" xfId="15736"/>
    <cellStyle name="_Power Cost Value Copy 11.30.05 gas 1.09.06 AURORA at 1.10.06_Rebuttal Power Costs 2 3" xfId="15737"/>
    <cellStyle name="_Power Cost Value Copy 11.30.05 gas 1.09.06 AURORA at 1.10.06_Rebuttal Power Costs 2 3 2" xfId="15738"/>
    <cellStyle name="_Power Cost Value Copy 11.30.05 gas 1.09.06 AURORA at 1.10.06_Rebuttal Power Costs 2 4" xfId="15739"/>
    <cellStyle name="_Power Cost Value Copy 11.30.05 gas 1.09.06 AURORA at 1.10.06_Rebuttal Power Costs 2 5" xfId="15740"/>
    <cellStyle name="_Power Cost Value Copy 11.30.05 gas 1.09.06 AURORA at 1.10.06_Rebuttal Power Costs 3" xfId="15741"/>
    <cellStyle name="_Power Cost Value Copy 11.30.05 gas 1.09.06 AURORA at 1.10.06_Rebuttal Power Costs 3 2" xfId="15742"/>
    <cellStyle name="_Power Cost Value Copy 11.30.05 gas 1.09.06 AURORA at 1.10.06_Rebuttal Power Costs 3 2 2" xfId="15743"/>
    <cellStyle name="_Power Cost Value Copy 11.30.05 gas 1.09.06 AURORA at 1.10.06_Rebuttal Power Costs 3 3" xfId="15744"/>
    <cellStyle name="_Power Cost Value Copy 11.30.05 gas 1.09.06 AURORA at 1.10.06_Rebuttal Power Costs 3 4" xfId="15745"/>
    <cellStyle name="_Power Cost Value Copy 11.30.05 gas 1.09.06 AURORA at 1.10.06_Rebuttal Power Costs 3 5" xfId="15746"/>
    <cellStyle name="_Power Cost Value Copy 11.30.05 gas 1.09.06 AURORA at 1.10.06_Rebuttal Power Costs 4" xfId="15747"/>
    <cellStyle name="_Power Cost Value Copy 11.30.05 gas 1.09.06 AURORA at 1.10.06_Rebuttal Power Costs 4 2" xfId="15748"/>
    <cellStyle name="_Power Cost Value Copy 11.30.05 gas 1.09.06 AURORA at 1.10.06_Rebuttal Power Costs 5" xfId="15749"/>
    <cellStyle name="_Power Cost Value Copy 11.30.05 gas 1.09.06 AURORA at 1.10.06_Rebuttal Power Costs 6" xfId="15750"/>
    <cellStyle name="_Power Cost Value Copy 11.30.05 gas 1.09.06 AURORA at 1.10.06_Rebuttal Power Costs_Adj Bench DR 3 for Initial Briefs (Electric)" xfId="758"/>
    <cellStyle name="_Power Cost Value Copy 11.30.05 gas 1.09.06 AURORA at 1.10.06_Rebuttal Power Costs_Adj Bench DR 3 for Initial Briefs (Electric) 2" xfId="15751"/>
    <cellStyle name="_Power Cost Value Copy 11.30.05 gas 1.09.06 AURORA at 1.10.06_Rebuttal Power Costs_Adj Bench DR 3 for Initial Briefs (Electric) 2 2" xfId="15752"/>
    <cellStyle name="_Power Cost Value Copy 11.30.05 gas 1.09.06 AURORA at 1.10.06_Rebuttal Power Costs_Adj Bench DR 3 for Initial Briefs (Electric) 2 2 2" xfId="15753"/>
    <cellStyle name="_Power Cost Value Copy 11.30.05 gas 1.09.06 AURORA at 1.10.06_Rebuttal Power Costs_Adj Bench DR 3 for Initial Briefs (Electric) 2 2 2 2" xfId="15754"/>
    <cellStyle name="_Power Cost Value Copy 11.30.05 gas 1.09.06 AURORA at 1.10.06_Rebuttal Power Costs_Adj Bench DR 3 for Initial Briefs (Electric) 2 2 3" xfId="15755"/>
    <cellStyle name="_Power Cost Value Copy 11.30.05 gas 1.09.06 AURORA at 1.10.06_Rebuttal Power Costs_Adj Bench DR 3 for Initial Briefs (Electric) 2 2 4" xfId="15756"/>
    <cellStyle name="_Power Cost Value Copy 11.30.05 gas 1.09.06 AURORA at 1.10.06_Rebuttal Power Costs_Adj Bench DR 3 for Initial Briefs (Electric) 2 3" xfId="15757"/>
    <cellStyle name="_Power Cost Value Copy 11.30.05 gas 1.09.06 AURORA at 1.10.06_Rebuttal Power Costs_Adj Bench DR 3 for Initial Briefs (Electric) 2 3 2" xfId="15758"/>
    <cellStyle name="_Power Cost Value Copy 11.30.05 gas 1.09.06 AURORA at 1.10.06_Rebuttal Power Costs_Adj Bench DR 3 for Initial Briefs (Electric) 2 4" xfId="15759"/>
    <cellStyle name="_Power Cost Value Copy 11.30.05 gas 1.09.06 AURORA at 1.10.06_Rebuttal Power Costs_Adj Bench DR 3 for Initial Briefs (Electric) 2 5" xfId="15760"/>
    <cellStyle name="_Power Cost Value Copy 11.30.05 gas 1.09.06 AURORA at 1.10.06_Rebuttal Power Costs_Adj Bench DR 3 for Initial Briefs (Electric) 3" xfId="15761"/>
    <cellStyle name="_Power Cost Value Copy 11.30.05 gas 1.09.06 AURORA at 1.10.06_Rebuttal Power Costs_Adj Bench DR 3 for Initial Briefs (Electric) 3 2" xfId="15762"/>
    <cellStyle name="_Power Cost Value Copy 11.30.05 gas 1.09.06 AURORA at 1.10.06_Rebuttal Power Costs_Adj Bench DR 3 for Initial Briefs (Electric) 3 2 2" xfId="15763"/>
    <cellStyle name="_Power Cost Value Copy 11.30.05 gas 1.09.06 AURORA at 1.10.06_Rebuttal Power Costs_Adj Bench DR 3 for Initial Briefs (Electric) 3 3" xfId="15764"/>
    <cellStyle name="_Power Cost Value Copy 11.30.05 gas 1.09.06 AURORA at 1.10.06_Rebuttal Power Costs_Adj Bench DR 3 for Initial Briefs (Electric) 3 4" xfId="15765"/>
    <cellStyle name="_Power Cost Value Copy 11.30.05 gas 1.09.06 AURORA at 1.10.06_Rebuttal Power Costs_Adj Bench DR 3 for Initial Briefs (Electric) 3 5" xfId="15766"/>
    <cellStyle name="_Power Cost Value Copy 11.30.05 gas 1.09.06 AURORA at 1.10.06_Rebuttal Power Costs_Adj Bench DR 3 for Initial Briefs (Electric) 4" xfId="15767"/>
    <cellStyle name="_Power Cost Value Copy 11.30.05 gas 1.09.06 AURORA at 1.10.06_Rebuttal Power Costs_Adj Bench DR 3 for Initial Briefs (Electric) 4 2" xfId="15768"/>
    <cellStyle name="_Power Cost Value Copy 11.30.05 gas 1.09.06 AURORA at 1.10.06_Rebuttal Power Costs_Adj Bench DR 3 for Initial Briefs (Electric) 5" xfId="15769"/>
    <cellStyle name="_Power Cost Value Copy 11.30.05 gas 1.09.06 AURORA at 1.10.06_Rebuttal Power Costs_Adj Bench DR 3 for Initial Briefs (Electric) 6" xfId="15770"/>
    <cellStyle name="_Power Cost Value Copy 11.30.05 gas 1.09.06 AURORA at 1.10.06_Rebuttal Power Costs_Adj Bench DR 3 for Initial Briefs (Electric)_DEM-WP(C) ENERG10C--ctn Mid-C_042010 2010GRC" xfId="15771"/>
    <cellStyle name="_Power Cost Value Copy 11.30.05 gas 1.09.06 AURORA at 1.10.06_Rebuttal Power Costs_Adj Bench DR 3 for Initial Briefs (Electric)_DEM-WP(C) ENERG10C--ctn Mid-C_042010 2010GRC 2" xfId="15772"/>
    <cellStyle name="_Power Cost Value Copy 11.30.05 gas 1.09.06 AURORA at 1.10.06_Rebuttal Power Costs_DEM-WP(C) ENERG10C--ctn Mid-C_042010 2010GRC" xfId="15773"/>
    <cellStyle name="_Power Cost Value Copy 11.30.05 gas 1.09.06 AURORA at 1.10.06_Rebuttal Power Costs_DEM-WP(C) ENERG10C--ctn Mid-C_042010 2010GRC 2" xfId="15774"/>
    <cellStyle name="_Power Cost Value Copy 11.30.05 gas 1.09.06 AURORA at 1.10.06_Rebuttal Power Costs_Electric Rev Req Model (2009 GRC) Rebuttal" xfId="759"/>
    <cellStyle name="_Power Cost Value Copy 11.30.05 gas 1.09.06 AURORA at 1.10.06_Rebuttal Power Costs_Electric Rev Req Model (2009 GRC) Rebuttal 2" xfId="15775"/>
    <cellStyle name="_Power Cost Value Copy 11.30.05 gas 1.09.06 AURORA at 1.10.06_Rebuttal Power Costs_Electric Rev Req Model (2009 GRC) Rebuttal 2 2" xfId="15776"/>
    <cellStyle name="_Power Cost Value Copy 11.30.05 gas 1.09.06 AURORA at 1.10.06_Rebuttal Power Costs_Electric Rev Req Model (2009 GRC) Rebuttal 2 2 2" xfId="15777"/>
    <cellStyle name="_Power Cost Value Copy 11.30.05 gas 1.09.06 AURORA at 1.10.06_Rebuttal Power Costs_Electric Rev Req Model (2009 GRC) Rebuttal 2 3" xfId="15778"/>
    <cellStyle name="_Power Cost Value Copy 11.30.05 gas 1.09.06 AURORA at 1.10.06_Rebuttal Power Costs_Electric Rev Req Model (2009 GRC) Rebuttal 2 4" xfId="15779"/>
    <cellStyle name="_Power Cost Value Copy 11.30.05 gas 1.09.06 AURORA at 1.10.06_Rebuttal Power Costs_Electric Rev Req Model (2009 GRC) Rebuttal 3" xfId="15780"/>
    <cellStyle name="_Power Cost Value Copy 11.30.05 gas 1.09.06 AURORA at 1.10.06_Rebuttal Power Costs_Electric Rev Req Model (2009 GRC) Rebuttal 3 2" xfId="15781"/>
    <cellStyle name="_Power Cost Value Copy 11.30.05 gas 1.09.06 AURORA at 1.10.06_Rebuttal Power Costs_Electric Rev Req Model (2009 GRC) Rebuttal 4" xfId="15782"/>
    <cellStyle name="_Power Cost Value Copy 11.30.05 gas 1.09.06 AURORA at 1.10.06_Rebuttal Power Costs_Electric Rev Req Model (2009 GRC) Rebuttal 5" xfId="15783"/>
    <cellStyle name="_Power Cost Value Copy 11.30.05 gas 1.09.06 AURORA at 1.10.06_Rebuttal Power Costs_Electric Rev Req Model (2009 GRC) Rebuttal REmoval of New  WH Solar AdjustMI" xfId="760"/>
    <cellStyle name="_Power Cost Value Copy 11.30.05 gas 1.09.06 AURORA at 1.10.06_Rebuttal Power Costs_Electric Rev Req Model (2009 GRC) Rebuttal REmoval of New  WH Solar AdjustMI 2" xfId="15784"/>
    <cellStyle name="_Power Cost Value Copy 11.30.05 gas 1.09.06 AURORA at 1.10.06_Rebuttal Power Costs_Electric Rev Req Model (2009 GRC) Rebuttal REmoval of New  WH Solar AdjustMI 2 2" xfId="15785"/>
    <cellStyle name="_Power Cost Value Copy 11.30.05 gas 1.09.06 AURORA at 1.10.06_Rebuttal Power Costs_Electric Rev Req Model (2009 GRC) Rebuttal REmoval of New  WH Solar AdjustMI 2 2 2" xfId="15786"/>
    <cellStyle name="_Power Cost Value Copy 11.30.05 gas 1.09.06 AURORA at 1.10.06_Rebuttal Power Costs_Electric Rev Req Model (2009 GRC) Rebuttal REmoval of New  WH Solar AdjustMI 2 2 2 2" xfId="15787"/>
    <cellStyle name="_Power Cost Value Copy 11.30.05 gas 1.09.06 AURORA at 1.10.06_Rebuttal Power Costs_Electric Rev Req Model (2009 GRC) Rebuttal REmoval of New  WH Solar AdjustMI 2 2 3" xfId="15788"/>
    <cellStyle name="_Power Cost Value Copy 11.30.05 gas 1.09.06 AURORA at 1.10.06_Rebuttal Power Costs_Electric Rev Req Model (2009 GRC) Rebuttal REmoval of New  WH Solar AdjustMI 2 2 4" xfId="15789"/>
    <cellStyle name="_Power Cost Value Copy 11.30.05 gas 1.09.06 AURORA at 1.10.06_Rebuttal Power Costs_Electric Rev Req Model (2009 GRC) Rebuttal REmoval of New  WH Solar AdjustMI 2 3" xfId="15790"/>
    <cellStyle name="_Power Cost Value Copy 11.30.05 gas 1.09.06 AURORA at 1.10.06_Rebuttal Power Costs_Electric Rev Req Model (2009 GRC) Rebuttal REmoval of New  WH Solar AdjustMI 2 3 2" xfId="15791"/>
    <cellStyle name="_Power Cost Value Copy 11.30.05 gas 1.09.06 AURORA at 1.10.06_Rebuttal Power Costs_Electric Rev Req Model (2009 GRC) Rebuttal REmoval of New  WH Solar AdjustMI 2 4" xfId="15792"/>
    <cellStyle name="_Power Cost Value Copy 11.30.05 gas 1.09.06 AURORA at 1.10.06_Rebuttal Power Costs_Electric Rev Req Model (2009 GRC) Rebuttal REmoval of New  WH Solar AdjustMI 2 5" xfId="15793"/>
    <cellStyle name="_Power Cost Value Copy 11.30.05 gas 1.09.06 AURORA at 1.10.06_Rebuttal Power Costs_Electric Rev Req Model (2009 GRC) Rebuttal REmoval of New  WH Solar AdjustMI 3" xfId="15794"/>
    <cellStyle name="_Power Cost Value Copy 11.30.05 gas 1.09.06 AURORA at 1.10.06_Rebuttal Power Costs_Electric Rev Req Model (2009 GRC) Rebuttal REmoval of New  WH Solar AdjustMI 3 2" xfId="15795"/>
    <cellStyle name="_Power Cost Value Copy 11.30.05 gas 1.09.06 AURORA at 1.10.06_Rebuttal Power Costs_Electric Rev Req Model (2009 GRC) Rebuttal REmoval of New  WH Solar AdjustMI 3 2 2" xfId="15796"/>
    <cellStyle name="_Power Cost Value Copy 11.30.05 gas 1.09.06 AURORA at 1.10.06_Rebuttal Power Costs_Electric Rev Req Model (2009 GRC) Rebuttal REmoval of New  WH Solar AdjustMI 3 3" xfId="15797"/>
    <cellStyle name="_Power Cost Value Copy 11.30.05 gas 1.09.06 AURORA at 1.10.06_Rebuttal Power Costs_Electric Rev Req Model (2009 GRC) Rebuttal REmoval of New  WH Solar AdjustMI 3 4" xfId="15798"/>
    <cellStyle name="_Power Cost Value Copy 11.30.05 gas 1.09.06 AURORA at 1.10.06_Rebuttal Power Costs_Electric Rev Req Model (2009 GRC) Rebuttal REmoval of New  WH Solar AdjustMI 3 5" xfId="15799"/>
    <cellStyle name="_Power Cost Value Copy 11.30.05 gas 1.09.06 AURORA at 1.10.06_Rebuttal Power Costs_Electric Rev Req Model (2009 GRC) Rebuttal REmoval of New  WH Solar AdjustMI 4" xfId="15800"/>
    <cellStyle name="_Power Cost Value Copy 11.30.05 gas 1.09.06 AURORA at 1.10.06_Rebuttal Power Costs_Electric Rev Req Model (2009 GRC) Rebuttal REmoval of New  WH Solar AdjustMI 4 2" xfId="15801"/>
    <cellStyle name="_Power Cost Value Copy 11.30.05 gas 1.09.06 AURORA at 1.10.06_Rebuttal Power Costs_Electric Rev Req Model (2009 GRC) Rebuttal REmoval of New  WH Solar AdjustMI 5" xfId="15802"/>
    <cellStyle name="_Power Cost Value Copy 11.30.05 gas 1.09.06 AURORA at 1.10.06_Rebuttal Power Costs_Electric Rev Req Model (2009 GRC) Rebuttal REmoval of New  WH Solar AdjustMI 6" xfId="15803"/>
    <cellStyle name="_Power Cost Value Copy 11.30.05 gas 1.09.06 AURORA at 1.10.06_Rebuttal Power Costs_Electric Rev Req Model (2009 GRC) Rebuttal REmoval of New  WH Solar AdjustMI_DEM-WP(C) ENERG10C--ctn Mid-C_042010 2010GRC" xfId="15804"/>
    <cellStyle name="_Power Cost Value Copy 11.30.05 gas 1.09.06 AURORA at 1.10.06_Rebuttal Power Costs_Electric Rev Req Model (2009 GRC) Rebuttal REmoval of New  WH Solar AdjustMI_DEM-WP(C) ENERG10C--ctn Mid-C_042010 2010GRC 2" xfId="15805"/>
    <cellStyle name="_Power Cost Value Copy 11.30.05 gas 1.09.06 AURORA at 1.10.06_Rebuttal Power Costs_Electric Rev Req Model (2009 GRC) Revised 01-18-2010" xfId="761"/>
    <cellStyle name="_Power Cost Value Copy 11.30.05 gas 1.09.06 AURORA at 1.10.06_Rebuttal Power Costs_Electric Rev Req Model (2009 GRC) Revised 01-18-2010 2" xfId="15806"/>
    <cellStyle name="_Power Cost Value Copy 11.30.05 gas 1.09.06 AURORA at 1.10.06_Rebuttal Power Costs_Electric Rev Req Model (2009 GRC) Revised 01-18-2010 2 2" xfId="15807"/>
    <cellStyle name="_Power Cost Value Copy 11.30.05 gas 1.09.06 AURORA at 1.10.06_Rebuttal Power Costs_Electric Rev Req Model (2009 GRC) Revised 01-18-2010 2 2 2" xfId="15808"/>
    <cellStyle name="_Power Cost Value Copy 11.30.05 gas 1.09.06 AURORA at 1.10.06_Rebuttal Power Costs_Electric Rev Req Model (2009 GRC) Revised 01-18-2010 2 2 2 2" xfId="15809"/>
    <cellStyle name="_Power Cost Value Copy 11.30.05 gas 1.09.06 AURORA at 1.10.06_Rebuttal Power Costs_Electric Rev Req Model (2009 GRC) Revised 01-18-2010 2 2 3" xfId="15810"/>
    <cellStyle name="_Power Cost Value Copy 11.30.05 gas 1.09.06 AURORA at 1.10.06_Rebuttal Power Costs_Electric Rev Req Model (2009 GRC) Revised 01-18-2010 2 2 4" xfId="15811"/>
    <cellStyle name="_Power Cost Value Copy 11.30.05 gas 1.09.06 AURORA at 1.10.06_Rebuttal Power Costs_Electric Rev Req Model (2009 GRC) Revised 01-18-2010 2 3" xfId="15812"/>
    <cellStyle name="_Power Cost Value Copy 11.30.05 gas 1.09.06 AURORA at 1.10.06_Rebuttal Power Costs_Electric Rev Req Model (2009 GRC) Revised 01-18-2010 2 3 2" xfId="15813"/>
    <cellStyle name="_Power Cost Value Copy 11.30.05 gas 1.09.06 AURORA at 1.10.06_Rebuttal Power Costs_Electric Rev Req Model (2009 GRC) Revised 01-18-2010 2 4" xfId="15814"/>
    <cellStyle name="_Power Cost Value Copy 11.30.05 gas 1.09.06 AURORA at 1.10.06_Rebuttal Power Costs_Electric Rev Req Model (2009 GRC) Revised 01-18-2010 2 5" xfId="15815"/>
    <cellStyle name="_Power Cost Value Copy 11.30.05 gas 1.09.06 AURORA at 1.10.06_Rebuttal Power Costs_Electric Rev Req Model (2009 GRC) Revised 01-18-2010 3" xfId="15816"/>
    <cellStyle name="_Power Cost Value Copy 11.30.05 gas 1.09.06 AURORA at 1.10.06_Rebuttal Power Costs_Electric Rev Req Model (2009 GRC) Revised 01-18-2010 3 2" xfId="15817"/>
    <cellStyle name="_Power Cost Value Copy 11.30.05 gas 1.09.06 AURORA at 1.10.06_Rebuttal Power Costs_Electric Rev Req Model (2009 GRC) Revised 01-18-2010 3 2 2" xfId="15818"/>
    <cellStyle name="_Power Cost Value Copy 11.30.05 gas 1.09.06 AURORA at 1.10.06_Rebuttal Power Costs_Electric Rev Req Model (2009 GRC) Revised 01-18-2010 3 3" xfId="15819"/>
    <cellStyle name="_Power Cost Value Copy 11.30.05 gas 1.09.06 AURORA at 1.10.06_Rebuttal Power Costs_Electric Rev Req Model (2009 GRC) Revised 01-18-2010 3 4" xfId="15820"/>
    <cellStyle name="_Power Cost Value Copy 11.30.05 gas 1.09.06 AURORA at 1.10.06_Rebuttal Power Costs_Electric Rev Req Model (2009 GRC) Revised 01-18-2010 3 5" xfId="15821"/>
    <cellStyle name="_Power Cost Value Copy 11.30.05 gas 1.09.06 AURORA at 1.10.06_Rebuttal Power Costs_Electric Rev Req Model (2009 GRC) Revised 01-18-2010 4" xfId="15822"/>
    <cellStyle name="_Power Cost Value Copy 11.30.05 gas 1.09.06 AURORA at 1.10.06_Rebuttal Power Costs_Electric Rev Req Model (2009 GRC) Revised 01-18-2010 4 2" xfId="15823"/>
    <cellStyle name="_Power Cost Value Copy 11.30.05 gas 1.09.06 AURORA at 1.10.06_Rebuttal Power Costs_Electric Rev Req Model (2009 GRC) Revised 01-18-2010 5" xfId="15824"/>
    <cellStyle name="_Power Cost Value Copy 11.30.05 gas 1.09.06 AURORA at 1.10.06_Rebuttal Power Costs_Electric Rev Req Model (2009 GRC) Revised 01-18-2010 6" xfId="15825"/>
    <cellStyle name="_Power Cost Value Copy 11.30.05 gas 1.09.06 AURORA at 1.10.06_Rebuttal Power Costs_Electric Rev Req Model (2009 GRC) Revised 01-18-2010_DEM-WP(C) ENERG10C--ctn Mid-C_042010 2010GRC" xfId="15826"/>
    <cellStyle name="_Power Cost Value Copy 11.30.05 gas 1.09.06 AURORA at 1.10.06_Rebuttal Power Costs_Electric Rev Req Model (2009 GRC) Revised 01-18-2010_DEM-WP(C) ENERG10C--ctn Mid-C_042010 2010GRC 2" xfId="15827"/>
    <cellStyle name="_Power Cost Value Copy 11.30.05 gas 1.09.06 AURORA at 1.10.06_Rebuttal Power Costs_Final Order Electric EXHIBIT A-1" xfId="762"/>
    <cellStyle name="_Power Cost Value Copy 11.30.05 gas 1.09.06 AURORA at 1.10.06_Rebuttal Power Costs_Final Order Electric EXHIBIT A-1 2" xfId="15828"/>
    <cellStyle name="_Power Cost Value Copy 11.30.05 gas 1.09.06 AURORA at 1.10.06_Rebuttal Power Costs_Final Order Electric EXHIBIT A-1 2 2" xfId="15829"/>
    <cellStyle name="_Power Cost Value Copy 11.30.05 gas 1.09.06 AURORA at 1.10.06_Rebuttal Power Costs_Final Order Electric EXHIBIT A-1 2 2 2" xfId="15830"/>
    <cellStyle name="_Power Cost Value Copy 11.30.05 gas 1.09.06 AURORA at 1.10.06_Rebuttal Power Costs_Final Order Electric EXHIBIT A-1 2 3" xfId="15831"/>
    <cellStyle name="_Power Cost Value Copy 11.30.05 gas 1.09.06 AURORA at 1.10.06_Rebuttal Power Costs_Final Order Electric EXHIBIT A-1 2 4" xfId="15832"/>
    <cellStyle name="_Power Cost Value Copy 11.30.05 gas 1.09.06 AURORA at 1.10.06_Rebuttal Power Costs_Final Order Electric EXHIBIT A-1 2 5" xfId="15833"/>
    <cellStyle name="_Power Cost Value Copy 11.30.05 gas 1.09.06 AURORA at 1.10.06_Rebuttal Power Costs_Final Order Electric EXHIBIT A-1 3" xfId="15834"/>
    <cellStyle name="_Power Cost Value Copy 11.30.05 gas 1.09.06 AURORA at 1.10.06_Rebuttal Power Costs_Final Order Electric EXHIBIT A-1 3 2" xfId="15835"/>
    <cellStyle name="_Power Cost Value Copy 11.30.05 gas 1.09.06 AURORA at 1.10.06_Rebuttal Power Costs_Final Order Electric EXHIBIT A-1 4" xfId="15836"/>
    <cellStyle name="_Power Cost Value Copy 11.30.05 gas 1.09.06 AURORA at 1.10.06_Rebuttal Power Costs_Final Order Electric EXHIBIT A-1 5" xfId="15837"/>
    <cellStyle name="_Power Cost Value Copy 11.30.05 gas 1.09.06 AURORA at 1.10.06_Rebuttal Power Costs_Final Order Electric EXHIBIT A-1 6" xfId="15838"/>
    <cellStyle name="_Power Cost Value Copy 11.30.05 gas 1.09.06 AURORA at 1.10.06_Rebuttal Power Costs_Final Order Electric EXHIBIT A-1 7" xfId="15839"/>
    <cellStyle name="_Power Cost Value Copy 11.30.05 gas 1.09.06 AURORA at 1.10.06_ROR 5.02" xfId="15840"/>
    <cellStyle name="_Power Cost Value Copy 11.30.05 gas 1.09.06 AURORA at 1.10.06_ROR 5.02 2" xfId="15841"/>
    <cellStyle name="_Power Cost Value Copy 11.30.05 gas 1.09.06 AURORA at 1.10.06_ROR 5.02 2 2" xfId="15842"/>
    <cellStyle name="_Power Cost Value Copy 11.30.05 gas 1.09.06 AURORA at 1.10.06_ROR 5.02 2 2 2" xfId="15843"/>
    <cellStyle name="_Power Cost Value Copy 11.30.05 gas 1.09.06 AURORA at 1.10.06_ROR 5.02 2 3" xfId="15844"/>
    <cellStyle name="_Power Cost Value Copy 11.30.05 gas 1.09.06 AURORA at 1.10.06_ROR 5.02 3" xfId="15845"/>
    <cellStyle name="_Power Cost Value Copy 11.30.05 gas 1.09.06 AURORA at 1.10.06_ROR 5.02 3 2" xfId="15846"/>
    <cellStyle name="_Power Cost Value Copy 11.30.05 gas 1.09.06 AURORA at 1.10.06_ROR 5.02 4" xfId="15847"/>
    <cellStyle name="_Power Cost Value Copy 11.30.05 gas 1.09.06 AURORA at 1.10.06_Sch 40 Feeder OH 2008" xfId="15848"/>
    <cellStyle name="_Power Cost Value Copy 11.30.05 gas 1.09.06 AURORA at 1.10.06_Sch 40 Feeder OH 2008 2" xfId="15849"/>
    <cellStyle name="_Power Cost Value Copy 11.30.05 gas 1.09.06 AURORA at 1.10.06_Sch 40 Feeder OH 2008 2 2" xfId="15850"/>
    <cellStyle name="_Power Cost Value Copy 11.30.05 gas 1.09.06 AURORA at 1.10.06_Sch 40 Feeder OH 2008 2 2 2" xfId="15851"/>
    <cellStyle name="_Power Cost Value Copy 11.30.05 gas 1.09.06 AURORA at 1.10.06_Sch 40 Feeder OH 2008 2 3" xfId="15852"/>
    <cellStyle name="_Power Cost Value Copy 11.30.05 gas 1.09.06 AURORA at 1.10.06_Sch 40 Feeder OH 2008 3" xfId="15853"/>
    <cellStyle name="_Power Cost Value Copy 11.30.05 gas 1.09.06 AURORA at 1.10.06_Sch 40 Feeder OH 2008 3 2" xfId="15854"/>
    <cellStyle name="_Power Cost Value Copy 11.30.05 gas 1.09.06 AURORA at 1.10.06_Sch 40 Feeder OH 2008 4" xfId="15855"/>
    <cellStyle name="_Power Cost Value Copy 11.30.05 gas 1.09.06 AURORA at 1.10.06_Sch 40 Interim Energy Rates " xfId="15856"/>
    <cellStyle name="_Power Cost Value Copy 11.30.05 gas 1.09.06 AURORA at 1.10.06_Sch 40 Interim Energy Rates  2" xfId="15857"/>
    <cellStyle name="_Power Cost Value Copy 11.30.05 gas 1.09.06 AURORA at 1.10.06_Sch 40 Interim Energy Rates  2 2" xfId="15858"/>
    <cellStyle name="_Power Cost Value Copy 11.30.05 gas 1.09.06 AURORA at 1.10.06_Sch 40 Interim Energy Rates  2 2 2" xfId="15859"/>
    <cellStyle name="_Power Cost Value Copy 11.30.05 gas 1.09.06 AURORA at 1.10.06_Sch 40 Interim Energy Rates  2 3" xfId="15860"/>
    <cellStyle name="_Power Cost Value Copy 11.30.05 gas 1.09.06 AURORA at 1.10.06_Sch 40 Interim Energy Rates  3" xfId="15861"/>
    <cellStyle name="_Power Cost Value Copy 11.30.05 gas 1.09.06 AURORA at 1.10.06_Sch 40 Interim Energy Rates  3 2" xfId="15862"/>
    <cellStyle name="_Power Cost Value Copy 11.30.05 gas 1.09.06 AURORA at 1.10.06_Sch 40 Interim Energy Rates  4" xfId="15863"/>
    <cellStyle name="_Power Cost Value Copy 11.30.05 gas 1.09.06 AURORA at 1.10.06_Sch 40 Substation A&amp;G 2008" xfId="15864"/>
    <cellStyle name="_Power Cost Value Copy 11.30.05 gas 1.09.06 AURORA at 1.10.06_Sch 40 Substation A&amp;G 2008 2" xfId="15865"/>
    <cellStyle name="_Power Cost Value Copy 11.30.05 gas 1.09.06 AURORA at 1.10.06_Sch 40 Substation A&amp;G 2008 2 2" xfId="15866"/>
    <cellStyle name="_Power Cost Value Copy 11.30.05 gas 1.09.06 AURORA at 1.10.06_Sch 40 Substation A&amp;G 2008 2 2 2" xfId="15867"/>
    <cellStyle name="_Power Cost Value Copy 11.30.05 gas 1.09.06 AURORA at 1.10.06_Sch 40 Substation A&amp;G 2008 2 3" xfId="15868"/>
    <cellStyle name="_Power Cost Value Copy 11.30.05 gas 1.09.06 AURORA at 1.10.06_Sch 40 Substation A&amp;G 2008 3" xfId="15869"/>
    <cellStyle name="_Power Cost Value Copy 11.30.05 gas 1.09.06 AURORA at 1.10.06_Sch 40 Substation A&amp;G 2008 3 2" xfId="15870"/>
    <cellStyle name="_Power Cost Value Copy 11.30.05 gas 1.09.06 AURORA at 1.10.06_Sch 40 Substation A&amp;G 2008 4" xfId="15871"/>
    <cellStyle name="_Power Cost Value Copy 11.30.05 gas 1.09.06 AURORA at 1.10.06_Sch 40 Substation O&amp;M 2008" xfId="15872"/>
    <cellStyle name="_Power Cost Value Copy 11.30.05 gas 1.09.06 AURORA at 1.10.06_Sch 40 Substation O&amp;M 2008 2" xfId="15873"/>
    <cellStyle name="_Power Cost Value Copy 11.30.05 gas 1.09.06 AURORA at 1.10.06_Sch 40 Substation O&amp;M 2008 2 2" xfId="15874"/>
    <cellStyle name="_Power Cost Value Copy 11.30.05 gas 1.09.06 AURORA at 1.10.06_Sch 40 Substation O&amp;M 2008 2 2 2" xfId="15875"/>
    <cellStyle name="_Power Cost Value Copy 11.30.05 gas 1.09.06 AURORA at 1.10.06_Sch 40 Substation O&amp;M 2008 2 3" xfId="15876"/>
    <cellStyle name="_Power Cost Value Copy 11.30.05 gas 1.09.06 AURORA at 1.10.06_Sch 40 Substation O&amp;M 2008 3" xfId="15877"/>
    <cellStyle name="_Power Cost Value Copy 11.30.05 gas 1.09.06 AURORA at 1.10.06_Sch 40 Substation O&amp;M 2008 3 2" xfId="15878"/>
    <cellStyle name="_Power Cost Value Copy 11.30.05 gas 1.09.06 AURORA at 1.10.06_Sch 40 Substation O&amp;M 2008 4" xfId="15879"/>
    <cellStyle name="_Power Cost Value Copy 11.30.05 gas 1.09.06 AURORA at 1.10.06_Subs 2008" xfId="15880"/>
    <cellStyle name="_Power Cost Value Copy 11.30.05 gas 1.09.06 AURORA at 1.10.06_Subs 2008 2" xfId="15881"/>
    <cellStyle name="_Power Cost Value Copy 11.30.05 gas 1.09.06 AURORA at 1.10.06_Subs 2008 2 2" xfId="15882"/>
    <cellStyle name="_Power Cost Value Copy 11.30.05 gas 1.09.06 AURORA at 1.10.06_Subs 2008 2 2 2" xfId="15883"/>
    <cellStyle name="_Power Cost Value Copy 11.30.05 gas 1.09.06 AURORA at 1.10.06_Subs 2008 2 3" xfId="15884"/>
    <cellStyle name="_Power Cost Value Copy 11.30.05 gas 1.09.06 AURORA at 1.10.06_Subs 2008 3" xfId="15885"/>
    <cellStyle name="_Power Cost Value Copy 11.30.05 gas 1.09.06 AURORA at 1.10.06_Subs 2008 3 2" xfId="15886"/>
    <cellStyle name="_Power Cost Value Copy 11.30.05 gas 1.09.06 AURORA at 1.10.06_Subs 2008 4" xfId="15887"/>
    <cellStyle name="_Power Cost Value Copy 11.30.05 gas 1.09.06 AURORA at 1.10.06_Transmission Workbook for May BOD" xfId="15888"/>
    <cellStyle name="_Power Cost Value Copy 11.30.05 gas 1.09.06 AURORA at 1.10.06_Transmission Workbook for May BOD 2" xfId="15889"/>
    <cellStyle name="_Power Cost Value Copy 11.30.05 gas 1.09.06 AURORA at 1.10.06_Transmission Workbook for May BOD 2 2" xfId="15890"/>
    <cellStyle name="_Power Cost Value Copy 11.30.05 gas 1.09.06 AURORA at 1.10.06_Transmission Workbook for May BOD 2 2 2" xfId="15891"/>
    <cellStyle name="_Power Cost Value Copy 11.30.05 gas 1.09.06 AURORA at 1.10.06_Transmission Workbook for May BOD 2 2 2 2" xfId="15892"/>
    <cellStyle name="_Power Cost Value Copy 11.30.05 gas 1.09.06 AURORA at 1.10.06_Transmission Workbook for May BOD 2 2 3" xfId="15893"/>
    <cellStyle name="_Power Cost Value Copy 11.30.05 gas 1.09.06 AURORA at 1.10.06_Transmission Workbook for May BOD 2 3" xfId="15894"/>
    <cellStyle name="_Power Cost Value Copy 11.30.05 gas 1.09.06 AURORA at 1.10.06_Transmission Workbook for May BOD 2 3 2" xfId="15895"/>
    <cellStyle name="_Power Cost Value Copy 11.30.05 gas 1.09.06 AURORA at 1.10.06_Transmission Workbook for May BOD 2 4" xfId="15896"/>
    <cellStyle name="_Power Cost Value Copy 11.30.05 gas 1.09.06 AURORA at 1.10.06_Transmission Workbook for May BOD 2 5" xfId="15897"/>
    <cellStyle name="_Power Cost Value Copy 11.30.05 gas 1.09.06 AURORA at 1.10.06_Transmission Workbook for May BOD 3" xfId="15898"/>
    <cellStyle name="_Power Cost Value Copy 11.30.05 gas 1.09.06 AURORA at 1.10.06_Transmission Workbook for May BOD 3 2" xfId="15899"/>
    <cellStyle name="_Power Cost Value Copy 11.30.05 gas 1.09.06 AURORA at 1.10.06_Transmission Workbook for May BOD 3 2 2" xfId="15900"/>
    <cellStyle name="_Power Cost Value Copy 11.30.05 gas 1.09.06 AURORA at 1.10.06_Transmission Workbook for May BOD 3 3" xfId="15901"/>
    <cellStyle name="_Power Cost Value Copy 11.30.05 gas 1.09.06 AURORA at 1.10.06_Transmission Workbook for May BOD 3 4" xfId="15902"/>
    <cellStyle name="_Power Cost Value Copy 11.30.05 gas 1.09.06 AURORA at 1.10.06_Transmission Workbook for May BOD 4" xfId="15903"/>
    <cellStyle name="_Power Cost Value Copy 11.30.05 gas 1.09.06 AURORA at 1.10.06_Transmission Workbook for May BOD 4 2" xfId="15904"/>
    <cellStyle name="_Power Cost Value Copy 11.30.05 gas 1.09.06 AURORA at 1.10.06_Transmission Workbook for May BOD 5" xfId="15905"/>
    <cellStyle name="_Power Cost Value Copy 11.30.05 gas 1.09.06 AURORA at 1.10.06_Transmission Workbook for May BOD 6" xfId="15906"/>
    <cellStyle name="_Power Cost Value Copy 11.30.05 gas 1.09.06 AURORA at 1.10.06_Transmission Workbook for May BOD_DEM-WP(C) ENERG10C--ctn Mid-C_042010 2010GRC" xfId="15907"/>
    <cellStyle name="_Power Cost Value Copy 11.30.05 gas 1.09.06 AURORA at 1.10.06_Transmission Workbook for May BOD_DEM-WP(C) ENERG10C--ctn Mid-C_042010 2010GRC 2" xfId="15908"/>
    <cellStyle name="_Power Cost Value Copy 11.30.05 gas 1.09.06 AURORA at 1.10.06_Wind Integration 10GRC" xfId="15909"/>
    <cellStyle name="_Power Cost Value Copy 11.30.05 gas 1.09.06 AURORA at 1.10.06_Wind Integration 10GRC 2" xfId="15910"/>
    <cellStyle name="_Power Cost Value Copy 11.30.05 gas 1.09.06 AURORA at 1.10.06_Wind Integration 10GRC 2 2" xfId="15911"/>
    <cellStyle name="_Power Cost Value Copy 11.30.05 gas 1.09.06 AURORA at 1.10.06_Wind Integration 10GRC 2 2 2" xfId="15912"/>
    <cellStyle name="_Power Cost Value Copy 11.30.05 gas 1.09.06 AURORA at 1.10.06_Wind Integration 10GRC 2 2 2 2" xfId="15913"/>
    <cellStyle name="_Power Cost Value Copy 11.30.05 gas 1.09.06 AURORA at 1.10.06_Wind Integration 10GRC 2 2 3" xfId="15914"/>
    <cellStyle name="_Power Cost Value Copy 11.30.05 gas 1.09.06 AURORA at 1.10.06_Wind Integration 10GRC 2 3" xfId="15915"/>
    <cellStyle name="_Power Cost Value Copy 11.30.05 gas 1.09.06 AURORA at 1.10.06_Wind Integration 10GRC 2 3 2" xfId="15916"/>
    <cellStyle name="_Power Cost Value Copy 11.30.05 gas 1.09.06 AURORA at 1.10.06_Wind Integration 10GRC 2 4" xfId="15917"/>
    <cellStyle name="_Power Cost Value Copy 11.30.05 gas 1.09.06 AURORA at 1.10.06_Wind Integration 10GRC 2 5" xfId="15918"/>
    <cellStyle name="_Power Cost Value Copy 11.30.05 gas 1.09.06 AURORA at 1.10.06_Wind Integration 10GRC 3" xfId="15919"/>
    <cellStyle name="_Power Cost Value Copy 11.30.05 gas 1.09.06 AURORA at 1.10.06_Wind Integration 10GRC 3 2" xfId="15920"/>
    <cellStyle name="_Power Cost Value Copy 11.30.05 gas 1.09.06 AURORA at 1.10.06_Wind Integration 10GRC 3 2 2" xfId="15921"/>
    <cellStyle name="_Power Cost Value Copy 11.30.05 gas 1.09.06 AURORA at 1.10.06_Wind Integration 10GRC 3 3" xfId="15922"/>
    <cellStyle name="_Power Cost Value Copy 11.30.05 gas 1.09.06 AURORA at 1.10.06_Wind Integration 10GRC 3 4" xfId="15923"/>
    <cellStyle name="_Power Cost Value Copy 11.30.05 gas 1.09.06 AURORA at 1.10.06_Wind Integration 10GRC 4" xfId="15924"/>
    <cellStyle name="_Power Cost Value Copy 11.30.05 gas 1.09.06 AURORA at 1.10.06_Wind Integration 10GRC 4 2" xfId="15925"/>
    <cellStyle name="_Power Cost Value Copy 11.30.05 gas 1.09.06 AURORA at 1.10.06_Wind Integration 10GRC 5" xfId="15926"/>
    <cellStyle name="_Power Cost Value Copy 11.30.05 gas 1.09.06 AURORA at 1.10.06_Wind Integration 10GRC 6" xfId="15927"/>
    <cellStyle name="_Power Cost Value Copy 11.30.05 gas 1.09.06 AURORA at 1.10.06_Wind Integration 10GRC_DEM-WP(C) ENERG10C--ctn Mid-C_042010 2010GRC" xfId="15928"/>
    <cellStyle name="_Power Cost Value Copy 11.30.05 gas 1.09.06 AURORA at 1.10.06_Wind Integration 10GRC_DEM-WP(C) ENERG10C--ctn Mid-C_042010 2010GRC 2" xfId="15929"/>
    <cellStyle name="_Power Costs Rate Year 11-13-07" xfId="763"/>
    <cellStyle name="_Power Costs Rate Year 11-13-07 2" xfId="15930"/>
    <cellStyle name="_Power Costs Rate Year 11-13-07 2 2" xfId="15931"/>
    <cellStyle name="_Price Output" xfId="15932"/>
    <cellStyle name="_Price Output 2" xfId="15933"/>
    <cellStyle name="_Price Output 2 2" xfId="15934"/>
    <cellStyle name="_Price Output 2 2 2" xfId="15935"/>
    <cellStyle name="_Price Output 2 2 2 2" xfId="15936"/>
    <cellStyle name="_Price Output 2 2 2 2 2" xfId="15937"/>
    <cellStyle name="_Price Output 2 2 2 3" xfId="15938"/>
    <cellStyle name="_Price Output 2 2 3" xfId="15939"/>
    <cellStyle name="_Price Output 2 2 3 2" xfId="15940"/>
    <cellStyle name="_Price Output 2 2 4" xfId="15941"/>
    <cellStyle name="_Price Output 2 2 5" xfId="15942"/>
    <cellStyle name="_Price Output 2 3" xfId="15943"/>
    <cellStyle name="_Price Output 2 3 2" xfId="15944"/>
    <cellStyle name="_Price Output 2 3 2 2" xfId="15945"/>
    <cellStyle name="_Price Output 2 3 3" xfId="15946"/>
    <cellStyle name="_Price Output 2 4" xfId="15947"/>
    <cellStyle name="_Price Output 2 4 2" xfId="15948"/>
    <cellStyle name="_Price Output 2 5" xfId="15949"/>
    <cellStyle name="_Price Output 3" xfId="15950"/>
    <cellStyle name="_Price Output 3 2" xfId="15951"/>
    <cellStyle name="_Price Output 3 2 2" xfId="15952"/>
    <cellStyle name="_Price Output 3 2 2 2" xfId="15953"/>
    <cellStyle name="_Price Output 3 2 3" xfId="15954"/>
    <cellStyle name="_Price Output 3 3" xfId="15955"/>
    <cellStyle name="_Price Output 3 3 2" xfId="15956"/>
    <cellStyle name="_Price Output 3 4" xfId="15957"/>
    <cellStyle name="_Price Output 4" xfId="15958"/>
    <cellStyle name="_Price Output 4 2" xfId="15959"/>
    <cellStyle name="_Price Output 4 2 2" xfId="15960"/>
    <cellStyle name="_Price Output 4 2 2 2" xfId="15961"/>
    <cellStyle name="_Price Output 4 2 3" xfId="15962"/>
    <cellStyle name="_Price Output 4 2 4" xfId="15963"/>
    <cellStyle name="_Price Output 4 3" xfId="15964"/>
    <cellStyle name="_Price Output 4 3 2" xfId="15965"/>
    <cellStyle name="_Price Output 4 4" xfId="15966"/>
    <cellStyle name="_Price Output 4 5" xfId="15967"/>
    <cellStyle name="_Price Output 5" xfId="15968"/>
    <cellStyle name="_Price Output 5 2" xfId="15969"/>
    <cellStyle name="_Price Output 5 2 2" xfId="15970"/>
    <cellStyle name="_Price Output 5 2 2 2" xfId="15971"/>
    <cellStyle name="_Price Output 5 2 3" xfId="15972"/>
    <cellStyle name="_Price Output 5 2 4" xfId="15973"/>
    <cellStyle name="_Price Output 5 3" xfId="15974"/>
    <cellStyle name="_Price Output 5 3 2" xfId="15975"/>
    <cellStyle name="_Price Output 5 4" xfId="15976"/>
    <cellStyle name="_Price Output 5 5" xfId="15977"/>
    <cellStyle name="_Price Output 6" xfId="15978"/>
    <cellStyle name="_Price Output 6 2" xfId="15979"/>
    <cellStyle name="_Price Output 6 2 2" xfId="15980"/>
    <cellStyle name="_Price Output 6 2 2 2" xfId="15981"/>
    <cellStyle name="_Price Output 6 2 3" xfId="15982"/>
    <cellStyle name="_Price Output 6 2 4" xfId="15983"/>
    <cellStyle name="_Price Output 6 3" xfId="15984"/>
    <cellStyle name="_Price Output 6 3 2" xfId="15985"/>
    <cellStyle name="_Price Output 6 4" xfId="15986"/>
    <cellStyle name="_Price Output 6 5" xfId="15987"/>
    <cellStyle name="_Price Output 7" xfId="15988"/>
    <cellStyle name="_Price Output 7 2" xfId="15989"/>
    <cellStyle name="_Price Output 8" xfId="15990"/>
    <cellStyle name="_Price Output 9" xfId="15991"/>
    <cellStyle name="_Price Output_DEM-WP(C) Chelan Power Costs" xfId="15992"/>
    <cellStyle name="_Price Output_DEM-WP(C) Chelan Power Costs 2" xfId="15993"/>
    <cellStyle name="_Price Output_DEM-WP(C) Chelan Power Costs 2 2" xfId="15994"/>
    <cellStyle name="_Price Output_DEM-WP(C) Chelan Power Costs 2 2 2" xfId="15995"/>
    <cellStyle name="_Price Output_DEM-WP(C) Chelan Power Costs 2 3" xfId="15996"/>
    <cellStyle name="_Price Output_DEM-WP(C) Chelan Power Costs 2 4" xfId="15997"/>
    <cellStyle name="_Price Output_DEM-WP(C) Chelan Power Costs 3" xfId="15998"/>
    <cellStyle name="_Price Output_DEM-WP(C) Chelan Power Costs 3 2" xfId="15999"/>
    <cellStyle name="_Price Output_DEM-WP(C) Chelan Power Costs 4" xfId="16000"/>
    <cellStyle name="_Price Output_DEM-WP(C) ENERG10C--ctn Mid-C_042010 2010GRC" xfId="16001"/>
    <cellStyle name="_Price Output_DEM-WP(C) ENERG10C--ctn Mid-C_042010 2010GRC 2" xfId="16002"/>
    <cellStyle name="_Price Output_DEM-WP(C) Gas Transport 2010GRC" xfId="16003"/>
    <cellStyle name="_Price Output_DEM-WP(C) Gas Transport 2010GRC 2" xfId="16004"/>
    <cellStyle name="_Price Output_DEM-WP(C) Gas Transport 2010GRC 2 2" xfId="16005"/>
    <cellStyle name="_Price Output_DEM-WP(C) Gas Transport 2010GRC 2 2 2" xfId="16006"/>
    <cellStyle name="_Price Output_DEM-WP(C) Gas Transport 2010GRC 2 3" xfId="16007"/>
    <cellStyle name="_Price Output_DEM-WP(C) Gas Transport 2010GRC 2 4" xfId="16008"/>
    <cellStyle name="_Price Output_DEM-WP(C) Gas Transport 2010GRC 3" xfId="16009"/>
    <cellStyle name="_Price Output_DEM-WP(C) Gas Transport 2010GRC 3 2" xfId="16010"/>
    <cellStyle name="_Price Output_DEM-WP(C) Gas Transport 2010GRC 4" xfId="16011"/>
    <cellStyle name="_Price Output_NIM Summary" xfId="16012"/>
    <cellStyle name="_Price Output_NIM Summary 2" xfId="16013"/>
    <cellStyle name="_Price Output_NIM Summary 2 2" xfId="16014"/>
    <cellStyle name="_Price Output_NIM Summary 2 2 2" xfId="16015"/>
    <cellStyle name="_Price Output_NIM Summary 2 2 2 2" xfId="16016"/>
    <cellStyle name="_Price Output_NIM Summary 2 2 3" xfId="16017"/>
    <cellStyle name="_Price Output_NIM Summary 2 3" xfId="16018"/>
    <cellStyle name="_Price Output_NIM Summary 2 3 2" xfId="16019"/>
    <cellStyle name="_Price Output_NIM Summary 2 4" xfId="16020"/>
    <cellStyle name="_Price Output_NIM Summary 2 5" xfId="16021"/>
    <cellStyle name="_Price Output_NIM Summary 3" xfId="16022"/>
    <cellStyle name="_Price Output_NIM Summary 3 2" xfId="16023"/>
    <cellStyle name="_Price Output_NIM Summary 3 2 2" xfId="16024"/>
    <cellStyle name="_Price Output_NIM Summary 3 3" xfId="16025"/>
    <cellStyle name="_Price Output_NIM Summary 3 4" xfId="16026"/>
    <cellStyle name="_Price Output_NIM Summary 4" xfId="16027"/>
    <cellStyle name="_Price Output_NIM Summary 4 2" xfId="16028"/>
    <cellStyle name="_Price Output_NIM Summary 5" xfId="16029"/>
    <cellStyle name="_Price Output_NIM Summary 6" xfId="16030"/>
    <cellStyle name="_Price Output_NIM Summary_DEM-WP(C) ENERG10C--ctn Mid-C_042010 2010GRC" xfId="16031"/>
    <cellStyle name="_Price Output_NIM Summary_DEM-WP(C) ENERG10C--ctn Mid-C_042010 2010GRC 2" xfId="16032"/>
    <cellStyle name="_Price Output_Wind Integration 10GRC" xfId="16033"/>
    <cellStyle name="_Price Output_Wind Integration 10GRC 2" xfId="16034"/>
    <cellStyle name="_Price Output_Wind Integration 10GRC 2 2" xfId="16035"/>
    <cellStyle name="_Price Output_Wind Integration 10GRC 2 2 2" xfId="16036"/>
    <cellStyle name="_Price Output_Wind Integration 10GRC 2 2 2 2" xfId="16037"/>
    <cellStyle name="_Price Output_Wind Integration 10GRC 2 2 3" xfId="16038"/>
    <cellStyle name="_Price Output_Wind Integration 10GRC 2 3" xfId="16039"/>
    <cellStyle name="_Price Output_Wind Integration 10GRC 2 3 2" xfId="16040"/>
    <cellStyle name="_Price Output_Wind Integration 10GRC 2 4" xfId="16041"/>
    <cellStyle name="_Price Output_Wind Integration 10GRC 2 5" xfId="16042"/>
    <cellStyle name="_Price Output_Wind Integration 10GRC 3" xfId="16043"/>
    <cellStyle name="_Price Output_Wind Integration 10GRC 3 2" xfId="16044"/>
    <cellStyle name="_Price Output_Wind Integration 10GRC 3 2 2" xfId="16045"/>
    <cellStyle name="_Price Output_Wind Integration 10GRC 3 3" xfId="16046"/>
    <cellStyle name="_Price Output_Wind Integration 10GRC 3 4" xfId="16047"/>
    <cellStyle name="_Price Output_Wind Integration 10GRC 4" xfId="16048"/>
    <cellStyle name="_Price Output_Wind Integration 10GRC 4 2" xfId="16049"/>
    <cellStyle name="_Price Output_Wind Integration 10GRC 5" xfId="16050"/>
    <cellStyle name="_Price Output_Wind Integration 10GRC 6" xfId="16051"/>
    <cellStyle name="_Price Output_Wind Integration 10GRC_DEM-WP(C) ENERG10C--ctn Mid-C_042010 2010GRC" xfId="16052"/>
    <cellStyle name="_Price Output_Wind Integration 10GRC_DEM-WP(C) ENERG10C--ctn Mid-C_042010 2010GRC 2" xfId="16053"/>
    <cellStyle name="_Prices" xfId="16054"/>
    <cellStyle name="_Prices 2" xfId="16055"/>
    <cellStyle name="_Prices 2 2" xfId="16056"/>
    <cellStyle name="_Prices 2 2 2" xfId="16057"/>
    <cellStyle name="_Prices 2 2 2 2" xfId="16058"/>
    <cellStyle name="_Prices 2 2 2 2 2" xfId="16059"/>
    <cellStyle name="_Prices 2 2 2 3" xfId="16060"/>
    <cellStyle name="_Prices 2 2 3" xfId="16061"/>
    <cellStyle name="_Prices 2 2 3 2" xfId="16062"/>
    <cellStyle name="_Prices 2 2 4" xfId="16063"/>
    <cellStyle name="_Prices 2 2 5" xfId="16064"/>
    <cellStyle name="_Prices 2 3" xfId="16065"/>
    <cellStyle name="_Prices 2 3 2" xfId="16066"/>
    <cellStyle name="_Prices 2 3 2 2" xfId="16067"/>
    <cellStyle name="_Prices 2 3 3" xfId="16068"/>
    <cellStyle name="_Prices 2 4" xfId="16069"/>
    <cellStyle name="_Prices 2 4 2" xfId="16070"/>
    <cellStyle name="_Prices 2 5" xfId="16071"/>
    <cellStyle name="_Prices 3" xfId="16072"/>
    <cellStyle name="_Prices 3 2" xfId="16073"/>
    <cellStyle name="_Prices 3 2 2" xfId="16074"/>
    <cellStyle name="_Prices 3 2 2 2" xfId="16075"/>
    <cellStyle name="_Prices 3 2 3" xfId="16076"/>
    <cellStyle name="_Prices 3 3" xfId="16077"/>
    <cellStyle name="_Prices 3 3 2" xfId="16078"/>
    <cellStyle name="_Prices 3 4" xfId="16079"/>
    <cellStyle name="_Prices 4" xfId="16080"/>
    <cellStyle name="_Prices 4 2" xfId="16081"/>
    <cellStyle name="_Prices 4 2 2" xfId="16082"/>
    <cellStyle name="_Prices 4 2 2 2" xfId="16083"/>
    <cellStyle name="_Prices 4 2 3" xfId="16084"/>
    <cellStyle name="_Prices 4 2 4" xfId="16085"/>
    <cellStyle name="_Prices 4 3" xfId="16086"/>
    <cellStyle name="_Prices 4 3 2" xfId="16087"/>
    <cellStyle name="_Prices 4 4" xfId="16088"/>
    <cellStyle name="_Prices 4 5" xfId="16089"/>
    <cellStyle name="_Prices 5" xfId="16090"/>
    <cellStyle name="_Prices 5 2" xfId="16091"/>
    <cellStyle name="_Prices 5 2 2" xfId="16092"/>
    <cellStyle name="_Prices 5 2 2 2" xfId="16093"/>
    <cellStyle name="_Prices 5 2 3" xfId="16094"/>
    <cellStyle name="_Prices 5 2 4" xfId="16095"/>
    <cellStyle name="_Prices 5 3" xfId="16096"/>
    <cellStyle name="_Prices 5 3 2" xfId="16097"/>
    <cellStyle name="_Prices 5 4" xfId="16098"/>
    <cellStyle name="_Prices 5 5" xfId="16099"/>
    <cellStyle name="_Prices 6" xfId="16100"/>
    <cellStyle name="_Prices 6 2" xfId="16101"/>
    <cellStyle name="_Prices 6 2 2" xfId="16102"/>
    <cellStyle name="_Prices 6 2 2 2" xfId="16103"/>
    <cellStyle name="_Prices 6 2 3" xfId="16104"/>
    <cellStyle name="_Prices 6 2 4" xfId="16105"/>
    <cellStyle name="_Prices 6 3" xfId="16106"/>
    <cellStyle name="_Prices 6 3 2" xfId="16107"/>
    <cellStyle name="_Prices 6 4" xfId="16108"/>
    <cellStyle name="_Prices 6 5" xfId="16109"/>
    <cellStyle name="_Prices 7" xfId="16110"/>
    <cellStyle name="_Prices 7 2" xfId="16111"/>
    <cellStyle name="_Prices 8" xfId="16112"/>
    <cellStyle name="_Prices 9" xfId="16113"/>
    <cellStyle name="_Prices_DEM-WP(C) Chelan Power Costs" xfId="16114"/>
    <cellStyle name="_Prices_DEM-WP(C) Chelan Power Costs 2" xfId="16115"/>
    <cellStyle name="_Prices_DEM-WP(C) Chelan Power Costs 2 2" xfId="16116"/>
    <cellStyle name="_Prices_DEM-WP(C) Chelan Power Costs 2 2 2" xfId="16117"/>
    <cellStyle name="_Prices_DEM-WP(C) Chelan Power Costs 2 3" xfId="16118"/>
    <cellStyle name="_Prices_DEM-WP(C) Chelan Power Costs 2 4" xfId="16119"/>
    <cellStyle name="_Prices_DEM-WP(C) Chelan Power Costs 3" xfId="16120"/>
    <cellStyle name="_Prices_DEM-WP(C) Chelan Power Costs 3 2" xfId="16121"/>
    <cellStyle name="_Prices_DEM-WP(C) Chelan Power Costs 4" xfId="16122"/>
    <cellStyle name="_Prices_DEM-WP(C) ENERG10C--ctn Mid-C_042010 2010GRC" xfId="16123"/>
    <cellStyle name="_Prices_DEM-WP(C) ENERG10C--ctn Mid-C_042010 2010GRC 2" xfId="16124"/>
    <cellStyle name="_Prices_DEM-WP(C) Gas Transport 2010GRC" xfId="16125"/>
    <cellStyle name="_Prices_DEM-WP(C) Gas Transport 2010GRC 2" xfId="16126"/>
    <cellStyle name="_Prices_DEM-WP(C) Gas Transport 2010GRC 2 2" xfId="16127"/>
    <cellStyle name="_Prices_DEM-WP(C) Gas Transport 2010GRC 2 2 2" xfId="16128"/>
    <cellStyle name="_Prices_DEM-WP(C) Gas Transport 2010GRC 2 3" xfId="16129"/>
    <cellStyle name="_Prices_DEM-WP(C) Gas Transport 2010GRC 2 4" xfId="16130"/>
    <cellStyle name="_Prices_DEM-WP(C) Gas Transport 2010GRC 3" xfId="16131"/>
    <cellStyle name="_Prices_DEM-WP(C) Gas Transport 2010GRC 3 2" xfId="16132"/>
    <cellStyle name="_Prices_DEM-WP(C) Gas Transport 2010GRC 4" xfId="16133"/>
    <cellStyle name="_Prices_NIM Summary" xfId="16134"/>
    <cellStyle name="_Prices_NIM Summary 2" xfId="16135"/>
    <cellStyle name="_Prices_NIM Summary 2 2" xfId="16136"/>
    <cellStyle name="_Prices_NIM Summary 2 2 2" xfId="16137"/>
    <cellStyle name="_Prices_NIM Summary 2 2 2 2" xfId="16138"/>
    <cellStyle name="_Prices_NIM Summary 2 2 3" xfId="16139"/>
    <cellStyle name="_Prices_NIM Summary 2 3" xfId="16140"/>
    <cellStyle name="_Prices_NIM Summary 2 3 2" xfId="16141"/>
    <cellStyle name="_Prices_NIM Summary 2 4" xfId="16142"/>
    <cellStyle name="_Prices_NIM Summary 2 5" xfId="16143"/>
    <cellStyle name="_Prices_NIM Summary 3" xfId="16144"/>
    <cellStyle name="_Prices_NIM Summary 3 2" xfId="16145"/>
    <cellStyle name="_Prices_NIM Summary 3 2 2" xfId="16146"/>
    <cellStyle name="_Prices_NIM Summary 3 3" xfId="16147"/>
    <cellStyle name="_Prices_NIM Summary 3 4" xfId="16148"/>
    <cellStyle name="_Prices_NIM Summary 4" xfId="16149"/>
    <cellStyle name="_Prices_NIM Summary 4 2" xfId="16150"/>
    <cellStyle name="_Prices_NIM Summary 5" xfId="16151"/>
    <cellStyle name="_Prices_NIM Summary 6" xfId="16152"/>
    <cellStyle name="_Prices_NIM Summary_DEM-WP(C) ENERG10C--ctn Mid-C_042010 2010GRC" xfId="16153"/>
    <cellStyle name="_Prices_NIM Summary_DEM-WP(C) ENERG10C--ctn Mid-C_042010 2010GRC 2" xfId="16154"/>
    <cellStyle name="_Prices_Wind Integration 10GRC" xfId="16155"/>
    <cellStyle name="_Prices_Wind Integration 10GRC 2" xfId="16156"/>
    <cellStyle name="_Prices_Wind Integration 10GRC 2 2" xfId="16157"/>
    <cellStyle name="_Prices_Wind Integration 10GRC 2 2 2" xfId="16158"/>
    <cellStyle name="_Prices_Wind Integration 10GRC 2 2 2 2" xfId="16159"/>
    <cellStyle name="_Prices_Wind Integration 10GRC 2 2 3" xfId="16160"/>
    <cellStyle name="_Prices_Wind Integration 10GRC 2 3" xfId="16161"/>
    <cellStyle name="_Prices_Wind Integration 10GRC 2 3 2" xfId="16162"/>
    <cellStyle name="_Prices_Wind Integration 10GRC 2 4" xfId="16163"/>
    <cellStyle name="_Prices_Wind Integration 10GRC 2 5" xfId="16164"/>
    <cellStyle name="_Prices_Wind Integration 10GRC 3" xfId="16165"/>
    <cellStyle name="_Prices_Wind Integration 10GRC 3 2" xfId="16166"/>
    <cellStyle name="_Prices_Wind Integration 10GRC 3 2 2" xfId="16167"/>
    <cellStyle name="_Prices_Wind Integration 10GRC 3 3" xfId="16168"/>
    <cellStyle name="_Prices_Wind Integration 10GRC 3 4" xfId="16169"/>
    <cellStyle name="_Prices_Wind Integration 10GRC 4" xfId="16170"/>
    <cellStyle name="_Prices_Wind Integration 10GRC 4 2" xfId="16171"/>
    <cellStyle name="_Prices_Wind Integration 10GRC 5" xfId="16172"/>
    <cellStyle name="_Prices_Wind Integration 10GRC 6" xfId="16173"/>
    <cellStyle name="_Prices_Wind Integration 10GRC_DEM-WP(C) ENERG10C--ctn Mid-C_042010 2010GRC" xfId="16174"/>
    <cellStyle name="_Prices_Wind Integration 10GRC_DEM-WP(C) ENERG10C--ctn Mid-C_042010 2010GRC 2" xfId="16175"/>
    <cellStyle name="_Pro Forma Rev 07 GRC" xfId="764"/>
    <cellStyle name="_Pro Forma Rev 07 GRC 2" xfId="16176"/>
    <cellStyle name="_x0013__Rebuttal Power Costs" xfId="765"/>
    <cellStyle name="_x0013__Rebuttal Power Costs 2" xfId="16177"/>
    <cellStyle name="_x0013__Rebuttal Power Costs 2 2" xfId="16178"/>
    <cellStyle name="_x0013__Rebuttal Power Costs 2 2 2" xfId="16179"/>
    <cellStyle name="_x0013__Rebuttal Power Costs 2 3" xfId="16180"/>
    <cellStyle name="_x0013__Rebuttal Power Costs 3" xfId="16181"/>
    <cellStyle name="_x0013__Rebuttal Power Costs 3 2" xfId="16182"/>
    <cellStyle name="_x0013__Rebuttal Power Costs 4" xfId="16183"/>
    <cellStyle name="_x0013__Rebuttal Power Costs_Adj Bench DR 3 for Initial Briefs (Electric)" xfId="766"/>
    <cellStyle name="_x0013__Rebuttal Power Costs_Adj Bench DR 3 for Initial Briefs (Electric) 2" xfId="16184"/>
    <cellStyle name="_x0013__Rebuttal Power Costs_Adj Bench DR 3 for Initial Briefs (Electric) 2 2" xfId="16185"/>
    <cellStyle name="_x0013__Rebuttal Power Costs_Adj Bench DR 3 for Initial Briefs (Electric) 2 2 2" xfId="16186"/>
    <cellStyle name="_x0013__Rebuttal Power Costs_Adj Bench DR 3 for Initial Briefs (Electric) 2 3" xfId="16187"/>
    <cellStyle name="_x0013__Rebuttal Power Costs_Adj Bench DR 3 for Initial Briefs (Electric) 3" xfId="16188"/>
    <cellStyle name="_x0013__Rebuttal Power Costs_Adj Bench DR 3 for Initial Briefs (Electric) 3 2" xfId="16189"/>
    <cellStyle name="_x0013__Rebuttal Power Costs_Adj Bench DR 3 for Initial Briefs (Electric) 4" xfId="16190"/>
    <cellStyle name="_x0013__Rebuttal Power Costs_Adj Bench DR 3 for Initial Briefs (Electric)_DEM-WP(C) ENERG10C--ctn Mid-C_042010 2010GRC" xfId="16191"/>
    <cellStyle name="_x0013__Rebuttal Power Costs_Adj Bench DR 3 for Initial Briefs (Electric)_DEM-WP(C) ENERG10C--ctn Mid-C_042010 2010GRC 2" xfId="16192"/>
    <cellStyle name="_x0013__Rebuttal Power Costs_DEM-WP(C) ENERG10C--ctn Mid-C_042010 2010GRC" xfId="16193"/>
    <cellStyle name="_x0013__Rebuttal Power Costs_DEM-WP(C) ENERG10C--ctn Mid-C_042010 2010GRC 2" xfId="16194"/>
    <cellStyle name="_x0013__Rebuttal Power Costs_Electric Rev Req Model (2009 GRC) Rebuttal" xfId="767"/>
    <cellStyle name="_x0013__Rebuttal Power Costs_Electric Rev Req Model (2009 GRC) Rebuttal 2" xfId="16195"/>
    <cellStyle name="_x0013__Rebuttal Power Costs_Electric Rev Req Model (2009 GRC) Rebuttal 2 2" xfId="16196"/>
    <cellStyle name="_x0013__Rebuttal Power Costs_Electric Rev Req Model (2009 GRC) Rebuttal 2 2 2" xfId="16197"/>
    <cellStyle name="_x0013__Rebuttal Power Costs_Electric Rev Req Model (2009 GRC) Rebuttal 2 3" xfId="16198"/>
    <cellStyle name="_x0013__Rebuttal Power Costs_Electric Rev Req Model (2009 GRC) Rebuttal 3" xfId="16199"/>
    <cellStyle name="_x0013__Rebuttal Power Costs_Electric Rev Req Model (2009 GRC) Rebuttal 3 2" xfId="16200"/>
    <cellStyle name="_x0013__Rebuttal Power Costs_Electric Rev Req Model (2009 GRC) Rebuttal 4" xfId="16201"/>
    <cellStyle name="_x0013__Rebuttal Power Costs_Electric Rev Req Model (2009 GRC) Rebuttal REmoval of New  WH Solar AdjustMI" xfId="768"/>
    <cellStyle name="_x0013__Rebuttal Power Costs_Electric Rev Req Model (2009 GRC) Rebuttal REmoval of New  WH Solar AdjustMI 2" xfId="16202"/>
    <cellStyle name="_x0013__Rebuttal Power Costs_Electric Rev Req Model (2009 GRC) Rebuttal REmoval of New  WH Solar AdjustMI 2 2" xfId="16203"/>
    <cellStyle name="_x0013__Rebuttal Power Costs_Electric Rev Req Model (2009 GRC) Rebuttal REmoval of New  WH Solar AdjustMI 2 2 2" xfId="16204"/>
    <cellStyle name="_x0013__Rebuttal Power Costs_Electric Rev Req Model (2009 GRC) Rebuttal REmoval of New  WH Solar AdjustMI 2 3" xfId="16205"/>
    <cellStyle name="_x0013__Rebuttal Power Costs_Electric Rev Req Model (2009 GRC) Rebuttal REmoval of New  WH Solar AdjustMI 3" xfId="16206"/>
    <cellStyle name="_x0013__Rebuttal Power Costs_Electric Rev Req Model (2009 GRC) Rebuttal REmoval of New  WH Solar AdjustMI 3 2" xfId="16207"/>
    <cellStyle name="_x0013__Rebuttal Power Costs_Electric Rev Req Model (2009 GRC) Rebuttal REmoval of New  WH Solar AdjustMI 4" xfId="16208"/>
    <cellStyle name="_x0013__Rebuttal Power Costs_Electric Rev Req Model (2009 GRC) Rebuttal REmoval of New  WH Solar AdjustMI_DEM-WP(C) ENERG10C--ctn Mid-C_042010 2010GRC" xfId="16209"/>
    <cellStyle name="_x0013__Rebuttal Power Costs_Electric Rev Req Model (2009 GRC) Rebuttal REmoval of New  WH Solar AdjustMI_DEM-WP(C) ENERG10C--ctn Mid-C_042010 2010GRC 2" xfId="16210"/>
    <cellStyle name="_x0013__Rebuttal Power Costs_Electric Rev Req Model (2009 GRC) Revised 01-18-2010" xfId="769"/>
    <cellStyle name="_x0013__Rebuttal Power Costs_Electric Rev Req Model (2009 GRC) Revised 01-18-2010 2" xfId="16211"/>
    <cellStyle name="_x0013__Rebuttal Power Costs_Electric Rev Req Model (2009 GRC) Revised 01-18-2010 2 2" xfId="16212"/>
    <cellStyle name="_x0013__Rebuttal Power Costs_Electric Rev Req Model (2009 GRC) Revised 01-18-2010 2 2 2" xfId="16213"/>
    <cellStyle name="_x0013__Rebuttal Power Costs_Electric Rev Req Model (2009 GRC) Revised 01-18-2010 2 3" xfId="16214"/>
    <cellStyle name="_x0013__Rebuttal Power Costs_Electric Rev Req Model (2009 GRC) Revised 01-18-2010 3" xfId="16215"/>
    <cellStyle name="_x0013__Rebuttal Power Costs_Electric Rev Req Model (2009 GRC) Revised 01-18-2010 3 2" xfId="16216"/>
    <cellStyle name="_x0013__Rebuttal Power Costs_Electric Rev Req Model (2009 GRC) Revised 01-18-2010 4" xfId="16217"/>
    <cellStyle name="_x0013__Rebuttal Power Costs_Electric Rev Req Model (2009 GRC) Revised 01-18-2010_DEM-WP(C) ENERG10C--ctn Mid-C_042010 2010GRC" xfId="16218"/>
    <cellStyle name="_x0013__Rebuttal Power Costs_Electric Rev Req Model (2009 GRC) Revised 01-18-2010_DEM-WP(C) ENERG10C--ctn Mid-C_042010 2010GRC 2" xfId="16219"/>
    <cellStyle name="_x0013__Rebuttal Power Costs_Final Order Electric EXHIBIT A-1" xfId="770"/>
    <cellStyle name="_x0013__Rebuttal Power Costs_Final Order Electric EXHIBIT A-1 2" xfId="16220"/>
    <cellStyle name="_x0013__Rebuttal Power Costs_Final Order Electric EXHIBIT A-1 2 2" xfId="16221"/>
    <cellStyle name="_x0013__Rebuttal Power Costs_Final Order Electric EXHIBIT A-1 2 2 2" xfId="16222"/>
    <cellStyle name="_x0013__Rebuttal Power Costs_Final Order Electric EXHIBIT A-1 2 3" xfId="16223"/>
    <cellStyle name="_x0013__Rebuttal Power Costs_Final Order Electric EXHIBIT A-1 3" xfId="16224"/>
    <cellStyle name="_x0013__Rebuttal Power Costs_Final Order Electric EXHIBIT A-1 3 2" xfId="16225"/>
    <cellStyle name="_x0013__Rebuttal Power Costs_Final Order Electric EXHIBIT A-1 4" xfId="16226"/>
    <cellStyle name="_recommendation" xfId="16227"/>
    <cellStyle name="_recommendation 2" xfId="16228"/>
    <cellStyle name="_recommendation 2 2" xfId="16229"/>
    <cellStyle name="_recommendation 2 2 2" xfId="16230"/>
    <cellStyle name="_recommendation 2 2 2 2" xfId="16231"/>
    <cellStyle name="_recommendation 2 2 2 2 2" xfId="16232"/>
    <cellStyle name="_recommendation 2 2 2 3" xfId="16233"/>
    <cellStyle name="_recommendation 2 2 3" xfId="16234"/>
    <cellStyle name="_recommendation 2 2 3 2" xfId="16235"/>
    <cellStyle name="_recommendation 2 2 4" xfId="16236"/>
    <cellStyle name="_recommendation 2 2 5" xfId="16237"/>
    <cellStyle name="_recommendation 2 3" xfId="16238"/>
    <cellStyle name="_recommendation 2 3 2" xfId="16239"/>
    <cellStyle name="_recommendation 2 3 2 2" xfId="16240"/>
    <cellStyle name="_recommendation 2 3 3" xfId="16241"/>
    <cellStyle name="_recommendation 2 4" xfId="16242"/>
    <cellStyle name="_recommendation 2 4 2" xfId="16243"/>
    <cellStyle name="_recommendation 2 5" xfId="16244"/>
    <cellStyle name="_recommendation 3" xfId="16245"/>
    <cellStyle name="_recommendation 3 2" xfId="16246"/>
    <cellStyle name="_recommendation 3 2 2" xfId="16247"/>
    <cellStyle name="_recommendation 3 2 2 2" xfId="16248"/>
    <cellStyle name="_recommendation 3 2 3" xfId="16249"/>
    <cellStyle name="_recommendation 3 3" xfId="16250"/>
    <cellStyle name="_recommendation 3 3 2" xfId="16251"/>
    <cellStyle name="_recommendation 3 4" xfId="16252"/>
    <cellStyle name="_recommendation 4" xfId="16253"/>
    <cellStyle name="_recommendation 4 2" xfId="16254"/>
    <cellStyle name="_recommendation 4 2 2" xfId="16255"/>
    <cellStyle name="_recommendation 4 2 2 2" xfId="16256"/>
    <cellStyle name="_recommendation 4 2 3" xfId="16257"/>
    <cellStyle name="_recommendation 4 2 4" xfId="16258"/>
    <cellStyle name="_recommendation 4 3" xfId="16259"/>
    <cellStyle name="_recommendation 4 3 2" xfId="16260"/>
    <cellStyle name="_recommendation 4 4" xfId="16261"/>
    <cellStyle name="_recommendation 4 5" xfId="16262"/>
    <cellStyle name="_recommendation 5" xfId="16263"/>
    <cellStyle name="_recommendation 5 2" xfId="16264"/>
    <cellStyle name="_recommendation 5 2 2" xfId="16265"/>
    <cellStyle name="_recommendation 5 2 2 2" xfId="16266"/>
    <cellStyle name="_recommendation 5 2 3" xfId="16267"/>
    <cellStyle name="_recommendation 5 2 4" xfId="16268"/>
    <cellStyle name="_recommendation 5 3" xfId="16269"/>
    <cellStyle name="_recommendation 5 3 2" xfId="16270"/>
    <cellStyle name="_recommendation 5 4" xfId="16271"/>
    <cellStyle name="_recommendation 5 5" xfId="16272"/>
    <cellStyle name="_recommendation 6" xfId="16273"/>
    <cellStyle name="_recommendation 6 2" xfId="16274"/>
    <cellStyle name="_recommendation 6 2 2" xfId="16275"/>
    <cellStyle name="_recommendation 6 3" xfId="16276"/>
    <cellStyle name="_recommendation 7" xfId="16277"/>
    <cellStyle name="_recommendation 8" xfId="16278"/>
    <cellStyle name="_recommendation_DEM-WP(C) Chelan Power Costs" xfId="16279"/>
    <cellStyle name="_recommendation_DEM-WP(C) Chelan Power Costs 2" xfId="16280"/>
    <cellStyle name="_recommendation_DEM-WP(C) Chelan Power Costs 2 2" xfId="16281"/>
    <cellStyle name="_recommendation_DEM-WP(C) Chelan Power Costs 2 2 2" xfId="16282"/>
    <cellStyle name="_recommendation_DEM-WP(C) Chelan Power Costs 2 3" xfId="16283"/>
    <cellStyle name="_recommendation_DEM-WP(C) Chelan Power Costs 2 4" xfId="16284"/>
    <cellStyle name="_recommendation_DEM-WP(C) Chelan Power Costs 3" xfId="16285"/>
    <cellStyle name="_recommendation_DEM-WP(C) Chelan Power Costs 3 2" xfId="16286"/>
    <cellStyle name="_recommendation_DEM-WP(C) Chelan Power Costs 4" xfId="16287"/>
    <cellStyle name="_recommendation_DEM-WP(C) ENERG10C--ctn Mid-C_042010 2010GRC" xfId="16288"/>
    <cellStyle name="_recommendation_DEM-WP(C) ENERG10C--ctn Mid-C_042010 2010GRC 2" xfId="16289"/>
    <cellStyle name="_recommendation_DEM-WP(C) Gas Transport 2010GRC" xfId="16290"/>
    <cellStyle name="_recommendation_DEM-WP(C) Gas Transport 2010GRC 2" xfId="16291"/>
    <cellStyle name="_recommendation_DEM-WP(C) Gas Transport 2010GRC 2 2" xfId="16292"/>
    <cellStyle name="_recommendation_DEM-WP(C) Gas Transport 2010GRC 2 2 2" xfId="16293"/>
    <cellStyle name="_recommendation_DEM-WP(C) Gas Transport 2010GRC 2 3" xfId="16294"/>
    <cellStyle name="_recommendation_DEM-WP(C) Gas Transport 2010GRC 2 4" xfId="16295"/>
    <cellStyle name="_recommendation_DEM-WP(C) Gas Transport 2010GRC 3" xfId="16296"/>
    <cellStyle name="_recommendation_DEM-WP(C) Gas Transport 2010GRC 3 2" xfId="16297"/>
    <cellStyle name="_recommendation_DEM-WP(C) Gas Transport 2010GRC 4" xfId="16298"/>
    <cellStyle name="_recommendation_DEM-WP(C) Wind Integration Summary 2010GRC" xfId="16299"/>
    <cellStyle name="_recommendation_DEM-WP(C) Wind Integration Summary 2010GRC 2" xfId="16300"/>
    <cellStyle name="_recommendation_DEM-WP(C) Wind Integration Summary 2010GRC 2 2" xfId="16301"/>
    <cellStyle name="_recommendation_DEM-WP(C) Wind Integration Summary 2010GRC 2 2 2" xfId="16302"/>
    <cellStyle name="_recommendation_DEM-WP(C) Wind Integration Summary 2010GRC 2 2 2 2" xfId="16303"/>
    <cellStyle name="_recommendation_DEM-WP(C) Wind Integration Summary 2010GRC 2 2 3" xfId="16304"/>
    <cellStyle name="_recommendation_DEM-WP(C) Wind Integration Summary 2010GRC 2 3" xfId="16305"/>
    <cellStyle name="_recommendation_DEM-WP(C) Wind Integration Summary 2010GRC 2 3 2" xfId="16306"/>
    <cellStyle name="_recommendation_DEM-WP(C) Wind Integration Summary 2010GRC 2 4" xfId="16307"/>
    <cellStyle name="_recommendation_DEM-WP(C) Wind Integration Summary 2010GRC 2 5" xfId="16308"/>
    <cellStyle name="_recommendation_DEM-WP(C) Wind Integration Summary 2010GRC 3" xfId="16309"/>
    <cellStyle name="_recommendation_DEM-WP(C) Wind Integration Summary 2010GRC 3 2" xfId="16310"/>
    <cellStyle name="_recommendation_DEM-WP(C) Wind Integration Summary 2010GRC 3 2 2" xfId="16311"/>
    <cellStyle name="_recommendation_DEM-WP(C) Wind Integration Summary 2010GRC 3 3" xfId="16312"/>
    <cellStyle name="_recommendation_DEM-WP(C) Wind Integration Summary 2010GRC 3 4" xfId="16313"/>
    <cellStyle name="_recommendation_DEM-WP(C) Wind Integration Summary 2010GRC 4" xfId="16314"/>
    <cellStyle name="_recommendation_DEM-WP(C) Wind Integration Summary 2010GRC 4 2" xfId="16315"/>
    <cellStyle name="_recommendation_DEM-WP(C) Wind Integration Summary 2010GRC 5" xfId="16316"/>
    <cellStyle name="_recommendation_DEM-WP(C) Wind Integration Summary 2010GRC 6" xfId="16317"/>
    <cellStyle name="_recommendation_DEM-WP(C) Wind Integration Summary 2010GRC_DEM-WP(C) ENERG10C--ctn Mid-C_042010 2010GRC" xfId="16318"/>
    <cellStyle name="_recommendation_DEM-WP(C) Wind Integration Summary 2010GRC_DEM-WP(C) ENERG10C--ctn Mid-C_042010 2010GRC 2" xfId="16319"/>
    <cellStyle name="_recommendation_NIM Summary" xfId="16320"/>
    <cellStyle name="_recommendation_NIM Summary 2" xfId="16321"/>
    <cellStyle name="_recommendation_NIM Summary 2 2" xfId="16322"/>
    <cellStyle name="_recommendation_NIM Summary 2 2 2" xfId="16323"/>
    <cellStyle name="_recommendation_NIM Summary 2 2 2 2" xfId="16324"/>
    <cellStyle name="_recommendation_NIM Summary 2 2 3" xfId="16325"/>
    <cellStyle name="_recommendation_NIM Summary 2 3" xfId="16326"/>
    <cellStyle name="_recommendation_NIM Summary 2 3 2" xfId="16327"/>
    <cellStyle name="_recommendation_NIM Summary 2 4" xfId="16328"/>
    <cellStyle name="_recommendation_NIM Summary 2 5" xfId="16329"/>
    <cellStyle name="_recommendation_NIM Summary 3" xfId="16330"/>
    <cellStyle name="_recommendation_NIM Summary 3 2" xfId="16331"/>
    <cellStyle name="_recommendation_NIM Summary 3 2 2" xfId="16332"/>
    <cellStyle name="_recommendation_NIM Summary 3 3" xfId="16333"/>
    <cellStyle name="_recommendation_NIM Summary 3 4" xfId="16334"/>
    <cellStyle name="_recommendation_NIM Summary 4" xfId="16335"/>
    <cellStyle name="_recommendation_NIM Summary 4 2" xfId="16336"/>
    <cellStyle name="_recommendation_NIM Summary 5" xfId="16337"/>
    <cellStyle name="_recommendation_NIM Summary 6" xfId="16338"/>
    <cellStyle name="_recommendation_NIM Summary_DEM-WP(C) ENERG10C--ctn Mid-C_042010 2010GRC" xfId="16339"/>
    <cellStyle name="_recommendation_NIM Summary_DEM-WP(C) ENERG10C--ctn Mid-C_042010 2010GRC 2" xfId="16340"/>
    <cellStyle name="_Recon to Darrin's 5.11.05 proforma" xfId="771"/>
    <cellStyle name="_Recon to Darrin's 5.11.05 proforma 10" xfId="16341"/>
    <cellStyle name="_Recon to Darrin's 5.11.05 proforma 10 2" xfId="16342"/>
    <cellStyle name="_Recon to Darrin's 5.11.05 proforma 11" xfId="16343"/>
    <cellStyle name="_Recon to Darrin's 5.11.05 proforma 11 2" xfId="16344"/>
    <cellStyle name="_Recon to Darrin's 5.11.05 proforma 11 3" xfId="16345"/>
    <cellStyle name="_Recon to Darrin's 5.11.05 proforma 12" xfId="16346"/>
    <cellStyle name="_Recon to Darrin's 5.11.05 proforma 13" xfId="16347"/>
    <cellStyle name="_Recon to Darrin's 5.11.05 proforma 2" xfId="772"/>
    <cellStyle name="_Recon to Darrin's 5.11.05 proforma 2 2" xfId="16348"/>
    <cellStyle name="_Recon to Darrin's 5.11.05 proforma 2 2 2" xfId="16349"/>
    <cellStyle name="_Recon to Darrin's 5.11.05 proforma 2 2 2 2" xfId="16350"/>
    <cellStyle name="_Recon to Darrin's 5.11.05 proforma 2 2 2 2 2" xfId="16351"/>
    <cellStyle name="_Recon to Darrin's 5.11.05 proforma 2 2 2 3" xfId="16352"/>
    <cellStyle name="_Recon to Darrin's 5.11.05 proforma 2 2 2 4" xfId="16353"/>
    <cellStyle name="_Recon to Darrin's 5.11.05 proforma 2 2 3" xfId="16354"/>
    <cellStyle name="_Recon to Darrin's 5.11.05 proforma 2 2 3 2" xfId="16355"/>
    <cellStyle name="_Recon to Darrin's 5.11.05 proforma 2 2 4" xfId="16356"/>
    <cellStyle name="_Recon to Darrin's 5.11.05 proforma 2 2 5" xfId="16357"/>
    <cellStyle name="_Recon to Darrin's 5.11.05 proforma 2 3" xfId="16358"/>
    <cellStyle name="_Recon to Darrin's 5.11.05 proforma 2 3 2" xfId="16359"/>
    <cellStyle name="_Recon to Darrin's 5.11.05 proforma 2 3 2 2" xfId="16360"/>
    <cellStyle name="_Recon to Darrin's 5.11.05 proforma 2 3 3" xfId="16361"/>
    <cellStyle name="_Recon to Darrin's 5.11.05 proforma 2 3 4" xfId="16362"/>
    <cellStyle name="_Recon to Darrin's 5.11.05 proforma 2 3 5" xfId="16363"/>
    <cellStyle name="_Recon to Darrin's 5.11.05 proforma 2 4" xfId="16364"/>
    <cellStyle name="_Recon to Darrin's 5.11.05 proforma 2 4 2" xfId="16365"/>
    <cellStyle name="_Recon to Darrin's 5.11.05 proforma 2 5" xfId="16366"/>
    <cellStyle name="_Recon to Darrin's 5.11.05 proforma 2 6" xfId="16367"/>
    <cellStyle name="_Recon to Darrin's 5.11.05 proforma 3" xfId="16368"/>
    <cellStyle name="_Recon to Darrin's 5.11.05 proforma 3 2" xfId="16369"/>
    <cellStyle name="_Recon to Darrin's 5.11.05 proforma 3 2 2" xfId="16370"/>
    <cellStyle name="_Recon to Darrin's 5.11.05 proforma 3 2 2 2" xfId="16371"/>
    <cellStyle name="_Recon to Darrin's 5.11.05 proforma 3 2 3" xfId="16372"/>
    <cellStyle name="_Recon to Darrin's 5.11.05 proforma 3 2 4" xfId="16373"/>
    <cellStyle name="_Recon to Darrin's 5.11.05 proforma 3 2 5" xfId="16374"/>
    <cellStyle name="_Recon to Darrin's 5.11.05 proforma 3 3" xfId="16375"/>
    <cellStyle name="_Recon to Darrin's 5.11.05 proforma 3 3 2" xfId="16376"/>
    <cellStyle name="_Recon to Darrin's 5.11.05 proforma 3 3 2 2" xfId="16377"/>
    <cellStyle name="_Recon to Darrin's 5.11.05 proforma 3 3 3" xfId="16378"/>
    <cellStyle name="_Recon to Darrin's 5.11.05 proforma 3 4" xfId="16379"/>
    <cellStyle name="_Recon to Darrin's 5.11.05 proforma 3 4 2" xfId="16380"/>
    <cellStyle name="_Recon to Darrin's 5.11.05 proforma 3 4 2 2" xfId="16381"/>
    <cellStyle name="_Recon to Darrin's 5.11.05 proforma 3 4 3" xfId="16382"/>
    <cellStyle name="_Recon to Darrin's 5.11.05 proforma 3 5" xfId="16383"/>
    <cellStyle name="_Recon to Darrin's 5.11.05 proforma 3 6" xfId="16384"/>
    <cellStyle name="_Recon to Darrin's 5.11.05 proforma 4" xfId="16385"/>
    <cellStyle name="_Recon to Darrin's 5.11.05 proforma 4 2" xfId="16386"/>
    <cellStyle name="_Recon to Darrin's 5.11.05 proforma 4 2 2" xfId="16387"/>
    <cellStyle name="_Recon to Darrin's 5.11.05 proforma 4 2 2 2" xfId="16388"/>
    <cellStyle name="_Recon to Darrin's 5.11.05 proforma 4 2 2 2 2" xfId="16389"/>
    <cellStyle name="_Recon to Darrin's 5.11.05 proforma 4 2 2 3" xfId="16390"/>
    <cellStyle name="_Recon to Darrin's 5.11.05 proforma 4 2 3" xfId="16391"/>
    <cellStyle name="_Recon to Darrin's 5.11.05 proforma 4 2 3 2" xfId="16392"/>
    <cellStyle name="_Recon to Darrin's 5.11.05 proforma 4 2 4" xfId="16393"/>
    <cellStyle name="_Recon to Darrin's 5.11.05 proforma 4 2 5" xfId="16394"/>
    <cellStyle name="_Recon to Darrin's 5.11.05 proforma 4 3" xfId="16395"/>
    <cellStyle name="_Recon to Darrin's 5.11.05 proforma 4 3 2" xfId="16396"/>
    <cellStyle name="_Recon to Darrin's 5.11.05 proforma 4 3 2 2" xfId="16397"/>
    <cellStyle name="_Recon to Darrin's 5.11.05 proforma 4 3 3" xfId="16398"/>
    <cellStyle name="_Recon to Darrin's 5.11.05 proforma 4 3 4" xfId="16399"/>
    <cellStyle name="_Recon to Darrin's 5.11.05 proforma 4 4" xfId="16400"/>
    <cellStyle name="_Recon to Darrin's 5.11.05 proforma 4 4 2" xfId="16401"/>
    <cellStyle name="_Recon to Darrin's 5.11.05 proforma 4 5" xfId="16402"/>
    <cellStyle name="_Recon to Darrin's 5.11.05 proforma 4 6" xfId="16403"/>
    <cellStyle name="_Recon to Darrin's 5.11.05 proforma 5" xfId="16404"/>
    <cellStyle name="_Recon to Darrin's 5.11.05 proforma 5 2" xfId="16405"/>
    <cellStyle name="_Recon to Darrin's 5.11.05 proforma 5 2 2" xfId="16406"/>
    <cellStyle name="_Recon to Darrin's 5.11.05 proforma 5 2 2 2" xfId="16407"/>
    <cellStyle name="_Recon to Darrin's 5.11.05 proforma 5 2 2 2 2" xfId="16408"/>
    <cellStyle name="_Recon to Darrin's 5.11.05 proforma 5 2 2 3" xfId="16409"/>
    <cellStyle name="_Recon to Darrin's 5.11.05 proforma 5 2 3" xfId="16410"/>
    <cellStyle name="_Recon to Darrin's 5.11.05 proforma 5 2 3 2" xfId="16411"/>
    <cellStyle name="_Recon to Darrin's 5.11.05 proforma 5 2 4" xfId="16412"/>
    <cellStyle name="_Recon to Darrin's 5.11.05 proforma 5 2 5" xfId="16413"/>
    <cellStyle name="_Recon to Darrin's 5.11.05 proforma 5 3" xfId="16414"/>
    <cellStyle name="_Recon to Darrin's 5.11.05 proforma 5 3 2" xfId="16415"/>
    <cellStyle name="_Recon to Darrin's 5.11.05 proforma 5 3 2 2" xfId="16416"/>
    <cellStyle name="_Recon to Darrin's 5.11.05 proforma 5 3 3" xfId="16417"/>
    <cellStyle name="_Recon to Darrin's 5.11.05 proforma 5 3 4" xfId="16418"/>
    <cellStyle name="_Recon to Darrin's 5.11.05 proforma 5 4" xfId="16419"/>
    <cellStyle name="_Recon to Darrin's 5.11.05 proforma 5 4 2" xfId="16420"/>
    <cellStyle name="_Recon to Darrin's 5.11.05 proforma 5 5" xfId="16421"/>
    <cellStyle name="_Recon to Darrin's 5.11.05 proforma 6" xfId="16422"/>
    <cellStyle name="_Recon to Darrin's 5.11.05 proforma 6 2" xfId="16423"/>
    <cellStyle name="_Recon to Darrin's 5.11.05 proforma 6 2 2" xfId="16424"/>
    <cellStyle name="_Recon to Darrin's 5.11.05 proforma 6 2 2 2" xfId="16425"/>
    <cellStyle name="_Recon to Darrin's 5.11.05 proforma 6 2 2 2 2" xfId="16426"/>
    <cellStyle name="_Recon to Darrin's 5.11.05 proforma 6 2 2 3" xfId="16427"/>
    <cellStyle name="_Recon to Darrin's 5.11.05 proforma 6 2 3" xfId="16428"/>
    <cellStyle name="_Recon to Darrin's 5.11.05 proforma 6 2 3 2" xfId="16429"/>
    <cellStyle name="_Recon to Darrin's 5.11.05 proforma 6 2 4" xfId="16430"/>
    <cellStyle name="_Recon to Darrin's 5.11.05 proforma 6 2 5" xfId="16431"/>
    <cellStyle name="_Recon to Darrin's 5.11.05 proforma 6 3" xfId="16432"/>
    <cellStyle name="_Recon to Darrin's 5.11.05 proforma 6 3 2" xfId="16433"/>
    <cellStyle name="_Recon to Darrin's 5.11.05 proforma 6 3 2 2" xfId="16434"/>
    <cellStyle name="_Recon to Darrin's 5.11.05 proforma 6 3 3" xfId="16435"/>
    <cellStyle name="_Recon to Darrin's 5.11.05 proforma 6 4" xfId="16436"/>
    <cellStyle name="_Recon to Darrin's 5.11.05 proforma 6 4 2" xfId="16437"/>
    <cellStyle name="_Recon to Darrin's 5.11.05 proforma 6 5" xfId="16438"/>
    <cellStyle name="_Recon to Darrin's 5.11.05 proforma 7" xfId="16439"/>
    <cellStyle name="_Recon to Darrin's 5.11.05 proforma 7 2" xfId="16440"/>
    <cellStyle name="_Recon to Darrin's 5.11.05 proforma 7 2 2" xfId="16441"/>
    <cellStyle name="_Recon to Darrin's 5.11.05 proforma 7 2 2 2" xfId="16442"/>
    <cellStyle name="_Recon to Darrin's 5.11.05 proforma 7 2 3" xfId="16443"/>
    <cellStyle name="_Recon to Darrin's 5.11.05 proforma 7 3" xfId="16444"/>
    <cellStyle name="_Recon to Darrin's 5.11.05 proforma 7 3 2" xfId="16445"/>
    <cellStyle name="_Recon to Darrin's 5.11.05 proforma 7 4" xfId="16446"/>
    <cellStyle name="_Recon to Darrin's 5.11.05 proforma 8" xfId="16447"/>
    <cellStyle name="_Recon to Darrin's 5.11.05 proforma 8 2" xfId="16448"/>
    <cellStyle name="_Recon to Darrin's 5.11.05 proforma 8 2 2" xfId="16449"/>
    <cellStyle name="_Recon to Darrin's 5.11.05 proforma 8 2 2 2" xfId="16450"/>
    <cellStyle name="_Recon to Darrin's 5.11.05 proforma 8 2 3" xfId="16451"/>
    <cellStyle name="_Recon to Darrin's 5.11.05 proforma 8 3" xfId="16452"/>
    <cellStyle name="_Recon to Darrin's 5.11.05 proforma 8 3 2" xfId="16453"/>
    <cellStyle name="_Recon to Darrin's 5.11.05 proforma 8 4" xfId="16454"/>
    <cellStyle name="_Recon to Darrin's 5.11.05 proforma 9" xfId="16455"/>
    <cellStyle name="_Recon to Darrin's 5.11.05 proforma 9 2" xfId="16456"/>
    <cellStyle name="_Recon to Darrin's 5.11.05 proforma 9 2 2" xfId="16457"/>
    <cellStyle name="_Recon to Darrin's 5.11.05 proforma 9 2 2 2" xfId="16458"/>
    <cellStyle name="_Recon to Darrin's 5.11.05 proforma 9 2 3" xfId="16459"/>
    <cellStyle name="_Recon to Darrin's 5.11.05 proforma 9 3" xfId="16460"/>
    <cellStyle name="_Recon to Darrin's 5.11.05 proforma 9 3 2" xfId="16461"/>
    <cellStyle name="_Recon to Darrin's 5.11.05 proforma 9 4" xfId="16462"/>
    <cellStyle name="_Recon to Darrin's 5.11.05 proforma_(C) WHE Proforma with ITC cash grant 10 Yr Amort_for deferral_102809" xfId="773"/>
    <cellStyle name="_Recon to Darrin's 5.11.05 proforma_(C) WHE Proforma with ITC cash grant 10 Yr Amort_for deferral_102809 2" xfId="16463"/>
    <cellStyle name="_Recon to Darrin's 5.11.05 proforma_(C) WHE Proforma with ITC cash grant 10 Yr Amort_for deferral_102809 2 2" xfId="16464"/>
    <cellStyle name="_Recon to Darrin's 5.11.05 proforma_(C) WHE Proforma with ITC cash grant 10 Yr Amort_for deferral_102809 2 2 2" xfId="16465"/>
    <cellStyle name="_Recon to Darrin's 5.11.05 proforma_(C) WHE Proforma with ITC cash grant 10 Yr Amort_for deferral_102809 2 2 2 2" xfId="16466"/>
    <cellStyle name="_Recon to Darrin's 5.11.05 proforma_(C) WHE Proforma with ITC cash grant 10 Yr Amort_for deferral_102809 2 2 3" xfId="16467"/>
    <cellStyle name="_Recon to Darrin's 5.11.05 proforma_(C) WHE Proforma with ITC cash grant 10 Yr Amort_for deferral_102809 2 2 4" xfId="16468"/>
    <cellStyle name="_Recon to Darrin's 5.11.05 proforma_(C) WHE Proforma with ITC cash grant 10 Yr Amort_for deferral_102809 2 3" xfId="16469"/>
    <cellStyle name="_Recon to Darrin's 5.11.05 proforma_(C) WHE Proforma with ITC cash grant 10 Yr Amort_for deferral_102809 2 3 2" xfId="16470"/>
    <cellStyle name="_Recon to Darrin's 5.11.05 proforma_(C) WHE Proforma with ITC cash grant 10 Yr Amort_for deferral_102809 2 4" xfId="16471"/>
    <cellStyle name="_Recon to Darrin's 5.11.05 proforma_(C) WHE Proforma with ITC cash grant 10 Yr Amort_for deferral_102809 2 5" xfId="16472"/>
    <cellStyle name="_Recon to Darrin's 5.11.05 proforma_(C) WHE Proforma with ITC cash grant 10 Yr Amort_for deferral_102809 3" xfId="16473"/>
    <cellStyle name="_Recon to Darrin's 5.11.05 proforma_(C) WHE Proforma with ITC cash grant 10 Yr Amort_for deferral_102809 3 2" xfId="16474"/>
    <cellStyle name="_Recon to Darrin's 5.11.05 proforma_(C) WHE Proforma with ITC cash grant 10 Yr Amort_for deferral_102809 3 2 2" xfId="16475"/>
    <cellStyle name="_Recon to Darrin's 5.11.05 proforma_(C) WHE Proforma with ITC cash grant 10 Yr Amort_for deferral_102809 3 3" xfId="16476"/>
    <cellStyle name="_Recon to Darrin's 5.11.05 proforma_(C) WHE Proforma with ITC cash grant 10 Yr Amort_for deferral_102809 3 4" xfId="16477"/>
    <cellStyle name="_Recon to Darrin's 5.11.05 proforma_(C) WHE Proforma with ITC cash grant 10 Yr Amort_for deferral_102809 3 5" xfId="16478"/>
    <cellStyle name="_Recon to Darrin's 5.11.05 proforma_(C) WHE Proforma with ITC cash grant 10 Yr Amort_for deferral_102809 4" xfId="16479"/>
    <cellStyle name="_Recon to Darrin's 5.11.05 proforma_(C) WHE Proforma with ITC cash grant 10 Yr Amort_for deferral_102809 4 2" xfId="16480"/>
    <cellStyle name="_Recon to Darrin's 5.11.05 proforma_(C) WHE Proforma with ITC cash grant 10 Yr Amort_for deferral_102809 5" xfId="16481"/>
    <cellStyle name="_Recon to Darrin's 5.11.05 proforma_(C) WHE Proforma with ITC cash grant 10 Yr Amort_for deferral_102809 6" xfId="16482"/>
    <cellStyle name="_Recon to Darrin's 5.11.05 proforma_(C) WHE Proforma with ITC cash grant 10 Yr Amort_for deferral_102809_16.07E Wild Horse Wind Expansionwrkingfile" xfId="774"/>
    <cellStyle name="_Recon to Darrin's 5.11.05 proforma_(C) WHE Proforma with ITC cash grant 10 Yr Amort_for deferral_102809_16.07E Wild Horse Wind Expansionwrkingfile 2" xfId="16483"/>
    <cellStyle name="_Recon to Darrin's 5.11.05 proforma_(C) WHE Proforma with ITC cash grant 10 Yr Amort_for deferral_102809_16.07E Wild Horse Wind Expansionwrkingfile 2 2" xfId="16484"/>
    <cellStyle name="_Recon to Darrin's 5.11.05 proforma_(C) WHE Proforma with ITC cash grant 10 Yr Amort_for deferral_102809_16.07E Wild Horse Wind Expansionwrkingfile 2 2 2" xfId="16485"/>
    <cellStyle name="_Recon to Darrin's 5.11.05 proforma_(C) WHE Proforma with ITC cash grant 10 Yr Amort_for deferral_102809_16.07E Wild Horse Wind Expansionwrkingfile 2 2 2 2" xfId="16486"/>
    <cellStyle name="_Recon to Darrin's 5.11.05 proforma_(C) WHE Proforma with ITC cash grant 10 Yr Amort_for deferral_102809_16.07E Wild Horse Wind Expansionwrkingfile 2 2 3" xfId="16487"/>
    <cellStyle name="_Recon to Darrin's 5.11.05 proforma_(C) WHE Proforma with ITC cash grant 10 Yr Amort_for deferral_102809_16.07E Wild Horse Wind Expansionwrkingfile 2 2 4" xfId="16488"/>
    <cellStyle name="_Recon to Darrin's 5.11.05 proforma_(C) WHE Proforma with ITC cash grant 10 Yr Amort_for deferral_102809_16.07E Wild Horse Wind Expansionwrkingfile 2 3" xfId="16489"/>
    <cellStyle name="_Recon to Darrin's 5.11.05 proforma_(C) WHE Proforma with ITC cash grant 10 Yr Amort_for deferral_102809_16.07E Wild Horse Wind Expansionwrkingfile 2 3 2" xfId="16490"/>
    <cellStyle name="_Recon to Darrin's 5.11.05 proforma_(C) WHE Proforma with ITC cash grant 10 Yr Amort_for deferral_102809_16.07E Wild Horse Wind Expansionwrkingfile 2 4" xfId="16491"/>
    <cellStyle name="_Recon to Darrin's 5.11.05 proforma_(C) WHE Proforma with ITC cash grant 10 Yr Amort_for deferral_102809_16.07E Wild Horse Wind Expansionwrkingfile 2 5" xfId="16492"/>
    <cellStyle name="_Recon to Darrin's 5.11.05 proforma_(C) WHE Proforma with ITC cash grant 10 Yr Amort_for deferral_102809_16.07E Wild Horse Wind Expansionwrkingfile 3" xfId="16493"/>
    <cellStyle name="_Recon to Darrin's 5.11.05 proforma_(C) WHE Proforma with ITC cash grant 10 Yr Amort_for deferral_102809_16.07E Wild Horse Wind Expansionwrkingfile 3 2" xfId="16494"/>
    <cellStyle name="_Recon to Darrin's 5.11.05 proforma_(C) WHE Proforma with ITC cash grant 10 Yr Amort_for deferral_102809_16.07E Wild Horse Wind Expansionwrkingfile 3 2 2" xfId="16495"/>
    <cellStyle name="_Recon to Darrin's 5.11.05 proforma_(C) WHE Proforma with ITC cash grant 10 Yr Amort_for deferral_102809_16.07E Wild Horse Wind Expansionwrkingfile 3 3" xfId="16496"/>
    <cellStyle name="_Recon to Darrin's 5.11.05 proforma_(C) WHE Proforma with ITC cash grant 10 Yr Amort_for deferral_102809_16.07E Wild Horse Wind Expansionwrkingfile 3 4" xfId="16497"/>
    <cellStyle name="_Recon to Darrin's 5.11.05 proforma_(C) WHE Proforma with ITC cash grant 10 Yr Amort_for deferral_102809_16.07E Wild Horse Wind Expansionwrkingfile 4" xfId="16498"/>
    <cellStyle name="_Recon to Darrin's 5.11.05 proforma_(C) WHE Proforma with ITC cash grant 10 Yr Amort_for deferral_102809_16.07E Wild Horse Wind Expansionwrkingfile 4 2" xfId="16499"/>
    <cellStyle name="_Recon to Darrin's 5.11.05 proforma_(C) WHE Proforma with ITC cash grant 10 Yr Amort_for deferral_102809_16.07E Wild Horse Wind Expansionwrkingfile 5" xfId="16500"/>
    <cellStyle name="_Recon to Darrin's 5.11.05 proforma_(C) WHE Proforma with ITC cash grant 10 Yr Amort_for deferral_102809_16.07E Wild Horse Wind Expansionwrkingfile SF" xfId="775"/>
    <cellStyle name="_Recon to Darrin's 5.11.05 proforma_(C) WHE Proforma with ITC cash grant 10 Yr Amort_for deferral_102809_16.07E Wild Horse Wind Expansionwrkingfile SF 2" xfId="16501"/>
    <cellStyle name="_Recon to Darrin's 5.11.05 proforma_(C) WHE Proforma with ITC cash grant 10 Yr Amort_for deferral_102809_16.07E Wild Horse Wind Expansionwrkingfile SF 2 2" xfId="16502"/>
    <cellStyle name="_Recon to Darrin's 5.11.05 proforma_(C) WHE Proforma with ITC cash grant 10 Yr Amort_for deferral_102809_16.07E Wild Horse Wind Expansionwrkingfile SF 2 2 2" xfId="16503"/>
    <cellStyle name="_Recon to Darrin's 5.11.05 proforma_(C) WHE Proforma with ITC cash grant 10 Yr Amort_for deferral_102809_16.07E Wild Horse Wind Expansionwrkingfile SF 2 2 2 2" xfId="16504"/>
    <cellStyle name="_Recon to Darrin's 5.11.05 proforma_(C) WHE Proforma with ITC cash grant 10 Yr Amort_for deferral_102809_16.07E Wild Horse Wind Expansionwrkingfile SF 2 2 3" xfId="16505"/>
    <cellStyle name="_Recon to Darrin's 5.11.05 proforma_(C) WHE Proforma with ITC cash grant 10 Yr Amort_for deferral_102809_16.07E Wild Horse Wind Expansionwrkingfile SF 2 3" xfId="16506"/>
    <cellStyle name="_Recon to Darrin's 5.11.05 proforma_(C) WHE Proforma with ITC cash grant 10 Yr Amort_for deferral_102809_16.07E Wild Horse Wind Expansionwrkingfile SF 2 3 2" xfId="16507"/>
    <cellStyle name="_Recon to Darrin's 5.11.05 proforma_(C) WHE Proforma with ITC cash grant 10 Yr Amort_for deferral_102809_16.07E Wild Horse Wind Expansionwrkingfile SF 2 4" xfId="16508"/>
    <cellStyle name="_Recon to Darrin's 5.11.05 proforma_(C) WHE Proforma with ITC cash grant 10 Yr Amort_for deferral_102809_16.07E Wild Horse Wind Expansionwrkingfile SF 2 4 2" xfId="16509"/>
    <cellStyle name="_Recon to Darrin's 5.11.05 proforma_(C) WHE Proforma with ITC cash grant 10 Yr Amort_for deferral_102809_16.07E Wild Horse Wind Expansionwrkingfile SF 2 5" xfId="16510"/>
    <cellStyle name="_Recon to Darrin's 5.11.05 proforma_(C) WHE Proforma with ITC cash grant 10 Yr Amort_for deferral_102809_16.07E Wild Horse Wind Expansionwrkingfile SF 3" xfId="16511"/>
    <cellStyle name="_Recon to Darrin's 5.11.05 proforma_(C) WHE Proforma with ITC cash grant 10 Yr Amort_for deferral_102809_16.07E Wild Horse Wind Expansionwrkingfile SF 3 2" xfId="16512"/>
    <cellStyle name="_Recon to Darrin's 5.11.05 proforma_(C) WHE Proforma with ITC cash grant 10 Yr Amort_for deferral_102809_16.07E Wild Horse Wind Expansionwrkingfile SF 3 2 2" xfId="16513"/>
    <cellStyle name="_Recon to Darrin's 5.11.05 proforma_(C) WHE Proforma with ITC cash grant 10 Yr Amort_for deferral_102809_16.07E Wild Horse Wind Expansionwrkingfile SF 3 3" xfId="16514"/>
    <cellStyle name="_Recon to Darrin's 5.11.05 proforma_(C) WHE Proforma with ITC cash grant 10 Yr Amort_for deferral_102809_16.07E Wild Horse Wind Expansionwrkingfile SF 3 4" xfId="16515"/>
    <cellStyle name="_Recon to Darrin's 5.11.05 proforma_(C) WHE Proforma with ITC cash grant 10 Yr Amort_for deferral_102809_16.07E Wild Horse Wind Expansionwrkingfile SF 4" xfId="16516"/>
    <cellStyle name="_Recon to Darrin's 5.11.05 proforma_(C) WHE Proforma with ITC cash grant 10 Yr Amort_for deferral_102809_16.07E Wild Horse Wind Expansionwrkingfile SF 4 2" xfId="16517"/>
    <cellStyle name="_Recon to Darrin's 5.11.05 proforma_(C) WHE Proforma with ITC cash grant 10 Yr Amort_for deferral_102809_16.07E Wild Horse Wind Expansionwrkingfile SF 4 2 2" xfId="16518"/>
    <cellStyle name="_Recon to Darrin's 5.11.05 proforma_(C) WHE Proforma with ITC cash grant 10 Yr Amort_for deferral_102809_16.07E Wild Horse Wind Expansionwrkingfile SF 4 3" xfId="16519"/>
    <cellStyle name="_Recon to Darrin's 5.11.05 proforma_(C) WHE Proforma with ITC cash grant 10 Yr Amort_for deferral_102809_16.07E Wild Horse Wind Expansionwrkingfile SF 5" xfId="16520"/>
    <cellStyle name="_Recon to Darrin's 5.11.05 proforma_(C) WHE Proforma with ITC cash grant 10 Yr Amort_for deferral_102809_16.07E Wild Horse Wind Expansionwrkingfile SF 5 2" xfId="16521"/>
    <cellStyle name="_Recon to Darrin's 5.11.05 proforma_(C) WHE Proforma with ITC cash grant 10 Yr Amort_for deferral_102809_16.07E Wild Horse Wind Expansionwrkingfile SF 6" xfId="16522"/>
    <cellStyle name="_Recon to Darrin's 5.11.05 proforma_(C) WHE Proforma with ITC cash grant 10 Yr Amort_for deferral_102809_16.07E Wild Horse Wind Expansionwrkingfile SF 6 2" xfId="16523"/>
    <cellStyle name="_Recon to Darrin's 5.11.05 proforma_(C) WHE Proforma with ITC cash grant 10 Yr Amort_for deferral_102809_16.07E Wild Horse Wind Expansionwrkingfile SF 7" xfId="16524"/>
    <cellStyle name="_Recon to Darrin's 5.11.05 proforma_(C) WHE Proforma with ITC cash grant 10 Yr Amort_for deferral_102809_16.07E Wild Horse Wind Expansionwrkingfile SF_DEM-WP(C) ENERG10C--ctn Mid-C_042010 2010GRC" xfId="16525"/>
    <cellStyle name="_Recon to Darrin's 5.11.05 proforma_(C) WHE Proforma with ITC cash grant 10 Yr Amort_for deferral_102809_16.07E Wild Horse Wind Expansionwrkingfile SF_DEM-WP(C) ENERG10C--ctn Mid-C_042010 2010GRC 2" xfId="16526"/>
    <cellStyle name="_Recon to Darrin's 5.11.05 proforma_(C) WHE Proforma with ITC cash grant 10 Yr Amort_for deferral_102809_16.07E Wild Horse Wind Expansionwrkingfile_DEM-WP(C) ENERG10C--ctn Mid-C_042010 2010GRC" xfId="16527"/>
    <cellStyle name="_Recon to Darrin's 5.11.05 proforma_(C) WHE Proforma with ITC cash grant 10 Yr Amort_for deferral_102809_16.07E Wild Horse Wind Expansionwrkingfile_DEM-WP(C) ENERG10C--ctn Mid-C_042010 2010GRC 2" xfId="16528"/>
    <cellStyle name="_Recon to Darrin's 5.11.05 proforma_(C) WHE Proforma with ITC cash grant 10 Yr Amort_for deferral_102809_16.37E Wild Horse Expansion DeferralRevwrkingfile SF" xfId="776"/>
    <cellStyle name="_Recon to Darrin's 5.11.05 proforma_(C) WHE Proforma with ITC cash grant 10 Yr Amort_for deferral_102809_16.37E Wild Horse Expansion DeferralRevwrkingfile SF 2" xfId="16529"/>
    <cellStyle name="_Recon to Darrin's 5.11.05 proforma_(C) WHE Proforma with ITC cash grant 10 Yr Amort_for deferral_102809_16.37E Wild Horse Expansion DeferralRevwrkingfile SF 2 2" xfId="16530"/>
    <cellStyle name="_Recon to Darrin's 5.11.05 proforma_(C) WHE Proforma with ITC cash grant 10 Yr Amort_for deferral_102809_16.37E Wild Horse Expansion DeferralRevwrkingfile SF 2 2 2" xfId="16531"/>
    <cellStyle name="_Recon to Darrin's 5.11.05 proforma_(C) WHE Proforma with ITC cash grant 10 Yr Amort_for deferral_102809_16.37E Wild Horse Expansion DeferralRevwrkingfile SF 2 2 2 2" xfId="16532"/>
    <cellStyle name="_Recon to Darrin's 5.11.05 proforma_(C) WHE Proforma with ITC cash grant 10 Yr Amort_for deferral_102809_16.37E Wild Horse Expansion DeferralRevwrkingfile SF 2 2 3" xfId="16533"/>
    <cellStyle name="_Recon to Darrin's 5.11.05 proforma_(C) WHE Proforma with ITC cash grant 10 Yr Amort_for deferral_102809_16.37E Wild Horse Expansion DeferralRevwrkingfile SF 2 3" xfId="16534"/>
    <cellStyle name="_Recon to Darrin's 5.11.05 proforma_(C) WHE Proforma with ITC cash grant 10 Yr Amort_for deferral_102809_16.37E Wild Horse Expansion DeferralRevwrkingfile SF 2 3 2" xfId="16535"/>
    <cellStyle name="_Recon to Darrin's 5.11.05 proforma_(C) WHE Proforma with ITC cash grant 10 Yr Amort_for deferral_102809_16.37E Wild Horse Expansion DeferralRevwrkingfile SF 2 4" xfId="16536"/>
    <cellStyle name="_Recon to Darrin's 5.11.05 proforma_(C) WHE Proforma with ITC cash grant 10 Yr Amort_for deferral_102809_16.37E Wild Horse Expansion DeferralRevwrkingfile SF 2 4 2" xfId="16537"/>
    <cellStyle name="_Recon to Darrin's 5.11.05 proforma_(C) WHE Proforma with ITC cash grant 10 Yr Amort_for deferral_102809_16.37E Wild Horse Expansion DeferralRevwrkingfile SF 2 5" xfId="16538"/>
    <cellStyle name="_Recon to Darrin's 5.11.05 proforma_(C) WHE Proforma with ITC cash grant 10 Yr Amort_for deferral_102809_16.37E Wild Horse Expansion DeferralRevwrkingfile SF 3" xfId="16539"/>
    <cellStyle name="_Recon to Darrin's 5.11.05 proforma_(C) WHE Proforma with ITC cash grant 10 Yr Amort_for deferral_102809_16.37E Wild Horse Expansion DeferralRevwrkingfile SF 3 2" xfId="16540"/>
    <cellStyle name="_Recon to Darrin's 5.11.05 proforma_(C) WHE Proforma with ITC cash grant 10 Yr Amort_for deferral_102809_16.37E Wild Horse Expansion DeferralRevwrkingfile SF 3 2 2" xfId="16541"/>
    <cellStyle name="_Recon to Darrin's 5.11.05 proforma_(C) WHE Proforma with ITC cash grant 10 Yr Amort_for deferral_102809_16.37E Wild Horse Expansion DeferralRevwrkingfile SF 3 3" xfId="16542"/>
    <cellStyle name="_Recon to Darrin's 5.11.05 proforma_(C) WHE Proforma with ITC cash grant 10 Yr Amort_for deferral_102809_16.37E Wild Horse Expansion DeferralRevwrkingfile SF 3 4" xfId="16543"/>
    <cellStyle name="_Recon to Darrin's 5.11.05 proforma_(C) WHE Proforma with ITC cash grant 10 Yr Amort_for deferral_102809_16.37E Wild Horse Expansion DeferralRevwrkingfile SF 4" xfId="16544"/>
    <cellStyle name="_Recon to Darrin's 5.11.05 proforma_(C) WHE Proforma with ITC cash grant 10 Yr Amort_for deferral_102809_16.37E Wild Horse Expansion DeferralRevwrkingfile SF 4 2" xfId="16545"/>
    <cellStyle name="_Recon to Darrin's 5.11.05 proforma_(C) WHE Proforma with ITC cash grant 10 Yr Amort_for deferral_102809_16.37E Wild Horse Expansion DeferralRevwrkingfile SF 4 2 2" xfId="16546"/>
    <cellStyle name="_Recon to Darrin's 5.11.05 proforma_(C) WHE Proforma with ITC cash grant 10 Yr Amort_for deferral_102809_16.37E Wild Horse Expansion DeferralRevwrkingfile SF 4 3" xfId="16547"/>
    <cellStyle name="_Recon to Darrin's 5.11.05 proforma_(C) WHE Proforma with ITC cash grant 10 Yr Amort_for deferral_102809_16.37E Wild Horse Expansion DeferralRevwrkingfile SF 5" xfId="16548"/>
    <cellStyle name="_Recon to Darrin's 5.11.05 proforma_(C) WHE Proforma with ITC cash grant 10 Yr Amort_for deferral_102809_16.37E Wild Horse Expansion DeferralRevwrkingfile SF 5 2" xfId="16549"/>
    <cellStyle name="_Recon to Darrin's 5.11.05 proforma_(C) WHE Proforma with ITC cash grant 10 Yr Amort_for deferral_102809_16.37E Wild Horse Expansion DeferralRevwrkingfile SF 6" xfId="16550"/>
    <cellStyle name="_Recon to Darrin's 5.11.05 proforma_(C) WHE Proforma with ITC cash grant 10 Yr Amort_for deferral_102809_16.37E Wild Horse Expansion DeferralRevwrkingfile SF 6 2" xfId="16551"/>
    <cellStyle name="_Recon to Darrin's 5.11.05 proforma_(C) WHE Proforma with ITC cash grant 10 Yr Amort_for deferral_102809_16.37E Wild Horse Expansion DeferralRevwrkingfile SF 7" xfId="16552"/>
    <cellStyle name="_Recon to Darrin's 5.11.05 proforma_(C) WHE Proforma with ITC cash grant 10 Yr Amort_for deferral_102809_16.37E Wild Horse Expansion DeferralRevwrkingfile SF_DEM-WP(C) ENERG10C--ctn Mid-C_042010 2010GRC" xfId="16553"/>
    <cellStyle name="_Recon to Darrin's 5.11.05 proforma_(C) WHE Proforma with ITC cash grant 10 Yr Amort_for deferral_102809_16.37E Wild Horse Expansion DeferralRevwrkingfile SF_DEM-WP(C) ENERG10C--ctn Mid-C_042010 2010GRC 2" xfId="16554"/>
    <cellStyle name="_Recon to Darrin's 5.11.05 proforma_(C) WHE Proforma with ITC cash grant 10 Yr Amort_for deferral_102809_DEM-WP(C) ENERG10C--ctn Mid-C_042010 2010GRC" xfId="16555"/>
    <cellStyle name="_Recon to Darrin's 5.11.05 proforma_(C) WHE Proforma with ITC cash grant 10 Yr Amort_for deferral_102809_DEM-WP(C) ENERG10C--ctn Mid-C_042010 2010GRC 2" xfId="16556"/>
    <cellStyle name="_Recon to Darrin's 5.11.05 proforma_(C) WHE Proforma with ITC cash grant 10 Yr Amort_for rebuttal_120709" xfId="777"/>
    <cellStyle name="_Recon to Darrin's 5.11.05 proforma_(C) WHE Proforma with ITC cash grant 10 Yr Amort_for rebuttal_120709 2" xfId="16557"/>
    <cellStyle name="_Recon to Darrin's 5.11.05 proforma_(C) WHE Proforma with ITC cash grant 10 Yr Amort_for rebuttal_120709 2 2" xfId="16558"/>
    <cellStyle name="_Recon to Darrin's 5.11.05 proforma_(C) WHE Proforma with ITC cash grant 10 Yr Amort_for rebuttal_120709 2 2 2" xfId="16559"/>
    <cellStyle name="_Recon to Darrin's 5.11.05 proforma_(C) WHE Proforma with ITC cash grant 10 Yr Amort_for rebuttal_120709 2 2 2 2" xfId="16560"/>
    <cellStyle name="_Recon to Darrin's 5.11.05 proforma_(C) WHE Proforma with ITC cash grant 10 Yr Amort_for rebuttal_120709 2 2 3" xfId="16561"/>
    <cellStyle name="_Recon to Darrin's 5.11.05 proforma_(C) WHE Proforma with ITC cash grant 10 Yr Amort_for rebuttal_120709 2 3" xfId="16562"/>
    <cellStyle name="_Recon to Darrin's 5.11.05 proforma_(C) WHE Proforma with ITC cash grant 10 Yr Amort_for rebuttal_120709 2 3 2" xfId="16563"/>
    <cellStyle name="_Recon to Darrin's 5.11.05 proforma_(C) WHE Proforma with ITC cash grant 10 Yr Amort_for rebuttal_120709 2 4" xfId="16564"/>
    <cellStyle name="_Recon to Darrin's 5.11.05 proforma_(C) WHE Proforma with ITC cash grant 10 Yr Amort_for rebuttal_120709 2 4 2" xfId="16565"/>
    <cellStyle name="_Recon to Darrin's 5.11.05 proforma_(C) WHE Proforma with ITC cash grant 10 Yr Amort_for rebuttal_120709 2 5" xfId="16566"/>
    <cellStyle name="_Recon to Darrin's 5.11.05 proforma_(C) WHE Proforma with ITC cash grant 10 Yr Amort_for rebuttal_120709 3" xfId="16567"/>
    <cellStyle name="_Recon to Darrin's 5.11.05 proforma_(C) WHE Proforma with ITC cash grant 10 Yr Amort_for rebuttal_120709 3 2" xfId="16568"/>
    <cellStyle name="_Recon to Darrin's 5.11.05 proforma_(C) WHE Proforma with ITC cash grant 10 Yr Amort_for rebuttal_120709 3 2 2" xfId="16569"/>
    <cellStyle name="_Recon to Darrin's 5.11.05 proforma_(C) WHE Proforma with ITC cash grant 10 Yr Amort_for rebuttal_120709 3 3" xfId="16570"/>
    <cellStyle name="_Recon to Darrin's 5.11.05 proforma_(C) WHE Proforma with ITC cash grant 10 Yr Amort_for rebuttal_120709 4" xfId="16571"/>
    <cellStyle name="_Recon to Darrin's 5.11.05 proforma_(C) WHE Proforma with ITC cash grant 10 Yr Amort_for rebuttal_120709 4 2" xfId="16572"/>
    <cellStyle name="_Recon to Darrin's 5.11.05 proforma_(C) WHE Proforma with ITC cash grant 10 Yr Amort_for rebuttal_120709 4 2 2" xfId="16573"/>
    <cellStyle name="_Recon to Darrin's 5.11.05 proforma_(C) WHE Proforma with ITC cash grant 10 Yr Amort_for rebuttal_120709 4 3" xfId="16574"/>
    <cellStyle name="_Recon to Darrin's 5.11.05 proforma_(C) WHE Proforma with ITC cash grant 10 Yr Amort_for rebuttal_120709 5" xfId="16575"/>
    <cellStyle name="_Recon to Darrin's 5.11.05 proforma_(C) WHE Proforma with ITC cash grant 10 Yr Amort_for rebuttal_120709 5 2" xfId="16576"/>
    <cellStyle name="_Recon to Darrin's 5.11.05 proforma_(C) WHE Proforma with ITC cash grant 10 Yr Amort_for rebuttal_120709 6" xfId="16577"/>
    <cellStyle name="_Recon to Darrin's 5.11.05 proforma_(C) WHE Proforma with ITC cash grant 10 Yr Amort_for rebuttal_120709 6 2" xfId="16578"/>
    <cellStyle name="_Recon to Darrin's 5.11.05 proforma_(C) WHE Proforma with ITC cash grant 10 Yr Amort_for rebuttal_120709 7" xfId="16579"/>
    <cellStyle name="_Recon to Darrin's 5.11.05 proforma_(C) WHE Proforma with ITC cash grant 10 Yr Amort_for rebuttal_120709_DEM-WP(C) ENERG10C--ctn Mid-C_042010 2010GRC" xfId="16580"/>
    <cellStyle name="_Recon to Darrin's 5.11.05 proforma_(C) WHE Proforma with ITC cash grant 10 Yr Amort_for rebuttal_120709_DEM-WP(C) ENERG10C--ctn Mid-C_042010 2010GRC 2" xfId="16581"/>
    <cellStyle name="_Recon to Darrin's 5.11.05 proforma_04.07E Wild Horse Wind Expansion" xfId="778"/>
    <cellStyle name="_Recon to Darrin's 5.11.05 proforma_04.07E Wild Horse Wind Expansion 2" xfId="16582"/>
    <cellStyle name="_Recon to Darrin's 5.11.05 proforma_04.07E Wild Horse Wind Expansion 2 2" xfId="16583"/>
    <cellStyle name="_Recon to Darrin's 5.11.05 proforma_04.07E Wild Horse Wind Expansion 2 2 2" xfId="16584"/>
    <cellStyle name="_Recon to Darrin's 5.11.05 proforma_04.07E Wild Horse Wind Expansion 2 2 2 2" xfId="16585"/>
    <cellStyle name="_Recon to Darrin's 5.11.05 proforma_04.07E Wild Horse Wind Expansion 2 2 3" xfId="16586"/>
    <cellStyle name="_Recon to Darrin's 5.11.05 proforma_04.07E Wild Horse Wind Expansion 2 3" xfId="16587"/>
    <cellStyle name="_Recon to Darrin's 5.11.05 proforma_04.07E Wild Horse Wind Expansion 2 3 2" xfId="16588"/>
    <cellStyle name="_Recon to Darrin's 5.11.05 proforma_04.07E Wild Horse Wind Expansion 2 4" xfId="16589"/>
    <cellStyle name="_Recon to Darrin's 5.11.05 proforma_04.07E Wild Horse Wind Expansion 2 4 2" xfId="16590"/>
    <cellStyle name="_Recon to Darrin's 5.11.05 proforma_04.07E Wild Horse Wind Expansion 2 5" xfId="16591"/>
    <cellStyle name="_Recon to Darrin's 5.11.05 proforma_04.07E Wild Horse Wind Expansion 3" xfId="16592"/>
    <cellStyle name="_Recon to Darrin's 5.11.05 proforma_04.07E Wild Horse Wind Expansion 3 2" xfId="16593"/>
    <cellStyle name="_Recon to Darrin's 5.11.05 proforma_04.07E Wild Horse Wind Expansion 3 2 2" xfId="16594"/>
    <cellStyle name="_Recon to Darrin's 5.11.05 proforma_04.07E Wild Horse Wind Expansion 3 3" xfId="16595"/>
    <cellStyle name="_Recon to Darrin's 5.11.05 proforma_04.07E Wild Horse Wind Expansion 3 4" xfId="16596"/>
    <cellStyle name="_Recon to Darrin's 5.11.05 proforma_04.07E Wild Horse Wind Expansion 4" xfId="16597"/>
    <cellStyle name="_Recon to Darrin's 5.11.05 proforma_04.07E Wild Horse Wind Expansion 4 2" xfId="16598"/>
    <cellStyle name="_Recon to Darrin's 5.11.05 proforma_04.07E Wild Horse Wind Expansion 4 2 2" xfId="16599"/>
    <cellStyle name="_Recon to Darrin's 5.11.05 proforma_04.07E Wild Horse Wind Expansion 4 3" xfId="16600"/>
    <cellStyle name="_Recon to Darrin's 5.11.05 proforma_04.07E Wild Horse Wind Expansion 5" xfId="16601"/>
    <cellStyle name="_Recon to Darrin's 5.11.05 proforma_04.07E Wild Horse Wind Expansion 5 2" xfId="16602"/>
    <cellStyle name="_Recon to Darrin's 5.11.05 proforma_04.07E Wild Horse Wind Expansion 6" xfId="16603"/>
    <cellStyle name="_Recon to Darrin's 5.11.05 proforma_04.07E Wild Horse Wind Expansion 6 2" xfId="16604"/>
    <cellStyle name="_Recon to Darrin's 5.11.05 proforma_04.07E Wild Horse Wind Expansion 7" xfId="16605"/>
    <cellStyle name="_Recon to Darrin's 5.11.05 proforma_04.07E Wild Horse Wind Expansion_16.07E Wild Horse Wind Expansionwrkingfile" xfId="779"/>
    <cellStyle name="_Recon to Darrin's 5.11.05 proforma_04.07E Wild Horse Wind Expansion_16.07E Wild Horse Wind Expansionwrkingfile 2" xfId="16606"/>
    <cellStyle name="_Recon to Darrin's 5.11.05 proforma_04.07E Wild Horse Wind Expansion_16.07E Wild Horse Wind Expansionwrkingfile 2 2" xfId="16607"/>
    <cellStyle name="_Recon to Darrin's 5.11.05 proforma_04.07E Wild Horse Wind Expansion_16.07E Wild Horse Wind Expansionwrkingfile 2 2 2" xfId="16608"/>
    <cellStyle name="_Recon to Darrin's 5.11.05 proforma_04.07E Wild Horse Wind Expansion_16.07E Wild Horse Wind Expansionwrkingfile 2 2 2 2" xfId="16609"/>
    <cellStyle name="_Recon to Darrin's 5.11.05 proforma_04.07E Wild Horse Wind Expansion_16.07E Wild Horse Wind Expansionwrkingfile 2 2 3" xfId="16610"/>
    <cellStyle name="_Recon to Darrin's 5.11.05 proforma_04.07E Wild Horse Wind Expansion_16.07E Wild Horse Wind Expansionwrkingfile 2 3" xfId="16611"/>
    <cellStyle name="_Recon to Darrin's 5.11.05 proforma_04.07E Wild Horse Wind Expansion_16.07E Wild Horse Wind Expansionwrkingfile 2 3 2" xfId="16612"/>
    <cellStyle name="_Recon to Darrin's 5.11.05 proforma_04.07E Wild Horse Wind Expansion_16.07E Wild Horse Wind Expansionwrkingfile 2 4" xfId="16613"/>
    <cellStyle name="_Recon to Darrin's 5.11.05 proforma_04.07E Wild Horse Wind Expansion_16.07E Wild Horse Wind Expansionwrkingfile 2 4 2" xfId="16614"/>
    <cellStyle name="_Recon to Darrin's 5.11.05 proforma_04.07E Wild Horse Wind Expansion_16.07E Wild Horse Wind Expansionwrkingfile 2 5" xfId="16615"/>
    <cellStyle name="_Recon to Darrin's 5.11.05 proforma_04.07E Wild Horse Wind Expansion_16.07E Wild Horse Wind Expansionwrkingfile 3" xfId="16616"/>
    <cellStyle name="_Recon to Darrin's 5.11.05 proforma_04.07E Wild Horse Wind Expansion_16.07E Wild Horse Wind Expansionwrkingfile 3 2" xfId="16617"/>
    <cellStyle name="_Recon to Darrin's 5.11.05 proforma_04.07E Wild Horse Wind Expansion_16.07E Wild Horse Wind Expansionwrkingfile 3 2 2" xfId="16618"/>
    <cellStyle name="_Recon to Darrin's 5.11.05 proforma_04.07E Wild Horse Wind Expansion_16.07E Wild Horse Wind Expansionwrkingfile 3 3" xfId="16619"/>
    <cellStyle name="_Recon to Darrin's 5.11.05 proforma_04.07E Wild Horse Wind Expansion_16.07E Wild Horse Wind Expansionwrkingfile 3 4" xfId="16620"/>
    <cellStyle name="_Recon to Darrin's 5.11.05 proforma_04.07E Wild Horse Wind Expansion_16.07E Wild Horse Wind Expansionwrkingfile 4" xfId="16621"/>
    <cellStyle name="_Recon to Darrin's 5.11.05 proforma_04.07E Wild Horse Wind Expansion_16.07E Wild Horse Wind Expansionwrkingfile 4 2" xfId="16622"/>
    <cellStyle name="_Recon to Darrin's 5.11.05 proforma_04.07E Wild Horse Wind Expansion_16.07E Wild Horse Wind Expansionwrkingfile 4 2 2" xfId="16623"/>
    <cellStyle name="_Recon to Darrin's 5.11.05 proforma_04.07E Wild Horse Wind Expansion_16.07E Wild Horse Wind Expansionwrkingfile 4 3" xfId="16624"/>
    <cellStyle name="_Recon to Darrin's 5.11.05 proforma_04.07E Wild Horse Wind Expansion_16.07E Wild Horse Wind Expansionwrkingfile 5" xfId="16625"/>
    <cellStyle name="_Recon to Darrin's 5.11.05 proforma_04.07E Wild Horse Wind Expansion_16.07E Wild Horse Wind Expansionwrkingfile 5 2" xfId="16626"/>
    <cellStyle name="_Recon to Darrin's 5.11.05 proforma_04.07E Wild Horse Wind Expansion_16.07E Wild Horse Wind Expansionwrkingfile 6" xfId="16627"/>
    <cellStyle name="_Recon to Darrin's 5.11.05 proforma_04.07E Wild Horse Wind Expansion_16.07E Wild Horse Wind Expansionwrkingfile 6 2" xfId="16628"/>
    <cellStyle name="_Recon to Darrin's 5.11.05 proforma_04.07E Wild Horse Wind Expansion_16.07E Wild Horse Wind Expansionwrkingfile 7" xfId="16629"/>
    <cellStyle name="_Recon to Darrin's 5.11.05 proforma_04.07E Wild Horse Wind Expansion_16.07E Wild Horse Wind Expansionwrkingfile SF" xfId="780"/>
    <cellStyle name="_Recon to Darrin's 5.11.05 proforma_04.07E Wild Horse Wind Expansion_16.07E Wild Horse Wind Expansionwrkingfile SF 2" xfId="16630"/>
    <cellStyle name="_Recon to Darrin's 5.11.05 proforma_04.07E Wild Horse Wind Expansion_16.07E Wild Horse Wind Expansionwrkingfile SF 2 2" xfId="16631"/>
    <cellStyle name="_Recon to Darrin's 5.11.05 proforma_04.07E Wild Horse Wind Expansion_16.07E Wild Horse Wind Expansionwrkingfile SF 2 2 2" xfId="16632"/>
    <cellStyle name="_Recon to Darrin's 5.11.05 proforma_04.07E Wild Horse Wind Expansion_16.07E Wild Horse Wind Expansionwrkingfile SF 2 2 2 2" xfId="16633"/>
    <cellStyle name="_Recon to Darrin's 5.11.05 proforma_04.07E Wild Horse Wind Expansion_16.07E Wild Horse Wind Expansionwrkingfile SF 2 2 3" xfId="16634"/>
    <cellStyle name="_Recon to Darrin's 5.11.05 proforma_04.07E Wild Horse Wind Expansion_16.07E Wild Horse Wind Expansionwrkingfile SF 2 3" xfId="16635"/>
    <cellStyle name="_Recon to Darrin's 5.11.05 proforma_04.07E Wild Horse Wind Expansion_16.07E Wild Horse Wind Expansionwrkingfile SF 2 3 2" xfId="16636"/>
    <cellStyle name="_Recon to Darrin's 5.11.05 proforma_04.07E Wild Horse Wind Expansion_16.07E Wild Horse Wind Expansionwrkingfile SF 2 4" xfId="16637"/>
    <cellStyle name="_Recon to Darrin's 5.11.05 proforma_04.07E Wild Horse Wind Expansion_16.07E Wild Horse Wind Expansionwrkingfile SF 2 4 2" xfId="16638"/>
    <cellStyle name="_Recon to Darrin's 5.11.05 proforma_04.07E Wild Horse Wind Expansion_16.07E Wild Horse Wind Expansionwrkingfile SF 2 5" xfId="16639"/>
    <cellStyle name="_Recon to Darrin's 5.11.05 proforma_04.07E Wild Horse Wind Expansion_16.07E Wild Horse Wind Expansionwrkingfile SF 3" xfId="16640"/>
    <cellStyle name="_Recon to Darrin's 5.11.05 proforma_04.07E Wild Horse Wind Expansion_16.07E Wild Horse Wind Expansionwrkingfile SF 3 2" xfId="16641"/>
    <cellStyle name="_Recon to Darrin's 5.11.05 proforma_04.07E Wild Horse Wind Expansion_16.07E Wild Horse Wind Expansionwrkingfile SF 3 2 2" xfId="16642"/>
    <cellStyle name="_Recon to Darrin's 5.11.05 proforma_04.07E Wild Horse Wind Expansion_16.07E Wild Horse Wind Expansionwrkingfile SF 3 3" xfId="16643"/>
    <cellStyle name="_Recon to Darrin's 5.11.05 proforma_04.07E Wild Horse Wind Expansion_16.07E Wild Horse Wind Expansionwrkingfile SF 3 4" xfId="16644"/>
    <cellStyle name="_Recon to Darrin's 5.11.05 proforma_04.07E Wild Horse Wind Expansion_16.07E Wild Horse Wind Expansionwrkingfile SF 4" xfId="16645"/>
    <cellStyle name="_Recon to Darrin's 5.11.05 proforma_04.07E Wild Horse Wind Expansion_16.07E Wild Horse Wind Expansionwrkingfile SF 4 2" xfId="16646"/>
    <cellStyle name="_Recon to Darrin's 5.11.05 proforma_04.07E Wild Horse Wind Expansion_16.07E Wild Horse Wind Expansionwrkingfile SF 4 2 2" xfId="16647"/>
    <cellStyle name="_Recon to Darrin's 5.11.05 proforma_04.07E Wild Horse Wind Expansion_16.07E Wild Horse Wind Expansionwrkingfile SF 4 3" xfId="16648"/>
    <cellStyle name="_Recon to Darrin's 5.11.05 proforma_04.07E Wild Horse Wind Expansion_16.07E Wild Horse Wind Expansionwrkingfile SF 5" xfId="16649"/>
    <cellStyle name="_Recon to Darrin's 5.11.05 proforma_04.07E Wild Horse Wind Expansion_16.07E Wild Horse Wind Expansionwrkingfile SF 5 2" xfId="16650"/>
    <cellStyle name="_Recon to Darrin's 5.11.05 proforma_04.07E Wild Horse Wind Expansion_16.07E Wild Horse Wind Expansionwrkingfile SF 6" xfId="16651"/>
    <cellStyle name="_Recon to Darrin's 5.11.05 proforma_04.07E Wild Horse Wind Expansion_16.07E Wild Horse Wind Expansionwrkingfile SF 6 2" xfId="16652"/>
    <cellStyle name="_Recon to Darrin's 5.11.05 proforma_04.07E Wild Horse Wind Expansion_16.07E Wild Horse Wind Expansionwrkingfile SF 7" xfId="16653"/>
    <cellStyle name="_Recon to Darrin's 5.11.05 proforma_04.07E Wild Horse Wind Expansion_16.07E Wild Horse Wind Expansionwrkingfile SF_DEM-WP(C) ENERG10C--ctn Mid-C_042010 2010GRC" xfId="16654"/>
    <cellStyle name="_Recon to Darrin's 5.11.05 proforma_04.07E Wild Horse Wind Expansion_16.07E Wild Horse Wind Expansionwrkingfile SF_DEM-WP(C) ENERG10C--ctn Mid-C_042010 2010GRC 2" xfId="16655"/>
    <cellStyle name="_Recon to Darrin's 5.11.05 proforma_04.07E Wild Horse Wind Expansion_16.07E Wild Horse Wind Expansionwrkingfile_DEM-WP(C) ENERG10C--ctn Mid-C_042010 2010GRC" xfId="16656"/>
    <cellStyle name="_Recon to Darrin's 5.11.05 proforma_04.07E Wild Horse Wind Expansion_16.07E Wild Horse Wind Expansionwrkingfile_DEM-WP(C) ENERG10C--ctn Mid-C_042010 2010GRC 2" xfId="16657"/>
    <cellStyle name="_Recon to Darrin's 5.11.05 proforma_04.07E Wild Horse Wind Expansion_16.37E Wild Horse Expansion DeferralRevwrkingfile SF" xfId="781"/>
    <cellStyle name="_Recon to Darrin's 5.11.05 proforma_04.07E Wild Horse Wind Expansion_16.37E Wild Horse Expansion DeferralRevwrkingfile SF 2" xfId="16658"/>
    <cellStyle name="_Recon to Darrin's 5.11.05 proforma_04.07E Wild Horse Wind Expansion_16.37E Wild Horse Expansion DeferralRevwrkingfile SF 2 2" xfId="16659"/>
    <cellStyle name="_Recon to Darrin's 5.11.05 proforma_04.07E Wild Horse Wind Expansion_16.37E Wild Horse Expansion DeferralRevwrkingfile SF 2 2 2" xfId="16660"/>
    <cellStyle name="_Recon to Darrin's 5.11.05 proforma_04.07E Wild Horse Wind Expansion_16.37E Wild Horse Expansion DeferralRevwrkingfile SF 2 2 2 2" xfId="16661"/>
    <cellStyle name="_Recon to Darrin's 5.11.05 proforma_04.07E Wild Horse Wind Expansion_16.37E Wild Horse Expansion DeferralRevwrkingfile SF 2 2 3" xfId="16662"/>
    <cellStyle name="_Recon to Darrin's 5.11.05 proforma_04.07E Wild Horse Wind Expansion_16.37E Wild Horse Expansion DeferralRevwrkingfile SF 2 3" xfId="16663"/>
    <cellStyle name="_Recon to Darrin's 5.11.05 proforma_04.07E Wild Horse Wind Expansion_16.37E Wild Horse Expansion DeferralRevwrkingfile SF 2 3 2" xfId="16664"/>
    <cellStyle name="_Recon to Darrin's 5.11.05 proforma_04.07E Wild Horse Wind Expansion_16.37E Wild Horse Expansion DeferralRevwrkingfile SF 2 4" xfId="16665"/>
    <cellStyle name="_Recon to Darrin's 5.11.05 proforma_04.07E Wild Horse Wind Expansion_16.37E Wild Horse Expansion DeferralRevwrkingfile SF 2 4 2" xfId="16666"/>
    <cellStyle name="_Recon to Darrin's 5.11.05 proforma_04.07E Wild Horse Wind Expansion_16.37E Wild Horse Expansion DeferralRevwrkingfile SF 2 5" xfId="16667"/>
    <cellStyle name="_Recon to Darrin's 5.11.05 proforma_04.07E Wild Horse Wind Expansion_16.37E Wild Horse Expansion DeferralRevwrkingfile SF 3" xfId="16668"/>
    <cellStyle name="_Recon to Darrin's 5.11.05 proforma_04.07E Wild Horse Wind Expansion_16.37E Wild Horse Expansion DeferralRevwrkingfile SF 3 2" xfId="16669"/>
    <cellStyle name="_Recon to Darrin's 5.11.05 proforma_04.07E Wild Horse Wind Expansion_16.37E Wild Horse Expansion DeferralRevwrkingfile SF 3 2 2" xfId="16670"/>
    <cellStyle name="_Recon to Darrin's 5.11.05 proforma_04.07E Wild Horse Wind Expansion_16.37E Wild Horse Expansion DeferralRevwrkingfile SF 3 3" xfId="16671"/>
    <cellStyle name="_Recon to Darrin's 5.11.05 proforma_04.07E Wild Horse Wind Expansion_16.37E Wild Horse Expansion DeferralRevwrkingfile SF 3 4" xfId="16672"/>
    <cellStyle name="_Recon to Darrin's 5.11.05 proforma_04.07E Wild Horse Wind Expansion_16.37E Wild Horse Expansion DeferralRevwrkingfile SF 4" xfId="16673"/>
    <cellStyle name="_Recon to Darrin's 5.11.05 proforma_04.07E Wild Horse Wind Expansion_16.37E Wild Horse Expansion DeferralRevwrkingfile SF 4 2" xfId="16674"/>
    <cellStyle name="_Recon to Darrin's 5.11.05 proforma_04.07E Wild Horse Wind Expansion_16.37E Wild Horse Expansion DeferralRevwrkingfile SF 4 2 2" xfId="16675"/>
    <cellStyle name="_Recon to Darrin's 5.11.05 proforma_04.07E Wild Horse Wind Expansion_16.37E Wild Horse Expansion DeferralRevwrkingfile SF 4 3" xfId="16676"/>
    <cellStyle name="_Recon to Darrin's 5.11.05 proforma_04.07E Wild Horse Wind Expansion_16.37E Wild Horse Expansion DeferralRevwrkingfile SF 5" xfId="16677"/>
    <cellStyle name="_Recon to Darrin's 5.11.05 proforma_04.07E Wild Horse Wind Expansion_16.37E Wild Horse Expansion DeferralRevwrkingfile SF 5 2" xfId="16678"/>
    <cellStyle name="_Recon to Darrin's 5.11.05 proforma_04.07E Wild Horse Wind Expansion_16.37E Wild Horse Expansion DeferralRevwrkingfile SF 6" xfId="16679"/>
    <cellStyle name="_Recon to Darrin's 5.11.05 proforma_04.07E Wild Horse Wind Expansion_16.37E Wild Horse Expansion DeferralRevwrkingfile SF 6 2" xfId="16680"/>
    <cellStyle name="_Recon to Darrin's 5.11.05 proforma_04.07E Wild Horse Wind Expansion_16.37E Wild Horse Expansion DeferralRevwrkingfile SF 7" xfId="16681"/>
    <cellStyle name="_Recon to Darrin's 5.11.05 proforma_04.07E Wild Horse Wind Expansion_16.37E Wild Horse Expansion DeferralRevwrkingfile SF_DEM-WP(C) ENERG10C--ctn Mid-C_042010 2010GRC" xfId="16682"/>
    <cellStyle name="_Recon to Darrin's 5.11.05 proforma_04.07E Wild Horse Wind Expansion_16.37E Wild Horse Expansion DeferralRevwrkingfile SF_DEM-WP(C) ENERG10C--ctn Mid-C_042010 2010GRC 2" xfId="16683"/>
    <cellStyle name="_Recon to Darrin's 5.11.05 proforma_04.07E Wild Horse Wind Expansion_DEM-WP(C) ENERG10C--ctn Mid-C_042010 2010GRC" xfId="16684"/>
    <cellStyle name="_Recon to Darrin's 5.11.05 proforma_04.07E Wild Horse Wind Expansion_DEM-WP(C) ENERG10C--ctn Mid-C_042010 2010GRC 2" xfId="16685"/>
    <cellStyle name="_Recon to Darrin's 5.11.05 proforma_16.07E Wild Horse Wind Expansionwrkingfile" xfId="782"/>
    <cellStyle name="_Recon to Darrin's 5.11.05 proforma_16.07E Wild Horse Wind Expansionwrkingfile 2" xfId="16686"/>
    <cellStyle name="_Recon to Darrin's 5.11.05 proforma_16.07E Wild Horse Wind Expansionwrkingfile 2 2" xfId="16687"/>
    <cellStyle name="_Recon to Darrin's 5.11.05 proforma_16.07E Wild Horse Wind Expansionwrkingfile 2 2 2" xfId="16688"/>
    <cellStyle name="_Recon to Darrin's 5.11.05 proforma_16.07E Wild Horse Wind Expansionwrkingfile 2 2 2 2" xfId="16689"/>
    <cellStyle name="_Recon to Darrin's 5.11.05 proforma_16.07E Wild Horse Wind Expansionwrkingfile 2 2 3" xfId="16690"/>
    <cellStyle name="_Recon to Darrin's 5.11.05 proforma_16.07E Wild Horse Wind Expansionwrkingfile 2 3" xfId="16691"/>
    <cellStyle name="_Recon to Darrin's 5.11.05 proforma_16.07E Wild Horse Wind Expansionwrkingfile 2 3 2" xfId="16692"/>
    <cellStyle name="_Recon to Darrin's 5.11.05 proforma_16.07E Wild Horse Wind Expansionwrkingfile 2 4" xfId="16693"/>
    <cellStyle name="_Recon to Darrin's 5.11.05 proforma_16.07E Wild Horse Wind Expansionwrkingfile 2 4 2" xfId="16694"/>
    <cellStyle name="_Recon to Darrin's 5.11.05 proforma_16.07E Wild Horse Wind Expansionwrkingfile 2 5" xfId="16695"/>
    <cellStyle name="_Recon to Darrin's 5.11.05 proforma_16.07E Wild Horse Wind Expansionwrkingfile 3" xfId="16696"/>
    <cellStyle name="_Recon to Darrin's 5.11.05 proforma_16.07E Wild Horse Wind Expansionwrkingfile 3 2" xfId="16697"/>
    <cellStyle name="_Recon to Darrin's 5.11.05 proforma_16.07E Wild Horse Wind Expansionwrkingfile 3 2 2" xfId="16698"/>
    <cellStyle name="_Recon to Darrin's 5.11.05 proforma_16.07E Wild Horse Wind Expansionwrkingfile 3 3" xfId="16699"/>
    <cellStyle name="_Recon to Darrin's 5.11.05 proforma_16.07E Wild Horse Wind Expansionwrkingfile 3 4" xfId="16700"/>
    <cellStyle name="_Recon to Darrin's 5.11.05 proforma_16.07E Wild Horse Wind Expansionwrkingfile 4" xfId="16701"/>
    <cellStyle name="_Recon to Darrin's 5.11.05 proforma_16.07E Wild Horse Wind Expansionwrkingfile 4 2" xfId="16702"/>
    <cellStyle name="_Recon to Darrin's 5.11.05 proforma_16.07E Wild Horse Wind Expansionwrkingfile 4 2 2" xfId="16703"/>
    <cellStyle name="_Recon to Darrin's 5.11.05 proforma_16.07E Wild Horse Wind Expansionwrkingfile 4 3" xfId="16704"/>
    <cellStyle name="_Recon to Darrin's 5.11.05 proforma_16.07E Wild Horse Wind Expansionwrkingfile 5" xfId="16705"/>
    <cellStyle name="_Recon to Darrin's 5.11.05 proforma_16.07E Wild Horse Wind Expansionwrkingfile 5 2" xfId="16706"/>
    <cellStyle name="_Recon to Darrin's 5.11.05 proforma_16.07E Wild Horse Wind Expansionwrkingfile 6" xfId="16707"/>
    <cellStyle name="_Recon to Darrin's 5.11.05 proforma_16.07E Wild Horse Wind Expansionwrkingfile 6 2" xfId="16708"/>
    <cellStyle name="_Recon to Darrin's 5.11.05 proforma_16.07E Wild Horse Wind Expansionwrkingfile 7" xfId="16709"/>
    <cellStyle name="_Recon to Darrin's 5.11.05 proforma_16.07E Wild Horse Wind Expansionwrkingfile SF" xfId="783"/>
    <cellStyle name="_Recon to Darrin's 5.11.05 proforma_16.07E Wild Horse Wind Expansionwrkingfile SF 2" xfId="16710"/>
    <cellStyle name="_Recon to Darrin's 5.11.05 proforma_16.07E Wild Horse Wind Expansionwrkingfile SF 2 2" xfId="16711"/>
    <cellStyle name="_Recon to Darrin's 5.11.05 proforma_16.07E Wild Horse Wind Expansionwrkingfile SF 2 2 2" xfId="16712"/>
    <cellStyle name="_Recon to Darrin's 5.11.05 proforma_16.07E Wild Horse Wind Expansionwrkingfile SF 2 2 2 2" xfId="16713"/>
    <cellStyle name="_Recon to Darrin's 5.11.05 proforma_16.07E Wild Horse Wind Expansionwrkingfile SF 2 2 3" xfId="16714"/>
    <cellStyle name="_Recon to Darrin's 5.11.05 proforma_16.07E Wild Horse Wind Expansionwrkingfile SF 2 3" xfId="16715"/>
    <cellStyle name="_Recon to Darrin's 5.11.05 proforma_16.07E Wild Horse Wind Expansionwrkingfile SF 2 3 2" xfId="16716"/>
    <cellStyle name="_Recon to Darrin's 5.11.05 proforma_16.07E Wild Horse Wind Expansionwrkingfile SF 2 4" xfId="16717"/>
    <cellStyle name="_Recon to Darrin's 5.11.05 proforma_16.07E Wild Horse Wind Expansionwrkingfile SF 2 4 2" xfId="16718"/>
    <cellStyle name="_Recon to Darrin's 5.11.05 proforma_16.07E Wild Horse Wind Expansionwrkingfile SF 2 5" xfId="16719"/>
    <cellStyle name="_Recon to Darrin's 5.11.05 proforma_16.07E Wild Horse Wind Expansionwrkingfile SF 3" xfId="16720"/>
    <cellStyle name="_Recon to Darrin's 5.11.05 proforma_16.07E Wild Horse Wind Expansionwrkingfile SF 3 2" xfId="16721"/>
    <cellStyle name="_Recon to Darrin's 5.11.05 proforma_16.07E Wild Horse Wind Expansionwrkingfile SF 3 2 2" xfId="16722"/>
    <cellStyle name="_Recon to Darrin's 5.11.05 proforma_16.07E Wild Horse Wind Expansionwrkingfile SF 3 3" xfId="16723"/>
    <cellStyle name="_Recon to Darrin's 5.11.05 proforma_16.07E Wild Horse Wind Expansionwrkingfile SF 3 4" xfId="16724"/>
    <cellStyle name="_Recon to Darrin's 5.11.05 proforma_16.07E Wild Horse Wind Expansionwrkingfile SF 4" xfId="16725"/>
    <cellStyle name="_Recon to Darrin's 5.11.05 proforma_16.07E Wild Horse Wind Expansionwrkingfile SF 4 2" xfId="16726"/>
    <cellStyle name="_Recon to Darrin's 5.11.05 proforma_16.07E Wild Horse Wind Expansionwrkingfile SF 4 2 2" xfId="16727"/>
    <cellStyle name="_Recon to Darrin's 5.11.05 proforma_16.07E Wild Horse Wind Expansionwrkingfile SF 4 3" xfId="16728"/>
    <cellStyle name="_Recon to Darrin's 5.11.05 proforma_16.07E Wild Horse Wind Expansionwrkingfile SF 5" xfId="16729"/>
    <cellStyle name="_Recon to Darrin's 5.11.05 proforma_16.07E Wild Horse Wind Expansionwrkingfile SF 5 2" xfId="16730"/>
    <cellStyle name="_Recon to Darrin's 5.11.05 proforma_16.07E Wild Horse Wind Expansionwrkingfile SF 6" xfId="16731"/>
    <cellStyle name="_Recon to Darrin's 5.11.05 proforma_16.07E Wild Horse Wind Expansionwrkingfile SF 6 2" xfId="16732"/>
    <cellStyle name="_Recon to Darrin's 5.11.05 proforma_16.07E Wild Horse Wind Expansionwrkingfile SF 7" xfId="16733"/>
    <cellStyle name="_Recon to Darrin's 5.11.05 proforma_16.07E Wild Horse Wind Expansionwrkingfile SF_DEM-WP(C) ENERG10C--ctn Mid-C_042010 2010GRC" xfId="16734"/>
    <cellStyle name="_Recon to Darrin's 5.11.05 proforma_16.07E Wild Horse Wind Expansionwrkingfile SF_DEM-WP(C) ENERG10C--ctn Mid-C_042010 2010GRC 2" xfId="16735"/>
    <cellStyle name="_Recon to Darrin's 5.11.05 proforma_16.07E Wild Horse Wind Expansionwrkingfile_DEM-WP(C) ENERG10C--ctn Mid-C_042010 2010GRC" xfId="16736"/>
    <cellStyle name="_Recon to Darrin's 5.11.05 proforma_16.07E Wild Horse Wind Expansionwrkingfile_DEM-WP(C) ENERG10C--ctn Mid-C_042010 2010GRC 2" xfId="16737"/>
    <cellStyle name="_Recon to Darrin's 5.11.05 proforma_16.37E Wild Horse Expansion DeferralRevwrkingfile SF" xfId="784"/>
    <cellStyle name="_Recon to Darrin's 5.11.05 proforma_16.37E Wild Horse Expansion DeferralRevwrkingfile SF 2" xfId="16738"/>
    <cellStyle name="_Recon to Darrin's 5.11.05 proforma_16.37E Wild Horse Expansion DeferralRevwrkingfile SF 2 2" xfId="16739"/>
    <cellStyle name="_Recon to Darrin's 5.11.05 proforma_16.37E Wild Horse Expansion DeferralRevwrkingfile SF 2 2 2" xfId="16740"/>
    <cellStyle name="_Recon to Darrin's 5.11.05 proforma_16.37E Wild Horse Expansion DeferralRevwrkingfile SF 2 2 2 2" xfId="16741"/>
    <cellStyle name="_Recon to Darrin's 5.11.05 proforma_16.37E Wild Horse Expansion DeferralRevwrkingfile SF 2 2 3" xfId="16742"/>
    <cellStyle name="_Recon to Darrin's 5.11.05 proforma_16.37E Wild Horse Expansion DeferralRevwrkingfile SF 2 3" xfId="16743"/>
    <cellStyle name="_Recon to Darrin's 5.11.05 proforma_16.37E Wild Horse Expansion DeferralRevwrkingfile SF 2 3 2" xfId="16744"/>
    <cellStyle name="_Recon to Darrin's 5.11.05 proforma_16.37E Wild Horse Expansion DeferralRevwrkingfile SF 2 4" xfId="16745"/>
    <cellStyle name="_Recon to Darrin's 5.11.05 proforma_16.37E Wild Horse Expansion DeferralRevwrkingfile SF 2 4 2" xfId="16746"/>
    <cellStyle name="_Recon to Darrin's 5.11.05 proforma_16.37E Wild Horse Expansion DeferralRevwrkingfile SF 2 5" xfId="16747"/>
    <cellStyle name="_Recon to Darrin's 5.11.05 proforma_16.37E Wild Horse Expansion DeferralRevwrkingfile SF 3" xfId="16748"/>
    <cellStyle name="_Recon to Darrin's 5.11.05 proforma_16.37E Wild Horse Expansion DeferralRevwrkingfile SF 3 2" xfId="16749"/>
    <cellStyle name="_Recon to Darrin's 5.11.05 proforma_16.37E Wild Horse Expansion DeferralRevwrkingfile SF 3 2 2" xfId="16750"/>
    <cellStyle name="_Recon to Darrin's 5.11.05 proforma_16.37E Wild Horse Expansion DeferralRevwrkingfile SF 3 3" xfId="16751"/>
    <cellStyle name="_Recon to Darrin's 5.11.05 proforma_16.37E Wild Horse Expansion DeferralRevwrkingfile SF 3 4" xfId="16752"/>
    <cellStyle name="_Recon to Darrin's 5.11.05 proforma_16.37E Wild Horse Expansion DeferralRevwrkingfile SF 4" xfId="16753"/>
    <cellStyle name="_Recon to Darrin's 5.11.05 proforma_16.37E Wild Horse Expansion DeferralRevwrkingfile SF 4 2" xfId="16754"/>
    <cellStyle name="_Recon to Darrin's 5.11.05 proforma_16.37E Wild Horse Expansion DeferralRevwrkingfile SF 4 2 2" xfId="16755"/>
    <cellStyle name="_Recon to Darrin's 5.11.05 proforma_16.37E Wild Horse Expansion DeferralRevwrkingfile SF 4 3" xfId="16756"/>
    <cellStyle name="_Recon to Darrin's 5.11.05 proforma_16.37E Wild Horse Expansion DeferralRevwrkingfile SF 5" xfId="16757"/>
    <cellStyle name="_Recon to Darrin's 5.11.05 proforma_16.37E Wild Horse Expansion DeferralRevwrkingfile SF 5 2" xfId="16758"/>
    <cellStyle name="_Recon to Darrin's 5.11.05 proforma_16.37E Wild Horse Expansion DeferralRevwrkingfile SF 6" xfId="16759"/>
    <cellStyle name="_Recon to Darrin's 5.11.05 proforma_16.37E Wild Horse Expansion DeferralRevwrkingfile SF 6 2" xfId="16760"/>
    <cellStyle name="_Recon to Darrin's 5.11.05 proforma_16.37E Wild Horse Expansion DeferralRevwrkingfile SF 7" xfId="16761"/>
    <cellStyle name="_Recon to Darrin's 5.11.05 proforma_16.37E Wild Horse Expansion DeferralRevwrkingfile SF_DEM-WP(C) ENERG10C--ctn Mid-C_042010 2010GRC" xfId="16762"/>
    <cellStyle name="_Recon to Darrin's 5.11.05 proforma_16.37E Wild Horse Expansion DeferralRevwrkingfile SF_DEM-WP(C) ENERG10C--ctn Mid-C_042010 2010GRC 2" xfId="16763"/>
    <cellStyle name="_Recon to Darrin's 5.11.05 proforma_2009 Compliance Filing PCA Exhibits for GRC" xfId="16764"/>
    <cellStyle name="_Recon to Darrin's 5.11.05 proforma_2009 Compliance Filing PCA Exhibits for GRC 2" xfId="16765"/>
    <cellStyle name="_Recon to Darrin's 5.11.05 proforma_2009 Compliance Filing PCA Exhibits for GRC 2 2" xfId="16766"/>
    <cellStyle name="_Recon to Darrin's 5.11.05 proforma_2009 Compliance Filing PCA Exhibits for GRC 3" xfId="16767"/>
    <cellStyle name="_Recon to Darrin's 5.11.05 proforma_2009 GRC Compl Filing - Exhibit D" xfId="16768"/>
    <cellStyle name="_Recon to Darrin's 5.11.05 proforma_2009 GRC Compl Filing - Exhibit D 2" xfId="16769"/>
    <cellStyle name="_Recon to Darrin's 5.11.05 proforma_2009 GRC Compl Filing - Exhibit D 2 2" xfId="16770"/>
    <cellStyle name="_Recon to Darrin's 5.11.05 proforma_2009 GRC Compl Filing - Exhibit D 2 2 2" xfId="16771"/>
    <cellStyle name="_Recon to Darrin's 5.11.05 proforma_2009 GRC Compl Filing - Exhibit D 2 2 2 2" xfId="16772"/>
    <cellStyle name="_Recon to Darrin's 5.11.05 proforma_2009 GRC Compl Filing - Exhibit D 2 3" xfId="16773"/>
    <cellStyle name="_Recon to Darrin's 5.11.05 proforma_2009 GRC Compl Filing - Exhibit D 2 3 2" xfId="16774"/>
    <cellStyle name="_Recon to Darrin's 5.11.05 proforma_2009 GRC Compl Filing - Exhibit D 2 4" xfId="16775"/>
    <cellStyle name="_Recon to Darrin's 5.11.05 proforma_2009 GRC Compl Filing - Exhibit D 2 4 2" xfId="16776"/>
    <cellStyle name="_Recon to Darrin's 5.11.05 proforma_2009 GRC Compl Filing - Exhibit D 2 5" xfId="16777"/>
    <cellStyle name="_Recon to Darrin's 5.11.05 proforma_2009 GRC Compl Filing - Exhibit D 3" xfId="16778"/>
    <cellStyle name="_Recon to Darrin's 5.11.05 proforma_2009 GRC Compl Filing - Exhibit D 3 2" xfId="16779"/>
    <cellStyle name="_Recon to Darrin's 5.11.05 proforma_2009 GRC Compl Filing - Exhibit D 3 2 2" xfId="16780"/>
    <cellStyle name="_Recon to Darrin's 5.11.05 proforma_2009 GRC Compl Filing - Exhibit D 3 3" xfId="16781"/>
    <cellStyle name="_Recon to Darrin's 5.11.05 proforma_2009 GRC Compl Filing - Exhibit D 4" xfId="16782"/>
    <cellStyle name="_Recon to Darrin's 5.11.05 proforma_2009 GRC Compl Filing - Exhibit D 4 2" xfId="16783"/>
    <cellStyle name="_Recon to Darrin's 5.11.05 proforma_2009 GRC Compl Filing - Exhibit D 4 2 2" xfId="16784"/>
    <cellStyle name="_Recon to Darrin's 5.11.05 proforma_2009 GRC Compl Filing - Exhibit D 4 3" xfId="16785"/>
    <cellStyle name="_Recon to Darrin's 5.11.05 proforma_2009 GRC Compl Filing - Exhibit D 5" xfId="16786"/>
    <cellStyle name="_Recon to Darrin's 5.11.05 proforma_2009 GRC Compl Filing - Exhibit D 5 2" xfId="16787"/>
    <cellStyle name="_Recon to Darrin's 5.11.05 proforma_2009 GRC Compl Filing - Exhibit D 6" xfId="16788"/>
    <cellStyle name="_Recon to Darrin's 5.11.05 proforma_2009 GRC Compl Filing - Exhibit D 6 2" xfId="16789"/>
    <cellStyle name="_Recon to Darrin's 5.11.05 proforma_2009 GRC Compl Filing - Exhibit D 7" xfId="16790"/>
    <cellStyle name="_Recon to Darrin's 5.11.05 proforma_2009 GRC Compl Filing - Exhibit D_DEM-WP(C) ENERG10C--ctn Mid-C_042010 2010GRC" xfId="16791"/>
    <cellStyle name="_Recon to Darrin's 5.11.05 proforma_2009 GRC Compl Filing - Exhibit D_DEM-WP(C) ENERG10C--ctn Mid-C_042010 2010GRC 2" xfId="16792"/>
    <cellStyle name="_Recon to Darrin's 5.11.05 proforma_3.01 Income Statement" xfId="785"/>
    <cellStyle name="_Recon to Darrin's 5.11.05 proforma_4 31 Regulatory Assets and Liabilities  7 06- Exhibit D" xfId="786"/>
    <cellStyle name="_Recon to Darrin's 5.11.05 proforma_4 31 Regulatory Assets and Liabilities  7 06- Exhibit D 2" xfId="16793"/>
    <cellStyle name="_Recon to Darrin's 5.11.05 proforma_4 31 Regulatory Assets and Liabilities  7 06- Exhibit D 2 2" xfId="16794"/>
    <cellStyle name="_Recon to Darrin's 5.11.05 proforma_4 31 Regulatory Assets and Liabilities  7 06- Exhibit D 2 2 2" xfId="16795"/>
    <cellStyle name="_Recon to Darrin's 5.11.05 proforma_4 31 Regulatory Assets and Liabilities  7 06- Exhibit D 2 2 2 2" xfId="16796"/>
    <cellStyle name="_Recon to Darrin's 5.11.05 proforma_4 31 Regulatory Assets and Liabilities  7 06- Exhibit D 2 2 3" xfId="16797"/>
    <cellStyle name="_Recon to Darrin's 5.11.05 proforma_4 31 Regulatory Assets and Liabilities  7 06- Exhibit D 2 2 4" xfId="16798"/>
    <cellStyle name="_Recon to Darrin's 5.11.05 proforma_4 31 Regulatory Assets and Liabilities  7 06- Exhibit D 2 3" xfId="16799"/>
    <cellStyle name="_Recon to Darrin's 5.11.05 proforma_4 31 Regulatory Assets and Liabilities  7 06- Exhibit D 2 3 2" xfId="16800"/>
    <cellStyle name="_Recon to Darrin's 5.11.05 proforma_4 31 Regulatory Assets and Liabilities  7 06- Exhibit D 2 3 2 2" xfId="16801"/>
    <cellStyle name="_Recon to Darrin's 5.11.05 proforma_4 31 Regulatory Assets and Liabilities  7 06- Exhibit D 2 3 3" xfId="16802"/>
    <cellStyle name="_Recon to Darrin's 5.11.05 proforma_4 31 Regulatory Assets and Liabilities  7 06- Exhibit D 2 4" xfId="16803"/>
    <cellStyle name="_Recon to Darrin's 5.11.05 proforma_4 31 Regulatory Assets and Liabilities  7 06- Exhibit D 2 4 2" xfId="16804"/>
    <cellStyle name="_Recon to Darrin's 5.11.05 proforma_4 31 Regulatory Assets and Liabilities  7 06- Exhibit D 2 5" xfId="16805"/>
    <cellStyle name="_Recon to Darrin's 5.11.05 proforma_4 31 Regulatory Assets and Liabilities  7 06- Exhibit D 2 5 2" xfId="16806"/>
    <cellStyle name="_Recon to Darrin's 5.11.05 proforma_4 31 Regulatory Assets and Liabilities  7 06- Exhibit D 2 6" xfId="16807"/>
    <cellStyle name="_Recon to Darrin's 5.11.05 proforma_4 31 Regulatory Assets and Liabilities  7 06- Exhibit D 3" xfId="16808"/>
    <cellStyle name="_Recon to Darrin's 5.11.05 proforma_4 31 Regulatory Assets and Liabilities  7 06- Exhibit D 3 2" xfId="16809"/>
    <cellStyle name="_Recon to Darrin's 5.11.05 proforma_4 31 Regulatory Assets and Liabilities  7 06- Exhibit D 3 2 2" xfId="16810"/>
    <cellStyle name="_Recon to Darrin's 5.11.05 proforma_4 31 Regulatory Assets and Liabilities  7 06- Exhibit D 3 3" xfId="16811"/>
    <cellStyle name="_Recon to Darrin's 5.11.05 proforma_4 31 Regulatory Assets and Liabilities  7 06- Exhibit D 3 4" xfId="16812"/>
    <cellStyle name="_Recon to Darrin's 5.11.05 proforma_4 31 Regulatory Assets and Liabilities  7 06- Exhibit D 4" xfId="16813"/>
    <cellStyle name="_Recon to Darrin's 5.11.05 proforma_4 31 Regulatory Assets and Liabilities  7 06- Exhibit D 4 2" xfId="16814"/>
    <cellStyle name="_Recon to Darrin's 5.11.05 proforma_4 31 Regulatory Assets and Liabilities  7 06- Exhibit D 4 2 2" xfId="16815"/>
    <cellStyle name="_Recon to Darrin's 5.11.05 proforma_4 31 Regulatory Assets and Liabilities  7 06- Exhibit D 4 3" xfId="16816"/>
    <cellStyle name="_Recon to Darrin's 5.11.05 proforma_4 31 Regulatory Assets and Liabilities  7 06- Exhibit D 5" xfId="16817"/>
    <cellStyle name="_Recon to Darrin's 5.11.05 proforma_4 31 Regulatory Assets and Liabilities  7 06- Exhibit D 5 2" xfId="16818"/>
    <cellStyle name="_Recon to Darrin's 5.11.05 proforma_4 31 Regulatory Assets and Liabilities  7 06- Exhibit D 6" xfId="16819"/>
    <cellStyle name="_Recon to Darrin's 5.11.05 proforma_4 31 Regulatory Assets and Liabilities  7 06- Exhibit D 6 2" xfId="16820"/>
    <cellStyle name="_Recon to Darrin's 5.11.05 proforma_4 31 Regulatory Assets and Liabilities  7 06- Exhibit D 7" xfId="16821"/>
    <cellStyle name="_Recon to Darrin's 5.11.05 proforma_4 31 Regulatory Assets and Liabilities  7 06- Exhibit D_DEM-WP(C) ENERG10C--ctn Mid-C_042010 2010GRC" xfId="16822"/>
    <cellStyle name="_Recon to Darrin's 5.11.05 proforma_4 31 Regulatory Assets and Liabilities  7 06- Exhibit D_DEM-WP(C) ENERG10C--ctn Mid-C_042010 2010GRC 2" xfId="16823"/>
    <cellStyle name="_Recon to Darrin's 5.11.05 proforma_4 31 Regulatory Assets and Liabilities  7 06- Exhibit D_NIM Summary" xfId="16824"/>
    <cellStyle name="_Recon to Darrin's 5.11.05 proforma_4 31 Regulatory Assets and Liabilities  7 06- Exhibit D_NIM Summary 2" xfId="16825"/>
    <cellStyle name="_Recon to Darrin's 5.11.05 proforma_4 31 Regulatory Assets and Liabilities  7 06- Exhibit D_NIM Summary 2 2" xfId="16826"/>
    <cellStyle name="_Recon to Darrin's 5.11.05 proforma_4 31 Regulatory Assets and Liabilities  7 06- Exhibit D_NIM Summary 2 2 2" xfId="16827"/>
    <cellStyle name="_Recon to Darrin's 5.11.05 proforma_4 31 Regulatory Assets and Liabilities  7 06- Exhibit D_NIM Summary 2 2 2 2" xfId="16828"/>
    <cellStyle name="_Recon to Darrin's 5.11.05 proforma_4 31 Regulatory Assets and Liabilities  7 06- Exhibit D_NIM Summary 2 3" xfId="16829"/>
    <cellStyle name="_Recon to Darrin's 5.11.05 proforma_4 31 Regulatory Assets and Liabilities  7 06- Exhibit D_NIM Summary 2 3 2" xfId="16830"/>
    <cellStyle name="_Recon to Darrin's 5.11.05 proforma_4 31 Regulatory Assets and Liabilities  7 06- Exhibit D_NIM Summary 2 4" xfId="16831"/>
    <cellStyle name="_Recon to Darrin's 5.11.05 proforma_4 31 Regulatory Assets and Liabilities  7 06- Exhibit D_NIM Summary 2 4 2" xfId="16832"/>
    <cellStyle name="_Recon to Darrin's 5.11.05 proforma_4 31 Regulatory Assets and Liabilities  7 06- Exhibit D_NIM Summary 2 5" xfId="16833"/>
    <cellStyle name="_Recon to Darrin's 5.11.05 proforma_4 31 Regulatory Assets and Liabilities  7 06- Exhibit D_NIM Summary 3" xfId="16834"/>
    <cellStyle name="_Recon to Darrin's 5.11.05 proforma_4 31 Regulatory Assets and Liabilities  7 06- Exhibit D_NIM Summary 3 2" xfId="16835"/>
    <cellStyle name="_Recon to Darrin's 5.11.05 proforma_4 31 Regulatory Assets and Liabilities  7 06- Exhibit D_NIM Summary 3 2 2" xfId="16836"/>
    <cellStyle name="_Recon to Darrin's 5.11.05 proforma_4 31 Regulatory Assets and Liabilities  7 06- Exhibit D_NIM Summary 3 3" xfId="16837"/>
    <cellStyle name="_Recon to Darrin's 5.11.05 proforma_4 31 Regulatory Assets and Liabilities  7 06- Exhibit D_NIM Summary 4" xfId="16838"/>
    <cellStyle name="_Recon to Darrin's 5.11.05 proforma_4 31 Regulatory Assets and Liabilities  7 06- Exhibit D_NIM Summary 4 2" xfId="16839"/>
    <cellStyle name="_Recon to Darrin's 5.11.05 proforma_4 31 Regulatory Assets and Liabilities  7 06- Exhibit D_NIM Summary 4 2 2" xfId="16840"/>
    <cellStyle name="_Recon to Darrin's 5.11.05 proforma_4 31 Regulatory Assets and Liabilities  7 06- Exhibit D_NIM Summary 4 3" xfId="16841"/>
    <cellStyle name="_Recon to Darrin's 5.11.05 proforma_4 31 Regulatory Assets and Liabilities  7 06- Exhibit D_NIM Summary 5" xfId="16842"/>
    <cellStyle name="_Recon to Darrin's 5.11.05 proforma_4 31 Regulatory Assets and Liabilities  7 06- Exhibit D_NIM Summary 5 2" xfId="16843"/>
    <cellStyle name="_Recon to Darrin's 5.11.05 proforma_4 31 Regulatory Assets and Liabilities  7 06- Exhibit D_NIM Summary 6" xfId="16844"/>
    <cellStyle name="_Recon to Darrin's 5.11.05 proforma_4 31 Regulatory Assets and Liabilities  7 06- Exhibit D_NIM Summary 6 2" xfId="16845"/>
    <cellStyle name="_Recon to Darrin's 5.11.05 proforma_4 31 Regulatory Assets and Liabilities  7 06- Exhibit D_NIM Summary 7" xfId="16846"/>
    <cellStyle name="_Recon to Darrin's 5.11.05 proforma_4 31 Regulatory Assets and Liabilities  7 06- Exhibit D_NIM Summary_DEM-WP(C) ENERG10C--ctn Mid-C_042010 2010GRC" xfId="16847"/>
    <cellStyle name="_Recon to Darrin's 5.11.05 proforma_4 31 Regulatory Assets and Liabilities  7 06- Exhibit D_NIM Summary_DEM-WP(C) ENERG10C--ctn Mid-C_042010 2010GRC 2" xfId="16848"/>
    <cellStyle name="_Recon to Darrin's 5.11.05 proforma_4 31 Regulatory Assets and Liabilities  7 06- Exhibit D_NIM+O&amp;M" xfId="16849"/>
    <cellStyle name="_Recon to Darrin's 5.11.05 proforma_4 31 Regulatory Assets and Liabilities  7 06- Exhibit D_NIM+O&amp;M 2" xfId="16850"/>
    <cellStyle name="_Recon to Darrin's 5.11.05 proforma_4 31 Regulatory Assets and Liabilities  7 06- Exhibit D_NIM+O&amp;M 2 2" xfId="16851"/>
    <cellStyle name="_Recon to Darrin's 5.11.05 proforma_4 31 Regulatory Assets and Liabilities  7 06- Exhibit D_NIM+O&amp;M 2 2 2" xfId="16852"/>
    <cellStyle name="_Recon to Darrin's 5.11.05 proforma_4 31 Regulatory Assets and Liabilities  7 06- Exhibit D_NIM+O&amp;M 3" xfId="16853"/>
    <cellStyle name="_Recon to Darrin's 5.11.05 proforma_4 31 Regulatory Assets and Liabilities  7 06- Exhibit D_NIM+O&amp;M 3 2" xfId="16854"/>
    <cellStyle name="_Recon to Darrin's 5.11.05 proforma_4 31 Regulatory Assets and Liabilities  7 06- Exhibit D_NIM+O&amp;M 3 2 2" xfId="16855"/>
    <cellStyle name="_Recon to Darrin's 5.11.05 proforma_4 31 Regulatory Assets and Liabilities  7 06- Exhibit D_NIM+O&amp;M 3 3" xfId="16856"/>
    <cellStyle name="_Recon to Darrin's 5.11.05 proforma_4 31 Regulatory Assets and Liabilities  7 06- Exhibit D_NIM+O&amp;M 4" xfId="16857"/>
    <cellStyle name="_Recon to Darrin's 5.11.05 proforma_4 31 Regulatory Assets and Liabilities  7 06- Exhibit D_NIM+O&amp;M 4 2" xfId="16858"/>
    <cellStyle name="_Recon to Darrin's 5.11.05 proforma_4 31 Regulatory Assets and Liabilities  7 06- Exhibit D_NIM+O&amp;M 5" xfId="16859"/>
    <cellStyle name="_Recon to Darrin's 5.11.05 proforma_4 31 Regulatory Assets and Liabilities  7 06- Exhibit D_NIM+O&amp;M 5 2" xfId="16860"/>
    <cellStyle name="_Recon to Darrin's 5.11.05 proforma_4 31 Regulatory Assets and Liabilities  7 06- Exhibit D_NIM+O&amp;M Monthly" xfId="16861"/>
    <cellStyle name="_Recon to Darrin's 5.11.05 proforma_4 31 Regulatory Assets and Liabilities  7 06- Exhibit D_NIM+O&amp;M Monthly 2" xfId="16862"/>
    <cellStyle name="_Recon to Darrin's 5.11.05 proforma_4 31 Regulatory Assets and Liabilities  7 06- Exhibit D_NIM+O&amp;M Monthly 2 2" xfId="16863"/>
    <cellStyle name="_Recon to Darrin's 5.11.05 proforma_4 31 Regulatory Assets and Liabilities  7 06- Exhibit D_NIM+O&amp;M Monthly 2 2 2" xfId="16864"/>
    <cellStyle name="_Recon to Darrin's 5.11.05 proforma_4 31 Regulatory Assets and Liabilities  7 06- Exhibit D_NIM+O&amp;M Monthly 3" xfId="16865"/>
    <cellStyle name="_Recon to Darrin's 5.11.05 proforma_4 31 Regulatory Assets and Liabilities  7 06- Exhibit D_NIM+O&amp;M Monthly 3 2" xfId="16866"/>
    <cellStyle name="_Recon to Darrin's 5.11.05 proforma_4 31 Regulatory Assets and Liabilities  7 06- Exhibit D_NIM+O&amp;M Monthly 3 2 2" xfId="16867"/>
    <cellStyle name="_Recon to Darrin's 5.11.05 proforma_4 31 Regulatory Assets and Liabilities  7 06- Exhibit D_NIM+O&amp;M Monthly 3 3" xfId="16868"/>
    <cellStyle name="_Recon to Darrin's 5.11.05 proforma_4 31 Regulatory Assets and Liabilities  7 06- Exhibit D_NIM+O&amp;M Monthly 4" xfId="16869"/>
    <cellStyle name="_Recon to Darrin's 5.11.05 proforma_4 31 Regulatory Assets and Liabilities  7 06- Exhibit D_NIM+O&amp;M Monthly 4 2" xfId="16870"/>
    <cellStyle name="_Recon to Darrin's 5.11.05 proforma_4 31 Regulatory Assets and Liabilities  7 06- Exhibit D_NIM+O&amp;M Monthly 5" xfId="16871"/>
    <cellStyle name="_Recon to Darrin's 5.11.05 proforma_4 31 Regulatory Assets and Liabilities  7 06- Exhibit D_NIM+O&amp;M Monthly 5 2" xfId="16872"/>
    <cellStyle name="_Recon to Darrin's 5.11.05 proforma_4 31E Reg Asset  Liab and EXH D" xfId="16873"/>
    <cellStyle name="_Recon to Darrin's 5.11.05 proforma_4 31E Reg Asset  Liab and EXH D _ Aug 10 Filing (2)" xfId="16874"/>
    <cellStyle name="_Recon to Darrin's 5.11.05 proforma_4 31E Reg Asset  Liab and EXH D _ Aug 10 Filing (2) 2" xfId="16875"/>
    <cellStyle name="_Recon to Darrin's 5.11.05 proforma_4 31E Reg Asset  Liab and EXH D _ Aug 10 Filing (2) 2 2" xfId="16876"/>
    <cellStyle name="_Recon to Darrin's 5.11.05 proforma_4 31E Reg Asset  Liab and EXH D _ Aug 10 Filing (2) 2 2 2" xfId="16877"/>
    <cellStyle name="_Recon to Darrin's 5.11.05 proforma_4 31E Reg Asset  Liab and EXH D _ Aug 10 Filing (2) 2 3" xfId="16878"/>
    <cellStyle name="_Recon to Darrin's 5.11.05 proforma_4 31E Reg Asset  Liab and EXH D _ Aug 10 Filing (2) 3" xfId="16879"/>
    <cellStyle name="_Recon to Darrin's 5.11.05 proforma_4 31E Reg Asset  Liab and EXH D _ Aug 10 Filing (2) 3 2" xfId="16880"/>
    <cellStyle name="_Recon to Darrin's 5.11.05 proforma_4 31E Reg Asset  Liab and EXH D _ Aug 10 Filing (2) 3 2 2" xfId="16881"/>
    <cellStyle name="_Recon to Darrin's 5.11.05 proforma_4 31E Reg Asset  Liab and EXH D _ Aug 10 Filing (2) 3 3" xfId="16882"/>
    <cellStyle name="_Recon to Darrin's 5.11.05 proforma_4 31E Reg Asset  Liab and EXH D _ Aug 10 Filing (2) 4" xfId="16883"/>
    <cellStyle name="_Recon to Darrin's 5.11.05 proforma_4 31E Reg Asset  Liab and EXH D _ Aug 10 Filing (2) 4 2" xfId="16884"/>
    <cellStyle name="_Recon to Darrin's 5.11.05 proforma_4 31E Reg Asset  Liab and EXH D _ Aug 10 Filing (2) 5" xfId="16885"/>
    <cellStyle name="_Recon to Darrin's 5.11.05 proforma_4 31E Reg Asset  Liab and EXH D _ Aug 10 Filing (2) 5 2" xfId="16886"/>
    <cellStyle name="_Recon to Darrin's 5.11.05 proforma_4 31E Reg Asset  Liab and EXH D 10" xfId="16887"/>
    <cellStyle name="_Recon to Darrin's 5.11.05 proforma_4 31E Reg Asset  Liab and EXH D 10 2" xfId="16888"/>
    <cellStyle name="_Recon to Darrin's 5.11.05 proforma_4 31E Reg Asset  Liab and EXH D 10 2 2" xfId="16889"/>
    <cellStyle name="_Recon to Darrin's 5.11.05 proforma_4 31E Reg Asset  Liab and EXH D 10 3" xfId="16890"/>
    <cellStyle name="_Recon to Darrin's 5.11.05 proforma_4 31E Reg Asset  Liab and EXH D 11" xfId="16891"/>
    <cellStyle name="_Recon to Darrin's 5.11.05 proforma_4 31E Reg Asset  Liab and EXH D 11 2" xfId="16892"/>
    <cellStyle name="_Recon to Darrin's 5.11.05 proforma_4 31E Reg Asset  Liab and EXH D 11 2 2" xfId="16893"/>
    <cellStyle name="_Recon to Darrin's 5.11.05 proforma_4 31E Reg Asset  Liab and EXH D 11 3" xfId="16894"/>
    <cellStyle name="_Recon to Darrin's 5.11.05 proforma_4 31E Reg Asset  Liab and EXH D 12" xfId="16895"/>
    <cellStyle name="_Recon to Darrin's 5.11.05 proforma_4 31E Reg Asset  Liab and EXH D 12 2" xfId="16896"/>
    <cellStyle name="_Recon to Darrin's 5.11.05 proforma_4 31E Reg Asset  Liab and EXH D 12 2 2" xfId="16897"/>
    <cellStyle name="_Recon to Darrin's 5.11.05 proforma_4 31E Reg Asset  Liab and EXH D 12 3" xfId="16898"/>
    <cellStyle name="_Recon to Darrin's 5.11.05 proforma_4 31E Reg Asset  Liab and EXH D 13" xfId="16899"/>
    <cellStyle name="_Recon to Darrin's 5.11.05 proforma_4 31E Reg Asset  Liab and EXH D 13 2" xfId="16900"/>
    <cellStyle name="_Recon to Darrin's 5.11.05 proforma_4 31E Reg Asset  Liab and EXH D 13 2 2" xfId="16901"/>
    <cellStyle name="_Recon to Darrin's 5.11.05 proforma_4 31E Reg Asset  Liab and EXH D 13 3" xfId="16902"/>
    <cellStyle name="_Recon to Darrin's 5.11.05 proforma_4 31E Reg Asset  Liab and EXH D 14" xfId="16903"/>
    <cellStyle name="_Recon to Darrin's 5.11.05 proforma_4 31E Reg Asset  Liab and EXH D 14 2" xfId="16904"/>
    <cellStyle name="_Recon to Darrin's 5.11.05 proforma_4 31E Reg Asset  Liab and EXH D 14 2 2" xfId="16905"/>
    <cellStyle name="_Recon to Darrin's 5.11.05 proforma_4 31E Reg Asset  Liab and EXH D 14 3" xfId="16906"/>
    <cellStyle name="_Recon to Darrin's 5.11.05 proforma_4 31E Reg Asset  Liab and EXH D 15" xfId="16907"/>
    <cellStyle name="_Recon to Darrin's 5.11.05 proforma_4 31E Reg Asset  Liab and EXH D 15 2" xfId="16908"/>
    <cellStyle name="_Recon to Darrin's 5.11.05 proforma_4 31E Reg Asset  Liab and EXH D 15 2 2" xfId="16909"/>
    <cellStyle name="_Recon to Darrin's 5.11.05 proforma_4 31E Reg Asset  Liab and EXH D 15 3" xfId="16910"/>
    <cellStyle name="_Recon to Darrin's 5.11.05 proforma_4 31E Reg Asset  Liab and EXH D 16" xfId="16911"/>
    <cellStyle name="_Recon to Darrin's 5.11.05 proforma_4 31E Reg Asset  Liab and EXH D 16 2" xfId="16912"/>
    <cellStyle name="_Recon to Darrin's 5.11.05 proforma_4 31E Reg Asset  Liab and EXH D 16 2 2" xfId="16913"/>
    <cellStyle name="_Recon to Darrin's 5.11.05 proforma_4 31E Reg Asset  Liab and EXH D 16 3" xfId="16914"/>
    <cellStyle name="_Recon to Darrin's 5.11.05 proforma_4 31E Reg Asset  Liab and EXH D 17" xfId="16915"/>
    <cellStyle name="_Recon to Darrin's 5.11.05 proforma_4 31E Reg Asset  Liab and EXH D 17 2" xfId="16916"/>
    <cellStyle name="_Recon to Darrin's 5.11.05 proforma_4 31E Reg Asset  Liab and EXH D 18" xfId="16917"/>
    <cellStyle name="_Recon to Darrin's 5.11.05 proforma_4 31E Reg Asset  Liab and EXH D 18 2" xfId="16918"/>
    <cellStyle name="_Recon to Darrin's 5.11.05 proforma_4 31E Reg Asset  Liab and EXH D 19" xfId="16919"/>
    <cellStyle name="_Recon to Darrin's 5.11.05 proforma_4 31E Reg Asset  Liab and EXH D 19 2" xfId="16920"/>
    <cellStyle name="_Recon to Darrin's 5.11.05 proforma_4 31E Reg Asset  Liab and EXH D 2" xfId="16921"/>
    <cellStyle name="_Recon to Darrin's 5.11.05 proforma_4 31E Reg Asset  Liab and EXH D 2 2" xfId="16922"/>
    <cellStyle name="_Recon to Darrin's 5.11.05 proforma_4 31E Reg Asset  Liab and EXH D 2 2 2" xfId="16923"/>
    <cellStyle name="_Recon to Darrin's 5.11.05 proforma_4 31E Reg Asset  Liab and EXH D 2 3" xfId="16924"/>
    <cellStyle name="_Recon to Darrin's 5.11.05 proforma_4 31E Reg Asset  Liab and EXH D 20" xfId="16925"/>
    <cellStyle name="_Recon to Darrin's 5.11.05 proforma_4 31E Reg Asset  Liab and EXH D 20 2" xfId="16926"/>
    <cellStyle name="_Recon to Darrin's 5.11.05 proforma_4 31E Reg Asset  Liab and EXH D 21" xfId="16927"/>
    <cellStyle name="_Recon to Darrin's 5.11.05 proforma_4 31E Reg Asset  Liab and EXH D 21 2" xfId="16928"/>
    <cellStyle name="_Recon to Darrin's 5.11.05 proforma_4 31E Reg Asset  Liab and EXH D 22" xfId="16929"/>
    <cellStyle name="_Recon to Darrin's 5.11.05 proforma_4 31E Reg Asset  Liab and EXH D 22 2" xfId="16930"/>
    <cellStyle name="_Recon to Darrin's 5.11.05 proforma_4 31E Reg Asset  Liab and EXH D 23" xfId="16931"/>
    <cellStyle name="_Recon to Darrin's 5.11.05 proforma_4 31E Reg Asset  Liab and EXH D 23 2" xfId="16932"/>
    <cellStyle name="_Recon to Darrin's 5.11.05 proforma_4 31E Reg Asset  Liab and EXH D 24" xfId="16933"/>
    <cellStyle name="_Recon to Darrin's 5.11.05 proforma_4 31E Reg Asset  Liab and EXH D 24 2" xfId="16934"/>
    <cellStyle name="_Recon to Darrin's 5.11.05 proforma_4 31E Reg Asset  Liab and EXH D 25" xfId="16935"/>
    <cellStyle name="_Recon to Darrin's 5.11.05 proforma_4 31E Reg Asset  Liab and EXH D 25 2" xfId="16936"/>
    <cellStyle name="_Recon to Darrin's 5.11.05 proforma_4 31E Reg Asset  Liab and EXH D 26" xfId="16937"/>
    <cellStyle name="_Recon to Darrin's 5.11.05 proforma_4 31E Reg Asset  Liab and EXH D 26 2" xfId="16938"/>
    <cellStyle name="_Recon to Darrin's 5.11.05 proforma_4 31E Reg Asset  Liab and EXH D 27" xfId="16939"/>
    <cellStyle name="_Recon to Darrin's 5.11.05 proforma_4 31E Reg Asset  Liab and EXH D 27 2" xfId="16940"/>
    <cellStyle name="_Recon to Darrin's 5.11.05 proforma_4 31E Reg Asset  Liab and EXH D 28" xfId="16941"/>
    <cellStyle name="_Recon to Darrin's 5.11.05 proforma_4 31E Reg Asset  Liab and EXH D 28 2" xfId="16942"/>
    <cellStyle name="_Recon to Darrin's 5.11.05 proforma_4 31E Reg Asset  Liab and EXH D 29" xfId="16943"/>
    <cellStyle name="_Recon to Darrin's 5.11.05 proforma_4 31E Reg Asset  Liab and EXH D 29 2" xfId="16944"/>
    <cellStyle name="_Recon to Darrin's 5.11.05 proforma_4 31E Reg Asset  Liab and EXH D 3" xfId="16945"/>
    <cellStyle name="_Recon to Darrin's 5.11.05 proforma_4 31E Reg Asset  Liab and EXH D 3 2" xfId="16946"/>
    <cellStyle name="_Recon to Darrin's 5.11.05 proforma_4 31E Reg Asset  Liab and EXH D 3 2 2" xfId="16947"/>
    <cellStyle name="_Recon to Darrin's 5.11.05 proforma_4 31E Reg Asset  Liab and EXH D 3 3" xfId="16948"/>
    <cellStyle name="_Recon to Darrin's 5.11.05 proforma_4 31E Reg Asset  Liab and EXH D 30" xfId="16949"/>
    <cellStyle name="_Recon to Darrin's 5.11.05 proforma_4 31E Reg Asset  Liab and EXH D 30 2" xfId="16950"/>
    <cellStyle name="_Recon to Darrin's 5.11.05 proforma_4 31E Reg Asset  Liab and EXH D 4" xfId="16951"/>
    <cellStyle name="_Recon to Darrin's 5.11.05 proforma_4 31E Reg Asset  Liab and EXH D 4 2" xfId="16952"/>
    <cellStyle name="_Recon to Darrin's 5.11.05 proforma_4 31E Reg Asset  Liab and EXH D 4 2 2" xfId="16953"/>
    <cellStyle name="_Recon to Darrin's 5.11.05 proforma_4 31E Reg Asset  Liab and EXH D 5" xfId="16954"/>
    <cellStyle name="_Recon to Darrin's 5.11.05 proforma_4 31E Reg Asset  Liab and EXH D 5 2" xfId="16955"/>
    <cellStyle name="_Recon to Darrin's 5.11.05 proforma_4 31E Reg Asset  Liab and EXH D 5 2 2" xfId="16956"/>
    <cellStyle name="_Recon to Darrin's 5.11.05 proforma_4 31E Reg Asset  Liab and EXH D 6" xfId="16957"/>
    <cellStyle name="_Recon to Darrin's 5.11.05 proforma_4 31E Reg Asset  Liab and EXH D 6 2" xfId="16958"/>
    <cellStyle name="_Recon to Darrin's 5.11.05 proforma_4 31E Reg Asset  Liab and EXH D 6 2 2" xfId="16959"/>
    <cellStyle name="_Recon to Darrin's 5.11.05 proforma_4 31E Reg Asset  Liab and EXH D 6 3" xfId="16960"/>
    <cellStyle name="_Recon to Darrin's 5.11.05 proforma_4 31E Reg Asset  Liab and EXH D 7" xfId="16961"/>
    <cellStyle name="_Recon to Darrin's 5.11.05 proforma_4 31E Reg Asset  Liab and EXH D 7 2" xfId="16962"/>
    <cellStyle name="_Recon to Darrin's 5.11.05 proforma_4 31E Reg Asset  Liab and EXH D 7 2 2" xfId="16963"/>
    <cellStyle name="_Recon to Darrin's 5.11.05 proforma_4 31E Reg Asset  Liab and EXH D 7 3" xfId="16964"/>
    <cellStyle name="_Recon to Darrin's 5.11.05 proforma_4 31E Reg Asset  Liab and EXH D 8" xfId="16965"/>
    <cellStyle name="_Recon to Darrin's 5.11.05 proforma_4 31E Reg Asset  Liab and EXH D 8 2" xfId="16966"/>
    <cellStyle name="_Recon to Darrin's 5.11.05 proforma_4 31E Reg Asset  Liab and EXH D 8 2 2" xfId="16967"/>
    <cellStyle name="_Recon to Darrin's 5.11.05 proforma_4 31E Reg Asset  Liab and EXH D 8 3" xfId="16968"/>
    <cellStyle name="_Recon to Darrin's 5.11.05 proforma_4 31E Reg Asset  Liab and EXH D 9" xfId="16969"/>
    <cellStyle name="_Recon to Darrin's 5.11.05 proforma_4 31E Reg Asset  Liab and EXH D 9 2" xfId="16970"/>
    <cellStyle name="_Recon to Darrin's 5.11.05 proforma_4 31E Reg Asset  Liab and EXH D 9 2 2" xfId="16971"/>
    <cellStyle name="_Recon to Darrin's 5.11.05 proforma_4 31E Reg Asset  Liab and EXH D 9 3" xfId="16972"/>
    <cellStyle name="_Recon to Darrin's 5.11.05 proforma_4 32 Regulatory Assets and Liabilities  7 06- Exhibit D" xfId="787"/>
    <cellStyle name="_Recon to Darrin's 5.11.05 proforma_4 32 Regulatory Assets and Liabilities  7 06- Exhibit D 2" xfId="16973"/>
    <cellStyle name="_Recon to Darrin's 5.11.05 proforma_4 32 Regulatory Assets and Liabilities  7 06- Exhibit D 2 2" xfId="16974"/>
    <cellStyle name="_Recon to Darrin's 5.11.05 proforma_4 32 Regulatory Assets and Liabilities  7 06- Exhibit D 2 2 2" xfId="16975"/>
    <cellStyle name="_Recon to Darrin's 5.11.05 proforma_4 32 Regulatory Assets and Liabilities  7 06- Exhibit D 2 2 2 2" xfId="16976"/>
    <cellStyle name="_Recon to Darrin's 5.11.05 proforma_4 32 Regulatory Assets and Liabilities  7 06- Exhibit D 2 2 3" xfId="16977"/>
    <cellStyle name="_Recon to Darrin's 5.11.05 proforma_4 32 Regulatory Assets and Liabilities  7 06- Exhibit D 2 2 4" xfId="16978"/>
    <cellStyle name="_Recon to Darrin's 5.11.05 proforma_4 32 Regulatory Assets and Liabilities  7 06- Exhibit D 2 3" xfId="16979"/>
    <cellStyle name="_Recon to Darrin's 5.11.05 proforma_4 32 Regulatory Assets and Liabilities  7 06- Exhibit D 2 3 2" xfId="16980"/>
    <cellStyle name="_Recon to Darrin's 5.11.05 proforma_4 32 Regulatory Assets and Liabilities  7 06- Exhibit D 2 3 2 2" xfId="16981"/>
    <cellStyle name="_Recon to Darrin's 5.11.05 proforma_4 32 Regulatory Assets and Liabilities  7 06- Exhibit D 2 3 3" xfId="16982"/>
    <cellStyle name="_Recon to Darrin's 5.11.05 proforma_4 32 Regulatory Assets and Liabilities  7 06- Exhibit D 2 4" xfId="16983"/>
    <cellStyle name="_Recon to Darrin's 5.11.05 proforma_4 32 Regulatory Assets and Liabilities  7 06- Exhibit D 2 4 2" xfId="16984"/>
    <cellStyle name="_Recon to Darrin's 5.11.05 proforma_4 32 Regulatory Assets and Liabilities  7 06- Exhibit D 2 5" xfId="16985"/>
    <cellStyle name="_Recon to Darrin's 5.11.05 proforma_4 32 Regulatory Assets and Liabilities  7 06- Exhibit D 2 5 2" xfId="16986"/>
    <cellStyle name="_Recon to Darrin's 5.11.05 proforma_4 32 Regulatory Assets and Liabilities  7 06- Exhibit D 2 6" xfId="16987"/>
    <cellStyle name="_Recon to Darrin's 5.11.05 proforma_4 32 Regulatory Assets and Liabilities  7 06- Exhibit D 3" xfId="16988"/>
    <cellStyle name="_Recon to Darrin's 5.11.05 proforma_4 32 Regulatory Assets and Liabilities  7 06- Exhibit D 3 2" xfId="16989"/>
    <cellStyle name="_Recon to Darrin's 5.11.05 proforma_4 32 Regulatory Assets and Liabilities  7 06- Exhibit D 3 2 2" xfId="16990"/>
    <cellStyle name="_Recon to Darrin's 5.11.05 proforma_4 32 Regulatory Assets and Liabilities  7 06- Exhibit D 3 3" xfId="16991"/>
    <cellStyle name="_Recon to Darrin's 5.11.05 proforma_4 32 Regulatory Assets and Liabilities  7 06- Exhibit D 3 4" xfId="16992"/>
    <cellStyle name="_Recon to Darrin's 5.11.05 proforma_4 32 Regulatory Assets and Liabilities  7 06- Exhibit D 4" xfId="16993"/>
    <cellStyle name="_Recon to Darrin's 5.11.05 proforma_4 32 Regulatory Assets and Liabilities  7 06- Exhibit D 4 2" xfId="16994"/>
    <cellStyle name="_Recon to Darrin's 5.11.05 proforma_4 32 Regulatory Assets and Liabilities  7 06- Exhibit D 4 2 2" xfId="16995"/>
    <cellStyle name="_Recon to Darrin's 5.11.05 proforma_4 32 Regulatory Assets and Liabilities  7 06- Exhibit D 4 3" xfId="16996"/>
    <cellStyle name="_Recon to Darrin's 5.11.05 proforma_4 32 Regulatory Assets and Liabilities  7 06- Exhibit D 5" xfId="16997"/>
    <cellStyle name="_Recon to Darrin's 5.11.05 proforma_4 32 Regulatory Assets and Liabilities  7 06- Exhibit D 5 2" xfId="16998"/>
    <cellStyle name="_Recon to Darrin's 5.11.05 proforma_4 32 Regulatory Assets and Liabilities  7 06- Exhibit D 6" xfId="16999"/>
    <cellStyle name="_Recon to Darrin's 5.11.05 proforma_4 32 Regulatory Assets and Liabilities  7 06- Exhibit D 6 2" xfId="17000"/>
    <cellStyle name="_Recon to Darrin's 5.11.05 proforma_4 32 Regulatory Assets and Liabilities  7 06- Exhibit D 7" xfId="17001"/>
    <cellStyle name="_Recon to Darrin's 5.11.05 proforma_4 32 Regulatory Assets and Liabilities  7 06- Exhibit D_DEM-WP(C) ENERG10C--ctn Mid-C_042010 2010GRC" xfId="17002"/>
    <cellStyle name="_Recon to Darrin's 5.11.05 proforma_4 32 Regulatory Assets and Liabilities  7 06- Exhibit D_DEM-WP(C) ENERG10C--ctn Mid-C_042010 2010GRC 2" xfId="17003"/>
    <cellStyle name="_Recon to Darrin's 5.11.05 proforma_4 32 Regulatory Assets and Liabilities  7 06- Exhibit D_NIM Summary" xfId="17004"/>
    <cellStyle name="_Recon to Darrin's 5.11.05 proforma_4 32 Regulatory Assets and Liabilities  7 06- Exhibit D_NIM Summary 2" xfId="17005"/>
    <cellStyle name="_Recon to Darrin's 5.11.05 proforma_4 32 Regulatory Assets and Liabilities  7 06- Exhibit D_NIM Summary 2 2" xfId="17006"/>
    <cellStyle name="_Recon to Darrin's 5.11.05 proforma_4 32 Regulatory Assets and Liabilities  7 06- Exhibit D_NIM Summary 2 2 2" xfId="17007"/>
    <cellStyle name="_Recon to Darrin's 5.11.05 proforma_4 32 Regulatory Assets and Liabilities  7 06- Exhibit D_NIM Summary 2 2 2 2" xfId="17008"/>
    <cellStyle name="_Recon to Darrin's 5.11.05 proforma_4 32 Regulatory Assets and Liabilities  7 06- Exhibit D_NIM Summary 2 3" xfId="17009"/>
    <cellStyle name="_Recon to Darrin's 5.11.05 proforma_4 32 Regulatory Assets and Liabilities  7 06- Exhibit D_NIM Summary 2 3 2" xfId="17010"/>
    <cellStyle name="_Recon to Darrin's 5.11.05 proforma_4 32 Regulatory Assets and Liabilities  7 06- Exhibit D_NIM Summary 2 4" xfId="17011"/>
    <cellStyle name="_Recon to Darrin's 5.11.05 proforma_4 32 Regulatory Assets and Liabilities  7 06- Exhibit D_NIM Summary 2 4 2" xfId="17012"/>
    <cellStyle name="_Recon to Darrin's 5.11.05 proforma_4 32 Regulatory Assets and Liabilities  7 06- Exhibit D_NIM Summary 2 5" xfId="17013"/>
    <cellStyle name="_Recon to Darrin's 5.11.05 proforma_4 32 Regulatory Assets and Liabilities  7 06- Exhibit D_NIM Summary 3" xfId="17014"/>
    <cellStyle name="_Recon to Darrin's 5.11.05 proforma_4 32 Regulatory Assets and Liabilities  7 06- Exhibit D_NIM Summary 3 2" xfId="17015"/>
    <cellStyle name="_Recon to Darrin's 5.11.05 proforma_4 32 Regulatory Assets and Liabilities  7 06- Exhibit D_NIM Summary 3 2 2" xfId="17016"/>
    <cellStyle name="_Recon to Darrin's 5.11.05 proforma_4 32 Regulatory Assets and Liabilities  7 06- Exhibit D_NIM Summary 3 3" xfId="17017"/>
    <cellStyle name="_Recon to Darrin's 5.11.05 proforma_4 32 Regulatory Assets and Liabilities  7 06- Exhibit D_NIM Summary 4" xfId="17018"/>
    <cellStyle name="_Recon to Darrin's 5.11.05 proforma_4 32 Regulatory Assets and Liabilities  7 06- Exhibit D_NIM Summary 4 2" xfId="17019"/>
    <cellStyle name="_Recon to Darrin's 5.11.05 proforma_4 32 Regulatory Assets and Liabilities  7 06- Exhibit D_NIM Summary 4 2 2" xfId="17020"/>
    <cellStyle name="_Recon to Darrin's 5.11.05 proforma_4 32 Regulatory Assets and Liabilities  7 06- Exhibit D_NIM Summary 4 3" xfId="17021"/>
    <cellStyle name="_Recon to Darrin's 5.11.05 proforma_4 32 Regulatory Assets and Liabilities  7 06- Exhibit D_NIM Summary 5" xfId="17022"/>
    <cellStyle name="_Recon to Darrin's 5.11.05 proforma_4 32 Regulatory Assets and Liabilities  7 06- Exhibit D_NIM Summary 5 2" xfId="17023"/>
    <cellStyle name="_Recon to Darrin's 5.11.05 proforma_4 32 Regulatory Assets and Liabilities  7 06- Exhibit D_NIM Summary 6" xfId="17024"/>
    <cellStyle name="_Recon to Darrin's 5.11.05 proforma_4 32 Regulatory Assets and Liabilities  7 06- Exhibit D_NIM Summary 6 2" xfId="17025"/>
    <cellStyle name="_Recon to Darrin's 5.11.05 proforma_4 32 Regulatory Assets and Liabilities  7 06- Exhibit D_NIM Summary 7" xfId="17026"/>
    <cellStyle name="_Recon to Darrin's 5.11.05 proforma_4 32 Regulatory Assets and Liabilities  7 06- Exhibit D_NIM Summary_DEM-WP(C) ENERG10C--ctn Mid-C_042010 2010GRC" xfId="17027"/>
    <cellStyle name="_Recon to Darrin's 5.11.05 proforma_4 32 Regulatory Assets and Liabilities  7 06- Exhibit D_NIM Summary_DEM-WP(C) ENERG10C--ctn Mid-C_042010 2010GRC 2" xfId="17028"/>
    <cellStyle name="_Recon to Darrin's 5.11.05 proforma_4 32 Regulatory Assets and Liabilities  7 06- Exhibit D_NIM+O&amp;M" xfId="17029"/>
    <cellStyle name="_Recon to Darrin's 5.11.05 proforma_4 32 Regulatory Assets and Liabilities  7 06- Exhibit D_NIM+O&amp;M 2" xfId="17030"/>
    <cellStyle name="_Recon to Darrin's 5.11.05 proforma_4 32 Regulatory Assets and Liabilities  7 06- Exhibit D_NIM+O&amp;M 2 2" xfId="17031"/>
    <cellStyle name="_Recon to Darrin's 5.11.05 proforma_4 32 Regulatory Assets and Liabilities  7 06- Exhibit D_NIM+O&amp;M 2 2 2" xfId="17032"/>
    <cellStyle name="_Recon to Darrin's 5.11.05 proforma_4 32 Regulatory Assets and Liabilities  7 06- Exhibit D_NIM+O&amp;M 3" xfId="17033"/>
    <cellStyle name="_Recon to Darrin's 5.11.05 proforma_4 32 Regulatory Assets and Liabilities  7 06- Exhibit D_NIM+O&amp;M 3 2" xfId="17034"/>
    <cellStyle name="_Recon to Darrin's 5.11.05 proforma_4 32 Regulatory Assets and Liabilities  7 06- Exhibit D_NIM+O&amp;M 3 2 2" xfId="17035"/>
    <cellStyle name="_Recon to Darrin's 5.11.05 proforma_4 32 Regulatory Assets and Liabilities  7 06- Exhibit D_NIM+O&amp;M 3 3" xfId="17036"/>
    <cellStyle name="_Recon to Darrin's 5.11.05 proforma_4 32 Regulatory Assets and Liabilities  7 06- Exhibit D_NIM+O&amp;M 4" xfId="17037"/>
    <cellStyle name="_Recon to Darrin's 5.11.05 proforma_4 32 Regulatory Assets and Liabilities  7 06- Exhibit D_NIM+O&amp;M 4 2" xfId="17038"/>
    <cellStyle name="_Recon to Darrin's 5.11.05 proforma_4 32 Regulatory Assets and Liabilities  7 06- Exhibit D_NIM+O&amp;M 5" xfId="17039"/>
    <cellStyle name="_Recon to Darrin's 5.11.05 proforma_4 32 Regulatory Assets and Liabilities  7 06- Exhibit D_NIM+O&amp;M 5 2" xfId="17040"/>
    <cellStyle name="_Recon to Darrin's 5.11.05 proforma_4 32 Regulatory Assets and Liabilities  7 06- Exhibit D_NIM+O&amp;M Monthly" xfId="17041"/>
    <cellStyle name="_Recon to Darrin's 5.11.05 proforma_4 32 Regulatory Assets and Liabilities  7 06- Exhibit D_NIM+O&amp;M Monthly 2" xfId="17042"/>
    <cellStyle name="_Recon to Darrin's 5.11.05 proforma_4 32 Regulatory Assets and Liabilities  7 06- Exhibit D_NIM+O&amp;M Monthly 2 2" xfId="17043"/>
    <cellStyle name="_Recon to Darrin's 5.11.05 proforma_4 32 Regulatory Assets and Liabilities  7 06- Exhibit D_NIM+O&amp;M Monthly 2 2 2" xfId="17044"/>
    <cellStyle name="_Recon to Darrin's 5.11.05 proforma_4 32 Regulatory Assets and Liabilities  7 06- Exhibit D_NIM+O&amp;M Monthly 3" xfId="17045"/>
    <cellStyle name="_Recon to Darrin's 5.11.05 proforma_4 32 Regulatory Assets and Liabilities  7 06- Exhibit D_NIM+O&amp;M Monthly 3 2" xfId="17046"/>
    <cellStyle name="_Recon to Darrin's 5.11.05 proforma_4 32 Regulatory Assets and Liabilities  7 06- Exhibit D_NIM+O&amp;M Monthly 3 2 2" xfId="17047"/>
    <cellStyle name="_Recon to Darrin's 5.11.05 proforma_4 32 Regulatory Assets and Liabilities  7 06- Exhibit D_NIM+O&amp;M Monthly 3 3" xfId="17048"/>
    <cellStyle name="_Recon to Darrin's 5.11.05 proforma_4 32 Regulatory Assets and Liabilities  7 06- Exhibit D_NIM+O&amp;M Monthly 4" xfId="17049"/>
    <cellStyle name="_Recon to Darrin's 5.11.05 proforma_4 32 Regulatory Assets and Liabilities  7 06- Exhibit D_NIM+O&amp;M Monthly 4 2" xfId="17050"/>
    <cellStyle name="_Recon to Darrin's 5.11.05 proforma_4 32 Regulatory Assets and Liabilities  7 06- Exhibit D_NIM+O&amp;M Monthly 5" xfId="17051"/>
    <cellStyle name="_Recon to Darrin's 5.11.05 proforma_4 32 Regulatory Assets and Liabilities  7 06- Exhibit D_NIM+O&amp;M Monthly 5 2" xfId="17052"/>
    <cellStyle name="_Recon to Darrin's 5.11.05 proforma_AURORA Total New" xfId="17053"/>
    <cellStyle name="_Recon to Darrin's 5.11.05 proforma_AURORA Total New 2" xfId="17054"/>
    <cellStyle name="_Recon to Darrin's 5.11.05 proforma_AURORA Total New 2 2" xfId="17055"/>
    <cellStyle name="_Recon to Darrin's 5.11.05 proforma_AURORA Total New 2 2 2" xfId="17056"/>
    <cellStyle name="_Recon to Darrin's 5.11.05 proforma_AURORA Total New 2 2 2 2" xfId="17057"/>
    <cellStyle name="_Recon to Darrin's 5.11.05 proforma_AURORA Total New 2 3" xfId="17058"/>
    <cellStyle name="_Recon to Darrin's 5.11.05 proforma_AURORA Total New 2 3 2" xfId="17059"/>
    <cellStyle name="_Recon to Darrin's 5.11.05 proforma_AURORA Total New 2 4" xfId="17060"/>
    <cellStyle name="_Recon to Darrin's 5.11.05 proforma_AURORA Total New 2 4 2" xfId="17061"/>
    <cellStyle name="_Recon to Darrin's 5.11.05 proforma_AURORA Total New 2 5" xfId="17062"/>
    <cellStyle name="_Recon to Darrin's 5.11.05 proforma_AURORA Total New 3" xfId="17063"/>
    <cellStyle name="_Recon to Darrin's 5.11.05 proforma_AURORA Total New 3 2" xfId="17064"/>
    <cellStyle name="_Recon to Darrin's 5.11.05 proforma_AURORA Total New 3 2 2" xfId="17065"/>
    <cellStyle name="_Recon to Darrin's 5.11.05 proforma_AURORA Total New 4" xfId="17066"/>
    <cellStyle name="_Recon to Darrin's 5.11.05 proforma_AURORA Total New 4 2" xfId="17067"/>
    <cellStyle name="_Recon to Darrin's 5.11.05 proforma_AURORA Total New 5" xfId="17068"/>
    <cellStyle name="_Recon to Darrin's 5.11.05 proforma_AURORA Total New 5 2" xfId="17069"/>
    <cellStyle name="_Recon to Darrin's 5.11.05 proforma_AURORA Total New 6" xfId="17070"/>
    <cellStyle name="_Recon to Darrin's 5.11.05 proforma_Book1" xfId="17071"/>
    <cellStyle name="_Recon to Darrin's 5.11.05 proforma_Book2" xfId="788"/>
    <cellStyle name="_Recon to Darrin's 5.11.05 proforma_Book2 2" xfId="17072"/>
    <cellStyle name="_Recon to Darrin's 5.11.05 proforma_Book2 2 2" xfId="17073"/>
    <cellStyle name="_Recon to Darrin's 5.11.05 proforma_Book2 2 2 2" xfId="17074"/>
    <cellStyle name="_Recon to Darrin's 5.11.05 proforma_Book2 2 2 2 2" xfId="17075"/>
    <cellStyle name="_Recon to Darrin's 5.11.05 proforma_Book2 2 2 3" xfId="17076"/>
    <cellStyle name="_Recon to Darrin's 5.11.05 proforma_Book2 2 3" xfId="17077"/>
    <cellStyle name="_Recon to Darrin's 5.11.05 proforma_Book2 2 3 2" xfId="17078"/>
    <cellStyle name="_Recon to Darrin's 5.11.05 proforma_Book2 2 4" xfId="17079"/>
    <cellStyle name="_Recon to Darrin's 5.11.05 proforma_Book2 2 4 2" xfId="17080"/>
    <cellStyle name="_Recon to Darrin's 5.11.05 proforma_Book2 2 5" xfId="17081"/>
    <cellStyle name="_Recon to Darrin's 5.11.05 proforma_Book2 3" xfId="17082"/>
    <cellStyle name="_Recon to Darrin's 5.11.05 proforma_Book2 3 2" xfId="17083"/>
    <cellStyle name="_Recon to Darrin's 5.11.05 proforma_Book2 3 2 2" xfId="17084"/>
    <cellStyle name="_Recon to Darrin's 5.11.05 proforma_Book2 3 3" xfId="17085"/>
    <cellStyle name="_Recon to Darrin's 5.11.05 proforma_Book2 3 4" xfId="17086"/>
    <cellStyle name="_Recon to Darrin's 5.11.05 proforma_Book2 4" xfId="17087"/>
    <cellStyle name="_Recon to Darrin's 5.11.05 proforma_Book2 4 2" xfId="17088"/>
    <cellStyle name="_Recon to Darrin's 5.11.05 proforma_Book2 4 2 2" xfId="17089"/>
    <cellStyle name="_Recon to Darrin's 5.11.05 proforma_Book2 4 3" xfId="17090"/>
    <cellStyle name="_Recon to Darrin's 5.11.05 proforma_Book2 5" xfId="17091"/>
    <cellStyle name="_Recon to Darrin's 5.11.05 proforma_Book2 5 2" xfId="17092"/>
    <cellStyle name="_Recon to Darrin's 5.11.05 proforma_Book2 6" xfId="17093"/>
    <cellStyle name="_Recon to Darrin's 5.11.05 proforma_Book2 6 2" xfId="17094"/>
    <cellStyle name="_Recon to Darrin's 5.11.05 proforma_Book2 7" xfId="17095"/>
    <cellStyle name="_Recon to Darrin's 5.11.05 proforma_Book2_Adj Bench DR 3 for Initial Briefs (Electric)" xfId="789"/>
    <cellStyle name="_Recon to Darrin's 5.11.05 proforma_Book2_Adj Bench DR 3 for Initial Briefs (Electric) 2" xfId="17096"/>
    <cellStyle name="_Recon to Darrin's 5.11.05 proforma_Book2_Adj Bench DR 3 for Initial Briefs (Electric) 2 2" xfId="17097"/>
    <cellStyle name="_Recon to Darrin's 5.11.05 proforma_Book2_Adj Bench DR 3 for Initial Briefs (Electric) 2 2 2" xfId="17098"/>
    <cellStyle name="_Recon to Darrin's 5.11.05 proforma_Book2_Adj Bench DR 3 for Initial Briefs (Electric) 2 2 2 2" xfId="17099"/>
    <cellStyle name="_Recon to Darrin's 5.11.05 proforma_Book2_Adj Bench DR 3 for Initial Briefs (Electric) 2 2 3" xfId="17100"/>
    <cellStyle name="_Recon to Darrin's 5.11.05 proforma_Book2_Adj Bench DR 3 for Initial Briefs (Electric) 2 3" xfId="17101"/>
    <cellStyle name="_Recon to Darrin's 5.11.05 proforma_Book2_Adj Bench DR 3 for Initial Briefs (Electric) 2 3 2" xfId="17102"/>
    <cellStyle name="_Recon to Darrin's 5.11.05 proforma_Book2_Adj Bench DR 3 for Initial Briefs (Electric) 2 4" xfId="17103"/>
    <cellStyle name="_Recon to Darrin's 5.11.05 proforma_Book2_Adj Bench DR 3 for Initial Briefs (Electric) 2 4 2" xfId="17104"/>
    <cellStyle name="_Recon to Darrin's 5.11.05 proforma_Book2_Adj Bench DR 3 for Initial Briefs (Electric) 2 5" xfId="17105"/>
    <cellStyle name="_Recon to Darrin's 5.11.05 proforma_Book2_Adj Bench DR 3 for Initial Briefs (Electric) 3" xfId="17106"/>
    <cellStyle name="_Recon to Darrin's 5.11.05 proforma_Book2_Adj Bench DR 3 for Initial Briefs (Electric) 3 2" xfId="17107"/>
    <cellStyle name="_Recon to Darrin's 5.11.05 proforma_Book2_Adj Bench DR 3 for Initial Briefs (Electric) 3 2 2" xfId="17108"/>
    <cellStyle name="_Recon to Darrin's 5.11.05 proforma_Book2_Adj Bench DR 3 for Initial Briefs (Electric) 3 3" xfId="17109"/>
    <cellStyle name="_Recon to Darrin's 5.11.05 proforma_Book2_Adj Bench DR 3 for Initial Briefs (Electric) 3 4" xfId="17110"/>
    <cellStyle name="_Recon to Darrin's 5.11.05 proforma_Book2_Adj Bench DR 3 for Initial Briefs (Electric) 4" xfId="17111"/>
    <cellStyle name="_Recon to Darrin's 5.11.05 proforma_Book2_Adj Bench DR 3 for Initial Briefs (Electric) 4 2" xfId="17112"/>
    <cellStyle name="_Recon to Darrin's 5.11.05 proforma_Book2_Adj Bench DR 3 for Initial Briefs (Electric) 4 2 2" xfId="17113"/>
    <cellStyle name="_Recon to Darrin's 5.11.05 proforma_Book2_Adj Bench DR 3 for Initial Briefs (Electric) 4 3" xfId="17114"/>
    <cellStyle name="_Recon to Darrin's 5.11.05 proforma_Book2_Adj Bench DR 3 for Initial Briefs (Electric) 5" xfId="17115"/>
    <cellStyle name="_Recon to Darrin's 5.11.05 proforma_Book2_Adj Bench DR 3 for Initial Briefs (Electric) 5 2" xfId="17116"/>
    <cellStyle name="_Recon to Darrin's 5.11.05 proforma_Book2_Adj Bench DR 3 for Initial Briefs (Electric) 6" xfId="17117"/>
    <cellStyle name="_Recon to Darrin's 5.11.05 proforma_Book2_Adj Bench DR 3 for Initial Briefs (Electric) 6 2" xfId="17118"/>
    <cellStyle name="_Recon to Darrin's 5.11.05 proforma_Book2_Adj Bench DR 3 for Initial Briefs (Electric) 7" xfId="17119"/>
    <cellStyle name="_Recon to Darrin's 5.11.05 proforma_Book2_Adj Bench DR 3 for Initial Briefs (Electric)_DEM-WP(C) ENERG10C--ctn Mid-C_042010 2010GRC" xfId="17120"/>
    <cellStyle name="_Recon to Darrin's 5.11.05 proforma_Book2_Adj Bench DR 3 for Initial Briefs (Electric)_DEM-WP(C) ENERG10C--ctn Mid-C_042010 2010GRC 2" xfId="17121"/>
    <cellStyle name="_Recon to Darrin's 5.11.05 proforma_Book2_DEM-WP(C) ENERG10C--ctn Mid-C_042010 2010GRC" xfId="17122"/>
    <cellStyle name="_Recon to Darrin's 5.11.05 proforma_Book2_DEM-WP(C) ENERG10C--ctn Mid-C_042010 2010GRC 2" xfId="17123"/>
    <cellStyle name="_Recon to Darrin's 5.11.05 proforma_Book2_Electric Rev Req Model (2009 GRC) Rebuttal" xfId="790"/>
    <cellStyle name="_Recon to Darrin's 5.11.05 proforma_Book2_Electric Rev Req Model (2009 GRC) Rebuttal 2" xfId="17124"/>
    <cellStyle name="_Recon to Darrin's 5.11.05 proforma_Book2_Electric Rev Req Model (2009 GRC) Rebuttal 2 2" xfId="17125"/>
    <cellStyle name="_Recon to Darrin's 5.11.05 proforma_Book2_Electric Rev Req Model (2009 GRC) Rebuttal 2 2 2" xfId="17126"/>
    <cellStyle name="_Recon to Darrin's 5.11.05 proforma_Book2_Electric Rev Req Model (2009 GRC) Rebuttal 2 3" xfId="17127"/>
    <cellStyle name="_Recon to Darrin's 5.11.05 proforma_Book2_Electric Rev Req Model (2009 GRC) Rebuttal 2 4" xfId="17128"/>
    <cellStyle name="_Recon to Darrin's 5.11.05 proforma_Book2_Electric Rev Req Model (2009 GRC) Rebuttal 3" xfId="17129"/>
    <cellStyle name="_Recon to Darrin's 5.11.05 proforma_Book2_Electric Rev Req Model (2009 GRC) Rebuttal 3 2" xfId="17130"/>
    <cellStyle name="_Recon to Darrin's 5.11.05 proforma_Book2_Electric Rev Req Model (2009 GRC) Rebuttal 4" xfId="17131"/>
    <cellStyle name="_Recon to Darrin's 5.11.05 proforma_Book2_Electric Rev Req Model (2009 GRC) Rebuttal 5" xfId="17132"/>
    <cellStyle name="_Recon to Darrin's 5.11.05 proforma_Book2_Electric Rev Req Model (2009 GRC) Rebuttal REmoval of New  WH Solar AdjustMI" xfId="791"/>
    <cellStyle name="_Recon to Darrin's 5.11.05 proforma_Book2_Electric Rev Req Model (2009 GRC) Rebuttal REmoval of New  WH Solar AdjustMI 2" xfId="17133"/>
    <cellStyle name="_Recon to Darrin's 5.11.05 proforma_Book2_Electric Rev Req Model (2009 GRC) Rebuttal REmoval of New  WH Solar AdjustMI 2 2" xfId="17134"/>
    <cellStyle name="_Recon to Darrin's 5.11.05 proforma_Book2_Electric Rev Req Model (2009 GRC) Rebuttal REmoval of New  WH Solar AdjustMI 2 2 2" xfId="17135"/>
    <cellStyle name="_Recon to Darrin's 5.11.05 proforma_Book2_Electric Rev Req Model (2009 GRC) Rebuttal REmoval of New  WH Solar AdjustMI 2 2 2 2" xfId="17136"/>
    <cellStyle name="_Recon to Darrin's 5.11.05 proforma_Book2_Electric Rev Req Model (2009 GRC) Rebuttal REmoval of New  WH Solar AdjustMI 2 2 3" xfId="17137"/>
    <cellStyle name="_Recon to Darrin's 5.11.05 proforma_Book2_Electric Rev Req Model (2009 GRC) Rebuttal REmoval of New  WH Solar AdjustMI 2 3" xfId="17138"/>
    <cellStyle name="_Recon to Darrin's 5.11.05 proforma_Book2_Electric Rev Req Model (2009 GRC) Rebuttal REmoval of New  WH Solar AdjustMI 2 3 2" xfId="17139"/>
    <cellStyle name="_Recon to Darrin's 5.11.05 proforma_Book2_Electric Rev Req Model (2009 GRC) Rebuttal REmoval of New  WH Solar AdjustMI 2 4" xfId="17140"/>
    <cellStyle name="_Recon to Darrin's 5.11.05 proforma_Book2_Electric Rev Req Model (2009 GRC) Rebuttal REmoval of New  WH Solar AdjustMI 2 4 2" xfId="17141"/>
    <cellStyle name="_Recon to Darrin's 5.11.05 proforma_Book2_Electric Rev Req Model (2009 GRC) Rebuttal REmoval of New  WH Solar AdjustMI 2 5" xfId="17142"/>
    <cellStyle name="_Recon to Darrin's 5.11.05 proforma_Book2_Electric Rev Req Model (2009 GRC) Rebuttal REmoval of New  WH Solar AdjustMI 3" xfId="17143"/>
    <cellStyle name="_Recon to Darrin's 5.11.05 proforma_Book2_Electric Rev Req Model (2009 GRC) Rebuttal REmoval of New  WH Solar AdjustMI 3 2" xfId="17144"/>
    <cellStyle name="_Recon to Darrin's 5.11.05 proforma_Book2_Electric Rev Req Model (2009 GRC) Rebuttal REmoval of New  WH Solar AdjustMI 3 2 2" xfId="17145"/>
    <cellStyle name="_Recon to Darrin's 5.11.05 proforma_Book2_Electric Rev Req Model (2009 GRC) Rebuttal REmoval of New  WH Solar AdjustMI 3 3" xfId="17146"/>
    <cellStyle name="_Recon to Darrin's 5.11.05 proforma_Book2_Electric Rev Req Model (2009 GRC) Rebuttal REmoval of New  WH Solar AdjustMI 3 4" xfId="17147"/>
    <cellStyle name="_Recon to Darrin's 5.11.05 proforma_Book2_Electric Rev Req Model (2009 GRC) Rebuttal REmoval of New  WH Solar AdjustMI 4" xfId="17148"/>
    <cellStyle name="_Recon to Darrin's 5.11.05 proforma_Book2_Electric Rev Req Model (2009 GRC) Rebuttal REmoval of New  WH Solar AdjustMI 4 2" xfId="17149"/>
    <cellStyle name="_Recon to Darrin's 5.11.05 proforma_Book2_Electric Rev Req Model (2009 GRC) Rebuttal REmoval of New  WH Solar AdjustMI 4 2 2" xfId="17150"/>
    <cellStyle name="_Recon to Darrin's 5.11.05 proforma_Book2_Electric Rev Req Model (2009 GRC) Rebuttal REmoval of New  WH Solar AdjustMI 4 3" xfId="17151"/>
    <cellStyle name="_Recon to Darrin's 5.11.05 proforma_Book2_Electric Rev Req Model (2009 GRC) Rebuttal REmoval of New  WH Solar AdjustMI 5" xfId="17152"/>
    <cellStyle name="_Recon to Darrin's 5.11.05 proforma_Book2_Electric Rev Req Model (2009 GRC) Rebuttal REmoval of New  WH Solar AdjustMI 5 2" xfId="17153"/>
    <cellStyle name="_Recon to Darrin's 5.11.05 proforma_Book2_Electric Rev Req Model (2009 GRC) Rebuttal REmoval of New  WH Solar AdjustMI 6" xfId="17154"/>
    <cellStyle name="_Recon to Darrin's 5.11.05 proforma_Book2_Electric Rev Req Model (2009 GRC) Rebuttal REmoval of New  WH Solar AdjustMI 6 2" xfId="17155"/>
    <cellStyle name="_Recon to Darrin's 5.11.05 proforma_Book2_Electric Rev Req Model (2009 GRC) Rebuttal REmoval of New  WH Solar AdjustMI 7" xfId="17156"/>
    <cellStyle name="_Recon to Darrin's 5.11.05 proforma_Book2_Electric Rev Req Model (2009 GRC) Rebuttal REmoval of New  WH Solar AdjustMI_DEM-WP(C) ENERG10C--ctn Mid-C_042010 2010GRC" xfId="17157"/>
    <cellStyle name="_Recon to Darrin's 5.11.05 proforma_Book2_Electric Rev Req Model (2009 GRC) Rebuttal REmoval of New  WH Solar AdjustMI_DEM-WP(C) ENERG10C--ctn Mid-C_042010 2010GRC 2" xfId="17158"/>
    <cellStyle name="_Recon to Darrin's 5.11.05 proforma_Book2_Electric Rev Req Model (2009 GRC) Revised 01-18-2010" xfId="792"/>
    <cellStyle name="_Recon to Darrin's 5.11.05 proforma_Book2_Electric Rev Req Model (2009 GRC) Revised 01-18-2010 2" xfId="17159"/>
    <cellStyle name="_Recon to Darrin's 5.11.05 proforma_Book2_Electric Rev Req Model (2009 GRC) Revised 01-18-2010 2 2" xfId="17160"/>
    <cellStyle name="_Recon to Darrin's 5.11.05 proforma_Book2_Electric Rev Req Model (2009 GRC) Revised 01-18-2010 2 2 2" xfId="17161"/>
    <cellStyle name="_Recon to Darrin's 5.11.05 proforma_Book2_Electric Rev Req Model (2009 GRC) Revised 01-18-2010 2 2 2 2" xfId="17162"/>
    <cellStyle name="_Recon to Darrin's 5.11.05 proforma_Book2_Electric Rev Req Model (2009 GRC) Revised 01-18-2010 2 2 3" xfId="17163"/>
    <cellStyle name="_Recon to Darrin's 5.11.05 proforma_Book2_Electric Rev Req Model (2009 GRC) Revised 01-18-2010 2 3" xfId="17164"/>
    <cellStyle name="_Recon to Darrin's 5.11.05 proforma_Book2_Electric Rev Req Model (2009 GRC) Revised 01-18-2010 2 3 2" xfId="17165"/>
    <cellStyle name="_Recon to Darrin's 5.11.05 proforma_Book2_Electric Rev Req Model (2009 GRC) Revised 01-18-2010 2 4" xfId="17166"/>
    <cellStyle name="_Recon to Darrin's 5.11.05 proforma_Book2_Electric Rev Req Model (2009 GRC) Revised 01-18-2010 2 4 2" xfId="17167"/>
    <cellStyle name="_Recon to Darrin's 5.11.05 proforma_Book2_Electric Rev Req Model (2009 GRC) Revised 01-18-2010 2 5" xfId="17168"/>
    <cellStyle name="_Recon to Darrin's 5.11.05 proforma_Book2_Electric Rev Req Model (2009 GRC) Revised 01-18-2010 3" xfId="17169"/>
    <cellStyle name="_Recon to Darrin's 5.11.05 proforma_Book2_Electric Rev Req Model (2009 GRC) Revised 01-18-2010 3 2" xfId="17170"/>
    <cellStyle name="_Recon to Darrin's 5.11.05 proforma_Book2_Electric Rev Req Model (2009 GRC) Revised 01-18-2010 3 2 2" xfId="17171"/>
    <cellStyle name="_Recon to Darrin's 5.11.05 proforma_Book2_Electric Rev Req Model (2009 GRC) Revised 01-18-2010 3 3" xfId="17172"/>
    <cellStyle name="_Recon to Darrin's 5.11.05 proforma_Book2_Electric Rev Req Model (2009 GRC) Revised 01-18-2010 3 4" xfId="17173"/>
    <cellStyle name="_Recon to Darrin's 5.11.05 proforma_Book2_Electric Rev Req Model (2009 GRC) Revised 01-18-2010 4" xfId="17174"/>
    <cellStyle name="_Recon to Darrin's 5.11.05 proforma_Book2_Electric Rev Req Model (2009 GRC) Revised 01-18-2010 4 2" xfId="17175"/>
    <cellStyle name="_Recon to Darrin's 5.11.05 proforma_Book2_Electric Rev Req Model (2009 GRC) Revised 01-18-2010 4 2 2" xfId="17176"/>
    <cellStyle name="_Recon to Darrin's 5.11.05 proforma_Book2_Electric Rev Req Model (2009 GRC) Revised 01-18-2010 4 3" xfId="17177"/>
    <cellStyle name="_Recon to Darrin's 5.11.05 proforma_Book2_Electric Rev Req Model (2009 GRC) Revised 01-18-2010 5" xfId="17178"/>
    <cellStyle name="_Recon to Darrin's 5.11.05 proforma_Book2_Electric Rev Req Model (2009 GRC) Revised 01-18-2010 5 2" xfId="17179"/>
    <cellStyle name="_Recon to Darrin's 5.11.05 proforma_Book2_Electric Rev Req Model (2009 GRC) Revised 01-18-2010 6" xfId="17180"/>
    <cellStyle name="_Recon to Darrin's 5.11.05 proforma_Book2_Electric Rev Req Model (2009 GRC) Revised 01-18-2010 6 2" xfId="17181"/>
    <cellStyle name="_Recon to Darrin's 5.11.05 proforma_Book2_Electric Rev Req Model (2009 GRC) Revised 01-18-2010 7" xfId="17182"/>
    <cellStyle name="_Recon to Darrin's 5.11.05 proforma_Book2_Electric Rev Req Model (2009 GRC) Revised 01-18-2010_DEM-WP(C) ENERG10C--ctn Mid-C_042010 2010GRC" xfId="17183"/>
    <cellStyle name="_Recon to Darrin's 5.11.05 proforma_Book2_Electric Rev Req Model (2009 GRC) Revised 01-18-2010_DEM-WP(C) ENERG10C--ctn Mid-C_042010 2010GRC 2" xfId="17184"/>
    <cellStyle name="_Recon to Darrin's 5.11.05 proforma_Book2_Final Order Electric EXHIBIT A-1" xfId="793"/>
    <cellStyle name="_Recon to Darrin's 5.11.05 proforma_Book2_Final Order Electric EXHIBIT A-1 2" xfId="17185"/>
    <cellStyle name="_Recon to Darrin's 5.11.05 proforma_Book2_Final Order Electric EXHIBIT A-1 2 2" xfId="17186"/>
    <cellStyle name="_Recon to Darrin's 5.11.05 proforma_Book2_Final Order Electric EXHIBIT A-1 2 2 2" xfId="17187"/>
    <cellStyle name="_Recon to Darrin's 5.11.05 proforma_Book2_Final Order Electric EXHIBIT A-1 2 3" xfId="17188"/>
    <cellStyle name="_Recon to Darrin's 5.11.05 proforma_Book2_Final Order Electric EXHIBIT A-1 2 4" xfId="17189"/>
    <cellStyle name="_Recon to Darrin's 5.11.05 proforma_Book2_Final Order Electric EXHIBIT A-1 3" xfId="17190"/>
    <cellStyle name="_Recon to Darrin's 5.11.05 proforma_Book2_Final Order Electric EXHIBIT A-1 3 2" xfId="17191"/>
    <cellStyle name="_Recon to Darrin's 5.11.05 proforma_Book2_Final Order Electric EXHIBIT A-1 3 2 2" xfId="17192"/>
    <cellStyle name="_Recon to Darrin's 5.11.05 proforma_Book2_Final Order Electric EXHIBIT A-1 3 3" xfId="17193"/>
    <cellStyle name="_Recon to Darrin's 5.11.05 proforma_Book2_Final Order Electric EXHIBIT A-1 4" xfId="17194"/>
    <cellStyle name="_Recon to Darrin's 5.11.05 proforma_Book2_Final Order Electric EXHIBIT A-1 4 2" xfId="17195"/>
    <cellStyle name="_Recon to Darrin's 5.11.05 proforma_Book2_Final Order Electric EXHIBIT A-1 5" xfId="17196"/>
    <cellStyle name="_Recon to Darrin's 5.11.05 proforma_Book2_Final Order Electric EXHIBIT A-1 6" xfId="17197"/>
    <cellStyle name="_Recon to Darrin's 5.11.05 proforma_Book2_Final Order Electric EXHIBIT A-1 7" xfId="17198"/>
    <cellStyle name="_Recon to Darrin's 5.11.05 proforma_Book4" xfId="794"/>
    <cellStyle name="_Recon to Darrin's 5.11.05 proforma_Book4 2" xfId="17199"/>
    <cellStyle name="_Recon to Darrin's 5.11.05 proforma_Book4 2 2" xfId="17200"/>
    <cellStyle name="_Recon to Darrin's 5.11.05 proforma_Book4 2 2 2" xfId="17201"/>
    <cellStyle name="_Recon to Darrin's 5.11.05 proforma_Book4 2 2 2 2" xfId="17202"/>
    <cellStyle name="_Recon to Darrin's 5.11.05 proforma_Book4 2 2 3" xfId="17203"/>
    <cellStyle name="_Recon to Darrin's 5.11.05 proforma_Book4 2 3" xfId="17204"/>
    <cellStyle name="_Recon to Darrin's 5.11.05 proforma_Book4 2 3 2" xfId="17205"/>
    <cellStyle name="_Recon to Darrin's 5.11.05 proforma_Book4 2 4" xfId="17206"/>
    <cellStyle name="_Recon to Darrin's 5.11.05 proforma_Book4 2 4 2" xfId="17207"/>
    <cellStyle name="_Recon to Darrin's 5.11.05 proforma_Book4 2 5" xfId="17208"/>
    <cellStyle name="_Recon to Darrin's 5.11.05 proforma_Book4 3" xfId="17209"/>
    <cellStyle name="_Recon to Darrin's 5.11.05 proforma_Book4 3 2" xfId="17210"/>
    <cellStyle name="_Recon to Darrin's 5.11.05 proforma_Book4 3 2 2" xfId="17211"/>
    <cellStyle name="_Recon to Darrin's 5.11.05 proforma_Book4 3 3" xfId="17212"/>
    <cellStyle name="_Recon to Darrin's 5.11.05 proforma_Book4 3 4" xfId="17213"/>
    <cellStyle name="_Recon to Darrin's 5.11.05 proforma_Book4 4" xfId="17214"/>
    <cellStyle name="_Recon to Darrin's 5.11.05 proforma_Book4 4 2" xfId="17215"/>
    <cellStyle name="_Recon to Darrin's 5.11.05 proforma_Book4 4 2 2" xfId="17216"/>
    <cellStyle name="_Recon to Darrin's 5.11.05 proforma_Book4 4 3" xfId="17217"/>
    <cellStyle name="_Recon to Darrin's 5.11.05 proforma_Book4 5" xfId="17218"/>
    <cellStyle name="_Recon to Darrin's 5.11.05 proforma_Book4 5 2" xfId="17219"/>
    <cellStyle name="_Recon to Darrin's 5.11.05 proforma_Book4 6" xfId="17220"/>
    <cellStyle name="_Recon to Darrin's 5.11.05 proforma_Book4 6 2" xfId="17221"/>
    <cellStyle name="_Recon to Darrin's 5.11.05 proforma_Book4 7" xfId="17222"/>
    <cellStyle name="_Recon to Darrin's 5.11.05 proforma_Book4_DEM-WP(C) ENERG10C--ctn Mid-C_042010 2010GRC" xfId="17223"/>
    <cellStyle name="_Recon to Darrin's 5.11.05 proforma_Book4_DEM-WP(C) ENERG10C--ctn Mid-C_042010 2010GRC 2" xfId="17224"/>
    <cellStyle name="_Recon to Darrin's 5.11.05 proforma_Book9" xfId="795"/>
    <cellStyle name="_Recon to Darrin's 5.11.05 proforma_Book9 2" xfId="17225"/>
    <cellStyle name="_Recon to Darrin's 5.11.05 proforma_Book9 2 2" xfId="17226"/>
    <cellStyle name="_Recon to Darrin's 5.11.05 proforma_Book9 2 2 2" xfId="17227"/>
    <cellStyle name="_Recon to Darrin's 5.11.05 proforma_Book9 2 2 2 2" xfId="17228"/>
    <cellStyle name="_Recon to Darrin's 5.11.05 proforma_Book9 2 2 3" xfId="17229"/>
    <cellStyle name="_Recon to Darrin's 5.11.05 proforma_Book9 2 3" xfId="17230"/>
    <cellStyle name="_Recon to Darrin's 5.11.05 proforma_Book9 2 3 2" xfId="17231"/>
    <cellStyle name="_Recon to Darrin's 5.11.05 proforma_Book9 2 4" xfId="17232"/>
    <cellStyle name="_Recon to Darrin's 5.11.05 proforma_Book9 2 4 2" xfId="17233"/>
    <cellStyle name="_Recon to Darrin's 5.11.05 proforma_Book9 2 5" xfId="17234"/>
    <cellStyle name="_Recon to Darrin's 5.11.05 proforma_Book9 3" xfId="17235"/>
    <cellStyle name="_Recon to Darrin's 5.11.05 proforma_Book9 3 2" xfId="17236"/>
    <cellStyle name="_Recon to Darrin's 5.11.05 proforma_Book9 3 2 2" xfId="17237"/>
    <cellStyle name="_Recon to Darrin's 5.11.05 proforma_Book9 3 3" xfId="17238"/>
    <cellStyle name="_Recon to Darrin's 5.11.05 proforma_Book9 3 4" xfId="17239"/>
    <cellStyle name="_Recon to Darrin's 5.11.05 proforma_Book9 4" xfId="17240"/>
    <cellStyle name="_Recon to Darrin's 5.11.05 proforma_Book9 4 2" xfId="17241"/>
    <cellStyle name="_Recon to Darrin's 5.11.05 proforma_Book9 4 2 2" xfId="17242"/>
    <cellStyle name="_Recon to Darrin's 5.11.05 proforma_Book9 4 3" xfId="17243"/>
    <cellStyle name="_Recon to Darrin's 5.11.05 proforma_Book9 5" xfId="17244"/>
    <cellStyle name="_Recon to Darrin's 5.11.05 proforma_Book9 5 2" xfId="17245"/>
    <cellStyle name="_Recon to Darrin's 5.11.05 proforma_Book9 6" xfId="17246"/>
    <cellStyle name="_Recon to Darrin's 5.11.05 proforma_Book9 6 2" xfId="17247"/>
    <cellStyle name="_Recon to Darrin's 5.11.05 proforma_Book9 7" xfId="17248"/>
    <cellStyle name="_Recon to Darrin's 5.11.05 proforma_Book9_DEM-WP(C) ENERG10C--ctn Mid-C_042010 2010GRC" xfId="17249"/>
    <cellStyle name="_Recon to Darrin's 5.11.05 proforma_Book9_DEM-WP(C) ENERG10C--ctn Mid-C_042010 2010GRC 2" xfId="17250"/>
    <cellStyle name="_Recon to Darrin's 5.11.05 proforma_Check the Interest Calculation" xfId="796"/>
    <cellStyle name="_Recon to Darrin's 5.11.05 proforma_Check the Interest Calculation 2" xfId="17251"/>
    <cellStyle name="_Recon to Darrin's 5.11.05 proforma_Check the Interest Calculation_Scenario 1 REC vs PTC Offset" xfId="797"/>
    <cellStyle name="_Recon to Darrin's 5.11.05 proforma_Check the Interest Calculation_Scenario 1 REC vs PTC Offset 2" xfId="17252"/>
    <cellStyle name="_Recon to Darrin's 5.11.05 proforma_Check the Interest Calculation_Scenario 3" xfId="798"/>
    <cellStyle name="_Recon to Darrin's 5.11.05 proforma_Check the Interest Calculation_Scenario 3 2" xfId="17253"/>
    <cellStyle name="_Recon to Darrin's 5.11.05 proforma_Chelan PUD Power Costs (8-10)" xfId="17254"/>
    <cellStyle name="_Recon to Darrin's 5.11.05 proforma_Chelan PUD Power Costs (8-10) 2" xfId="17255"/>
    <cellStyle name="_Recon to Darrin's 5.11.05 proforma_DEM-WP(C) Chelan Power Costs" xfId="17256"/>
    <cellStyle name="_Recon to Darrin's 5.11.05 proforma_DEM-WP(C) Chelan Power Costs 2" xfId="17257"/>
    <cellStyle name="_Recon to Darrin's 5.11.05 proforma_DEM-WP(C) Chelan Power Costs 2 2" xfId="17258"/>
    <cellStyle name="_Recon to Darrin's 5.11.05 proforma_DEM-WP(C) Chelan Power Costs 2 2 2" xfId="17259"/>
    <cellStyle name="_Recon to Darrin's 5.11.05 proforma_DEM-WP(C) Chelan Power Costs 2 3" xfId="17260"/>
    <cellStyle name="_Recon to Darrin's 5.11.05 proforma_DEM-WP(C) Chelan Power Costs 3" xfId="17261"/>
    <cellStyle name="_Recon to Darrin's 5.11.05 proforma_DEM-WP(C) Chelan Power Costs 3 2" xfId="17262"/>
    <cellStyle name="_Recon to Darrin's 5.11.05 proforma_DEM-WP(C) Chelan Power Costs 3 2 2" xfId="17263"/>
    <cellStyle name="_Recon to Darrin's 5.11.05 proforma_DEM-WP(C) Chelan Power Costs 3 3" xfId="17264"/>
    <cellStyle name="_Recon to Darrin's 5.11.05 proforma_DEM-WP(C) Chelan Power Costs 4" xfId="17265"/>
    <cellStyle name="_Recon to Darrin's 5.11.05 proforma_DEM-WP(C) Chelan Power Costs 4 2" xfId="17266"/>
    <cellStyle name="_Recon to Darrin's 5.11.05 proforma_DEM-WP(C) Chelan Power Costs 5" xfId="17267"/>
    <cellStyle name="_Recon to Darrin's 5.11.05 proforma_DEM-WP(C) Chelan Power Costs 5 2" xfId="17268"/>
    <cellStyle name="_Recon to Darrin's 5.11.05 proforma_DEM-WP(C) ENERG10C--ctn Mid-C_042010 2010GRC" xfId="17269"/>
    <cellStyle name="_Recon to Darrin's 5.11.05 proforma_DEM-WP(C) ENERG10C--ctn Mid-C_042010 2010GRC 2" xfId="17270"/>
    <cellStyle name="_Recon to Darrin's 5.11.05 proforma_DEM-WP(C) Gas Transport 2010GRC" xfId="17271"/>
    <cellStyle name="_Recon to Darrin's 5.11.05 proforma_DEM-WP(C) Gas Transport 2010GRC 2" xfId="17272"/>
    <cellStyle name="_Recon to Darrin's 5.11.05 proforma_DEM-WP(C) Gas Transport 2010GRC 2 2" xfId="17273"/>
    <cellStyle name="_Recon to Darrin's 5.11.05 proforma_DEM-WP(C) Gas Transport 2010GRC 2 2 2" xfId="17274"/>
    <cellStyle name="_Recon to Darrin's 5.11.05 proforma_DEM-WP(C) Gas Transport 2010GRC 2 3" xfId="17275"/>
    <cellStyle name="_Recon to Darrin's 5.11.05 proforma_DEM-WP(C) Gas Transport 2010GRC 3" xfId="17276"/>
    <cellStyle name="_Recon to Darrin's 5.11.05 proforma_DEM-WP(C) Gas Transport 2010GRC 3 2" xfId="17277"/>
    <cellStyle name="_Recon to Darrin's 5.11.05 proforma_DEM-WP(C) Gas Transport 2010GRC 3 2 2" xfId="17278"/>
    <cellStyle name="_Recon to Darrin's 5.11.05 proforma_DEM-WP(C) Gas Transport 2010GRC 3 3" xfId="17279"/>
    <cellStyle name="_Recon to Darrin's 5.11.05 proforma_DEM-WP(C) Gas Transport 2010GRC 4" xfId="17280"/>
    <cellStyle name="_Recon to Darrin's 5.11.05 proforma_DEM-WP(C) Gas Transport 2010GRC 4 2" xfId="17281"/>
    <cellStyle name="_Recon to Darrin's 5.11.05 proforma_DEM-WP(C) Gas Transport 2010GRC 5" xfId="17282"/>
    <cellStyle name="_Recon to Darrin's 5.11.05 proforma_DEM-WP(C) Gas Transport 2010GRC 5 2" xfId="17283"/>
    <cellStyle name="_Recon to Darrin's 5.11.05 proforma_Exh A-1 resulting from UE-112050 effective Jan 1 2012" xfId="17284"/>
    <cellStyle name="_Recon to Darrin's 5.11.05 proforma_Exh A-1 resulting from UE-112050 effective Jan 1 2012 2" xfId="17285"/>
    <cellStyle name="_Recon to Darrin's 5.11.05 proforma_Exhibit A-1 effective 4-1-11 fr S Free 12-11" xfId="17286"/>
    <cellStyle name="_Recon to Darrin's 5.11.05 proforma_Exhibit A-1 effective 4-1-11 fr S Free 12-11 2" xfId="17287"/>
    <cellStyle name="_Recon to Darrin's 5.11.05 proforma_Exhibit D fr R Gho 12-31-08" xfId="17288"/>
    <cellStyle name="_Recon to Darrin's 5.11.05 proforma_Exhibit D fr R Gho 12-31-08 2" xfId="17289"/>
    <cellStyle name="_Recon to Darrin's 5.11.05 proforma_Exhibit D fr R Gho 12-31-08 2 2" xfId="17290"/>
    <cellStyle name="_Recon to Darrin's 5.11.05 proforma_Exhibit D fr R Gho 12-31-08 2 2 2" xfId="17291"/>
    <cellStyle name="_Recon to Darrin's 5.11.05 proforma_Exhibit D fr R Gho 12-31-08 2 2 2 2" xfId="17292"/>
    <cellStyle name="_Recon to Darrin's 5.11.05 proforma_Exhibit D fr R Gho 12-31-08 2 3" xfId="17293"/>
    <cellStyle name="_Recon to Darrin's 5.11.05 proforma_Exhibit D fr R Gho 12-31-08 2 3 2" xfId="17294"/>
    <cellStyle name="_Recon to Darrin's 5.11.05 proforma_Exhibit D fr R Gho 12-31-08 2 4" xfId="17295"/>
    <cellStyle name="_Recon to Darrin's 5.11.05 proforma_Exhibit D fr R Gho 12-31-08 2 4 2" xfId="17296"/>
    <cellStyle name="_Recon to Darrin's 5.11.05 proforma_Exhibit D fr R Gho 12-31-08 2 5" xfId="17297"/>
    <cellStyle name="_Recon to Darrin's 5.11.05 proforma_Exhibit D fr R Gho 12-31-08 3" xfId="17298"/>
    <cellStyle name="_Recon to Darrin's 5.11.05 proforma_Exhibit D fr R Gho 12-31-08 3 2" xfId="17299"/>
    <cellStyle name="_Recon to Darrin's 5.11.05 proforma_Exhibit D fr R Gho 12-31-08 3 2 2" xfId="17300"/>
    <cellStyle name="_Recon to Darrin's 5.11.05 proforma_Exhibit D fr R Gho 12-31-08 3 3" xfId="17301"/>
    <cellStyle name="_Recon to Darrin's 5.11.05 proforma_Exhibit D fr R Gho 12-31-08 4" xfId="17302"/>
    <cellStyle name="_Recon to Darrin's 5.11.05 proforma_Exhibit D fr R Gho 12-31-08 4 2" xfId="17303"/>
    <cellStyle name="_Recon to Darrin's 5.11.05 proforma_Exhibit D fr R Gho 12-31-08 4 2 2" xfId="17304"/>
    <cellStyle name="_Recon to Darrin's 5.11.05 proforma_Exhibit D fr R Gho 12-31-08 4 3" xfId="17305"/>
    <cellStyle name="_Recon to Darrin's 5.11.05 proforma_Exhibit D fr R Gho 12-31-08 5" xfId="17306"/>
    <cellStyle name="_Recon to Darrin's 5.11.05 proforma_Exhibit D fr R Gho 12-31-08 5 2" xfId="17307"/>
    <cellStyle name="_Recon to Darrin's 5.11.05 proforma_Exhibit D fr R Gho 12-31-08 6" xfId="17308"/>
    <cellStyle name="_Recon to Darrin's 5.11.05 proforma_Exhibit D fr R Gho 12-31-08 6 2" xfId="17309"/>
    <cellStyle name="_Recon to Darrin's 5.11.05 proforma_Exhibit D fr R Gho 12-31-08 7" xfId="17310"/>
    <cellStyle name="_Recon to Darrin's 5.11.05 proforma_Exhibit D fr R Gho 12-31-08 v2" xfId="17311"/>
    <cellStyle name="_Recon to Darrin's 5.11.05 proforma_Exhibit D fr R Gho 12-31-08 v2 2" xfId="17312"/>
    <cellStyle name="_Recon to Darrin's 5.11.05 proforma_Exhibit D fr R Gho 12-31-08 v2 2 2" xfId="17313"/>
    <cellStyle name="_Recon to Darrin's 5.11.05 proforma_Exhibit D fr R Gho 12-31-08 v2 2 2 2" xfId="17314"/>
    <cellStyle name="_Recon to Darrin's 5.11.05 proforma_Exhibit D fr R Gho 12-31-08 v2 2 2 2 2" xfId="17315"/>
    <cellStyle name="_Recon to Darrin's 5.11.05 proforma_Exhibit D fr R Gho 12-31-08 v2 2 3" xfId="17316"/>
    <cellStyle name="_Recon to Darrin's 5.11.05 proforma_Exhibit D fr R Gho 12-31-08 v2 2 3 2" xfId="17317"/>
    <cellStyle name="_Recon to Darrin's 5.11.05 proforma_Exhibit D fr R Gho 12-31-08 v2 2 4" xfId="17318"/>
    <cellStyle name="_Recon to Darrin's 5.11.05 proforma_Exhibit D fr R Gho 12-31-08 v2 2 4 2" xfId="17319"/>
    <cellStyle name="_Recon to Darrin's 5.11.05 proforma_Exhibit D fr R Gho 12-31-08 v2 2 5" xfId="17320"/>
    <cellStyle name="_Recon to Darrin's 5.11.05 proforma_Exhibit D fr R Gho 12-31-08 v2 3" xfId="17321"/>
    <cellStyle name="_Recon to Darrin's 5.11.05 proforma_Exhibit D fr R Gho 12-31-08 v2 3 2" xfId="17322"/>
    <cellStyle name="_Recon to Darrin's 5.11.05 proforma_Exhibit D fr R Gho 12-31-08 v2 3 2 2" xfId="17323"/>
    <cellStyle name="_Recon to Darrin's 5.11.05 proforma_Exhibit D fr R Gho 12-31-08 v2 3 3" xfId="17324"/>
    <cellStyle name="_Recon to Darrin's 5.11.05 proforma_Exhibit D fr R Gho 12-31-08 v2 4" xfId="17325"/>
    <cellStyle name="_Recon to Darrin's 5.11.05 proforma_Exhibit D fr R Gho 12-31-08 v2 4 2" xfId="17326"/>
    <cellStyle name="_Recon to Darrin's 5.11.05 proforma_Exhibit D fr R Gho 12-31-08 v2 4 2 2" xfId="17327"/>
    <cellStyle name="_Recon to Darrin's 5.11.05 proforma_Exhibit D fr R Gho 12-31-08 v2 4 3" xfId="17328"/>
    <cellStyle name="_Recon to Darrin's 5.11.05 proforma_Exhibit D fr R Gho 12-31-08 v2 5" xfId="17329"/>
    <cellStyle name="_Recon to Darrin's 5.11.05 proforma_Exhibit D fr R Gho 12-31-08 v2 5 2" xfId="17330"/>
    <cellStyle name="_Recon to Darrin's 5.11.05 proforma_Exhibit D fr R Gho 12-31-08 v2 6" xfId="17331"/>
    <cellStyle name="_Recon to Darrin's 5.11.05 proforma_Exhibit D fr R Gho 12-31-08 v2 6 2" xfId="17332"/>
    <cellStyle name="_Recon to Darrin's 5.11.05 proforma_Exhibit D fr R Gho 12-31-08 v2 7" xfId="17333"/>
    <cellStyle name="_Recon to Darrin's 5.11.05 proforma_Exhibit D fr R Gho 12-31-08 v2_DEM-WP(C) ENERG10C--ctn Mid-C_042010 2010GRC" xfId="17334"/>
    <cellStyle name="_Recon to Darrin's 5.11.05 proforma_Exhibit D fr R Gho 12-31-08 v2_DEM-WP(C) ENERG10C--ctn Mid-C_042010 2010GRC 2" xfId="17335"/>
    <cellStyle name="_Recon to Darrin's 5.11.05 proforma_Exhibit D fr R Gho 12-31-08 v2_NIM Summary" xfId="17336"/>
    <cellStyle name="_Recon to Darrin's 5.11.05 proforma_Exhibit D fr R Gho 12-31-08 v2_NIM Summary 2" xfId="17337"/>
    <cellStyle name="_Recon to Darrin's 5.11.05 proforma_Exhibit D fr R Gho 12-31-08 v2_NIM Summary 2 2" xfId="17338"/>
    <cellStyle name="_Recon to Darrin's 5.11.05 proforma_Exhibit D fr R Gho 12-31-08 v2_NIM Summary 2 2 2" xfId="17339"/>
    <cellStyle name="_Recon to Darrin's 5.11.05 proforma_Exhibit D fr R Gho 12-31-08 v2_NIM Summary 2 2 2 2" xfId="17340"/>
    <cellStyle name="_Recon to Darrin's 5.11.05 proforma_Exhibit D fr R Gho 12-31-08 v2_NIM Summary 2 3" xfId="17341"/>
    <cellStyle name="_Recon to Darrin's 5.11.05 proforma_Exhibit D fr R Gho 12-31-08 v2_NIM Summary 2 3 2" xfId="17342"/>
    <cellStyle name="_Recon to Darrin's 5.11.05 proforma_Exhibit D fr R Gho 12-31-08 v2_NIM Summary 2 4" xfId="17343"/>
    <cellStyle name="_Recon to Darrin's 5.11.05 proforma_Exhibit D fr R Gho 12-31-08 v2_NIM Summary 2 4 2" xfId="17344"/>
    <cellStyle name="_Recon to Darrin's 5.11.05 proforma_Exhibit D fr R Gho 12-31-08 v2_NIM Summary 2 5" xfId="17345"/>
    <cellStyle name="_Recon to Darrin's 5.11.05 proforma_Exhibit D fr R Gho 12-31-08 v2_NIM Summary 3" xfId="17346"/>
    <cellStyle name="_Recon to Darrin's 5.11.05 proforma_Exhibit D fr R Gho 12-31-08 v2_NIM Summary 3 2" xfId="17347"/>
    <cellStyle name="_Recon to Darrin's 5.11.05 proforma_Exhibit D fr R Gho 12-31-08 v2_NIM Summary 3 2 2" xfId="17348"/>
    <cellStyle name="_Recon to Darrin's 5.11.05 proforma_Exhibit D fr R Gho 12-31-08 v2_NIM Summary 3 3" xfId="17349"/>
    <cellStyle name="_Recon to Darrin's 5.11.05 proforma_Exhibit D fr R Gho 12-31-08 v2_NIM Summary 4" xfId="17350"/>
    <cellStyle name="_Recon to Darrin's 5.11.05 proforma_Exhibit D fr R Gho 12-31-08 v2_NIM Summary 4 2" xfId="17351"/>
    <cellStyle name="_Recon to Darrin's 5.11.05 proforma_Exhibit D fr R Gho 12-31-08 v2_NIM Summary 4 2 2" xfId="17352"/>
    <cellStyle name="_Recon to Darrin's 5.11.05 proforma_Exhibit D fr R Gho 12-31-08 v2_NIM Summary 4 3" xfId="17353"/>
    <cellStyle name="_Recon to Darrin's 5.11.05 proforma_Exhibit D fr R Gho 12-31-08 v2_NIM Summary 5" xfId="17354"/>
    <cellStyle name="_Recon to Darrin's 5.11.05 proforma_Exhibit D fr R Gho 12-31-08 v2_NIM Summary 5 2" xfId="17355"/>
    <cellStyle name="_Recon to Darrin's 5.11.05 proforma_Exhibit D fr R Gho 12-31-08 v2_NIM Summary 6" xfId="17356"/>
    <cellStyle name="_Recon to Darrin's 5.11.05 proforma_Exhibit D fr R Gho 12-31-08 v2_NIM Summary 6 2" xfId="17357"/>
    <cellStyle name="_Recon to Darrin's 5.11.05 proforma_Exhibit D fr R Gho 12-31-08 v2_NIM Summary 7" xfId="17358"/>
    <cellStyle name="_Recon to Darrin's 5.11.05 proforma_Exhibit D fr R Gho 12-31-08 v2_NIM Summary_DEM-WP(C) ENERG10C--ctn Mid-C_042010 2010GRC" xfId="17359"/>
    <cellStyle name="_Recon to Darrin's 5.11.05 proforma_Exhibit D fr R Gho 12-31-08 v2_NIM Summary_DEM-WP(C) ENERG10C--ctn Mid-C_042010 2010GRC 2" xfId="17360"/>
    <cellStyle name="_Recon to Darrin's 5.11.05 proforma_Exhibit D fr R Gho 12-31-08_DEM-WP(C) ENERG10C--ctn Mid-C_042010 2010GRC" xfId="17361"/>
    <cellStyle name="_Recon to Darrin's 5.11.05 proforma_Exhibit D fr R Gho 12-31-08_DEM-WP(C) ENERG10C--ctn Mid-C_042010 2010GRC 2" xfId="17362"/>
    <cellStyle name="_Recon to Darrin's 5.11.05 proforma_Exhibit D fr R Gho 12-31-08_NIM Summary" xfId="17363"/>
    <cellStyle name="_Recon to Darrin's 5.11.05 proforma_Exhibit D fr R Gho 12-31-08_NIM Summary 2" xfId="17364"/>
    <cellStyle name="_Recon to Darrin's 5.11.05 proforma_Exhibit D fr R Gho 12-31-08_NIM Summary 2 2" xfId="17365"/>
    <cellStyle name="_Recon to Darrin's 5.11.05 proforma_Exhibit D fr R Gho 12-31-08_NIM Summary 2 2 2" xfId="17366"/>
    <cellStyle name="_Recon to Darrin's 5.11.05 proforma_Exhibit D fr R Gho 12-31-08_NIM Summary 2 2 2 2" xfId="17367"/>
    <cellStyle name="_Recon to Darrin's 5.11.05 proforma_Exhibit D fr R Gho 12-31-08_NIM Summary 2 3" xfId="17368"/>
    <cellStyle name="_Recon to Darrin's 5.11.05 proforma_Exhibit D fr R Gho 12-31-08_NIM Summary 2 3 2" xfId="17369"/>
    <cellStyle name="_Recon to Darrin's 5.11.05 proforma_Exhibit D fr R Gho 12-31-08_NIM Summary 2 4" xfId="17370"/>
    <cellStyle name="_Recon to Darrin's 5.11.05 proforma_Exhibit D fr R Gho 12-31-08_NIM Summary 2 4 2" xfId="17371"/>
    <cellStyle name="_Recon to Darrin's 5.11.05 proforma_Exhibit D fr R Gho 12-31-08_NIM Summary 2 5" xfId="17372"/>
    <cellStyle name="_Recon to Darrin's 5.11.05 proforma_Exhibit D fr R Gho 12-31-08_NIM Summary 3" xfId="17373"/>
    <cellStyle name="_Recon to Darrin's 5.11.05 proforma_Exhibit D fr R Gho 12-31-08_NIM Summary 3 2" xfId="17374"/>
    <cellStyle name="_Recon to Darrin's 5.11.05 proforma_Exhibit D fr R Gho 12-31-08_NIM Summary 3 2 2" xfId="17375"/>
    <cellStyle name="_Recon to Darrin's 5.11.05 proforma_Exhibit D fr R Gho 12-31-08_NIM Summary 3 3" xfId="17376"/>
    <cellStyle name="_Recon to Darrin's 5.11.05 proforma_Exhibit D fr R Gho 12-31-08_NIM Summary 4" xfId="17377"/>
    <cellStyle name="_Recon to Darrin's 5.11.05 proforma_Exhibit D fr R Gho 12-31-08_NIM Summary 4 2" xfId="17378"/>
    <cellStyle name="_Recon to Darrin's 5.11.05 proforma_Exhibit D fr R Gho 12-31-08_NIM Summary 4 2 2" xfId="17379"/>
    <cellStyle name="_Recon to Darrin's 5.11.05 proforma_Exhibit D fr R Gho 12-31-08_NIM Summary 4 3" xfId="17380"/>
    <cellStyle name="_Recon to Darrin's 5.11.05 proforma_Exhibit D fr R Gho 12-31-08_NIM Summary 5" xfId="17381"/>
    <cellStyle name="_Recon to Darrin's 5.11.05 proforma_Exhibit D fr R Gho 12-31-08_NIM Summary 5 2" xfId="17382"/>
    <cellStyle name="_Recon to Darrin's 5.11.05 proforma_Exhibit D fr R Gho 12-31-08_NIM Summary 6" xfId="17383"/>
    <cellStyle name="_Recon to Darrin's 5.11.05 proforma_Exhibit D fr R Gho 12-31-08_NIM Summary 6 2" xfId="17384"/>
    <cellStyle name="_Recon to Darrin's 5.11.05 proforma_Exhibit D fr R Gho 12-31-08_NIM Summary 7" xfId="17385"/>
    <cellStyle name="_Recon to Darrin's 5.11.05 proforma_Exhibit D fr R Gho 12-31-08_NIM Summary_DEM-WP(C) ENERG10C--ctn Mid-C_042010 2010GRC" xfId="17386"/>
    <cellStyle name="_Recon to Darrin's 5.11.05 proforma_Exhibit D fr R Gho 12-31-08_NIM Summary_DEM-WP(C) ENERG10C--ctn Mid-C_042010 2010GRC 2" xfId="17387"/>
    <cellStyle name="_Recon to Darrin's 5.11.05 proforma_Hopkins Ridge Prepaid Tran - Interest Earned RY 12ME Feb  '11" xfId="17388"/>
    <cellStyle name="_Recon to Darrin's 5.11.05 proforma_Hopkins Ridge Prepaid Tran - Interest Earned RY 12ME Feb  '11 2" xfId="17389"/>
    <cellStyle name="_Recon to Darrin's 5.11.05 proforma_Hopkins Ridge Prepaid Tran - Interest Earned RY 12ME Feb  '11 2 2" xfId="17390"/>
    <cellStyle name="_Recon to Darrin's 5.11.05 proforma_Hopkins Ridge Prepaid Tran - Interest Earned RY 12ME Feb  '11 2 2 2" xfId="17391"/>
    <cellStyle name="_Recon to Darrin's 5.11.05 proforma_Hopkins Ridge Prepaid Tran - Interest Earned RY 12ME Feb  '11 2 2 2 2" xfId="17392"/>
    <cellStyle name="_Recon to Darrin's 5.11.05 proforma_Hopkins Ridge Prepaid Tran - Interest Earned RY 12ME Feb  '11 2 3" xfId="17393"/>
    <cellStyle name="_Recon to Darrin's 5.11.05 proforma_Hopkins Ridge Prepaid Tran - Interest Earned RY 12ME Feb  '11 2 3 2" xfId="17394"/>
    <cellStyle name="_Recon to Darrin's 5.11.05 proforma_Hopkins Ridge Prepaid Tran - Interest Earned RY 12ME Feb  '11 2 4" xfId="17395"/>
    <cellStyle name="_Recon to Darrin's 5.11.05 proforma_Hopkins Ridge Prepaid Tran - Interest Earned RY 12ME Feb  '11 2 4 2" xfId="17396"/>
    <cellStyle name="_Recon to Darrin's 5.11.05 proforma_Hopkins Ridge Prepaid Tran - Interest Earned RY 12ME Feb  '11 2 5" xfId="17397"/>
    <cellStyle name="_Recon to Darrin's 5.11.05 proforma_Hopkins Ridge Prepaid Tran - Interest Earned RY 12ME Feb  '11 3" xfId="17398"/>
    <cellStyle name="_Recon to Darrin's 5.11.05 proforma_Hopkins Ridge Prepaid Tran - Interest Earned RY 12ME Feb  '11 3 2" xfId="17399"/>
    <cellStyle name="_Recon to Darrin's 5.11.05 proforma_Hopkins Ridge Prepaid Tran - Interest Earned RY 12ME Feb  '11 3 2 2" xfId="17400"/>
    <cellStyle name="_Recon to Darrin's 5.11.05 proforma_Hopkins Ridge Prepaid Tran - Interest Earned RY 12ME Feb  '11 3 3" xfId="17401"/>
    <cellStyle name="_Recon to Darrin's 5.11.05 proforma_Hopkins Ridge Prepaid Tran - Interest Earned RY 12ME Feb  '11 4" xfId="17402"/>
    <cellStyle name="_Recon to Darrin's 5.11.05 proforma_Hopkins Ridge Prepaid Tran - Interest Earned RY 12ME Feb  '11 4 2" xfId="17403"/>
    <cellStyle name="_Recon to Darrin's 5.11.05 proforma_Hopkins Ridge Prepaid Tran - Interest Earned RY 12ME Feb  '11 4 2 2" xfId="17404"/>
    <cellStyle name="_Recon to Darrin's 5.11.05 proforma_Hopkins Ridge Prepaid Tran - Interest Earned RY 12ME Feb  '11 4 3" xfId="17405"/>
    <cellStyle name="_Recon to Darrin's 5.11.05 proforma_Hopkins Ridge Prepaid Tran - Interest Earned RY 12ME Feb  '11 5" xfId="17406"/>
    <cellStyle name="_Recon to Darrin's 5.11.05 proforma_Hopkins Ridge Prepaid Tran - Interest Earned RY 12ME Feb  '11 5 2" xfId="17407"/>
    <cellStyle name="_Recon to Darrin's 5.11.05 proforma_Hopkins Ridge Prepaid Tran - Interest Earned RY 12ME Feb  '11 6" xfId="17408"/>
    <cellStyle name="_Recon to Darrin's 5.11.05 proforma_Hopkins Ridge Prepaid Tran - Interest Earned RY 12ME Feb  '11 6 2" xfId="17409"/>
    <cellStyle name="_Recon to Darrin's 5.11.05 proforma_Hopkins Ridge Prepaid Tran - Interest Earned RY 12ME Feb  '11 7" xfId="17410"/>
    <cellStyle name="_Recon to Darrin's 5.11.05 proforma_Hopkins Ridge Prepaid Tran - Interest Earned RY 12ME Feb  '11_DEM-WP(C) ENERG10C--ctn Mid-C_042010 2010GRC" xfId="17411"/>
    <cellStyle name="_Recon to Darrin's 5.11.05 proforma_Hopkins Ridge Prepaid Tran - Interest Earned RY 12ME Feb  '11_DEM-WP(C) ENERG10C--ctn Mid-C_042010 2010GRC 2" xfId="17412"/>
    <cellStyle name="_Recon to Darrin's 5.11.05 proforma_Hopkins Ridge Prepaid Tran - Interest Earned RY 12ME Feb  '11_NIM Summary" xfId="17413"/>
    <cellStyle name="_Recon to Darrin's 5.11.05 proforma_Hopkins Ridge Prepaid Tran - Interest Earned RY 12ME Feb  '11_NIM Summary 2" xfId="17414"/>
    <cellStyle name="_Recon to Darrin's 5.11.05 proforma_Hopkins Ridge Prepaid Tran - Interest Earned RY 12ME Feb  '11_NIM Summary 2 2" xfId="17415"/>
    <cellStyle name="_Recon to Darrin's 5.11.05 proforma_Hopkins Ridge Prepaid Tran - Interest Earned RY 12ME Feb  '11_NIM Summary 2 2 2" xfId="17416"/>
    <cellStyle name="_Recon to Darrin's 5.11.05 proforma_Hopkins Ridge Prepaid Tran - Interest Earned RY 12ME Feb  '11_NIM Summary 2 2 2 2" xfId="17417"/>
    <cellStyle name="_Recon to Darrin's 5.11.05 proforma_Hopkins Ridge Prepaid Tran - Interest Earned RY 12ME Feb  '11_NIM Summary 2 3" xfId="17418"/>
    <cellStyle name="_Recon to Darrin's 5.11.05 proforma_Hopkins Ridge Prepaid Tran - Interest Earned RY 12ME Feb  '11_NIM Summary 2 3 2" xfId="17419"/>
    <cellStyle name="_Recon to Darrin's 5.11.05 proforma_Hopkins Ridge Prepaid Tran - Interest Earned RY 12ME Feb  '11_NIM Summary 2 4" xfId="17420"/>
    <cellStyle name="_Recon to Darrin's 5.11.05 proforma_Hopkins Ridge Prepaid Tran - Interest Earned RY 12ME Feb  '11_NIM Summary 2 4 2" xfId="17421"/>
    <cellStyle name="_Recon to Darrin's 5.11.05 proforma_Hopkins Ridge Prepaid Tran - Interest Earned RY 12ME Feb  '11_NIM Summary 2 5" xfId="17422"/>
    <cellStyle name="_Recon to Darrin's 5.11.05 proforma_Hopkins Ridge Prepaid Tran - Interest Earned RY 12ME Feb  '11_NIM Summary 3" xfId="17423"/>
    <cellStyle name="_Recon to Darrin's 5.11.05 proforma_Hopkins Ridge Prepaid Tran - Interest Earned RY 12ME Feb  '11_NIM Summary 3 2" xfId="17424"/>
    <cellStyle name="_Recon to Darrin's 5.11.05 proforma_Hopkins Ridge Prepaid Tran - Interest Earned RY 12ME Feb  '11_NIM Summary 3 2 2" xfId="17425"/>
    <cellStyle name="_Recon to Darrin's 5.11.05 proforma_Hopkins Ridge Prepaid Tran - Interest Earned RY 12ME Feb  '11_NIM Summary 3 3" xfId="17426"/>
    <cellStyle name="_Recon to Darrin's 5.11.05 proforma_Hopkins Ridge Prepaid Tran - Interest Earned RY 12ME Feb  '11_NIM Summary 4" xfId="17427"/>
    <cellStyle name="_Recon to Darrin's 5.11.05 proforma_Hopkins Ridge Prepaid Tran - Interest Earned RY 12ME Feb  '11_NIM Summary 4 2" xfId="17428"/>
    <cellStyle name="_Recon to Darrin's 5.11.05 proforma_Hopkins Ridge Prepaid Tran - Interest Earned RY 12ME Feb  '11_NIM Summary 4 2 2" xfId="17429"/>
    <cellStyle name="_Recon to Darrin's 5.11.05 proforma_Hopkins Ridge Prepaid Tran - Interest Earned RY 12ME Feb  '11_NIM Summary 4 3" xfId="17430"/>
    <cellStyle name="_Recon to Darrin's 5.11.05 proforma_Hopkins Ridge Prepaid Tran - Interest Earned RY 12ME Feb  '11_NIM Summary 5" xfId="17431"/>
    <cellStyle name="_Recon to Darrin's 5.11.05 proforma_Hopkins Ridge Prepaid Tran - Interest Earned RY 12ME Feb  '11_NIM Summary 5 2" xfId="17432"/>
    <cellStyle name="_Recon to Darrin's 5.11.05 proforma_Hopkins Ridge Prepaid Tran - Interest Earned RY 12ME Feb  '11_NIM Summary 6" xfId="17433"/>
    <cellStyle name="_Recon to Darrin's 5.11.05 proforma_Hopkins Ridge Prepaid Tran - Interest Earned RY 12ME Feb  '11_NIM Summary 6 2" xfId="17434"/>
    <cellStyle name="_Recon to Darrin's 5.11.05 proforma_Hopkins Ridge Prepaid Tran - Interest Earned RY 12ME Feb  '11_NIM Summary 7" xfId="17435"/>
    <cellStyle name="_Recon to Darrin's 5.11.05 proforma_Hopkins Ridge Prepaid Tran - Interest Earned RY 12ME Feb  '11_NIM Summary_DEM-WP(C) ENERG10C--ctn Mid-C_042010 2010GRC" xfId="17436"/>
    <cellStyle name="_Recon to Darrin's 5.11.05 proforma_Hopkins Ridge Prepaid Tran - Interest Earned RY 12ME Feb  '11_NIM Summary_DEM-WP(C) ENERG10C--ctn Mid-C_042010 2010GRC 2" xfId="17437"/>
    <cellStyle name="_Recon to Darrin's 5.11.05 proforma_Hopkins Ridge Prepaid Tran - Interest Earned RY 12ME Feb  '11_Transmission Workbook for May BOD" xfId="17438"/>
    <cellStyle name="_Recon to Darrin's 5.11.05 proforma_Hopkins Ridge Prepaid Tran - Interest Earned RY 12ME Feb  '11_Transmission Workbook for May BOD 2" xfId="17439"/>
    <cellStyle name="_Recon to Darrin's 5.11.05 proforma_Hopkins Ridge Prepaid Tran - Interest Earned RY 12ME Feb  '11_Transmission Workbook for May BOD 2 2" xfId="17440"/>
    <cellStyle name="_Recon to Darrin's 5.11.05 proforma_Hopkins Ridge Prepaid Tran - Interest Earned RY 12ME Feb  '11_Transmission Workbook for May BOD 2 2 2" xfId="17441"/>
    <cellStyle name="_Recon to Darrin's 5.11.05 proforma_Hopkins Ridge Prepaid Tran - Interest Earned RY 12ME Feb  '11_Transmission Workbook for May BOD 2 2 2 2" xfId="17442"/>
    <cellStyle name="_Recon to Darrin's 5.11.05 proforma_Hopkins Ridge Prepaid Tran - Interest Earned RY 12ME Feb  '11_Transmission Workbook for May BOD 2 3" xfId="17443"/>
    <cellStyle name="_Recon to Darrin's 5.11.05 proforma_Hopkins Ridge Prepaid Tran - Interest Earned RY 12ME Feb  '11_Transmission Workbook for May BOD 2 3 2" xfId="17444"/>
    <cellStyle name="_Recon to Darrin's 5.11.05 proforma_Hopkins Ridge Prepaid Tran - Interest Earned RY 12ME Feb  '11_Transmission Workbook for May BOD 2 4" xfId="17445"/>
    <cellStyle name="_Recon to Darrin's 5.11.05 proforma_Hopkins Ridge Prepaid Tran - Interest Earned RY 12ME Feb  '11_Transmission Workbook for May BOD 2 4 2" xfId="17446"/>
    <cellStyle name="_Recon to Darrin's 5.11.05 proforma_Hopkins Ridge Prepaid Tran - Interest Earned RY 12ME Feb  '11_Transmission Workbook for May BOD 2 5" xfId="17447"/>
    <cellStyle name="_Recon to Darrin's 5.11.05 proforma_Hopkins Ridge Prepaid Tran - Interest Earned RY 12ME Feb  '11_Transmission Workbook for May BOD 3" xfId="17448"/>
    <cellStyle name="_Recon to Darrin's 5.11.05 proforma_Hopkins Ridge Prepaid Tran - Interest Earned RY 12ME Feb  '11_Transmission Workbook for May BOD 3 2" xfId="17449"/>
    <cellStyle name="_Recon to Darrin's 5.11.05 proforma_Hopkins Ridge Prepaid Tran - Interest Earned RY 12ME Feb  '11_Transmission Workbook for May BOD 3 2 2" xfId="17450"/>
    <cellStyle name="_Recon to Darrin's 5.11.05 proforma_Hopkins Ridge Prepaid Tran - Interest Earned RY 12ME Feb  '11_Transmission Workbook for May BOD 3 3" xfId="17451"/>
    <cellStyle name="_Recon to Darrin's 5.11.05 proforma_Hopkins Ridge Prepaid Tran - Interest Earned RY 12ME Feb  '11_Transmission Workbook for May BOD 4" xfId="17452"/>
    <cellStyle name="_Recon to Darrin's 5.11.05 proforma_Hopkins Ridge Prepaid Tran - Interest Earned RY 12ME Feb  '11_Transmission Workbook for May BOD 4 2" xfId="17453"/>
    <cellStyle name="_Recon to Darrin's 5.11.05 proforma_Hopkins Ridge Prepaid Tran - Interest Earned RY 12ME Feb  '11_Transmission Workbook for May BOD 4 2 2" xfId="17454"/>
    <cellStyle name="_Recon to Darrin's 5.11.05 proforma_Hopkins Ridge Prepaid Tran - Interest Earned RY 12ME Feb  '11_Transmission Workbook for May BOD 4 3" xfId="17455"/>
    <cellStyle name="_Recon to Darrin's 5.11.05 proforma_Hopkins Ridge Prepaid Tran - Interest Earned RY 12ME Feb  '11_Transmission Workbook for May BOD 5" xfId="17456"/>
    <cellStyle name="_Recon to Darrin's 5.11.05 proforma_Hopkins Ridge Prepaid Tran - Interest Earned RY 12ME Feb  '11_Transmission Workbook for May BOD 5 2" xfId="17457"/>
    <cellStyle name="_Recon to Darrin's 5.11.05 proforma_Hopkins Ridge Prepaid Tran - Interest Earned RY 12ME Feb  '11_Transmission Workbook for May BOD 6" xfId="17458"/>
    <cellStyle name="_Recon to Darrin's 5.11.05 proforma_Hopkins Ridge Prepaid Tran - Interest Earned RY 12ME Feb  '11_Transmission Workbook for May BOD 6 2" xfId="17459"/>
    <cellStyle name="_Recon to Darrin's 5.11.05 proforma_Hopkins Ridge Prepaid Tran - Interest Earned RY 12ME Feb  '11_Transmission Workbook for May BOD 7" xfId="17460"/>
    <cellStyle name="_Recon to Darrin's 5.11.05 proforma_Hopkins Ridge Prepaid Tran - Interest Earned RY 12ME Feb  '11_Transmission Workbook for May BOD_DEM-WP(C) ENERG10C--ctn Mid-C_042010 2010GRC" xfId="17461"/>
    <cellStyle name="_Recon to Darrin's 5.11.05 proforma_Hopkins Ridge Prepaid Tran - Interest Earned RY 12ME Feb  '11_Transmission Workbook for May BOD_DEM-WP(C) ENERG10C--ctn Mid-C_042010 2010GRC 2" xfId="17462"/>
    <cellStyle name="_Recon to Darrin's 5.11.05 proforma_INPUTS" xfId="17463"/>
    <cellStyle name="_Recon to Darrin's 5.11.05 proforma_INPUTS 2" xfId="17464"/>
    <cellStyle name="_Recon to Darrin's 5.11.05 proforma_INPUTS 2 2" xfId="17465"/>
    <cellStyle name="_Recon to Darrin's 5.11.05 proforma_INPUTS 2 2 2" xfId="17466"/>
    <cellStyle name="_Recon to Darrin's 5.11.05 proforma_INPUTS 2 3" xfId="17467"/>
    <cellStyle name="_Recon to Darrin's 5.11.05 proforma_INPUTS 3" xfId="17468"/>
    <cellStyle name="_Recon to Darrin's 5.11.05 proforma_INPUTS 3 2" xfId="17469"/>
    <cellStyle name="_Recon to Darrin's 5.11.05 proforma_INPUTS 4" xfId="17470"/>
    <cellStyle name="_Recon to Darrin's 5.11.05 proforma_LSRWEP LGIA like Acctg Petition Aug 2010" xfId="17471"/>
    <cellStyle name="_Recon to Darrin's 5.11.05 proforma_LSRWEP LGIA like Acctg Petition Aug 2010 2" xfId="17472"/>
    <cellStyle name="_Recon to Darrin's 5.11.05 proforma_LSRWEP LGIA like Acctg Petition Aug 2010 2 2" xfId="17473"/>
    <cellStyle name="_Recon to Darrin's 5.11.05 proforma_LSRWEP LGIA like Acctg Petition Aug 2010 2 2 2" xfId="17474"/>
    <cellStyle name="_Recon to Darrin's 5.11.05 proforma_LSRWEP LGIA like Acctg Petition Aug 2010 3" xfId="17475"/>
    <cellStyle name="_Recon to Darrin's 5.11.05 proforma_LSRWEP LGIA like Acctg Petition Aug 2010 3 2" xfId="17476"/>
    <cellStyle name="_Recon to Darrin's 5.11.05 proforma_LSRWEP LGIA like Acctg Petition Aug 2010 3 2 2" xfId="17477"/>
    <cellStyle name="_Recon to Darrin's 5.11.05 proforma_LSRWEP LGIA like Acctg Petition Aug 2010 3 3" xfId="17478"/>
    <cellStyle name="_Recon to Darrin's 5.11.05 proforma_LSRWEP LGIA like Acctg Petition Aug 2010 4" xfId="17479"/>
    <cellStyle name="_Recon to Darrin's 5.11.05 proforma_LSRWEP LGIA like Acctg Petition Aug 2010 4 2" xfId="17480"/>
    <cellStyle name="_Recon to Darrin's 5.11.05 proforma_LSRWEP LGIA like Acctg Petition Aug 2010 5" xfId="17481"/>
    <cellStyle name="_Recon to Darrin's 5.11.05 proforma_LSRWEP LGIA like Acctg Petition Aug 2010 5 2" xfId="17482"/>
    <cellStyle name="_Recon to Darrin's 5.11.05 proforma_Mint Farm Generation BPA" xfId="17483"/>
    <cellStyle name="_Recon to Darrin's 5.11.05 proforma_NIM Summary" xfId="17484"/>
    <cellStyle name="_Recon to Darrin's 5.11.05 proforma_NIM Summary 09GRC" xfId="17485"/>
    <cellStyle name="_Recon to Darrin's 5.11.05 proforma_NIM Summary 09GRC 2" xfId="17486"/>
    <cellStyle name="_Recon to Darrin's 5.11.05 proforma_NIM Summary 09GRC 2 2" xfId="17487"/>
    <cellStyle name="_Recon to Darrin's 5.11.05 proforma_NIM Summary 09GRC 2 2 2" xfId="17488"/>
    <cellStyle name="_Recon to Darrin's 5.11.05 proforma_NIM Summary 09GRC 2 2 2 2" xfId="17489"/>
    <cellStyle name="_Recon to Darrin's 5.11.05 proforma_NIM Summary 09GRC 2 3" xfId="17490"/>
    <cellStyle name="_Recon to Darrin's 5.11.05 proforma_NIM Summary 09GRC 2 3 2" xfId="17491"/>
    <cellStyle name="_Recon to Darrin's 5.11.05 proforma_NIM Summary 09GRC 2 4" xfId="17492"/>
    <cellStyle name="_Recon to Darrin's 5.11.05 proforma_NIM Summary 09GRC 2 4 2" xfId="17493"/>
    <cellStyle name="_Recon to Darrin's 5.11.05 proforma_NIM Summary 09GRC 2 5" xfId="17494"/>
    <cellStyle name="_Recon to Darrin's 5.11.05 proforma_NIM Summary 09GRC 3" xfId="17495"/>
    <cellStyle name="_Recon to Darrin's 5.11.05 proforma_NIM Summary 09GRC 3 2" xfId="17496"/>
    <cellStyle name="_Recon to Darrin's 5.11.05 proforma_NIM Summary 09GRC 3 2 2" xfId="17497"/>
    <cellStyle name="_Recon to Darrin's 5.11.05 proforma_NIM Summary 09GRC 3 3" xfId="17498"/>
    <cellStyle name="_Recon to Darrin's 5.11.05 proforma_NIM Summary 09GRC 4" xfId="17499"/>
    <cellStyle name="_Recon to Darrin's 5.11.05 proforma_NIM Summary 09GRC 4 2" xfId="17500"/>
    <cellStyle name="_Recon to Darrin's 5.11.05 proforma_NIM Summary 09GRC 4 2 2" xfId="17501"/>
    <cellStyle name="_Recon to Darrin's 5.11.05 proforma_NIM Summary 09GRC 4 3" xfId="17502"/>
    <cellStyle name="_Recon to Darrin's 5.11.05 proforma_NIM Summary 09GRC 5" xfId="17503"/>
    <cellStyle name="_Recon to Darrin's 5.11.05 proforma_NIM Summary 09GRC 5 2" xfId="17504"/>
    <cellStyle name="_Recon to Darrin's 5.11.05 proforma_NIM Summary 09GRC 6" xfId="17505"/>
    <cellStyle name="_Recon to Darrin's 5.11.05 proforma_NIM Summary 09GRC 6 2" xfId="17506"/>
    <cellStyle name="_Recon to Darrin's 5.11.05 proforma_NIM Summary 09GRC 7" xfId="17507"/>
    <cellStyle name="_Recon to Darrin's 5.11.05 proforma_NIM Summary 09GRC_DEM-WP(C) ENERG10C--ctn Mid-C_042010 2010GRC" xfId="17508"/>
    <cellStyle name="_Recon to Darrin's 5.11.05 proforma_NIM Summary 09GRC_DEM-WP(C) ENERG10C--ctn Mid-C_042010 2010GRC 2" xfId="17509"/>
    <cellStyle name="_Recon to Darrin's 5.11.05 proforma_NIM Summary 10" xfId="17510"/>
    <cellStyle name="_Recon to Darrin's 5.11.05 proforma_NIM Summary 10 2" xfId="17511"/>
    <cellStyle name="_Recon to Darrin's 5.11.05 proforma_NIM Summary 10 2 2" xfId="17512"/>
    <cellStyle name="_Recon to Darrin's 5.11.05 proforma_NIM Summary 10 3" xfId="17513"/>
    <cellStyle name="_Recon to Darrin's 5.11.05 proforma_NIM Summary 10 4" xfId="17514"/>
    <cellStyle name="_Recon to Darrin's 5.11.05 proforma_NIM Summary 11" xfId="17515"/>
    <cellStyle name="_Recon to Darrin's 5.11.05 proforma_NIM Summary 11 2" xfId="17516"/>
    <cellStyle name="_Recon to Darrin's 5.11.05 proforma_NIM Summary 11 2 2" xfId="17517"/>
    <cellStyle name="_Recon to Darrin's 5.11.05 proforma_NIM Summary 11 3" xfId="17518"/>
    <cellStyle name="_Recon to Darrin's 5.11.05 proforma_NIM Summary 11 4" xfId="17519"/>
    <cellStyle name="_Recon to Darrin's 5.11.05 proforma_NIM Summary 12" xfId="17520"/>
    <cellStyle name="_Recon to Darrin's 5.11.05 proforma_NIM Summary 12 2" xfId="17521"/>
    <cellStyle name="_Recon to Darrin's 5.11.05 proforma_NIM Summary 12 2 2" xfId="17522"/>
    <cellStyle name="_Recon to Darrin's 5.11.05 proforma_NIM Summary 12 3" xfId="17523"/>
    <cellStyle name="_Recon to Darrin's 5.11.05 proforma_NIM Summary 12 4" xfId="17524"/>
    <cellStyle name="_Recon to Darrin's 5.11.05 proforma_NIM Summary 13" xfId="17525"/>
    <cellStyle name="_Recon to Darrin's 5.11.05 proforma_NIM Summary 13 2" xfId="17526"/>
    <cellStyle name="_Recon to Darrin's 5.11.05 proforma_NIM Summary 13 2 2" xfId="17527"/>
    <cellStyle name="_Recon to Darrin's 5.11.05 proforma_NIM Summary 13 3" xfId="17528"/>
    <cellStyle name="_Recon to Darrin's 5.11.05 proforma_NIM Summary 13 4" xfId="17529"/>
    <cellStyle name="_Recon to Darrin's 5.11.05 proforma_NIM Summary 14" xfId="17530"/>
    <cellStyle name="_Recon to Darrin's 5.11.05 proforma_NIM Summary 14 2" xfId="17531"/>
    <cellStyle name="_Recon to Darrin's 5.11.05 proforma_NIM Summary 14 2 2" xfId="17532"/>
    <cellStyle name="_Recon to Darrin's 5.11.05 proforma_NIM Summary 14 3" xfId="17533"/>
    <cellStyle name="_Recon to Darrin's 5.11.05 proforma_NIM Summary 14 4" xfId="17534"/>
    <cellStyle name="_Recon to Darrin's 5.11.05 proforma_NIM Summary 15" xfId="17535"/>
    <cellStyle name="_Recon to Darrin's 5.11.05 proforma_NIM Summary 15 2" xfId="17536"/>
    <cellStyle name="_Recon to Darrin's 5.11.05 proforma_NIM Summary 15 2 2" xfId="17537"/>
    <cellStyle name="_Recon to Darrin's 5.11.05 proforma_NIM Summary 15 3" xfId="17538"/>
    <cellStyle name="_Recon to Darrin's 5.11.05 proforma_NIM Summary 15 4" xfId="17539"/>
    <cellStyle name="_Recon to Darrin's 5.11.05 proforma_NIM Summary 16" xfId="17540"/>
    <cellStyle name="_Recon to Darrin's 5.11.05 proforma_NIM Summary 16 2" xfId="17541"/>
    <cellStyle name="_Recon to Darrin's 5.11.05 proforma_NIM Summary 16 2 2" xfId="17542"/>
    <cellStyle name="_Recon to Darrin's 5.11.05 proforma_NIM Summary 16 3" xfId="17543"/>
    <cellStyle name="_Recon to Darrin's 5.11.05 proforma_NIM Summary 16 4" xfId="17544"/>
    <cellStyle name="_Recon to Darrin's 5.11.05 proforma_NIM Summary 17" xfId="17545"/>
    <cellStyle name="_Recon to Darrin's 5.11.05 proforma_NIM Summary 17 2" xfId="17546"/>
    <cellStyle name="_Recon to Darrin's 5.11.05 proforma_NIM Summary 17 2 2" xfId="17547"/>
    <cellStyle name="_Recon to Darrin's 5.11.05 proforma_NIM Summary 17 3" xfId="17548"/>
    <cellStyle name="_Recon to Darrin's 5.11.05 proforma_NIM Summary 17 4" xfId="17549"/>
    <cellStyle name="_Recon to Darrin's 5.11.05 proforma_NIM Summary 18" xfId="17550"/>
    <cellStyle name="_Recon to Darrin's 5.11.05 proforma_NIM Summary 18 2" xfId="17551"/>
    <cellStyle name="_Recon to Darrin's 5.11.05 proforma_NIM Summary 18 3" xfId="17552"/>
    <cellStyle name="_Recon to Darrin's 5.11.05 proforma_NIM Summary 19" xfId="17553"/>
    <cellStyle name="_Recon to Darrin's 5.11.05 proforma_NIM Summary 19 2" xfId="17554"/>
    <cellStyle name="_Recon to Darrin's 5.11.05 proforma_NIM Summary 19 3" xfId="17555"/>
    <cellStyle name="_Recon to Darrin's 5.11.05 proforma_NIM Summary 2" xfId="17556"/>
    <cellStyle name="_Recon to Darrin's 5.11.05 proforma_NIM Summary 2 2" xfId="17557"/>
    <cellStyle name="_Recon to Darrin's 5.11.05 proforma_NIM Summary 2 2 2" xfId="17558"/>
    <cellStyle name="_Recon to Darrin's 5.11.05 proforma_NIM Summary 2 2 2 2" xfId="17559"/>
    <cellStyle name="_Recon to Darrin's 5.11.05 proforma_NIM Summary 2 3" xfId="17560"/>
    <cellStyle name="_Recon to Darrin's 5.11.05 proforma_NIM Summary 2 3 2" xfId="17561"/>
    <cellStyle name="_Recon to Darrin's 5.11.05 proforma_NIM Summary 2 4" xfId="17562"/>
    <cellStyle name="_Recon to Darrin's 5.11.05 proforma_NIM Summary 2 4 2" xfId="17563"/>
    <cellStyle name="_Recon to Darrin's 5.11.05 proforma_NIM Summary 2 5" xfId="17564"/>
    <cellStyle name="_Recon to Darrin's 5.11.05 proforma_NIM Summary 20" xfId="17565"/>
    <cellStyle name="_Recon to Darrin's 5.11.05 proforma_NIM Summary 20 2" xfId="17566"/>
    <cellStyle name="_Recon to Darrin's 5.11.05 proforma_NIM Summary 20 3" xfId="17567"/>
    <cellStyle name="_Recon to Darrin's 5.11.05 proforma_NIM Summary 21" xfId="17568"/>
    <cellStyle name="_Recon to Darrin's 5.11.05 proforma_NIM Summary 21 2" xfId="17569"/>
    <cellStyle name="_Recon to Darrin's 5.11.05 proforma_NIM Summary 21 3" xfId="17570"/>
    <cellStyle name="_Recon to Darrin's 5.11.05 proforma_NIM Summary 22" xfId="17571"/>
    <cellStyle name="_Recon to Darrin's 5.11.05 proforma_NIM Summary 22 2" xfId="17572"/>
    <cellStyle name="_Recon to Darrin's 5.11.05 proforma_NIM Summary 22 3" xfId="17573"/>
    <cellStyle name="_Recon to Darrin's 5.11.05 proforma_NIM Summary 23" xfId="17574"/>
    <cellStyle name="_Recon to Darrin's 5.11.05 proforma_NIM Summary 23 2" xfId="17575"/>
    <cellStyle name="_Recon to Darrin's 5.11.05 proforma_NIM Summary 23 3" xfId="17576"/>
    <cellStyle name="_Recon to Darrin's 5.11.05 proforma_NIM Summary 24" xfId="17577"/>
    <cellStyle name="_Recon to Darrin's 5.11.05 proforma_NIM Summary 24 2" xfId="17578"/>
    <cellStyle name="_Recon to Darrin's 5.11.05 proforma_NIM Summary 24 3" xfId="17579"/>
    <cellStyle name="_Recon to Darrin's 5.11.05 proforma_NIM Summary 25" xfId="17580"/>
    <cellStyle name="_Recon to Darrin's 5.11.05 proforma_NIM Summary 25 2" xfId="17581"/>
    <cellStyle name="_Recon to Darrin's 5.11.05 proforma_NIM Summary 25 3" xfId="17582"/>
    <cellStyle name="_Recon to Darrin's 5.11.05 proforma_NIM Summary 26" xfId="17583"/>
    <cellStyle name="_Recon to Darrin's 5.11.05 proforma_NIM Summary 26 2" xfId="17584"/>
    <cellStyle name="_Recon to Darrin's 5.11.05 proforma_NIM Summary 26 3" xfId="17585"/>
    <cellStyle name="_Recon to Darrin's 5.11.05 proforma_NIM Summary 27" xfId="17586"/>
    <cellStyle name="_Recon to Darrin's 5.11.05 proforma_NIM Summary 27 2" xfId="17587"/>
    <cellStyle name="_Recon to Darrin's 5.11.05 proforma_NIM Summary 27 3" xfId="17588"/>
    <cellStyle name="_Recon to Darrin's 5.11.05 proforma_NIM Summary 28" xfId="17589"/>
    <cellStyle name="_Recon to Darrin's 5.11.05 proforma_NIM Summary 28 2" xfId="17590"/>
    <cellStyle name="_Recon to Darrin's 5.11.05 proforma_NIM Summary 28 3" xfId="17591"/>
    <cellStyle name="_Recon to Darrin's 5.11.05 proforma_NIM Summary 29" xfId="17592"/>
    <cellStyle name="_Recon to Darrin's 5.11.05 proforma_NIM Summary 29 2" xfId="17593"/>
    <cellStyle name="_Recon to Darrin's 5.11.05 proforma_NIM Summary 29 3" xfId="17594"/>
    <cellStyle name="_Recon to Darrin's 5.11.05 proforma_NIM Summary 3" xfId="17595"/>
    <cellStyle name="_Recon to Darrin's 5.11.05 proforma_NIM Summary 3 2" xfId="17596"/>
    <cellStyle name="_Recon to Darrin's 5.11.05 proforma_NIM Summary 3 2 2" xfId="17597"/>
    <cellStyle name="_Recon to Darrin's 5.11.05 proforma_NIM Summary 3 3" xfId="17598"/>
    <cellStyle name="_Recon to Darrin's 5.11.05 proforma_NIM Summary 3 4" xfId="17599"/>
    <cellStyle name="_Recon to Darrin's 5.11.05 proforma_NIM Summary 30" xfId="17600"/>
    <cellStyle name="_Recon to Darrin's 5.11.05 proforma_NIM Summary 30 2" xfId="17601"/>
    <cellStyle name="_Recon to Darrin's 5.11.05 proforma_NIM Summary 30 3" xfId="17602"/>
    <cellStyle name="_Recon to Darrin's 5.11.05 proforma_NIM Summary 31" xfId="17603"/>
    <cellStyle name="_Recon to Darrin's 5.11.05 proforma_NIM Summary 31 2" xfId="17604"/>
    <cellStyle name="_Recon to Darrin's 5.11.05 proforma_NIM Summary 31 3" xfId="17605"/>
    <cellStyle name="_Recon to Darrin's 5.11.05 proforma_NIM Summary 32" xfId="17606"/>
    <cellStyle name="_Recon to Darrin's 5.11.05 proforma_NIM Summary 32 2" xfId="17607"/>
    <cellStyle name="_Recon to Darrin's 5.11.05 proforma_NIM Summary 33" xfId="17608"/>
    <cellStyle name="_Recon to Darrin's 5.11.05 proforma_NIM Summary 33 2" xfId="17609"/>
    <cellStyle name="_Recon to Darrin's 5.11.05 proforma_NIM Summary 34" xfId="17610"/>
    <cellStyle name="_Recon to Darrin's 5.11.05 proforma_NIM Summary 34 2" xfId="17611"/>
    <cellStyle name="_Recon to Darrin's 5.11.05 proforma_NIM Summary 35" xfId="17612"/>
    <cellStyle name="_Recon to Darrin's 5.11.05 proforma_NIM Summary 35 2" xfId="17613"/>
    <cellStyle name="_Recon to Darrin's 5.11.05 proforma_NIM Summary 36" xfId="17614"/>
    <cellStyle name="_Recon to Darrin's 5.11.05 proforma_NIM Summary 36 2" xfId="17615"/>
    <cellStyle name="_Recon to Darrin's 5.11.05 proforma_NIM Summary 37" xfId="17616"/>
    <cellStyle name="_Recon to Darrin's 5.11.05 proforma_NIM Summary 37 2" xfId="17617"/>
    <cellStyle name="_Recon to Darrin's 5.11.05 proforma_NIM Summary 38" xfId="17618"/>
    <cellStyle name="_Recon to Darrin's 5.11.05 proforma_NIM Summary 38 2" xfId="17619"/>
    <cellStyle name="_Recon to Darrin's 5.11.05 proforma_NIM Summary 39" xfId="17620"/>
    <cellStyle name="_Recon to Darrin's 5.11.05 proforma_NIM Summary 39 2" xfId="17621"/>
    <cellStyle name="_Recon to Darrin's 5.11.05 proforma_NIM Summary 4" xfId="17622"/>
    <cellStyle name="_Recon to Darrin's 5.11.05 proforma_NIM Summary 4 2" xfId="17623"/>
    <cellStyle name="_Recon to Darrin's 5.11.05 proforma_NIM Summary 4 2 2" xfId="17624"/>
    <cellStyle name="_Recon to Darrin's 5.11.05 proforma_NIM Summary 4 3" xfId="17625"/>
    <cellStyle name="_Recon to Darrin's 5.11.05 proforma_NIM Summary 4 4" xfId="17626"/>
    <cellStyle name="_Recon to Darrin's 5.11.05 proforma_NIM Summary 40" xfId="17627"/>
    <cellStyle name="_Recon to Darrin's 5.11.05 proforma_NIM Summary 40 2" xfId="17628"/>
    <cellStyle name="_Recon to Darrin's 5.11.05 proforma_NIM Summary 41" xfId="17629"/>
    <cellStyle name="_Recon to Darrin's 5.11.05 proforma_NIM Summary 41 2" xfId="17630"/>
    <cellStyle name="_Recon to Darrin's 5.11.05 proforma_NIM Summary 42" xfId="17631"/>
    <cellStyle name="_Recon to Darrin's 5.11.05 proforma_NIM Summary 42 2" xfId="17632"/>
    <cellStyle name="_Recon to Darrin's 5.11.05 proforma_NIM Summary 43" xfId="17633"/>
    <cellStyle name="_Recon to Darrin's 5.11.05 proforma_NIM Summary 43 2" xfId="17634"/>
    <cellStyle name="_Recon to Darrin's 5.11.05 proforma_NIM Summary 44" xfId="17635"/>
    <cellStyle name="_Recon to Darrin's 5.11.05 proforma_NIM Summary 44 2" xfId="17636"/>
    <cellStyle name="_Recon to Darrin's 5.11.05 proforma_NIM Summary 45" xfId="17637"/>
    <cellStyle name="_Recon to Darrin's 5.11.05 proforma_NIM Summary 45 2" xfId="17638"/>
    <cellStyle name="_Recon to Darrin's 5.11.05 proforma_NIM Summary 46" xfId="17639"/>
    <cellStyle name="_Recon to Darrin's 5.11.05 proforma_NIM Summary 46 2" xfId="17640"/>
    <cellStyle name="_Recon to Darrin's 5.11.05 proforma_NIM Summary 47" xfId="17641"/>
    <cellStyle name="_Recon to Darrin's 5.11.05 proforma_NIM Summary 47 2" xfId="17642"/>
    <cellStyle name="_Recon to Darrin's 5.11.05 proforma_NIM Summary 48" xfId="17643"/>
    <cellStyle name="_Recon to Darrin's 5.11.05 proforma_NIM Summary 49" xfId="17644"/>
    <cellStyle name="_Recon to Darrin's 5.11.05 proforma_NIM Summary 5" xfId="17645"/>
    <cellStyle name="_Recon to Darrin's 5.11.05 proforma_NIM Summary 5 2" xfId="17646"/>
    <cellStyle name="_Recon to Darrin's 5.11.05 proforma_NIM Summary 5 2 2" xfId="17647"/>
    <cellStyle name="_Recon to Darrin's 5.11.05 proforma_NIM Summary 5 3" xfId="17648"/>
    <cellStyle name="_Recon to Darrin's 5.11.05 proforma_NIM Summary 5 4" xfId="17649"/>
    <cellStyle name="_Recon to Darrin's 5.11.05 proforma_NIM Summary 50" xfId="17650"/>
    <cellStyle name="_Recon to Darrin's 5.11.05 proforma_NIM Summary 51" xfId="17651"/>
    <cellStyle name="_Recon to Darrin's 5.11.05 proforma_NIM Summary 52" xfId="17652"/>
    <cellStyle name="_Recon to Darrin's 5.11.05 proforma_NIM Summary 6" xfId="17653"/>
    <cellStyle name="_Recon to Darrin's 5.11.05 proforma_NIM Summary 6 2" xfId="17654"/>
    <cellStyle name="_Recon to Darrin's 5.11.05 proforma_NIM Summary 6 2 2" xfId="17655"/>
    <cellStyle name="_Recon to Darrin's 5.11.05 proforma_NIM Summary 6 3" xfId="17656"/>
    <cellStyle name="_Recon to Darrin's 5.11.05 proforma_NIM Summary 6 4" xfId="17657"/>
    <cellStyle name="_Recon to Darrin's 5.11.05 proforma_NIM Summary 7" xfId="17658"/>
    <cellStyle name="_Recon to Darrin's 5.11.05 proforma_NIM Summary 7 2" xfId="17659"/>
    <cellStyle name="_Recon to Darrin's 5.11.05 proforma_NIM Summary 7 2 2" xfId="17660"/>
    <cellStyle name="_Recon to Darrin's 5.11.05 proforma_NIM Summary 7 3" xfId="17661"/>
    <cellStyle name="_Recon to Darrin's 5.11.05 proforma_NIM Summary 7 4" xfId="17662"/>
    <cellStyle name="_Recon to Darrin's 5.11.05 proforma_NIM Summary 7 5" xfId="17663"/>
    <cellStyle name="_Recon to Darrin's 5.11.05 proforma_NIM Summary 8" xfId="17664"/>
    <cellStyle name="_Recon to Darrin's 5.11.05 proforma_NIM Summary 8 2" xfId="17665"/>
    <cellStyle name="_Recon to Darrin's 5.11.05 proforma_NIM Summary 8 2 2" xfId="17666"/>
    <cellStyle name="_Recon to Darrin's 5.11.05 proforma_NIM Summary 8 3" xfId="17667"/>
    <cellStyle name="_Recon to Darrin's 5.11.05 proforma_NIM Summary 8 4" xfId="17668"/>
    <cellStyle name="_Recon to Darrin's 5.11.05 proforma_NIM Summary 8 5" xfId="17669"/>
    <cellStyle name="_Recon to Darrin's 5.11.05 proforma_NIM Summary 9" xfId="17670"/>
    <cellStyle name="_Recon to Darrin's 5.11.05 proforma_NIM Summary 9 2" xfId="17671"/>
    <cellStyle name="_Recon to Darrin's 5.11.05 proforma_NIM Summary 9 2 2" xfId="17672"/>
    <cellStyle name="_Recon to Darrin's 5.11.05 proforma_NIM Summary 9 3" xfId="17673"/>
    <cellStyle name="_Recon to Darrin's 5.11.05 proforma_NIM Summary 9 4" xfId="17674"/>
    <cellStyle name="_Recon to Darrin's 5.11.05 proforma_NIM Summary 9 5" xfId="17675"/>
    <cellStyle name="_Recon to Darrin's 5.11.05 proforma_NIM Summary_DEM-WP(C) ENERG10C--ctn Mid-C_042010 2010GRC" xfId="17676"/>
    <cellStyle name="_Recon to Darrin's 5.11.05 proforma_NIM Summary_DEM-WP(C) ENERG10C--ctn Mid-C_042010 2010GRC 2" xfId="17677"/>
    <cellStyle name="_Recon to Darrin's 5.11.05 proforma_NIM+O&amp;M" xfId="17678"/>
    <cellStyle name="_Recon to Darrin's 5.11.05 proforma_NIM+O&amp;M 2" xfId="17679"/>
    <cellStyle name="_Recon to Darrin's 5.11.05 proforma_NIM+O&amp;M 2 2" xfId="17680"/>
    <cellStyle name="_Recon to Darrin's 5.11.05 proforma_NIM+O&amp;M 2 2 2" xfId="17681"/>
    <cellStyle name="_Recon to Darrin's 5.11.05 proforma_NIM+O&amp;M 2 2 2 2" xfId="17682"/>
    <cellStyle name="_Recon to Darrin's 5.11.05 proforma_NIM+O&amp;M 2 3" xfId="17683"/>
    <cellStyle name="_Recon to Darrin's 5.11.05 proforma_NIM+O&amp;M 2 3 2" xfId="17684"/>
    <cellStyle name="_Recon to Darrin's 5.11.05 proforma_NIM+O&amp;M 2 4" xfId="17685"/>
    <cellStyle name="_Recon to Darrin's 5.11.05 proforma_NIM+O&amp;M 2 4 2" xfId="17686"/>
    <cellStyle name="_Recon to Darrin's 5.11.05 proforma_NIM+O&amp;M 3" xfId="17687"/>
    <cellStyle name="_Recon to Darrin's 5.11.05 proforma_NIM+O&amp;M 3 2" xfId="17688"/>
    <cellStyle name="_Recon to Darrin's 5.11.05 proforma_NIM+O&amp;M 3 2 2" xfId="17689"/>
    <cellStyle name="_Recon to Darrin's 5.11.05 proforma_NIM+O&amp;M 4" xfId="17690"/>
    <cellStyle name="_Recon to Darrin's 5.11.05 proforma_NIM+O&amp;M 4 2" xfId="17691"/>
    <cellStyle name="_Recon to Darrin's 5.11.05 proforma_NIM+O&amp;M 4 2 2" xfId="17692"/>
    <cellStyle name="_Recon to Darrin's 5.11.05 proforma_NIM+O&amp;M 4 3" xfId="17693"/>
    <cellStyle name="_Recon to Darrin's 5.11.05 proforma_NIM+O&amp;M 5" xfId="17694"/>
    <cellStyle name="_Recon to Darrin's 5.11.05 proforma_NIM+O&amp;M 5 2" xfId="17695"/>
    <cellStyle name="_Recon to Darrin's 5.11.05 proforma_NIM+O&amp;M 6" xfId="17696"/>
    <cellStyle name="_Recon to Darrin's 5.11.05 proforma_NIM+O&amp;M 6 2" xfId="17697"/>
    <cellStyle name="_Recon to Darrin's 5.11.05 proforma_NIM+O&amp;M Monthly" xfId="17698"/>
    <cellStyle name="_Recon to Darrin's 5.11.05 proforma_NIM+O&amp;M Monthly 2" xfId="17699"/>
    <cellStyle name="_Recon to Darrin's 5.11.05 proforma_NIM+O&amp;M Monthly 2 2" xfId="17700"/>
    <cellStyle name="_Recon to Darrin's 5.11.05 proforma_NIM+O&amp;M Monthly 2 2 2" xfId="17701"/>
    <cellStyle name="_Recon to Darrin's 5.11.05 proforma_NIM+O&amp;M Monthly 2 2 2 2" xfId="17702"/>
    <cellStyle name="_Recon to Darrin's 5.11.05 proforma_NIM+O&amp;M Monthly 2 3" xfId="17703"/>
    <cellStyle name="_Recon to Darrin's 5.11.05 proforma_NIM+O&amp;M Monthly 2 3 2" xfId="17704"/>
    <cellStyle name="_Recon to Darrin's 5.11.05 proforma_NIM+O&amp;M Monthly 2 4" xfId="17705"/>
    <cellStyle name="_Recon to Darrin's 5.11.05 proforma_NIM+O&amp;M Monthly 2 4 2" xfId="17706"/>
    <cellStyle name="_Recon to Darrin's 5.11.05 proforma_NIM+O&amp;M Monthly 3" xfId="17707"/>
    <cellStyle name="_Recon to Darrin's 5.11.05 proforma_NIM+O&amp;M Monthly 3 2" xfId="17708"/>
    <cellStyle name="_Recon to Darrin's 5.11.05 proforma_NIM+O&amp;M Monthly 3 2 2" xfId="17709"/>
    <cellStyle name="_Recon to Darrin's 5.11.05 proforma_NIM+O&amp;M Monthly 4" xfId="17710"/>
    <cellStyle name="_Recon to Darrin's 5.11.05 proforma_NIM+O&amp;M Monthly 4 2" xfId="17711"/>
    <cellStyle name="_Recon to Darrin's 5.11.05 proforma_NIM+O&amp;M Monthly 4 2 2" xfId="17712"/>
    <cellStyle name="_Recon to Darrin's 5.11.05 proforma_NIM+O&amp;M Monthly 4 3" xfId="17713"/>
    <cellStyle name="_Recon to Darrin's 5.11.05 proforma_NIM+O&amp;M Monthly 5" xfId="17714"/>
    <cellStyle name="_Recon to Darrin's 5.11.05 proforma_NIM+O&amp;M Monthly 5 2" xfId="17715"/>
    <cellStyle name="_Recon to Darrin's 5.11.05 proforma_NIM+O&amp;M Monthly 6" xfId="17716"/>
    <cellStyle name="_Recon to Darrin's 5.11.05 proforma_NIM+O&amp;M Monthly 6 2" xfId="17717"/>
    <cellStyle name="_Recon to Darrin's 5.11.05 proforma_PCA 10 -  Exhibit D Dec 2011" xfId="17718"/>
    <cellStyle name="_Recon to Darrin's 5.11.05 proforma_PCA 10 -  Exhibit D Dec 2011 2" xfId="17719"/>
    <cellStyle name="_Recon to Darrin's 5.11.05 proforma_PCA 10 -  Exhibit D from A Kellogg Jan 2011" xfId="17720"/>
    <cellStyle name="_Recon to Darrin's 5.11.05 proforma_PCA 10 -  Exhibit D from A Kellogg Jan 2011 2" xfId="17721"/>
    <cellStyle name="_Recon to Darrin's 5.11.05 proforma_PCA 10 -  Exhibit D from A Kellogg July 2011" xfId="17722"/>
    <cellStyle name="_Recon to Darrin's 5.11.05 proforma_PCA 10 -  Exhibit D from A Kellogg July 2011 2" xfId="17723"/>
    <cellStyle name="_Recon to Darrin's 5.11.05 proforma_PCA 10 -  Exhibit D from S Free Rcv'd 12-11" xfId="17724"/>
    <cellStyle name="_Recon to Darrin's 5.11.05 proforma_PCA 10 -  Exhibit D from S Free Rcv'd 12-11 2" xfId="17725"/>
    <cellStyle name="_Recon to Darrin's 5.11.05 proforma_PCA 11 -  Exhibit D Jan 2012 fr A Kellogg" xfId="17726"/>
    <cellStyle name="_Recon to Darrin's 5.11.05 proforma_PCA 11 -  Exhibit D Jan 2012 fr A Kellogg 2" xfId="17727"/>
    <cellStyle name="_Recon to Darrin's 5.11.05 proforma_PCA 11 -  Exhibit D Jan 2012 WF" xfId="17728"/>
    <cellStyle name="_Recon to Darrin's 5.11.05 proforma_PCA 11 -  Exhibit D Jan 2012 WF 2" xfId="17729"/>
    <cellStyle name="_Recon to Darrin's 5.11.05 proforma_PCA 7 - Exhibit D update 11_30_08 (2)" xfId="17730"/>
    <cellStyle name="_Recon to Darrin's 5.11.05 proforma_PCA 7 - Exhibit D update 11_30_08 (2) 2" xfId="17731"/>
    <cellStyle name="_Recon to Darrin's 5.11.05 proforma_PCA 7 - Exhibit D update 11_30_08 (2) 2 2" xfId="17732"/>
    <cellStyle name="_Recon to Darrin's 5.11.05 proforma_PCA 7 - Exhibit D update 11_30_08 (2) 2 2 2" xfId="17733"/>
    <cellStyle name="_Recon to Darrin's 5.11.05 proforma_PCA 7 - Exhibit D update 11_30_08 (2) 2 2 2 2" xfId="17734"/>
    <cellStyle name="_Recon to Darrin's 5.11.05 proforma_PCA 7 - Exhibit D update 11_30_08 (2) 2 2 2 2 2" xfId="17735"/>
    <cellStyle name="_Recon to Darrin's 5.11.05 proforma_PCA 7 - Exhibit D update 11_30_08 (2) 2 2 3" xfId="17736"/>
    <cellStyle name="_Recon to Darrin's 5.11.05 proforma_PCA 7 - Exhibit D update 11_30_08 (2) 2 2 3 2" xfId="17737"/>
    <cellStyle name="_Recon to Darrin's 5.11.05 proforma_PCA 7 - Exhibit D update 11_30_08 (2) 2 2 4" xfId="17738"/>
    <cellStyle name="_Recon to Darrin's 5.11.05 proforma_PCA 7 - Exhibit D update 11_30_08 (2) 2 2 4 2" xfId="17739"/>
    <cellStyle name="_Recon to Darrin's 5.11.05 proforma_PCA 7 - Exhibit D update 11_30_08 (2) 2 2 5" xfId="17740"/>
    <cellStyle name="_Recon to Darrin's 5.11.05 proforma_PCA 7 - Exhibit D update 11_30_08 (2) 2 3" xfId="17741"/>
    <cellStyle name="_Recon to Darrin's 5.11.05 proforma_PCA 7 - Exhibit D update 11_30_08 (2) 2 3 2" xfId="17742"/>
    <cellStyle name="_Recon to Darrin's 5.11.05 proforma_PCA 7 - Exhibit D update 11_30_08 (2) 2 3 2 2" xfId="17743"/>
    <cellStyle name="_Recon to Darrin's 5.11.05 proforma_PCA 7 - Exhibit D update 11_30_08 (2) 2 4" xfId="17744"/>
    <cellStyle name="_Recon to Darrin's 5.11.05 proforma_PCA 7 - Exhibit D update 11_30_08 (2) 2 4 2" xfId="17745"/>
    <cellStyle name="_Recon to Darrin's 5.11.05 proforma_PCA 7 - Exhibit D update 11_30_08 (2) 2 4 2 2" xfId="17746"/>
    <cellStyle name="_Recon to Darrin's 5.11.05 proforma_PCA 7 - Exhibit D update 11_30_08 (2) 2 4 3" xfId="17747"/>
    <cellStyle name="_Recon to Darrin's 5.11.05 proforma_PCA 7 - Exhibit D update 11_30_08 (2) 2 5" xfId="17748"/>
    <cellStyle name="_Recon to Darrin's 5.11.05 proforma_PCA 7 - Exhibit D update 11_30_08 (2) 2 5 2" xfId="17749"/>
    <cellStyle name="_Recon to Darrin's 5.11.05 proforma_PCA 7 - Exhibit D update 11_30_08 (2) 2 6" xfId="17750"/>
    <cellStyle name="_Recon to Darrin's 5.11.05 proforma_PCA 7 - Exhibit D update 11_30_08 (2) 2 6 2" xfId="17751"/>
    <cellStyle name="_Recon to Darrin's 5.11.05 proforma_PCA 7 - Exhibit D update 11_30_08 (2) 2 7" xfId="17752"/>
    <cellStyle name="_Recon to Darrin's 5.11.05 proforma_PCA 7 - Exhibit D update 11_30_08 (2) 3" xfId="17753"/>
    <cellStyle name="_Recon to Darrin's 5.11.05 proforma_PCA 7 - Exhibit D update 11_30_08 (2) 3 2" xfId="17754"/>
    <cellStyle name="_Recon to Darrin's 5.11.05 proforma_PCA 7 - Exhibit D update 11_30_08 (2) 3 2 2" xfId="17755"/>
    <cellStyle name="_Recon to Darrin's 5.11.05 proforma_PCA 7 - Exhibit D update 11_30_08 (2) 3 2 2 2" xfId="17756"/>
    <cellStyle name="_Recon to Darrin's 5.11.05 proforma_PCA 7 - Exhibit D update 11_30_08 (2) 3 3" xfId="17757"/>
    <cellStyle name="_Recon to Darrin's 5.11.05 proforma_PCA 7 - Exhibit D update 11_30_08 (2) 3 3 2" xfId="17758"/>
    <cellStyle name="_Recon to Darrin's 5.11.05 proforma_PCA 7 - Exhibit D update 11_30_08 (2) 3 4" xfId="17759"/>
    <cellStyle name="_Recon to Darrin's 5.11.05 proforma_PCA 7 - Exhibit D update 11_30_08 (2) 3 4 2" xfId="17760"/>
    <cellStyle name="_Recon to Darrin's 5.11.05 proforma_PCA 7 - Exhibit D update 11_30_08 (2) 3 5" xfId="17761"/>
    <cellStyle name="_Recon to Darrin's 5.11.05 proforma_PCA 7 - Exhibit D update 11_30_08 (2) 4" xfId="17762"/>
    <cellStyle name="_Recon to Darrin's 5.11.05 proforma_PCA 7 - Exhibit D update 11_30_08 (2) 4 2" xfId="17763"/>
    <cellStyle name="_Recon to Darrin's 5.11.05 proforma_PCA 7 - Exhibit D update 11_30_08 (2) 4 2 2" xfId="17764"/>
    <cellStyle name="_Recon to Darrin's 5.11.05 proforma_PCA 7 - Exhibit D update 11_30_08 (2) 4 3" xfId="17765"/>
    <cellStyle name="_Recon to Darrin's 5.11.05 proforma_PCA 7 - Exhibit D update 11_30_08 (2) 5" xfId="17766"/>
    <cellStyle name="_Recon to Darrin's 5.11.05 proforma_PCA 7 - Exhibit D update 11_30_08 (2) 5 2" xfId="17767"/>
    <cellStyle name="_Recon to Darrin's 5.11.05 proforma_PCA 7 - Exhibit D update 11_30_08 (2) 5 2 2" xfId="17768"/>
    <cellStyle name="_Recon to Darrin's 5.11.05 proforma_PCA 7 - Exhibit D update 11_30_08 (2) 5 3" xfId="17769"/>
    <cellStyle name="_Recon to Darrin's 5.11.05 proforma_PCA 7 - Exhibit D update 11_30_08 (2) 6" xfId="17770"/>
    <cellStyle name="_Recon to Darrin's 5.11.05 proforma_PCA 7 - Exhibit D update 11_30_08 (2) 6 2" xfId="17771"/>
    <cellStyle name="_Recon to Darrin's 5.11.05 proforma_PCA 7 - Exhibit D update 11_30_08 (2) 7" xfId="17772"/>
    <cellStyle name="_Recon to Darrin's 5.11.05 proforma_PCA 7 - Exhibit D update 11_30_08 (2) 7 2" xfId="17773"/>
    <cellStyle name="_Recon to Darrin's 5.11.05 proforma_PCA 7 - Exhibit D update 11_30_08 (2) 8" xfId="17774"/>
    <cellStyle name="_Recon to Darrin's 5.11.05 proforma_PCA 7 - Exhibit D update 11_30_08 (2)_DEM-WP(C) ENERG10C--ctn Mid-C_042010 2010GRC" xfId="17775"/>
    <cellStyle name="_Recon to Darrin's 5.11.05 proforma_PCA 7 - Exhibit D update 11_30_08 (2)_DEM-WP(C) ENERG10C--ctn Mid-C_042010 2010GRC 2" xfId="17776"/>
    <cellStyle name="_Recon to Darrin's 5.11.05 proforma_PCA 7 - Exhibit D update 11_30_08 (2)_NIM Summary" xfId="17777"/>
    <cellStyle name="_Recon to Darrin's 5.11.05 proforma_PCA 7 - Exhibit D update 11_30_08 (2)_NIM Summary 2" xfId="17778"/>
    <cellStyle name="_Recon to Darrin's 5.11.05 proforma_PCA 7 - Exhibit D update 11_30_08 (2)_NIM Summary 2 2" xfId="17779"/>
    <cellStyle name="_Recon to Darrin's 5.11.05 proforma_PCA 7 - Exhibit D update 11_30_08 (2)_NIM Summary 2 2 2" xfId="17780"/>
    <cellStyle name="_Recon to Darrin's 5.11.05 proforma_PCA 7 - Exhibit D update 11_30_08 (2)_NIM Summary 2 2 2 2" xfId="17781"/>
    <cellStyle name="_Recon to Darrin's 5.11.05 proforma_PCA 7 - Exhibit D update 11_30_08 (2)_NIM Summary 2 3" xfId="17782"/>
    <cellStyle name="_Recon to Darrin's 5.11.05 proforma_PCA 7 - Exhibit D update 11_30_08 (2)_NIM Summary 2 3 2" xfId="17783"/>
    <cellStyle name="_Recon to Darrin's 5.11.05 proforma_PCA 7 - Exhibit D update 11_30_08 (2)_NIM Summary 2 4" xfId="17784"/>
    <cellStyle name="_Recon to Darrin's 5.11.05 proforma_PCA 7 - Exhibit D update 11_30_08 (2)_NIM Summary 2 4 2" xfId="17785"/>
    <cellStyle name="_Recon to Darrin's 5.11.05 proforma_PCA 7 - Exhibit D update 11_30_08 (2)_NIM Summary 2 5" xfId="17786"/>
    <cellStyle name="_Recon to Darrin's 5.11.05 proforma_PCA 7 - Exhibit D update 11_30_08 (2)_NIM Summary 3" xfId="17787"/>
    <cellStyle name="_Recon to Darrin's 5.11.05 proforma_PCA 7 - Exhibit D update 11_30_08 (2)_NIM Summary 3 2" xfId="17788"/>
    <cellStyle name="_Recon to Darrin's 5.11.05 proforma_PCA 7 - Exhibit D update 11_30_08 (2)_NIM Summary 3 2 2" xfId="17789"/>
    <cellStyle name="_Recon to Darrin's 5.11.05 proforma_PCA 7 - Exhibit D update 11_30_08 (2)_NIM Summary 3 3" xfId="17790"/>
    <cellStyle name="_Recon to Darrin's 5.11.05 proforma_PCA 7 - Exhibit D update 11_30_08 (2)_NIM Summary 4" xfId="17791"/>
    <cellStyle name="_Recon to Darrin's 5.11.05 proforma_PCA 7 - Exhibit D update 11_30_08 (2)_NIM Summary 4 2" xfId="17792"/>
    <cellStyle name="_Recon to Darrin's 5.11.05 proforma_PCA 7 - Exhibit D update 11_30_08 (2)_NIM Summary 4 2 2" xfId="17793"/>
    <cellStyle name="_Recon to Darrin's 5.11.05 proforma_PCA 7 - Exhibit D update 11_30_08 (2)_NIM Summary 4 3" xfId="17794"/>
    <cellStyle name="_Recon to Darrin's 5.11.05 proforma_PCA 7 - Exhibit D update 11_30_08 (2)_NIM Summary 5" xfId="17795"/>
    <cellStyle name="_Recon to Darrin's 5.11.05 proforma_PCA 7 - Exhibit D update 11_30_08 (2)_NIM Summary 5 2" xfId="17796"/>
    <cellStyle name="_Recon to Darrin's 5.11.05 proforma_PCA 7 - Exhibit D update 11_30_08 (2)_NIM Summary 6" xfId="17797"/>
    <cellStyle name="_Recon to Darrin's 5.11.05 proforma_PCA 7 - Exhibit D update 11_30_08 (2)_NIM Summary 6 2" xfId="17798"/>
    <cellStyle name="_Recon to Darrin's 5.11.05 proforma_PCA 7 - Exhibit D update 11_30_08 (2)_NIM Summary 7" xfId="17799"/>
    <cellStyle name="_Recon to Darrin's 5.11.05 proforma_PCA 7 - Exhibit D update 11_30_08 (2)_NIM Summary_DEM-WP(C) ENERG10C--ctn Mid-C_042010 2010GRC" xfId="17800"/>
    <cellStyle name="_Recon to Darrin's 5.11.05 proforma_PCA 7 - Exhibit D update 11_30_08 (2)_NIM Summary_DEM-WP(C) ENERG10C--ctn Mid-C_042010 2010GRC 2" xfId="17801"/>
    <cellStyle name="_Recon to Darrin's 5.11.05 proforma_PCA 8 - Exhibit D update 12_31_09" xfId="17802"/>
    <cellStyle name="_Recon to Darrin's 5.11.05 proforma_PCA 8 - Exhibit D update 12_31_09 2" xfId="17803"/>
    <cellStyle name="_Recon to Darrin's 5.11.05 proforma_PCA 8 - Exhibit D update 12_31_09 2 2" xfId="17804"/>
    <cellStyle name="_Recon to Darrin's 5.11.05 proforma_PCA 8 - Exhibit D update 12_31_09 3" xfId="17805"/>
    <cellStyle name="_Recon to Darrin's 5.11.05 proforma_PCA 9 -  Exhibit D April 2010" xfId="17806"/>
    <cellStyle name="_Recon to Darrin's 5.11.05 proforma_PCA 9 -  Exhibit D April 2010 (3)" xfId="17807"/>
    <cellStyle name="_Recon to Darrin's 5.11.05 proforma_PCA 9 -  Exhibit D April 2010 (3) 2" xfId="17808"/>
    <cellStyle name="_Recon to Darrin's 5.11.05 proforma_PCA 9 -  Exhibit D April 2010 (3) 2 2" xfId="17809"/>
    <cellStyle name="_Recon to Darrin's 5.11.05 proforma_PCA 9 -  Exhibit D April 2010 (3) 2 2 2" xfId="17810"/>
    <cellStyle name="_Recon to Darrin's 5.11.05 proforma_PCA 9 -  Exhibit D April 2010 (3) 2 2 2 2" xfId="17811"/>
    <cellStyle name="_Recon to Darrin's 5.11.05 proforma_PCA 9 -  Exhibit D April 2010 (3) 2 3" xfId="17812"/>
    <cellStyle name="_Recon to Darrin's 5.11.05 proforma_PCA 9 -  Exhibit D April 2010 (3) 2 3 2" xfId="17813"/>
    <cellStyle name="_Recon to Darrin's 5.11.05 proforma_PCA 9 -  Exhibit D April 2010 (3) 2 4" xfId="17814"/>
    <cellStyle name="_Recon to Darrin's 5.11.05 proforma_PCA 9 -  Exhibit D April 2010 (3) 2 4 2" xfId="17815"/>
    <cellStyle name="_Recon to Darrin's 5.11.05 proforma_PCA 9 -  Exhibit D April 2010 (3) 2 5" xfId="17816"/>
    <cellStyle name="_Recon to Darrin's 5.11.05 proforma_PCA 9 -  Exhibit D April 2010 (3) 3" xfId="17817"/>
    <cellStyle name="_Recon to Darrin's 5.11.05 proforma_PCA 9 -  Exhibit D April 2010 (3) 3 2" xfId="17818"/>
    <cellStyle name="_Recon to Darrin's 5.11.05 proforma_PCA 9 -  Exhibit D April 2010 (3) 3 2 2" xfId="17819"/>
    <cellStyle name="_Recon to Darrin's 5.11.05 proforma_PCA 9 -  Exhibit D April 2010 (3) 3 3" xfId="17820"/>
    <cellStyle name="_Recon to Darrin's 5.11.05 proforma_PCA 9 -  Exhibit D April 2010 (3) 4" xfId="17821"/>
    <cellStyle name="_Recon to Darrin's 5.11.05 proforma_PCA 9 -  Exhibit D April 2010 (3) 4 2" xfId="17822"/>
    <cellStyle name="_Recon to Darrin's 5.11.05 proforma_PCA 9 -  Exhibit D April 2010 (3) 4 2 2" xfId="17823"/>
    <cellStyle name="_Recon to Darrin's 5.11.05 proforma_PCA 9 -  Exhibit D April 2010 (3) 4 3" xfId="17824"/>
    <cellStyle name="_Recon to Darrin's 5.11.05 proforma_PCA 9 -  Exhibit D April 2010 (3) 5" xfId="17825"/>
    <cellStyle name="_Recon to Darrin's 5.11.05 proforma_PCA 9 -  Exhibit D April 2010 (3) 5 2" xfId="17826"/>
    <cellStyle name="_Recon to Darrin's 5.11.05 proforma_PCA 9 -  Exhibit D April 2010 (3) 6" xfId="17827"/>
    <cellStyle name="_Recon to Darrin's 5.11.05 proforma_PCA 9 -  Exhibit D April 2010 (3) 6 2" xfId="17828"/>
    <cellStyle name="_Recon to Darrin's 5.11.05 proforma_PCA 9 -  Exhibit D April 2010 (3) 7" xfId="17829"/>
    <cellStyle name="_Recon to Darrin's 5.11.05 proforma_PCA 9 -  Exhibit D April 2010 (3)_DEM-WP(C) ENERG10C--ctn Mid-C_042010 2010GRC" xfId="17830"/>
    <cellStyle name="_Recon to Darrin's 5.11.05 proforma_PCA 9 -  Exhibit D April 2010 (3)_DEM-WP(C) ENERG10C--ctn Mid-C_042010 2010GRC 2" xfId="17831"/>
    <cellStyle name="_Recon to Darrin's 5.11.05 proforma_PCA 9 -  Exhibit D April 2010 2" xfId="17832"/>
    <cellStyle name="_Recon to Darrin's 5.11.05 proforma_PCA 9 -  Exhibit D April 2010 2 2" xfId="17833"/>
    <cellStyle name="_Recon to Darrin's 5.11.05 proforma_PCA 9 -  Exhibit D April 2010 3" xfId="17834"/>
    <cellStyle name="_Recon to Darrin's 5.11.05 proforma_PCA 9 -  Exhibit D April 2010 3 2" xfId="17835"/>
    <cellStyle name="_Recon to Darrin's 5.11.05 proforma_PCA 9 -  Exhibit D April 2010 4" xfId="17836"/>
    <cellStyle name="_Recon to Darrin's 5.11.05 proforma_PCA 9 -  Exhibit D April 2010 4 2" xfId="17837"/>
    <cellStyle name="_Recon to Darrin's 5.11.05 proforma_PCA 9 -  Exhibit D April 2010 5" xfId="17838"/>
    <cellStyle name="_Recon to Darrin's 5.11.05 proforma_PCA 9 -  Exhibit D April 2010 5 2" xfId="17839"/>
    <cellStyle name="_Recon to Darrin's 5.11.05 proforma_PCA 9 -  Exhibit D April 2010 6" xfId="17840"/>
    <cellStyle name="_Recon to Darrin's 5.11.05 proforma_PCA 9 -  Exhibit D April 2010 6 2" xfId="17841"/>
    <cellStyle name="_Recon to Darrin's 5.11.05 proforma_PCA 9 -  Exhibit D April 2010 7" xfId="17842"/>
    <cellStyle name="_Recon to Darrin's 5.11.05 proforma_PCA 9 -  Exhibit D Feb 2010" xfId="17843"/>
    <cellStyle name="_Recon to Darrin's 5.11.05 proforma_PCA 9 -  Exhibit D Feb 2010 2" xfId="17844"/>
    <cellStyle name="_Recon to Darrin's 5.11.05 proforma_PCA 9 -  Exhibit D Feb 2010 2 2" xfId="17845"/>
    <cellStyle name="_Recon to Darrin's 5.11.05 proforma_PCA 9 -  Exhibit D Feb 2010 3" xfId="17846"/>
    <cellStyle name="_Recon to Darrin's 5.11.05 proforma_PCA 9 -  Exhibit D Feb 2010 v2" xfId="17847"/>
    <cellStyle name="_Recon to Darrin's 5.11.05 proforma_PCA 9 -  Exhibit D Feb 2010 v2 2" xfId="17848"/>
    <cellStyle name="_Recon to Darrin's 5.11.05 proforma_PCA 9 -  Exhibit D Feb 2010 v2 2 2" xfId="17849"/>
    <cellStyle name="_Recon to Darrin's 5.11.05 proforma_PCA 9 -  Exhibit D Feb 2010 v2 3" xfId="17850"/>
    <cellStyle name="_Recon to Darrin's 5.11.05 proforma_PCA 9 -  Exhibit D Feb 2010 WF" xfId="17851"/>
    <cellStyle name="_Recon to Darrin's 5.11.05 proforma_PCA 9 -  Exhibit D Feb 2010 WF 2" xfId="17852"/>
    <cellStyle name="_Recon to Darrin's 5.11.05 proforma_PCA 9 -  Exhibit D Feb 2010 WF 2 2" xfId="17853"/>
    <cellStyle name="_Recon to Darrin's 5.11.05 proforma_PCA 9 -  Exhibit D Feb 2010 WF 3" xfId="17854"/>
    <cellStyle name="_Recon to Darrin's 5.11.05 proforma_PCA 9 -  Exhibit D Jan 2010" xfId="17855"/>
    <cellStyle name="_Recon to Darrin's 5.11.05 proforma_PCA 9 -  Exhibit D Jan 2010 2" xfId="17856"/>
    <cellStyle name="_Recon to Darrin's 5.11.05 proforma_PCA 9 -  Exhibit D Jan 2010 2 2" xfId="17857"/>
    <cellStyle name="_Recon to Darrin's 5.11.05 proforma_PCA 9 -  Exhibit D Jan 2010 3" xfId="17858"/>
    <cellStyle name="_Recon to Darrin's 5.11.05 proforma_PCA 9 -  Exhibit D March 2010 (2)" xfId="17859"/>
    <cellStyle name="_Recon to Darrin's 5.11.05 proforma_PCA 9 -  Exhibit D March 2010 (2) 2" xfId="17860"/>
    <cellStyle name="_Recon to Darrin's 5.11.05 proforma_PCA 9 -  Exhibit D March 2010 (2) 2 2" xfId="17861"/>
    <cellStyle name="_Recon to Darrin's 5.11.05 proforma_PCA 9 -  Exhibit D March 2010 (2) 3" xfId="17862"/>
    <cellStyle name="_Recon to Darrin's 5.11.05 proforma_PCA 9 -  Exhibit D Nov 2010" xfId="17863"/>
    <cellStyle name="_Recon to Darrin's 5.11.05 proforma_PCA 9 -  Exhibit D Nov 2010 2" xfId="17864"/>
    <cellStyle name="_Recon to Darrin's 5.11.05 proforma_PCA 9 -  Exhibit D Nov 2010 2 2" xfId="17865"/>
    <cellStyle name="_Recon to Darrin's 5.11.05 proforma_PCA 9 -  Exhibit D Nov 2010 3" xfId="17866"/>
    <cellStyle name="_Recon to Darrin's 5.11.05 proforma_PCA 9 - Exhibit D at August 2010" xfId="17867"/>
    <cellStyle name="_Recon to Darrin's 5.11.05 proforma_PCA 9 - Exhibit D at August 2010 2" xfId="17868"/>
    <cellStyle name="_Recon to Darrin's 5.11.05 proforma_PCA 9 - Exhibit D at August 2010 2 2" xfId="17869"/>
    <cellStyle name="_Recon to Darrin's 5.11.05 proforma_PCA 9 - Exhibit D at August 2010 3" xfId="17870"/>
    <cellStyle name="_Recon to Darrin's 5.11.05 proforma_PCA 9 - Exhibit D June 2010 GRC" xfId="17871"/>
    <cellStyle name="_Recon to Darrin's 5.11.05 proforma_PCA 9 - Exhibit D June 2010 GRC 2" xfId="17872"/>
    <cellStyle name="_Recon to Darrin's 5.11.05 proforma_PCA 9 - Exhibit D June 2010 GRC 2 2" xfId="17873"/>
    <cellStyle name="_Recon to Darrin's 5.11.05 proforma_PCA 9 - Exhibit D June 2010 GRC 3" xfId="17874"/>
    <cellStyle name="_Recon to Darrin's 5.11.05 proforma_Power Costs - Comparison bx Rbtl-Staff-Jt-PC" xfId="799"/>
    <cellStyle name="_Recon to Darrin's 5.11.05 proforma_Power Costs - Comparison bx Rbtl-Staff-Jt-PC 2" xfId="17875"/>
    <cellStyle name="_Recon to Darrin's 5.11.05 proforma_Power Costs - Comparison bx Rbtl-Staff-Jt-PC 2 2" xfId="17876"/>
    <cellStyle name="_Recon to Darrin's 5.11.05 proforma_Power Costs - Comparison bx Rbtl-Staff-Jt-PC 2 2 2" xfId="17877"/>
    <cellStyle name="_Recon to Darrin's 5.11.05 proforma_Power Costs - Comparison bx Rbtl-Staff-Jt-PC 2 2 2 2" xfId="17878"/>
    <cellStyle name="_Recon to Darrin's 5.11.05 proforma_Power Costs - Comparison bx Rbtl-Staff-Jt-PC 2 2 3" xfId="17879"/>
    <cellStyle name="_Recon to Darrin's 5.11.05 proforma_Power Costs - Comparison bx Rbtl-Staff-Jt-PC 2 3" xfId="17880"/>
    <cellStyle name="_Recon to Darrin's 5.11.05 proforma_Power Costs - Comparison bx Rbtl-Staff-Jt-PC 2 3 2" xfId="17881"/>
    <cellStyle name="_Recon to Darrin's 5.11.05 proforma_Power Costs - Comparison bx Rbtl-Staff-Jt-PC 2 4" xfId="17882"/>
    <cellStyle name="_Recon to Darrin's 5.11.05 proforma_Power Costs - Comparison bx Rbtl-Staff-Jt-PC 2 4 2" xfId="17883"/>
    <cellStyle name="_Recon to Darrin's 5.11.05 proforma_Power Costs - Comparison bx Rbtl-Staff-Jt-PC 2 5" xfId="17884"/>
    <cellStyle name="_Recon to Darrin's 5.11.05 proforma_Power Costs - Comparison bx Rbtl-Staff-Jt-PC 3" xfId="17885"/>
    <cellStyle name="_Recon to Darrin's 5.11.05 proforma_Power Costs - Comparison bx Rbtl-Staff-Jt-PC 3 2" xfId="17886"/>
    <cellStyle name="_Recon to Darrin's 5.11.05 proforma_Power Costs - Comparison bx Rbtl-Staff-Jt-PC 3 2 2" xfId="17887"/>
    <cellStyle name="_Recon to Darrin's 5.11.05 proforma_Power Costs - Comparison bx Rbtl-Staff-Jt-PC 3 3" xfId="17888"/>
    <cellStyle name="_Recon to Darrin's 5.11.05 proforma_Power Costs - Comparison bx Rbtl-Staff-Jt-PC 3 4" xfId="17889"/>
    <cellStyle name="_Recon to Darrin's 5.11.05 proforma_Power Costs - Comparison bx Rbtl-Staff-Jt-PC 4" xfId="17890"/>
    <cellStyle name="_Recon to Darrin's 5.11.05 proforma_Power Costs - Comparison bx Rbtl-Staff-Jt-PC 4 2" xfId="17891"/>
    <cellStyle name="_Recon to Darrin's 5.11.05 proforma_Power Costs - Comparison bx Rbtl-Staff-Jt-PC 4 2 2" xfId="17892"/>
    <cellStyle name="_Recon to Darrin's 5.11.05 proforma_Power Costs - Comparison bx Rbtl-Staff-Jt-PC 4 3" xfId="17893"/>
    <cellStyle name="_Recon to Darrin's 5.11.05 proforma_Power Costs - Comparison bx Rbtl-Staff-Jt-PC 5" xfId="17894"/>
    <cellStyle name="_Recon to Darrin's 5.11.05 proforma_Power Costs - Comparison bx Rbtl-Staff-Jt-PC 5 2" xfId="17895"/>
    <cellStyle name="_Recon to Darrin's 5.11.05 proforma_Power Costs - Comparison bx Rbtl-Staff-Jt-PC 6" xfId="17896"/>
    <cellStyle name="_Recon to Darrin's 5.11.05 proforma_Power Costs - Comparison bx Rbtl-Staff-Jt-PC 6 2" xfId="17897"/>
    <cellStyle name="_Recon to Darrin's 5.11.05 proforma_Power Costs - Comparison bx Rbtl-Staff-Jt-PC 7" xfId="17898"/>
    <cellStyle name="_Recon to Darrin's 5.11.05 proforma_Power Costs - Comparison bx Rbtl-Staff-Jt-PC_Adj Bench DR 3 for Initial Briefs (Electric)" xfId="800"/>
    <cellStyle name="_Recon to Darrin's 5.11.05 proforma_Power Costs - Comparison bx Rbtl-Staff-Jt-PC_Adj Bench DR 3 for Initial Briefs (Electric) 2" xfId="17899"/>
    <cellStyle name="_Recon to Darrin's 5.11.05 proforma_Power Costs - Comparison bx Rbtl-Staff-Jt-PC_Adj Bench DR 3 for Initial Briefs (Electric) 2 2" xfId="17900"/>
    <cellStyle name="_Recon to Darrin's 5.11.05 proforma_Power Costs - Comparison bx Rbtl-Staff-Jt-PC_Adj Bench DR 3 for Initial Briefs (Electric) 2 2 2" xfId="17901"/>
    <cellStyle name="_Recon to Darrin's 5.11.05 proforma_Power Costs - Comparison bx Rbtl-Staff-Jt-PC_Adj Bench DR 3 for Initial Briefs (Electric) 2 2 2 2" xfId="17902"/>
    <cellStyle name="_Recon to Darrin's 5.11.05 proforma_Power Costs - Comparison bx Rbtl-Staff-Jt-PC_Adj Bench DR 3 for Initial Briefs (Electric) 2 2 3" xfId="17903"/>
    <cellStyle name="_Recon to Darrin's 5.11.05 proforma_Power Costs - Comparison bx Rbtl-Staff-Jt-PC_Adj Bench DR 3 for Initial Briefs (Electric) 2 3" xfId="17904"/>
    <cellStyle name="_Recon to Darrin's 5.11.05 proforma_Power Costs - Comparison bx Rbtl-Staff-Jt-PC_Adj Bench DR 3 for Initial Briefs (Electric) 2 3 2" xfId="17905"/>
    <cellStyle name="_Recon to Darrin's 5.11.05 proforma_Power Costs - Comparison bx Rbtl-Staff-Jt-PC_Adj Bench DR 3 for Initial Briefs (Electric) 2 4" xfId="17906"/>
    <cellStyle name="_Recon to Darrin's 5.11.05 proforma_Power Costs - Comparison bx Rbtl-Staff-Jt-PC_Adj Bench DR 3 for Initial Briefs (Electric) 2 4 2" xfId="17907"/>
    <cellStyle name="_Recon to Darrin's 5.11.05 proforma_Power Costs - Comparison bx Rbtl-Staff-Jt-PC_Adj Bench DR 3 for Initial Briefs (Electric) 2 5" xfId="17908"/>
    <cellStyle name="_Recon to Darrin's 5.11.05 proforma_Power Costs - Comparison bx Rbtl-Staff-Jt-PC_Adj Bench DR 3 for Initial Briefs (Electric) 3" xfId="17909"/>
    <cellStyle name="_Recon to Darrin's 5.11.05 proforma_Power Costs - Comparison bx Rbtl-Staff-Jt-PC_Adj Bench DR 3 for Initial Briefs (Electric) 3 2" xfId="17910"/>
    <cellStyle name="_Recon to Darrin's 5.11.05 proforma_Power Costs - Comparison bx Rbtl-Staff-Jt-PC_Adj Bench DR 3 for Initial Briefs (Electric) 3 2 2" xfId="17911"/>
    <cellStyle name="_Recon to Darrin's 5.11.05 proforma_Power Costs - Comparison bx Rbtl-Staff-Jt-PC_Adj Bench DR 3 for Initial Briefs (Electric) 3 3" xfId="17912"/>
    <cellStyle name="_Recon to Darrin's 5.11.05 proforma_Power Costs - Comparison bx Rbtl-Staff-Jt-PC_Adj Bench DR 3 for Initial Briefs (Electric) 3 4" xfId="17913"/>
    <cellStyle name="_Recon to Darrin's 5.11.05 proforma_Power Costs - Comparison bx Rbtl-Staff-Jt-PC_Adj Bench DR 3 for Initial Briefs (Electric) 4" xfId="17914"/>
    <cellStyle name="_Recon to Darrin's 5.11.05 proforma_Power Costs - Comparison bx Rbtl-Staff-Jt-PC_Adj Bench DR 3 for Initial Briefs (Electric) 4 2" xfId="17915"/>
    <cellStyle name="_Recon to Darrin's 5.11.05 proforma_Power Costs - Comparison bx Rbtl-Staff-Jt-PC_Adj Bench DR 3 for Initial Briefs (Electric) 4 2 2" xfId="17916"/>
    <cellStyle name="_Recon to Darrin's 5.11.05 proforma_Power Costs - Comparison bx Rbtl-Staff-Jt-PC_Adj Bench DR 3 for Initial Briefs (Electric) 4 3" xfId="17917"/>
    <cellStyle name="_Recon to Darrin's 5.11.05 proforma_Power Costs - Comparison bx Rbtl-Staff-Jt-PC_Adj Bench DR 3 for Initial Briefs (Electric) 5" xfId="17918"/>
    <cellStyle name="_Recon to Darrin's 5.11.05 proforma_Power Costs - Comparison bx Rbtl-Staff-Jt-PC_Adj Bench DR 3 for Initial Briefs (Electric) 5 2" xfId="17919"/>
    <cellStyle name="_Recon to Darrin's 5.11.05 proforma_Power Costs - Comparison bx Rbtl-Staff-Jt-PC_Adj Bench DR 3 for Initial Briefs (Electric) 6" xfId="17920"/>
    <cellStyle name="_Recon to Darrin's 5.11.05 proforma_Power Costs - Comparison bx Rbtl-Staff-Jt-PC_Adj Bench DR 3 for Initial Briefs (Electric) 6 2" xfId="17921"/>
    <cellStyle name="_Recon to Darrin's 5.11.05 proforma_Power Costs - Comparison bx Rbtl-Staff-Jt-PC_Adj Bench DR 3 for Initial Briefs (Electric) 7" xfId="17922"/>
    <cellStyle name="_Recon to Darrin's 5.11.05 proforma_Power Costs - Comparison bx Rbtl-Staff-Jt-PC_Adj Bench DR 3 for Initial Briefs (Electric)_DEM-WP(C) ENERG10C--ctn Mid-C_042010 2010GRC" xfId="17923"/>
    <cellStyle name="_Recon to Darrin's 5.11.05 proforma_Power Costs - Comparison bx Rbtl-Staff-Jt-PC_Adj Bench DR 3 for Initial Briefs (Electric)_DEM-WP(C) ENERG10C--ctn Mid-C_042010 2010GRC 2" xfId="17924"/>
    <cellStyle name="_Recon to Darrin's 5.11.05 proforma_Power Costs - Comparison bx Rbtl-Staff-Jt-PC_DEM-WP(C) ENERG10C--ctn Mid-C_042010 2010GRC" xfId="17925"/>
    <cellStyle name="_Recon to Darrin's 5.11.05 proforma_Power Costs - Comparison bx Rbtl-Staff-Jt-PC_DEM-WP(C) ENERG10C--ctn Mid-C_042010 2010GRC 2" xfId="17926"/>
    <cellStyle name="_Recon to Darrin's 5.11.05 proforma_Power Costs - Comparison bx Rbtl-Staff-Jt-PC_Electric Rev Req Model (2009 GRC) Rebuttal" xfId="801"/>
    <cellStyle name="_Recon to Darrin's 5.11.05 proforma_Power Costs - Comparison bx Rbtl-Staff-Jt-PC_Electric Rev Req Model (2009 GRC) Rebuttal 2" xfId="17927"/>
    <cellStyle name="_Recon to Darrin's 5.11.05 proforma_Power Costs - Comparison bx Rbtl-Staff-Jt-PC_Electric Rev Req Model (2009 GRC) Rebuttal 2 2" xfId="17928"/>
    <cellStyle name="_Recon to Darrin's 5.11.05 proforma_Power Costs - Comparison bx Rbtl-Staff-Jt-PC_Electric Rev Req Model (2009 GRC) Rebuttal 2 2 2" xfId="17929"/>
    <cellStyle name="_Recon to Darrin's 5.11.05 proforma_Power Costs - Comparison bx Rbtl-Staff-Jt-PC_Electric Rev Req Model (2009 GRC) Rebuttal 2 3" xfId="17930"/>
    <cellStyle name="_Recon to Darrin's 5.11.05 proforma_Power Costs - Comparison bx Rbtl-Staff-Jt-PC_Electric Rev Req Model (2009 GRC) Rebuttal 2 4" xfId="17931"/>
    <cellStyle name="_Recon to Darrin's 5.11.05 proforma_Power Costs - Comparison bx Rbtl-Staff-Jt-PC_Electric Rev Req Model (2009 GRC) Rebuttal 3" xfId="17932"/>
    <cellStyle name="_Recon to Darrin's 5.11.05 proforma_Power Costs - Comparison bx Rbtl-Staff-Jt-PC_Electric Rev Req Model (2009 GRC) Rebuttal 3 2" xfId="17933"/>
    <cellStyle name="_Recon to Darrin's 5.11.05 proforma_Power Costs - Comparison bx Rbtl-Staff-Jt-PC_Electric Rev Req Model (2009 GRC) Rebuttal 4" xfId="17934"/>
    <cellStyle name="_Recon to Darrin's 5.11.05 proforma_Power Costs - Comparison bx Rbtl-Staff-Jt-PC_Electric Rev Req Model (2009 GRC) Rebuttal 5" xfId="17935"/>
    <cellStyle name="_Recon to Darrin's 5.11.05 proforma_Power Costs - Comparison bx Rbtl-Staff-Jt-PC_Electric Rev Req Model (2009 GRC) Rebuttal REmoval of New  WH Solar AdjustMI" xfId="802"/>
    <cellStyle name="_Recon to Darrin's 5.11.05 proforma_Power Costs - Comparison bx Rbtl-Staff-Jt-PC_Electric Rev Req Model (2009 GRC) Rebuttal REmoval of New  WH Solar AdjustMI 2" xfId="17936"/>
    <cellStyle name="_Recon to Darrin's 5.11.05 proforma_Power Costs - Comparison bx Rbtl-Staff-Jt-PC_Electric Rev Req Model (2009 GRC) Rebuttal REmoval of New  WH Solar AdjustMI 2 2" xfId="17937"/>
    <cellStyle name="_Recon to Darrin's 5.11.05 proforma_Power Costs - Comparison bx Rbtl-Staff-Jt-PC_Electric Rev Req Model (2009 GRC) Rebuttal REmoval of New  WH Solar AdjustMI 2 2 2" xfId="17938"/>
    <cellStyle name="_Recon to Darrin's 5.11.05 proforma_Power Costs - Comparison bx Rbtl-Staff-Jt-PC_Electric Rev Req Model (2009 GRC) Rebuttal REmoval of New  WH Solar AdjustMI 2 2 2 2" xfId="17939"/>
    <cellStyle name="_Recon to Darrin's 5.11.05 proforma_Power Costs - Comparison bx Rbtl-Staff-Jt-PC_Electric Rev Req Model (2009 GRC) Rebuttal REmoval of New  WH Solar AdjustMI 2 2 3" xfId="17940"/>
    <cellStyle name="_Recon to Darrin's 5.11.05 proforma_Power Costs - Comparison bx Rbtl-Staff-Jt-PC_Electric Rev Req Model (2009 GRC) Rebuttal REmoval of New  WH Solar AdjustMI 2 3" xfId="17941"/>
    <cellStyle name="_Recon to Darrin's 5.11.05 proforma_Power Costs - Comparison bx Rbtl-Staff-Jt-PC_Electric Rev Req Model (2009 GRC) Rebuttal REmoval of New  WH Solar AdjustMI 2 3 2" xfId="17942"/>
    <cellStyle name="_Recon to Darrin's 5.11.05 proforma_Power Costs - Comparison bx Rbtl-Staff-Jt-PC_Electric Rev Req Model (2009 GRC) Rebuttal REmoval of New  WH Solar AdjustMI 2 4" xfId="17943"/>
    <cellStyle name="_Recon to Darrin's 5.11.05 proforma_Power Costs - Comparison bx Rbtl-Staff-Jt-PC_Electric Rev Req Model (2009 GRC) Rebuttal REmoval of New  WH Solar AdjustMI 2 4 2" xfId="17944"/>
    <cellStyle name="_Recon to Darrin's 5.11.05 proforma_Power Costs - Comparison bx Rbtl-Staff-Jt-PC_Electric Rev Req Model (2009 GRC) Rebuttal REmoval of New  WH Solar AdjustMI 2 5" xfId="17945"/>
    <cellStyle name="_Recon to Darrin's 5.11.05 proforma_Power Costs - Comparison bx Rbtl-Staff-Jt-PC_Electric Rev Req Model (2009 GRC) Rebuttal REmoval of New  WH Solar AdjustMI 3" xfId="17946"/>
    <cellStyle name="_Recon to Darrin's 5.11.05 proforma_Power Costs - Comparison bx Rbtl-Staff-Jt-PC_Electric Rev Req Model (2009 GRC) Rebuttal REmoval of New  WH Solar AdjustMI 3 2" xfId="17947"/>
    <cellStyle name="_Recon to Darrin's 5.11.05 proforma_Power Costs - Comparison bx Rbtl-Staff-Jt-PC_Electric Rev Req Model (2009 GRC) Rebuttal REmoval of New  WH Solar AdjustMI 3 2 2" xfId="17948"/>
    <cellStyle name="_Recon to Darrin's 5.11.05 proforma_Power Costs - Comparison bx Rbtl-Staff-Jt-PC_Electric Rev Req Model (2009 GRC) Rebuttal REmoval of New  WH Solar AdjustMI 3 3" xfId="17949"/>
    <cellStyle name="_Recon to Darrin's 5.11.05 proforma_Power Costs - Comparison bx Rbtl-Staff-Jt-PC_Electric Rev Req Model (2009 GRC) Rebuttal REmoval of New  WH Solar AdjustMI 3 4" xfId="17950"/>
    <cellStyle name="_Recon to Darrin's 5.11.05 proforma_Power Costs - Comparison bx Rbtl-Staff-Jt-PC_Electric Rev Req Model (2009 GRC) Rebuttal REmoval of New  WH Solar AdjustMI 4" xfId="17951"/>
    <cellStyle name="_Recon to Darrin's 5.11.05 proforma_Power Costs - Comparison bx Rbtl-Staff-Jt-PC_Electric Rev Req Model (2009 GRC) Rebuttal REmoval of New  WH Solar AdjustMI 4 2" xfId="17952"/>
    <cellStyle name="_Recon to Darrin's 5.11.05 proforma_Power Costs - Comparison bx Rbtl-Staff-Jt-PC_Electric Rev Req Model (2009 GRC) Rebuttal REmoval of New  WH Solar AdjustMI 4 2 2" xfId="17953"/>
    <cellStyle name="_Recon to Darrin's 5.11.05 proforma_Power Costs - Comparison bx Rbtl-Staff-Jt-PC_Electric Rev Req Model (2009 GRC) Rebuttal REmoval of New  WH Solar AdjustMI 4 3" xfId="17954"/>
    <cellStyle name="_Recon to Darrin's 5.11.05 proforma_Power Costs - Comparison bx Rbtl-Staff-Jt-PC_Electric Rev Req Model (2009 GRC) Rebuttal REmoval of New  WH Solar AdjustMI 5" xfId="17955"/>
    <cellStyle name="_Recon to Darrin's 5.11.05 proforma_Power Costs - Comparison bx Rbtl-Staff-Jt-PC_Electric Rev Req Model (2009 GRC) Rebuttal REmoval of New  WH Solar AdjustMI 5 2" xfId="17956"/>
    <cellStyle name="_Recon to Darrin's 5.11.05 proforma_Power Costs - Comparison bx Rbtl-Staff-Jt-PC_Electric Rev Req Model (2009 GRC) Rebuttal REmoval of New  WH Solar AdjustMI 6" xfId="17957"/>
    <cellStyle name="_Recon to Darrin's 5.11.05 proforma_Power Costs - Comparison bx Rbtl-Staff-Jt-PC_Electric Rev Req Model (2009 GRC) Rebuttal REmoval of New  WH Solar AdjustMI 6 2" xfId="17958"/>
    <cellStyle name="_Recon to Darrin's 5.11.05 proforma_Power Costs - Comparison bx Rbtl-Staff-Jt-PC_Electric Rev Req Model (2009 GRC) Rebuttal REmoval of New  WH Solar AdjustMI 7" xfId="17959"/>
    <cellStyle name="_Recon to Darrin's 5.11.05 proforma_Power Costs - Comparison bx Rbtl-Staff-Jt-PC_Electric Rev Req Model (2009 GRC) Rebuttal REmoval of New  WH Solar AdjustMI_DEM-WP(C) ENERG10C--ctn Mid-C_042010 2010GRC" xfId="17960"/>
    <cellStyle name="_Recon to Darrin's 5.11.05 proforma_Power Costs - Comparison bx Rbtl-Staff-Jt-PC_Electric Rev Req Model (2009 GRC) Rebuttal REmoval of New  WH Solar AdjustMI_DEM-WP(C) ENERG10C--ctn Mid-C_042010 2010GRC 2" xfId="17961"/>
    <cellStyle name="_Recon to Darrin's 5.11.05 proforma_Power Costs - Comparison bx Rbtl-Staff-Jt-PC_Electric Rev Req Model (2009 GRC) Revised 01-18-2010" xfId="803"/>
    <cellStyle name="_Recon to Darrin's 5.11.05 proforma_Power Costs - Comparison bx Rbtl-Staff-Jt-PC_Electric Rev Req Model (2009 GRC) Revised 01-18-2010 2" xfId="17962"/>
    <cellStyle name="_Recon to Darrin's 5.11.05 proforma_Power Costs - Comparison bx Rbtl-Staff-Jt-PC_Electric Rev Req Model (2009 GRC) Revised 01-18-2010 2 2" xfId="17963"/>
    <cellStyle name="_Recon to Darrin's 5.11.05 proforma_Power Costs - Comparison bx Rbtl-Staff-Jt-PC_Electric Rev Req Model (2009 GRC) Revised 01-18-2010 2 2 2" xfId="17964"/>
    <cellStyle name="_Recon to Darrin's 5.11.05 proforma_Power Costs - Comparison bx Rbtl-Staff-Jt-PC_Electric Rev Req Model (2009 GRC) Revised 01-18-2010 2 2 2 2" xfId="17965"/>
    <cellStyle name="_Recon to Darrin's 5.11.05 proforma_Power Costs - Comparison bx Rbtl-Staff-Jt-PC_Electric Rev Req Model (2009 GRC) Revised 01-18-2010 2 2 3" xfId="17966"/>
    <cellStyle name="_Recon to Darrin's 5.11.05 proforma_Power Costs - Comparison bx Rbtl-Staff-Jt-PC_Electric Rev Req Model (2009 GRC) Revised 01-18-2010 2 3" xfId="17967"/>
    <cellStyle name="_Recon to Darrin's 5.11.05 proforma_Power Costs - Comparison bx Rbtl-Staff-Jt-PC_Electric Rev Req Model (2009 GRC) Revised 01-18-2010 2 3 2" xfId="17968"/>
    <cellStyle name="_Recon to Darrin's 5.11.05 proforma_Power Costs - Comparison bx Rbtl-Staff-Jt-PC_Electric Rev Req Model (2009 GRC) Revised 01-18-2010 2 4" xfId="17969"/>
    <cellStyle name="_Recon to Darrin's 5.11.05 proforma_Power Costs - Comparison bx Rbtl-Staff-Jt-PC_Electric Rev Req Model (2009 GRC) Revised 01-18-2010 2 4 2" xfId="17970"/>
    <cellStyle name="_Recon to Darrin's 5.11.05 proforma_Power Costs - Comparison bx Rbtl-Staff-Jt-PC_Electric Rev Req Model (2009 GRC) Revised 01-18-2010 2 5" xfId="17971"/>
    <cellStyle name="_Recon to Darrin's 5.11.05 proforma_Power Costs - Comparison bx Rbtl-Staff-Jt-PC_Electric Rev Req Model (2009 GRC) Revised 01-18-2010 3" xfId="17972"/>
    <cellStyle name="_Recon to Darrin's 5.11.05 proforma_Power Costs - Comparison bx Rbtl-Staff-Jt-PC_Electric Rev Req Model (2009 GRC) Revised 01-18-2010 3 2" xfId="17973"/>
    <cellStyle name="_Recon to Darrin's 5.11.05 proforma_Power Costs - Comparison bx Rbtl-Staff-Jt-PC_Electric Rev Req Model (2009 GRC) Revised 01-18-2010 3 2 2" xfId="17974"/>
    <cellStyle name="_Recon to Darrin's 5.11.05 proforma_Power Costs - Comparison bx Rbtl-Staff-Jt-PC_Electric Rev Req Model (2009 GRC) Revised 01-18-2010 3 3" xfId="17975"/>
    <cellStyle name="_Recon to Darrin's 5.11.05 proforma_Power Costs - Comparison bx Rbtl-Staff-Jt-PC_Electric Rev Req Model (2009 GRC) Revised 01-18-2010 3 4" xfId="17976"/>
    <cellStyle name="_Recon to Darrin's 5.11.05 proforma_Power Costs - Comparison bx Rbtl-Staff-Jt-PC_Electric Rev Req Model (2009 GRC) Revised 01-18-2010 4" xfId="17977"/>
    <cellStyle name="_Recon to Darrin's 5.11.05 proforma_Power Costs - Comparison bx Rbtl-Staff-Jt-PC_Electric Rev Req Model (2009 GRC) Revised 01-18-2010 4 2" xfId="17978"/>
    <cellStyle name="_Recon to Darrin's 5.11.05 proforma_Power Costs - Comparison bx Rbtl-Staff-Jt-PC_Electric Rev Req Model (2009 GRC) Revised 01-18-2010 4 2 2" xfId="17979"/>
    <cellStyle name="_Recon to Darrin's 5.11.05 proforma_Power Costs - Comparison bx Rbtl-Staff-Jt-PC_Electric Rev Req Model (2009 GRC) Revised 01-18-2010 4 3" xfId="17980"/>
    <cellStyle name="_Recon to Darrin's 5.11.05 proforma_Power Costs - Comparison bx Rbtl-Staff-Jt-PC_Electric Rev Req Model (2009 GRC) Revised 01-18-2010 5" xfId="17981"/>
    <cellStyle name="_Recon to Darrin's 5.11.05 proforma_Power Costs - Comparison bx Rbtl-Staff-Jt-PC_Electric Rev Req Model (2009 GRC) Revised 01-18-2010 5 2" xfId="17982"/>
    <cellStyle name="_Recon to Darrin's 5.11.05 proforma_Power Costs - Comparison bx Rbtl-Staff-Jt-PC_Electric Rev Req Model (2009 GRC) Revised 01-18-2010 6" xfId="17983"/>
    <cellStyle name="_Recon to Darrin's 5.11.05 proforma_Power Costs - Comparison bx Rbtl-Staff-Jt-PC_Electric Rev Req Model (2009 GRC) Revised 01-18-2010 6 2" xfId="17984"/>
    <cellStyle name="_Recon to Darrin's 5.11.05 proforma_Power Costs - Comparison bx Rbtl-Staff-Jt-PC_Electric Rev Req Model (2009 GRC) Revised 01-18-2010 7" xfId="17985"/>
    <cellStyle name="_Recon to Darrin's 5.11.05 proforma_Power Costs - Comparison bx Rbtl-Staff-Jt-PC_Electric Rev Req Model (2009 GRC) Revised 01-18-2010_DEM-WP(C) ENERG10C--ctn Mid-C_042010 2010GRC" xfId="17986"/>
    <cellStyle name="_Recon to Darrin's 5.11.05 proforma_Power Costs - Comparison bx Rbtl-Staff-Jt-PC_Electric Rev Req Model (2009 GRC) Revised 01-18-2010_DEM-WP(C) ENERG10C--ctn Mid-C_042010 2010GRC 2" xfId="17987"/>
    <cellStyle name="_Recon to Darrin's 5.11.05 proforma_Power Costs - Comparison bx Rbtl-Staff-Jt-PC_Final Order Electric EXHIBIT A-1" xfId="804"/>
    <cellStyle name="_Recon to Darrin's 5.11.05 proforma_Power Costs - Comparison bx Rbtl-Staff-Jt-PC_Final Order Electric EXHIBIT A-1 2" xfId="17988"/>
    <cellStyle name="_Recon to Darrin's 5.11.05 proforma_Power Costs - Comparison bx Rbtl-Staff-Jt-PC_Final Order Electric EXHIBIT A-1 2 2" xfId="17989"/>
    <cellStyle name="_Recon to Darrin's 5.11.05 proforma_Power Costs - Comparison bx Rbtl-Staff-Jt-PC_Final Order Electric EXHIBIT A-1 2 2 2" xfId="17990"/>
    <cellStyle name="_Recon to Darrin's 5.11.05 proforma_Power Costs - Comparison bx Rbtl-Staff-Jt-PC_Final Order Electric EXHIBIT A-1 2 3" xfId="17991"/>
    <cellStyle name="_Recon to Darrin's 5.11.05 proforma_Power Costs - Comparison bx Rbtl-Staff-Jt-PC_Final Order Electric EXHIBIT A-1 2 4" xfId="17992"/>
    <cellStyle name="_Recon to Darrin's 5.11.05 proforma_Power Costs - Comparison bx Rbtl-Staff-Jt-PC_Final Order Electric EXHIBIT A-1 3" xfId="17993"/>
    <cellStyle name="_Recon to Darrin's 5.11.05 proforma_Power Costs - Comparison bx Rbtl-Staff-Jt-PC_Final Order Electric EXHIBIT A-1 3 2" xfId="17994"/>
    <cellStyle name="_Recon to Darrin's 5.11.05 proforma_Power Costs - Comparison bx Rbtl-Staff-Jt-PC_Final Order Electric EXHIBIT A-1 3 2 2" xfId="17995"/>
    <cellStyle name="_Recon to Darrin's 5.11.05 proforma_Power Costs - Comparison bx Rbtl-Staff-Jt-PC_Final Order Electric EXHIBIT A-1 3 3" xfId="17996"/>
    <cellStyle name="_Recon to Darrin's 5.11.05 proforma_Power Costs - Comparison bx Rbtl-Staff-Jt-PC_Final Order Electric EXHIBIT A-1 4" xfId="17997"/>
    <cellStyle name="_Recon to Darrin's 5.11.05 proforma_Power Costs - Comparison bx Rbtl-Staff-Jt-PC_Final Order Electric EXHIBIT A-1 4 2" xfId="17998"/>
    <cellStyle name="_Recon to Darrin's 5.11.05 proforma_Power Costs - Comparison bx Rbtl-Staff-Jt-PC_Final Order Electric EXHIBIT A-1 5" xfId="17999"/>
    <cellStyle name="_Recon to Darrin's 5.11.05 proforma_Power Costs - Comparison bx Rbtl-Staff-Jt-PC_Final Order Electric EXHIBIT A-1 6" xfId="18000"/>
    <cellStyle name="_Recon to Darrin's 5.11.05 proforma_Power Costs - Comparison bx Rbtl-Staff-Jt-PC_Final Order Electric EXHIBIT A-1 7" xfId="18001"/>
    <cellStyle name="_Recon to Darrin's 5.11.05 proforma_Production Adj 4.37" xfId="18002"/>
    <cellStyle name="_Recon to Darrin's 5.11.05 proforma_Production Adj 4.37 2" xfId="18003"/>
    <cellStyle name="_Recon to Darrin's 5.11.05 proforma_Production Adj 4.37 2 2" xfId="18004"/>
    <cellStyle name="_Recon to Darrin's 5.11.05 proforma_Production Adj 4.37 2 2 2" xfId="18005"/>
    <cellStyle name="_Recon to Darrin's 5.11.05 proforma_Production Adj 4.37 2 3" xfId="18006"/>
    <cellStyle name="_Recon to Darrin's 5.11.05 proforma_Production Adj 4.37 3" xfId="18007"/>
    <cellStyle name="_Recon to Darrin's 5.11.05 proforma_Production Adj 4.37 3 2" xfId="18008"/>
    <cellStyle name="_Recon to Darrin's 5.11.05 proforma_Production Adj 4.37 4" xfId="18009"/>
    <cellStyle name="_Recon to Darrin's 5.11.05 proforma_Purchased Power Adj 4.03" xfId="18010"/>
    <cellStyle name="_Recon to Darrin's 5.11.05 proforma_Purchased Power Adj 4.03 2" xfId="18011"/>
    <cellStyle name="_Recon to Darrin's 5.11.05 proforma_Purchased Power Adj 4.03 2 2" xfId="18012"/>
    <cellStyle name="_Recon to Darrin's 5.11.05 proforma_Purchased Power Adj 4.03 2 2 2" xfId="18013"/>
    <cellStyle name="_Recon to Darrin's 5.11.05 proforma_Purchased Power Adj 4.03 2 3" xfId="18014"/>
    <cellStyle name="_Recon to Darrin's 5.11.05 proforma_Purchased Power Adj 4.03 3" xfId="18015"/>
    <cellStyle name="_Recon to Darrin's 5.11.05 proforma_Purchased Power Adj 4.03 3 2" xfId="18016"/>
    <cellStyle name="_Recon to Darrin's 5.11.05 proforma_Purchased Power Adj 4.03 4" xfId="18017"/>
    <cellStyle name="_Recon to Darrin's 5.11.05 proforma_Rebuttal Power Costs" xfId="805"/>
    <cellStyle name="_Recon to Darrin's 5.11.05 proforma_Rebuttal Power Costs 2" xfId="18018"/>
    <cellStyle name="_Recon to Darrin's 5.11.05 proforma_Rebuttal Power Costs 2 2" xfId="18019"/>
    <cellStyle name="_Recon to Darrin's 5.11.05 proforma_Rebuttal Power Costs 2 2 2" xfId="18020"/>
    <cellStyle name="_Recon to Darrin's 5.11.05 proforma_Rebuttal Power Costs 2 2 2 2" xfId="18021"/>
    <cellStyle name="_Recon to Darrin's 5.11.05 proforma_Rebuttal Power Costs 2 2 3" xfId="18022"/>
    <cellStyle name="_Recon to Darrin's 5.11.05 proforma_Rebuttal Power Costs 2 3" xfId="18023"/>
    <cellStyle name="_Recon to Darrin's 5.11.05 proforma_Rebuttal Power Costs 2 3 2" xfId="18024"/>
    <cellStyle name="_Recon to Darrin's 5.11.05 proforma_Rebuttal Power Costs 2 4" xfId="18025"/>
    <cellStyle name="_Recon to Darrin's 5.11.05 proforma_Rebuttal Power Costs 2 4 2" xfId="18026"/>
    <cellStyle name="_Recon to Darrin's 5.11.05 proforma_Rebuttal Power Costs 2 5" xfId="18027"/>
    <cellStyle name="_Recon to Darrin's 5.11.05 proforma_Rebuttal Power Costs 3" xfId="18028"/>
    <cellStyle name="_Recon to Darrin's 5.11.05 proforma_Rebuttal Power Costs 3 2" xfId="18029"/>
    <cellStyle name="_Recon to Darrin's 5.11.05 proforma_Rebuttal Power Costs 3 2 2" xfId="18030"/>
    <cellStyle name="_Recon to Darrin's 5.11.05 proforma_Rebuttal Power Costs 3 3" xfId="18031"/>
    <cellStyle name="_Recon to Darrin's 5.11.05 proforma_Rebuttal Power Costs 3 4" xfId="18032"/>
    <cellStyle name="_Recon to Darrin's 5.11.05 proforma_Rebuttal Power Costs 4" xfId="18033"/>
    <cellStyle name="_Recon to Darrin's 5.11.05 proforma_Rebuttal Power Costs 4 2" xfId="18034"/>
    <cellStyle name="_Recon to Darrin's 5.11.05 proforma_Rebuttal Power Costs 4 2 2" xfId="18035"/>
    <cellStyle name="_Recon to Darrin's 5.11.05 proforma_Rebuttal Power Costs 4 3" xfId="18036"/>
    <cellStyle name="_Recon to Darrin's 5.11.05 proforma_Rebuttal Power Costs 5" xfId="18037"/>
    <cellStyle name="_Recon to Darrin's 5.11.05 proforma_Rebuttal Power Costs 5 2" xfId="18038"/>
    <cellStyle name="_Recon to Darrin's 5.11.05 proforma_Rebuttal Power Costs 6" xfId="18039"/>
    <cellStyle name="_Recon to Darrin's 5.11.05 proforma_Rebuttal Power Costs 6 2" xfId="18040"/>
    <cellStyle name="_Recon to Darrin's 5.11.05 proforma_Rebuttal Power Costs 7" xfId="18041"/>
    <cellStyle name="_Recon to Darrin's 5.11.05 proforma_Rebuttal Power Costs_Adj Bench DR 3 for Initial Briefs (Electric)" xfId="806"/>
    <cellStyle name="_Recon to Darrin's 5.11.05 proforma_Rebuttal Power Costs_Adj Bench DR 3 for Initial Briefs (Electric) 2" xfId="18042"/>
    <cellStyle name="_Recon to Darrin's 5.11.05 proforma_Rebuttal Power Costs_Adj Bench DR 3 for Initial Briefs (Electric) 2 2" xfId="18043"/>
    <cellStyle name="_Recon to Darrin's 5.11.05 proforma_Rebuttal Power Costs_Adj Bench DR 3 for Initial Briefs (Electric) 2 2 2" xfId="18044"/>
    <cellStyle name="_Recon to Darrin's 5.11.05 proforma_Rebuttal Power Costs_Adj Bench DR 3 for Initial Briefs (Electric) 2 2 2 2" xfId="18045"/>
    <cellStyle name="_Recon to Darrin's 5.11.05 proforma_Rebuttal Power Costs_Adj Bench DR 3 for Initial Briefs (Electric) 2 2 3" xfId="18046"/>
    <cellStyle name="_Recon to Darrin's 5.11.05 proforma_Rebuttal Power Costs_Adj Bench DR 3 for Initial Briefs (Electric) 2 3" xfId="18047"/>
    <cellStyle name="_Recon to Darrin's 5.11.05 proforma_Rebuttal Power Costs_Adj Bench DR 3 for Initial Briefs (Electric) 2 3 2" xfId="18048"/>
    <cellStyle name="_Recon to Darrin's 5.11.05 proforma_Rebuttal Power Costs_Adj Bench DR 3 for Initial Briefs (Electric) 2 4" xfId="18049"/>
    <cellStyle name="_Recon to Darrin's 5.11.05 proforma_Rebuttal Power Costs_Adj Bench DR 3 for Initial Briefs (Electric) 2 4 2" xfId="18050"/>
    <cellStyle name="_Recon to Darrin's 5.11.05 proforma_Rebuttal Power Costs_Adj Bench DR 3 for Initial Briefs (Electric) 2 5" xfId="18051"/>
    <cellStyle name="_Recon to Darrin's 5.11.05 proforma_Rebuttal Power Costs_Adj Bench DR 3 for Initial Briefs (Electric) 3" xfId="18052"/>
    <cellStyle name="_Recon to Darrin's 5.11.05 proforma_Rebuttal Power Costs_Adj Bench DR 3 for Initial Briefs (Electric) 3 2" xfId="18053"/>
    <cellStyle name="_Recon to Darrin's 5.11.05 proforma_Rebuttal Power Costs_Adj Bench DR 3 for Initial Briefs (Electric) 3 2 2" xfId="18054"/>
    <cellStyle name="_Recon to Darrin's 5.11.05 proforma_Rebuttal Power Costs_Adj Bench DR 3 for Initial Briefs (Electric) 3 3" xfId="18055"/>
    <cellStyle name="_Recon to Darrin's 5.11.05 proforma_Rebuttal Power Costs_Adj Bench DR 3 for Initial Briefs (Electric) 3 4" xfId="18056"/>
    <cellStyle name="_Recon to Darrin's 5.11.05 proforma_Rebuttal Power Costs_Adj Bench DR 3 for Initial Briefs (Electric) 4" xfId="18057"/>
    <cellStyle name="_Recon to Darrin's 5.11.05 proforma_Rebuttal Power Costs_Adj Bench DR 3 for Initial Briefs (Electric) 4 2" xfId="18058"/>
    <cellStyle name="_Recon to Darrin's 5.11.05 proforma_Rebuttal Power Costs_Adj Bench DR 3 for Initial Briefs (Electric) 4 2 2" xfId="18059"/>
    <cellStyle name="_Recon to Darrin's 5.11.05 proforma_Rebuttal Power Costs_Adj Bench DR 3 for Initial Briefs (Electric) 4 3" xfId="18060"/>
    <cellStyle name="_Recon to Darrin's 5.11.05 proforma_Rebuttal Power Costs_Adj Bench DR 3 for Initial Briefs (Electric) 5" xfId="18061"/>
    <cellStyle name="_Recon to Darrin's 5.11.05 proforma_Rebuttal Power Costs_Adj Bench DR 3 for Initial Briefs (Electric) 5 2" xfId="18062"/>
    <cellStyle name="_Recon to Darrin's 5.11.05 proforma_Rebuttal Power Costs_Adj Bench DR 3 for Initial Briefs (Electric) 6" xfId="18063"/>
    <cellStyle name="_Recon to Darrin's 5.11.05 proforma_Rebuttal Power Costs_Adj Bench DR 3 for Initial Briefs (Electric) 6 2" xfId="18064"/>
    <cellStyle name="_Recon to Darrin's 5.11.05 proforma_Rebuttal Power Costs_Adj Bench DR 3 for Initial Briefs (Electric) 7" xfId="18065"/>
    <cellStyle name="_Recon to Darrin's 5.11.05 proforma_Rebuttal Power Costs_Adj Bench DR 3 for Initial Briefs (Electric)_DEM-WP(C) ENERG10C--ctn Mid-C_042010 2010GRC" xfId="18066"/>
    <cellStyle name="_Recon to Darrin's 5.11.05 proforma_Rebuttal Power Costs_Adj Bench DR 3 for Initial Briefs (Electric)_DEM-WP(C) ENERG10C--ctn Mid-C_042010 2010GRC 2" xfId="18067"/>
    <cellStyle name="_Recon to Darrin's 5.11.05 proforma_Rebuttal Power Costs_DEM-WP(C) ENERG10C--ctn Mid-C_042010 2010GRC" xfId="18068"/>
    <cellStyle name="_Recon to Darrin's 5.11.05 proforma_Rebuttal Power Costs_DEM-WP(C) ENERG10C--ctn Mid-C_042010 2010GRC 2" xfId="18069"/>
    <cellStyle name="_Recon to Darrin's 5.11.05 proforma_Rebuttal Power Costs_Electric Rev Req Model (2009 GRC) Rebuttal" xfId="807"/>
    <cellStyle name="_Recon to Darrin's 5.11.05 proforma_Rebuttal Power Costs_Electric Rev Req Model (2009 GRC) Rebuttal 2" xfId="18070"/>
    <cellStyle name="_Recon to Darrin's 5.11.05 proforma_Rebuttal Power Costs_Electric Rev Req Model (2009 GRC) Rebuttal 2 2" xfId="18071"/>
    <cellStyle name="_Recon to Darrin's 5.11.05 proforma_Rebuttal Power Costs_Electric Rev Req Model (2009 GRC) Rebuttal 2 2 2" xfId="18072"/>
    <cellStyle name="_Recon to Darrin's 5.11.05 proforma_Rebuttal Power Costs_Electric Rev Req Model (2009 GRC) Rebuttal 2 3" xfId="18073"/>
    <cellStyle name="_Recon to Darrin's 5.11.05 proforma_Rebuttal Power Costs_Electric Rev Req Model (2009 GRC) Rebuttal 2 4" xfId="18074"/>
    <cellStyle name="_Recon to Darrin's 5.11.05 proforma_Rebuttal Power Costs_Electric Rev Req Model (2009 GRC) Rebuttal 3" xfId="18075"/>
    <cellStyle name="_Recon to Darrin's 5.11.05 proforma_Rebuttal Power Costs_Electric Rev Req Model (2009 GRC) Rebuttal 3 2" xfId="18076"/>
    <cellStyle name="_Recon to Darrin's 5.11.05 proforma_Rebuttal Power Costs_Electric Rev Req Model (2009 GRC) Rebuttal 4" xfId="18077"/>
    <cellStyle name="_Recon to Darrin's 5.11.05 proforma_Rebuttal Power Costs_Electric Rev Req Model (2009 GRC) Rebuttal 5" xfId="18078"/>
    <cellStyle name="_Recon to Darrin's 5.11.05 proforma_Rebuttal Power Costs_Electric Rev Req Model (2009 GRC) Rebuttal REmoval of New  WH Solar AdjustMI" xfId="808"/>
    <cellStyle name="_Recon to Darrin's 5.11.05 proforma_Rebuttal Power Costs_Electric Rev Req Model (2009 GRC) Rebuttal REmoval of New  WH Solar AdjustMI 2" xfId="18079"/>
    <cellStyle name="_Recon to Darrin's 5.11.05 proforma_Rebuttal Power Costs_Electric Rev Req Model (2009 GRC) Rebuttal REmoval of New  WH Solar AdjustMI 2 2" xfId="18080"/>
    <cellStyle name="_Recon to Darrin's 5.11.05 proforma_Rebuttal Power Costs_Electric Rev Req Model (2009 GRC) Rebuttal REmoval of New  WH Solar AdjustMI 2 2 2" xfId="18081"/>
    <cellStyle name="_Recon to Darrin's 5.11.05 proforma_Rebuttal Power Costs_Electric Rev Req Model (2009 GRC) Rebuttal REmoval of New  WH Solar AdjustMI 2 2 2 2" xfId="18082"/>
    <cellStyle name="_Recon to Darrin's 5.11.05 proforma_Rebuttal Power Costs_Electric Rev Req Model (2009 GRC) Rebuttal REmoval of New  WH Solar AdjustMI 2 2 3" xfId="18083"/>
    <cellStyle name="_Recon to Darrin's 5.11.05 proforma_Rebuttal Power Costs_Electric Rev Req Model (2009 GRC) Rebuttal REmoval of New  WH Solar AdjustMI 2 3" xfId="18084"/>
    <cellStyle name="_Recon to Darrin's 5.11.05 proforma_Rebuttal Power Costs_Electric Rev Req Model (2009 GRC) Rebuttal REmoval of New  WH Solar AdjustMI 2 3 2" xfId="18085"/>
    <cellStyle name="_Recon to Darrin's 5.11.05 proforma_Rebuttal Power Costs_Electric Rev Req Model (2009 GRC) Rebuttal REmoval of New  WH Solar AdjustMI 2 4" xfId="18086"/>
    <cellStyle name="_Recon to Darrin's 5.11.05 proforma_Rebuttal Power Costs_Electric Rev Req Model (2009 GRC) Rebuttal REmoval of New  WH Solar AdjustMI 2 4 2" xfId="18087"/>
    <cellStyle name="_Recon to Darrin's 5.11.05 proforma_Rebuttal Power Costs_Electric Rev Req Model (2009 GRC) Rebuttal REmoval of New  WH Solar AdjustMI 2 5" xfId="18088"/>
    <cellStyle name="_Recon to Darrin's 5.11.05 proforma_Rebuttal Power Costs_Electric Rev Req Model (2009 GRC) Rebuttal REmoval of New  WH Solar AdjustMI 3" xfId="18089"/>
    <cellStyle name="_Recon to Darrin's 5.11.05 proforma_Rebuttal Power Costs_Electric Rev Req Model (2009 GRC) Rebuttal REmoval of New  WH Solar AdjustMI 3 2" xfId="18090"/>
    <cellStyle name="_Recon to Darrin's 5.11.05 proforma_Rebuttal Power Costs_Electric Rev Req Model (2009 GRC) Rebuttal REmoval of New  WH Solar AdjustMI 3 2 2" xfId="18091"/>
    <cellStyle name="_Recon to Darrin's 5.11.05 proforma_Rebuttal Power Costs_Electric Rev Req Model (2009 GRC) Rebuttal REmoval of New  WH Solar AdjustMI 3 3" xfId="18092"/>
    <cellStyle name="_Recon to Darrin's 5.11.05 proforma_Rebuttal Power Costs_Electric Rev Req Model (2009 GRC) Rebuttal REmoval of New  WH Solar AdjustMI 3 4" xfId="18093"/>
    <cellStyle name="_Recon to Darrin's 5.11.05 proforma_Rebuttal Power Costs_Electric Rev Req Model (2009 GRC) Rebuttal REmoval of New  WH Solar AdjustMI 4" xfId="18094"/>
    <cellStyle name="_Recon to Darrin's 5.11.05 proforma_Rebuttal Power Costs_Electric Rev Req Model (2009 GRC) Rebuttal REmoval of New  WH Solar AdjustMI 4 2" xfId="18095"/>
    <cellStyle name="_Recon to Darrin's 5.11.05 proforma_Rebuttal Power Costs_Electric Rev Req Model (2009 GRC) Rebuttal REmoval of New  WH Solar AdjustMI 4 2 2" xfId="18096"/>
    <cellStyle name="_Recon to Darrin's 5.11.05 proforma_Rebuttal Power Costs_Electric Rev Req Model (2009 GRC) Rebuttal REmoval of New  WH Solar AdjustMI 4 3" xfId="18097"/>
    <cellStyle name="_Recon to Darrin's 5.11.05 proforma_Rebuttal Power Costs_Electric Rev Req Model (2009 GRC) Rebuttal REmoval of New  WH Solar AdjustMI 5" xfId="18098"/>
    <cellStyle name="_Recon to Darrin's 5.11.05 proforma_Rebuttal Power Costs_Electric Rev Req Model (2009 GRC) Rebuttal REmoval of New  WH Solar AdjustMI 5 2" xfId="18099"/>
    <cellStyle name="_Recon to Darrin's 5.11.05 proforma_Rebuttal Power Costs_Electric Rev Req Model (2009 GRC) Rebuttal REmoval of New  WH Solar AdjustMI 6" xfId="18100"/>
    <cellStyle name="_Recon to Darrin's 5.11.05 proforma_Rebuttal Power Costs_Electric Rev Req Model (2009 GRC) Rebuttal REmoval of New  WH Solar AdjustMI 6 2" xfId="18101"/>
    <cellStyle name="_Recon to Darrin's 5.11.05 proforma_Rebuttal Power Costs_Electric Rev Req Model (2009 GRC) Rebuttal REmoval of New  WH Solar AdjustMI 7" xfId="18102"/>
    <cellStyle name="_Recon to Darrin's 5.11.05 proforma_Rebuttal Power Costs_Electric Rev Req Model (2009 GRC) Rebuttal REmoval of New  WH Solar AdjustMI_DEM-WP(C) ENERG10C--ctn Mid-C_042010 2010GRC" xfId="18103"/>
    <cellStyle name="_Recon to Darrin's 5.11.05 proforma_Rebuttal Power Costs_Electric Rev Req Model (2009 GRC) Rebuttal REmoval of New  WH Solar AdjustMI_DEM-WP(C) ENERG10C--ctn Mid-C_042010 2010GRC 2" xfId="18104"/>
    <cellStyle name="_Recon to Darrin's 5.11.05 proforma_Rebuttal Power Costs_Electric Rev Req Model (2009 GRC) Revised 01-18-2010" xfId="809"/>
    <cellStyle name="_Recon to Darrin's 5.11.05 proforma_Rebuttal Power Costs_Electric Rev Req Model (2009 GRC) Revised 01-18-2010 2" xfId="18105"/>
    <cellStyle name="_Recon to Darrin's 5.11.05 proforma_Rebuttal Power Costs_Electric Rev Req Model (2009 GRC) Revised 01-18-2010 2 2" xfId="18106"/>
    <cellStyle name="_Recon to Darrin's 5.11.05 proforma_Rebuttal Power Costs_Electric Rev Req Model (2009 GRC) Revised 01-18-2010 2 2 2" xfId="18107"/>
    <cellStyle name="_Recon to Darrin's 5.11.05 proforma_Rebuttal Power Costs_Electric Rev Req Model (2009 GRC) Revised 01-18-2010 2 2 2 2" xfId="18108"/>
    <cellStyle name="_Recon to Darrin's 5.11.05 proforma_Rebuttal Power Costs_Electric Rev Req Model (2009 GRC) Revised 01-18-2010 2 2 3" xfId="18109"/>
    <cellStyle name="_Recon to Darrin's 5.11.05 proforma_Rebuttal Power Costs_Electric Rev Req Model (2009 GRC) Revised 01-18-2010 2 3" xfId="18110"/>
    <cellStyle name="_Recon to Darrin's 5.11.05 proforma_Rebuttal Power Costs_Electric Rev Req Model (2009 GRC) Revised 01-18-2010 2 3 2" xfId="18111"/>
    <cellStyle name="_Recon to Darrin's 5.11.05 proforma_Rebuttal Power Costs_Electric Rev Req Model (2009 GRC) Revised 01-18-2010 2 4" xfId="18112"/>
    <cellStyle name="_Recon to Darrin's 5.11.05 proforma_Rebuttal Power Costs_Electric Rev Req Model (2009 GRC) Revised 01-18-2010 2 4 2" xfId="18113"/>
    <cellStyle name="_Recon to Darrin's 5.11.05 proforma_Rebuttal Power Costs_Electric Rev Req Model (2009 GRC) Revised 01-18-2010 2 5" xfId="18114"/>
    <cellStyle name="_Recon to Darrin's 5.11.05 proforma_Rebuttal Power Costs_Electric Rev Req Model (2009 GRC) Revised 01-18-2010 3" xfId="18115"/>
    <cellStyle name="_Recon to Darrin's 5.11.05 proforma_Rebuttal Power Costs_Electric Rev Req Model (2009 GRC) Revised 01-18-2010 3 2" xfId="18116"/>
    <cellStyle name="_Recon to Darrin's 5.11.05 proforma_Rebuttal Power Costs_Electric Rev Req Model (2009 GRC) Revised 01-18-2010 3 2 2" xfId="18117"/>
    <cellStyle name="_Recon to Darrin's 5.11.05 proforma_Rebuttal Power Costs_Electric Rev Req Model (2009 GRC) Revised 01-18-2010 3 3" xfId="18118"/>
    <cellStyle name="_Recon to Darrin's 5.11.05 proforma_Rebuttal Power Costs_Electric Rev Req Model (2009 GRC) Revised 01-18-2010 3 4" xfId="18119"/>
    <cellStyle name="_Recon to Darrin's 5.11.05 proforma_Rebuttal Power Costs_Electric Rev Req Model (2009 GRC) Revised 01-18-2010 4" xfId="18120"/>
    <cellStyle name="_Recon to Darrin's 5.11.05 proforma_Rebuttal Power Costs_Electric Rev Req Model (2009 GRC) Revised 01-18-2010 4 2" xfId="18121"/>
    <cellStyle name="_Recon to Darrin's 5.11.05 proforma_Rebuttal Power Costs_Electric Rev Req Model (2009 GRC) Revised 01-18-2010 4 2 2" xfId="18122"/>
    <cellStyle name="_Recon to Darrin's 5.11.05 proforma_Rebuttal Power Costs_Electric Rev Req Model (2009 GRC) Revised 01-18-2010 4 3" xfId="18123"/>
    <cellStyle name="_Recon to Darrin's 5.11.05 proforma_Rebuttal Power Costs_Electric Rev Req Model (2009 GRC) Revised 01-18-2010 5" xfId="18124"/>
    <cellStyle name="_Recon to Darrin's 5.11.05 proforma_Rebuttal Power Costs_Electric Rev Req Model (2009 GRC) Revised 01-18-2010 5 2" xfId="18125"/>
    <cellStyle name="_Recon to Darrin's 5.11.05 proforma_Rebuttal Power Costs_Electric Rev Req Model (2009 GRC) Revised 01-18-2010 6" xfId="18126"/>
    <cellStyle name="_Recon to Darrin's 5.11.05 proforma_Rebuttal Power Costs_Electric Rev Req Model (2009 GRC) Revised 01-18-2010 6 2" xfId="18127"/>
    <cellStyle name="_Recon to Darrin's 5.11.05 proforma_Rebuttal Power Costs_Electric Rev Req Model (2009 GRC) Revised 01-18-2010 7" xfId="18128"/>
    <cellStyle name="_Recon to Darrin's 5.11.05 proforma_Rebuttal Power Costs_Electric Rev Req Model (2009 GRC) Revised 01-18-2010_DEM-WP(C) ENERG10C--ctn Mid-C_042010 2010GRC" xfId="18129"/>
    <cellStyle name="_Recon to Darrin's 5.11.05 proforma_Rebuttal Power Costs_Electric Rev Req Model (2009 GRC) Revised 01-18-2010_DEM-WP(C) ENERG10C--ctn Mid-C_042010 2010GRC 2" xfId="18130"/>
    <cellStyle name="_Recon to Darrin's 5.11.05 proforma_Rebuttal Power Costs_Final Order Electric EXHIBIT A-1" xfId="810"/>
    <cellStyle name="_Recon to Darrin's 5.11.05 proforma_Rebuttal Power Costs_Final Order Electric EXHIBIT A-1 2" xfId="18131"/>
    <cellStyle name="_Recon to Darrin's 5.11.05 proforma_Rebuttal Power Costs_Final Order Electric EXHIBIT A-1 2 2" xfId="18132"/>
    <cellStyle name="_Recon to Darrin's 5.11.05 proforma_Rebuttal Power Costs_Final Order Electric EXHIBIT A-1 2 2 2" xfId="18133"/>
    <cellStyle name="_Recon to Darrin's 5.11.05 proforma_Rebuttal Power Costs_Final Order Electric EXHIBIT A-1 2 3" xfId="18134"/>
    <cellStyle name="_Recon to Darrin's 5.11.05 proforma_Rebuttal Power Costs_Final Order Electric EXHIBIT A-1 2 4" xfId="18135"/>
    <cellStyle name="_Recon to Darrin's 5.11.05 proforma_Rebuttal Power Costs_Final Order Electric EXHIBIT A-1 3" xfId="18136"/>
    <cellStyle name="_Recon to Darrin's 5.11.05 proforma_Rebuttal Power Costs_Final Order Electric EXHIBIT A-1 3 2" xfId="18137"/>
    <cellStyle name="_Recon to Darrin's 5.11.05 proforma_Rebuttal Power Costs_Final Order Electric EXHIBIT A-1 3 2 2" xfId="18138"/>
    <cellStyle name="_Recon to Darrin's 5.11.05 proforma_Rebuttal Power Costs_Final Order Electric EXHIBIT A-1 3 3" xfId="18139"/>
    <cellStyle name="_Recon to Darrin's 5.11.05 proforma_Rebuttal Power Costs_Final Order Electric EXHIBIT A-1 4" xfId="18140"/>
    <cellStyle name="_Recon to Darrin's 5.11.05 proforma_Rebuttal Power Costs_Final Order Electric EXHIBIT A-1 4 2" xfId="18141"/>
    <cellStyle name="_Recon to Darrin's 5.11.05 proforma_Rebuttal Power Costs_Final Order Electric EXHIBIT A-1 5" xfId="18142"/>
    <cellStyle name="_Recon to Darrin's 5.11.05 proforma_Rebuttal Power Costs_Final Order Electric EXHIBIT A-1 6" xfId="18143"/>
    <cellStyle name="_Recon to Darrin's 5.11.05 proforma_Rebuttal Power Costs_Final Order Electric EXHIBIT A-1 7" xfId="18144"/>
    <cellStyle name="_Recon to Darrin's 5.11.05 proforma_ROR &amp; CONV FACTOR" xfId="18145"/>
    <cellStyle name="_Recon to Darrin's 5.11.05 proforma_ROR &amp; CONV FACTOR 2" xfId="18146"/>
    <cellStyle name="_Recon to Darrin's 5.11.05 proforma_ROR &amp; CONV FACTOR 2 2" xfId="18147"/>
    <cellStyle name="_Recon to Darrin's 5.11.05 proforma_ROR &amp; CONV FACTOR 2 2 2" xfId="18148"/>
    <cellStyle name="_Recon to Darrin's 5.11.05 proforma_ROR &amp; CONV FACTOR 2 3" xfId="18149"/>
    <cellStyle name="_Recon to Darrin's 5.11.05 proforma_ROR &amp; CONV FACTOR 3" xfId="18150"/>
    <cellStyle name="_Recon to Darrin's 5.11.05 proforma_ROR &amp; CONV FACTOR 3 2" xfId="18151"/>
    <cellStyle name="_Recon to Darrin's 5.11.05 proforma_ROR &amp; CONV FACTOR 4" xfId="18152"/>
    <cellStyle name="_Recon to Darrin's 5.11.05 proforma_ROR 5.02" xfId="18153"/>
    <cellStyle name="_Recon to Darrin's 5.11.05 proforma_ROR 5.02 2" xfId="18154"/>
    <cellStyle name="_Recon to Darrin's 5.11.05 proforma_ROR 5.02 2 2" xfId="18155"/>
    <cellStyle name="_Recon to Darrin's 5.11.05 proforma_ROR 5.02 2 2 2" xfId="18156"/>
    <cellStyle name="_Recon to Darrin's 5.11.05 proforma_ROR 5.02 2 3" xfId="18157"/>
    <cellStyle name="_Recon to Darrin's 5.11.05 proforma_ROR 5.02 3" xfId="18158"/>
    <cellStyle name="_Recon to Darrin's 5.11.05 proforma_ROR 5.02 3 2" xfId="18159"/>
    <cellStyle name="_Recon to Darrin's 5.11.05 proforma_ROR 5.02 4" xfId="18160"/>
    <cellStyle name="_Recon to Darrin's 5.11.05 proforma_Transmission Workbook for May BOD" xfId="18161"/>
    <cellStyle name="_Recon to Darrin's 5.11.05 proforma_Transmission Workbook for May BOD 2" xfId="18162"/>
    <cellStyle name="_Recon to Darrin's 5.11.05 proforma_Transmission Workbook for May BOD 2 2" xfId="18163"/>
    <cellStyle name="_Recon to Darrin's 5.11.05 proforma_Transmission Workbook for May BOD 2 2 2" xfId="18164"/>
    <cellStyle name="_Recon to Darrin's 5.11.05 proforma_Transmission Workbook for May BOD 2 2 2 2" xfId="18165"/>
    <cellStyle name="_Recon to Darrin's 5.11.05 proforma_Transmission Workbook for May BOD 2 3" xfId="18166"/>
    <cellStyle name="_Recon to Darrin's 5.11.05 proforma_Transmission Workbook for May BOD 2 3 2" xfId="18167"/>
    <cellStyle name="_Recon to Darrin's 5.11.05 proforma_Transmission Workbook for May BOD 2 4" xfId="18168"/>
    <cellStyle name="_Recon to Darrin's 5.11.05 proforma_Transmission Workbook for May BOD 2 4 2" xfId="18169"/>
    <cellStyle name="_Recon to Darrin's 5.11.05 proforma_Transmission Workbook for May BOD 2 5" xfId="18170"/>
    <cellStyle name="_Recon to Darrin's 5.11.05 proforma_Transmission Workbook for May BOD 3" xfId="18171"/>
    <cellStyle name="_Recon to Darrin's 5.11.05 proforma_Transmission Workbook for May BOD 3 2" xfId="18172"/>
    <cellStyle name="_Recon to Darrin's 5.11.05 proforma_Transmission Workbook for May BOD 3 2 2" xfId="18173"/>
    <cellStyle name="_Recon to Darrin's 5.11.05 proforma_Transmission Workbook for May BOD 3 3" xfId="18174"/>
    <cellStyle name="_Recon to Darrin's 5.11.05 proforma_Transmission Workbook for May BOD 4" xfId="18175"/>
    <cellStyle name="_Recon to Darrin's 5.11.05 proforma_Transmission Workbook for May BOD 4 2" xfId="18176"/>
    <cellStyle name="_Recon to Darrin's 5.11.05 proforma_Transmission Workbook for May BOD 4 2 2" xfId="18177"/>
    <cellStyle name="_Recon to Darrin's 5.11.05 proforma_Transmission Workbook for May BOD 4 3" xfId="18178"/>
    <cellStyle name="_Recon to Darrin's 5.11.05 proforma_Transmission Workbook for May BOD 5" xfId="18179"/>
    <cellStyle name="_Recon to Darrin's 5.11.05 proforma_Transmission Workbook for May BOD 5 2" xfId="18180"/>
    <cellStyle name="_Recon to Darrin's 5.11.05 proforma_Transmission Workbook for May BOD 6" xfId="18181"/>
    <cellStyle name="_Recon to Darrin's 5.11.05 proforma_Transmission Workbook for May BOD 6 2" xfId="18182"/>
    <cellStyle name="_Recon to Darrin's 5.11.05 proforma_Transmission Workbook for May BOD 7" xfId="18183"/>
    <cellStyle name="_Recon to Darrin's 5.11.05 proforma_Transmission Workbook for May BOD_DEM-WP(C) ENERG10C--ctn Mid-C_042010 2010GRC" xfId="18184"/>
    <cellStyle name="_Recon to Darrin's 5.11.05 proforma_Transmission Workbook for May BOD_DEM-WP(C) ENERG10C--ctn Mid-C_042010 2010GRC 2" xfId="18185"/>
    <cellStyle name="_Recon to Darrin's 5.11.05 proforma_Wind Integration 10GRC" xfId="18186"/>
    <cellStyle name="_Recon to Darrin's 5.11.05 proforma_Wind Integration 10GRC 2" xfId="18187"/>
    <cellStyle name="_Recon to Darrin's 5.11.05 proforma_Wind Integration 10GRC 2 2" xfId="18188"/>
    <cellStyle name="_Recon to Darrin's 5.11.05 proforma_Wind Integration 10GRC 2 2 2" xfId="18189"/>
    <cellStyle name="_Recon to Darrin's 5.11.05 proforma_Wind Integration 10GRC 2 2 2 2" xfId="18190"/>
    <cellStyle name="_Recon to Darrin's 5.11.05 proforma_Wind Integration 10GRC 2 3" xfId="18191"/>
    <cellStyle name="_Recon to Darrin's 5.11.05 proforma_Wind Integration 10GRC 2 3 2" xfId="18192"/>
    <cellStyle name="_Recon to Darrin's 5.11.05 proforma_Wind Integration 10GRC 2 4" xfId="18193"/>
    <cellStyle name="_Recon to Darrin's 5.11.05 proforma_Wind Integration 10GRC 2 4 2" xfId="18194"/>
    <cellStyle name="_Recon to Darrin's 5.11.05 proforma_Wind Integration 10GRC 2 5" xfId="18195"/>
    <cellStyle name="_Recon to Darrin's 5.11.05 proforma_Wind Integration 10GRC 3" xfId="18196"/>
    <cellStyle name="_Recon to Darrin's 5.11.05 proforma_Wind Integration 10GRC 3 2" xfId="18197"/>
    <cellStyle name="_Recon to Darrin's 5.11.05 proforma_Wind Integration 10GRC 3 2 2" xfId="18198"/>
    <cellStyle name="_Recon to Darrin's 5.11.05 proforma_Wind Integration 10GRC 3 3" xfId="18199"/>
    <cellStyle name="_Recon to Darrin's 5.11.05 proforma_Wind Integration 10GRC 4" xfId="18200"/>
    <cellStyle name="_Recon to Darrin's 5.11.05 proforma_Wind Integration 10GRC 4 2" xfId="18201"/>
    <cellStyle name="_Recon to Darrin's 5.11.05 proforma_Wind Integration 10GRC 4 2 2" xfId="18202"/>
    <cellStyle name="_Recon to Darrin's 5.11.05 proforma_Wind Integration 10GRC 4 3" xfId="18203"/>
    <cellStyle name="_Recon to Darrin's 5.11.05 proforma_Wind Integration 10GRC 5" xfId="18204"/>
    <cellStyle name="_Recon to Darrin's 5.11.05 proforma_Wind Integration 10GRC 5 2" xfId="18205"/>
    <cellStyle name="_Recon to Darrin's 5.11.05 proforma_Wind Integration 10GRC 6" xfId="18206"/>
    <cellStyle name="_Recon to Darrin's 5.11.05 proforma_Wind Integration 10GRC 6 2" xfId="18207"/>
    <cellStyle name="_Recon to Darrin's 5.11.05 proforma_Wind Integration 10GRC 7" xfId="18208"/>
    <cellStyle name="_Recon to Darrin's 5.11.05 proforma_Wind Integration 10GRC_DEM-WP(C) ENERG10C--ctn Mid-C_042010 2010GRC" xfId="18209"/>
    <cellStyle name="_Recon to Darrin's 5.11.05 proforma_Wind Integration 10GRC_DEM-WP(C) ENERG10C--ctn Mid-C_042010 2010GRC 2" xfId="18210"/>
    <cellStyle name="_Revenue" xfId="811"/>
    <cellStyle name="_Revenue 2" xfId="18211"/>
    <cellStyle name="_Revenue_Data" xfId="812"/>
    <cellStyle name="_Revenue_Data 2" xfId="18212"/>
    <cellStyle name="_Revenue_Data_1" xfId="813"/>
    <cellStyle name="_Revenue_Data_1 2" xfId="18213"/>
    <cellStyle name="_Revenue_Data_Pro Forma Rev 09 GRC" xfId="814"/>
    <cellStyle name="_Revenue_Data_Pro Forma Rev 09 GRC 2" xfId="18214"/>
    <cellStyle name="_Revenue_Data_Pro Forma Rev 2010 GRC" xfId="815"/>
    <cellStyle name="_Revenue_Data_Pro Forma Rev 2010 GRC 2" xfId="18215"/>
    <cellStyle name="_Revenue_Data_Pro Forma Rev 2010 GRC_Preliminary" xfId="816"/>
    <cellStyle name="_Revenue_Data_Pro Forma Rev 2010 GRC_Preliminary 2" xfId="18216"/>
    <cellStyle name="_Revenue_Data_Revenue (Feb 09 - Jan 10)" xfId="817"/>
    <cellStyle name="_Revenue_Data_Revenue (Feb 09 - Jan 10) 2" xfId="18217"/>
    <cellStyle name="_Revenue_Data_Revenue (Jan 09 - Dec 09)" xfId="818"/>
    <cellStyle name="_Revenue_Data_Revenue (Jan 09 - Dec 09) 2" xfId="18218"/>
    <cellStyle name="_Revenue_Data_Revenue (Mar 09 - Feb 10)" xfId="819"/>
    <cellStyle name="_Revenue_Data_Revenue (Mar 09 - Feb 10) 2" xfId="18219"/>
    <cellStyle name="_Revenue_Data_Volume Exhibit (Jan09 - Dec09)" xfId="820"/>
    <cellStyle name="_Revenue_Data_Volume Exhibit (Jan09 - Dec09) 2" xfId="18220"/>
    <cellStyle name="_Revenue_Mins" xfId="821"/>
    <cellStyle name="_Revenue_Mins 2" xfId="18221"/>
    <cellStyle name="_Revenue_Pro Forma Rev 07 GRC" xfId="822"/>
    <cellStyle name="_Revenue_Pro Forma Rev 07 GRC 2" xfId="18222"/>
    <cellStyle name="_Revenue_Pro Forma Rev 08 GRC" xfId="823"/>
    <cellStyle name="_Revenue_Pro Forma Rev 08 GRC 2" xfId="18223"/>
    <cellStyle name="_Revenue_Pro Forma Rev 09 GRC" xfId="824"/>
    <cellStyle name="_Revenue_Pro Forma Rev 09 GRC 2" xfId="18224"/>
    <cellStyle name="_Revenue_Pro Forma Rev 2010 GRC" xfId="825"/>
    <cellStyle name="_Revenue_Pro Forma Rev 2010 GRC 2" xfId="18225"/>
    <cellStyle name="_Revenue_Pro Forma Rev 2010 GRC_Preliminary" xfId="826"/>
    <cellStyle name="_Revenue_Pro Forma Rev 2010 GRC_Preliminary 2" xfId="18226"/>
    <cellStyle name="_Revenue_Revenue (Feb 09 - Jan 10)" xfId="827"/>
    <cellStyle name="_Revenue_Revenue (Feb 09 - Jan 10) 2" xfId="18227"/>
    <cellStyle name="_Revenue_Revenue (Jan 09 - Dec 09)" xfId="828"/>
    <cellStyle name="_Revenue_Revenue (Jan 09 - Dec 09) 2" xfId="18228"/>
    <cellStyle name="_Revenue_Revenue (Mar 09 - Feb 10)" xfId="829"/>
    <cellStyle name="_Revenue_Revenue (Mar 09 - Feb 10) 2" xfId="18229"/>
    <cellStyle name="_Revenue_Sheet2" xfId="830"/>
    <cellStyle name="_Revenue_Sheet2 2" xfId="18230"/>
    <cellStyle name="_Revenue_Therms Data" xfId="831"/>
    <cellStyle name="_Revenue_Therms Data 2" xfId="18231"/>
    <cellStyle name="_Revenue_Therms Data Rerun" xfId="832"/>
    <cellStyle name="_Revenue_Therms Data Rerun 2" xfId="18232"/>
    <cellStyle name="_Revenue_Volume Exhibit (Jan09 - Dec09)" xfId="833"/>
    <cellStyle name="_Revenue_Volume Exhibit (Jan09 - Dec09) 2" xfId="18233"/>
    <cellStyle name="_x0013__Scenario 1 REC vs PTC Offset" xfId="834"/>
    <cellStyle name="_x0013__Scenario 1 REC vs PTC Offset 2" xfId="18234"/>
    <cellStyle name="_x0013__Scenario 3" xfId="835"/>
    <cellStyle name="_x0013__Scenario 3 2" xfId="18235"/>
    <cellStyle name="_Sumas Proforma - 11-09-07" xfId="836"/>
    <cellStyle name="_Sumas Proforma - 11-09-07 2" xfId="18236"/>
    <cellStyle name="_Sumas Proforma - 11-09-07 2 2" xfId="18237"/>
    <cellStyle name="_Sumas Proforma - 11-09-07 2 2 2" xfId="18238"/>
    <cellStyle name="_Sumas Proforma - 11-09-07 2 3" xfId="18239"/>
    <cellStyle name="_Sumas Proforma - 11-09-07 3" xfId="18240"/>
    <cellStyle name="_Sumas Proforma - 11-09-07 3 2" xfId="18241"/>
    <cellStyle name="_Sumas Proforma - 11-09-07 4" xfId="18242"/>
    <cellStyle name="_Sumas Proforma - 11-09-07 4 2" xfId="18243"/>
    <cellStyle name="_Sumas Proforma - 11-09-07 5" xfId="18244"/>
    <cellStyle name="_Sumas Property Taxes v1" xfId="837"/>
    <cellStyle name="_Sumas Property Taxes v1 2" xfId="18245"/>
    <cellStyle name="_Sumas Property Taxes v1 2 2" xfId="18246"/>
    <cellStyle name="_Sumas Property Taxes v1 2 2 2" xfId="18247"/>
    <cellStyle name="_Sumas Property Taxes v1 2 3" xfId="18248"/>
    <cellStyle name="_Sumas Property Taxes v1 3" xfId="18249"/>
    <cellStyle name="_Sumas Property Taxes v1 3 2" xfId="18250"/>
    <cellStyle name="_Sumas Property Taxes v1 4" xfId="18251"/>
    <cellStyle name="_Sumas Property Taxes v1 4 2" xfId="18252"/>
    <cellStyle name="_Sumas Property Taxes v1 5" xfId="18253"/>
    <cellStyle name="_Tenaska Comparison" xfId="838"/>
    <cellStyle name="_Tenaska Comparison 10" xfId="18254"/>
    <cellStyle name="_Tenaska Comparison 10 2" xfId="18255"/>
    <cellStyle name="_Tenaska Comparison 10 2 2" xfId="18256"/>
    <cellStyle name="_Tenaska Comparison 10 2 2 2" xfId="18257"/>
    <cellStyle name="_Tenaska Comparison 10 2 3" xfId="18258"/>
    <cellStyle name="_Tenaska Comparison 10 3" xfId="18259"/>
    <cellStyle name="_Tenaska Comparison 10 3 2" xfId="18260"/>
    <cellStyle name="_Tenaska Comparison 10 4" xfId="18261"/>
    <cellStyle name="_Tenaska Comparison 11" xfId="18262"/>
    <cellStyle name="_Tenaska Comparison 11 2" xfId="18263"/>
    <cellStyle name="_Tenaska Comparison 12" xfId="18264"/>
    <cellStyle name="_Tenaska Comparison 12 2" xfId="18265"/>
    <cellStyle name="_Tenaska Comparison 13" xfId="18266"/>
    <cellStyle name="_Tenaska Comparison 13 2" xfId="18267"/>
    <cellStyle name="_Tenaska Comparison 13 3" xfId="18268"/>
    <cellStyle name="_Tenaska Comparison 14" xfId="18269"/>
    <cellStyle name="_Tenaska Comparison 2" xfId="839"/>
    <cellStyle name="_Tenaska Comparison 2 2" xfId="18270"/>
    <cellStyle name="_Tenaska Comparison 2 2 2" xfId="18271"/>
    <cellStyle name="_Tenaska Comparison 2 2 2 2" xfId="18272"/>
    <cellStyle name="_Tenaska Comparison 2 2 2 2 2" xfId="18273"/>
    <cellStyle name="_Tenaska Comparison 2 2 2 3" xfId="18274"/>
    <cellStyle name="_Tenaska Comparison 2 2 3" xfId="18275"/>
    <cellStyle name="_Tenaska Comparison 2 2 3 2" xfId="18276"/>
    <cellStyle name="_Tenaska Comparison 2 2 4" xfId="18277"/>
    <cellStyle name="_Tenaska Comparison 2 2 4 2" xfId="18278"/>
    <cellStyle name="_Tenaska Comparison 2 2 5" xfId="18279"/>
    <cellStyle name="_Tenaska Comparison 2 3" xfId="18280"/>
    <cellStyle name="_Tenaska Comparison 2 3 2" xfId="18281"/>
    <cellStyle name="_Tenaska Comparison 2 3 2 2" xfId="18282"/>
    <cellStyle name="_Tenaska Comparison 2 3 3" xfId="18283"/>
    <cellStyle name="_Tenaska Comparison 2 3 4" xfId="18284"/>
    <cellStyle name="_Tenaska Comparison 2 4" xfId="18285"/>
    <cellStyle name="_Tenaska Comparison 2 4 2" xfId="18286"/>
    <cellStyle name="_Tenaska Comparison 2 4 2 2" xfId="18287"/>
    <cellStyle name="_Tenaska Comparison 2 4 3" xfId="18288"/>
    <cellStyle name="_Tenaska Comparison 2 5" xfId="18289"/>
    <cellStyle name="_Tenaska Comparison 2 5 2" xfId="18290"/>
    <cellStyle name="_Tenaska Comparison 2 6" xfId="18291"/>
    <cellStyle name="_Tenaska Comparison 2 6 2" xfId="18292"/>
    <cellStyle name="_Tenaska Comparison 2 7" xfId="18293"/>
    <cellStyle name="_Tenaska Comparison 3" xfId="18294"/>
    <cellStyle name="_Tenaska Comparison 3 2" xfId="18295"/>
    <cellStyle name="_Tenaska Comparison 3 2 2" xfId="18296"/>
    <cellStyle name="_Tenaska Comparison 3 2 2 2" xfId="18297"/>
    <cellStyle name="_Tenaska Comparison 3 2 3" xfId="18298"/>
    <cellStyle name="_Tenaska Comparison 3 2 4" xfId="18299"/>
    <cellStyle name="_Tenaska Comparison 3 3" xfId="18300"/>
    <cellStyle name="_Tenaska Comparison 3 3 2" xfId="18301"/>
    <cellStyle name="_Tenaska Comparison 3 3 2 2" xfId="18302"/>
    <cellStyle name="_Tenaska Comparison 3 3 3" xfId="18303"/>
    <cellStyle name="_Tenaska Comparison 3 4" xfId="18304"/>
    <cellStyle name="_Tenaska Comparison 3 4 2" xfId="18305"/>
    <cellStyle name="_Tenaska Comparison 3 5" xfId="18306"/>
    <cellStyle name="_Tenaska Comparison 3 5 2" xfId="18307"/>
    <cellStyle name="_Tenaska Comparison 3 6" xfId="18308"/>
    <cellStyle name="_Tenaska Comparison 4" xfId="18309"/>
    <cellStyle name="_Tenaska Comparison 4 2" xfId="18310"/>
    <cellStyle name="_Tenaska Comparison 4 2 2" xfId="18311"/>
    <cellStyle name="_Tenaska Comparison 4 2 2 2" xfId="18312"/>
    <cellStyle name="_Tenaska Comparison 4 2 2 2 2" xfId="18313"/>
    <cellStyle name="_Tenaska Comparison 4 2 3" xfId="18314"/>
    <cellStyle name="_Tenaska Comparison 4 2 3 2" xfId="18315"/>
    <cellStyle name="_Tenaska Comparison 4 2 4" xfId="18316"/>
    <cellStyle name="_Tenaska Comparison 4 2 4 2" xfId="18317"/>
    <cellStyle name="_Tenaska Comparison 4 2 5" xfId="18318"/>
    <cellStyle name="_Tenaska Comparison 4 3" xfId="18319"/>
    <cellStyle name="_Tenaska Comparison 4 3 2" xfId="18320"/>
    <cellStyle name="_Tenaska Comparison 4 3 2 2" xfId="18321"/>
    <cellStyle name="_Tenaska Comparison 4 3 3" xfId="18322"/>
    <cellStyle name="_Tenaska Comparison 4 4" xfId="18323"/>
    <cellStyle name="_Tenaska Comparison 4 4 2" xfId="18324"/>
    <cellStyle name="_Tenaska Comparison 4 4 2 2" xfId="18325"/>
    <cellStyle name="_Tenaska Comparison 4 4 3" xfId="18326"/>
    <cellStyle name="_Tenaska Comparison 4 5" xfId="18327"/>
    <cellStyle name="_Tenaska Comparison 4 5 2" xfId="18328"/>
    <cellStyle name="_Tenaska Comparison 4 6" xfId="18329"/>
    <cellStyle name="_Tenaska Comparison 4 6 2" xfId="18330"/>
    <cellStyle name="_Tenaska Comparison 4 7" xfId="18331"/>
    <cellStyle name="_Tenaska Comparison 5" xfId="18332"/>
    <cellStyle name="_Tenaska Comparison 5 2" xfId="18333"/>
    <cellStyle name="_Tenaska Comparison 5 2 2" xfId="18334"/>
    <cellStyle name="_Tenaska Comparison 5 2 2 2" xfId="18335"/>
    <cellStyle name="_Tenaska Comparison 5 2 2 2 2" xfId="18336"/>
    <cellStyle name="_Tenaska Comparison 5 2 3" xfId="18337"/>
    <cellStyle name="_Tenaska Comparison 5 2 3 2" xfId="18338"/>
    <cellStyle name="_Tenaska Comparison 5 2 4" xfId="18339"/>
    <cellStyle name="_Tenaska Comparison 5 2 4 2" xfId="18340"/>
    <cellStyle name="_Tenaska Comparison 5 2 5" xfId="18341"/>
    <cellStyle name="_Tenaska Comparison 5 3" xfId="18342"/>
    <cellStyle name="_Tenaska Comparison 5 3 2" xfId="18343"/>
    <cellStyle name="_Tenaska Comparison 5 3 2 2" xfId="18344"/>
    <cellStyle name="_Tenaska Comparison 5 3 3" xfId="18345"/>
    <cellStyle name="_Tenaska Comparison 5 4" xfId="18346"/>
    <cellStyle name="_Tenaska Comparison 5 4 2" xfId="18347"/>
    <cellStyle name="_Tenaska Comparison 5 4 2 2" xfId="18348"/>
    <cellStyle name="_Tenaska Comparison 5 4 3" xfId="18349"/>
    <cellStyle name="_Tenaska Comparison 5 5" xfId="18350"/>
    <cellStyle name="_Tenaska Comparison 5 5 2" xfId="18351"/>
    <cellStyle name="_Tenaska Comparison 5 6" xfId="18352"/>
    <cellStyle name="_Tenaska Comparison 5 6 2" xfId="18353"/>
    <cellStyle name="_Tenaska Comparison 6" xfId="18354"/>
    <cellStyle name="_Tenaska Comparison 6 2" xfId="18355"/>
    <cellStyle name="_Tenaska Comparison 6 2 2" xfId="18356"/>
    <cellStyle name="_Tenaska Comparison 6 2 2 2" xfId="18357"/>
    <cellStyle name="_Tenaska Comparison 6 2 2 2 2" xfId="18358"/>
    <cellStyle name="_Tenaska Comparison 6 2 3" xfId="18359"/>
    <cellStyle name="_Tenaska Comparison 6 2 3 2" xfId="18360"/>
    <cellStyle name="_Tenaska Comparison 6 2 4" xfId="18361"/>
    <cellStyle name="_Tenaska Comparison 6 2 4 2" xfId="18362"/>
    <cellStyle name="_Tenaska Comparison 6 2 5" xfId="18363"/>
    <cellStyle name="_Tenaska Comparison 6 3" xfId="18364"/>
    <cellStyle name="_Tenaska Comparison 6 3 2" xfId="18365"/>
    <cellStyle name="_Tenaska Comparison 6 3 2 2" xfId="18366"/>
    <cellStyle name="_Tenaska Comparison 6 4" xfId="18367"/>
    <cellStyle name="_Tenaska Comparison 6 4 2" xfId="18368"/>
    <cellStyle name="_Tenaska Comparison 6 5" xfId="18369"/>
    <cellStyle name="_Tenaska Comparison 6 5 2" xfId="18370"/>
    <cellStyle name="_Tenaska Comparison 7" xfId="18371"/>
    <cellStyle name="_Tenaska Comparison 7 2" xfId="18372"/>
    <cellStyle name="_Tenaska Comparison 7 2 2" xfId="18373"/>
    <cellStyle name="_Tenaska Comparison 7 2 2 2" xfId="18374"/>
    <cellStyle name="_Tenaska Comparison 7 3" xfId="18375"/>
    <cellStyle name="_Tenaska Comparison 7 3 2" xfId="18376"/>
    <cellStyle name="_Tenaska Comparison 7 4" xfId="18377"/>
    <cellStyle name="_Tenaska Comparison 7 4 2" xfId="18378"/>
    <cellStyle name="_Tenaska Comparison 8" xfId="18379"/>
    <cellStyle name="_Tenaska Comparison 8 2" xfId="18380"/>
    <cellStyle name="_Tenaska Comparison 8 2 2" xfId="18381"/>
    <cellStyle name="_Tenaska Comparison 8 3" xfId="18382"/>
    <cellStyle name="_Tenaska Comparison 9" xfId="18383"/>
    <cellStyle name="_Tenaska Comparison 9 2" xfId="18384"/>
    <cellStyle name="_Tenaska Comparison 9 2 2" xfId="18385"/>
    <cellStyle name="_Tenaska Comparison 9 3" xfId="18386"/>
    <cellStyle name="_Tenaska Comparison_(C) WHE Proforma with ITC cash grant 10 Yr Amort_for deferral_102809" xfId="840"/>
    <cellStyle name="_Tenaska Comparison_(C) WHE Proforma with ITC cash grant 10 Yr Amort_for deferral_102809 2" xfId="18387"/>
    <cellStyle name="_Tenaska Comparison_(C) WHE Proforma with ITC cash grant 10 Yr Amort_for deferral_102809 2 2" xfId="18388"/>
    <cellStyle name="_Tenaska Comparison_(C) WHE Proforma with ITC cash grant 10 Yr Amort_for deferral_102809 2 2 2" xfId="18389"/>
    <cellStyle name="_Tenaska Comparison_(C) WHE Proforma with ITC cash grant 10 Yr Amort_for deferral_102809 2 2 2 2" xfId="18390"/>
    <cellStyle name="_Tenaska Comparison_(C) WHE Proforma with ITC cash grant 10 Yr Amort_for deferral_102809 2 2 3" xfId="18391"/>
    <cellStyle name="_Tenaska Comparison_(C) WHE Proforma with ITC cash grant 10 Yr Amort_for deferral_102809 2 3" xfId="18392"/>
    <cellStyle name="_Tenaska Comparison_(C) WHE Proforma with ITC cash grant 10 Yr Amort_for deferral_102809 2 3 2" xfId="18393"/>
    <cellStyle name="_Tenaska Comparison_(C) WHE Proforma with ITC cash grant 10 Yr Amort_for deferral_102809 2 4" xfId="18394"/>
    <cellStyle name="_Tenaska Comparison_(C) WHE Proforma with ITC cash grant 10 Yr Amort_for deferral_102809 2 4 2" xfId="18395"/>
    <cellStyle name="_Tenaska Comparison_(C) WHE Proforma with ITC cash grant 10 Yr Amort_for deferral_102809 2 5" xfId="18396"/>
    <cellStyle name="_Tenaska Comparison_(C) WHE Proforma with ITC cash grant 10 Yr Amort_for deferral_102809 3" xfId="18397"/>
    <cellStyle name="_Tenaska Comparison_(C) WHE Proforma with ITC cash grant 10 Yr Amort_for deferral_102809 3 2" xfId="18398"/>
    <cellStyle name="_Tenaska Comparison_(C) WHE Proforma with ITC cash grant 10 Yr Amort_for deferral_102809 3 2 2" xfId="18399"/>
    <cellStyle name="_Tenaska Comparison_(C) WHE Proforma with ITC cash grant 10 Yr Amort_for deferral_102809 3 3" xfId="18400"/>
    <cellStyle name="_Tenaska Comparison_(C) WHE Proforma with ITC cash grant 10 Yr Amort_for deferral_102809 3 4" xfId="18401"/>
    <cellStyle name="_Tenaska Comparison_(C) WHE Proforma with ITC cash grant 10 Yr Amort_for deferral_102809 4" xfId="18402"/>
    <cellStyle name="_Tenaska Comparison_(C) WHE Proforma with ITC cash grant 10 Yr Amort_for deferral_102809 4 2" xfId="18403"/>
    <cellStyle name="_Tenaska Comparison_(C) WHE Proforma with ITC cash grant 10 Yr Amort_for deferral_102809 4 2 2" xfId="18404"/>
    <cellStyle name="_Tenaska Comparison_(C) WHE Proforma with ITC cash grant 10 Yr Amort_for deferral_102809 4 3" xfId="18405"/>
    <cellStyle name="_Tenaska Comparison_(C) WHE Proforma with ITC cash grant 10 Yr Amort_for deferral_102809 5" xfId="18406"/>
    <cellStyle name="_Tenaska Comparison_(C) WHE Proforma with ITC cash grant 10 Yr Amort_for deferral_102809 5 2" xfId="18407"/>
    <cellStyle name="_Tenaska Comparison_(C) WHE Proforma with ITC cash grant 10 Yr Amort_for deferral_102809 6" xfId="18408"/>
    <cellStyle name="_Tenaska Comparison_(C) WHE Proforma with ITC cash grant 10 Yr Amort_for deferral_102809 6 2" xfId="18409"/>
    <cellStyle name="_Tenaska Comparison_(C) WHE Proforma with ITC cash grant 10 Yr Amort_for deferral_102809 7" xfId="18410"/>
    <cellStyle name="_Tenaska Comparison_(C) WHE Proforma with ITC cash grant 10 Yr Amort_for deferral_102809_16.07E Wild Horse Wind Expansionwrkingfile" xfId="841"/>
    <cellStyle name="_Tenaska Comparison_(C) WHE Proforma with ITC cash grant 10 Yr Amort_for deferral_102809_16.07E Wild Horse Wind Expansionwrkingfile 2" xfId="18411"/>
    <cellStyle name="_Tenaska Comparison_(C) WHE Proforma with ITC cash grant 10 Yr Amort_for deferral_102809_16.07E Wild Horse Wind Expansionwrkingfile 2 2" xfId="18412"/>
    <cellStyle name="_Tenaska Comparison_(C) WHE Proforma with ITC cash grant 10 Yr Amort_for deferral_102809_16.07E Wild Horse Wind Expansionwrkingfile 2 2 2" xfId="18413"/>
    <cellStyle name="_Tenaska Comparison_(C) WHE Proforma with ITC cash grant 10 Yr Amort_for deferral_102809_16.07E Wild Horse Wind Expansionwrkingfile 2 2 2 2" xfId="18414"/>
    <cellStyle name="_Tenaska Comparison_(C) WHE Proforma with ITC cash grant 10 Yr Amort_for deferral_102809_16.07E Wild Horse Wind Expansionwrkingfile 2 2 3" xfId="18415"/>
    <cellStyle name="_Tenaska Comparison_(C) WHE Proforma with ITC cash grant 10 Yr Amort_for deferral_102809_16.07E Wild Horse Wind Expansionwrkingfile 2 3" xfId="18416"/>
    <cellStyle name="_Tenaska Comparison_(C) WHE Proforma with ITC cash grant 10 Yr Amort_for deferral_102809_16.07E Wild Horse Wind Expansionwrkingfile 2 3 2" xfId="18417"/>
    <cellStyle name="_Tenaska Comparison_(C) WHE Proforma with ITC cash grant 10 Yr Amort_for deferral_102809_16.07E Wild Horse Wind Expansionwrkingfile 2 4" xfId="18418"/>
    <cellStyle name="_Tenaska Comparison_(C) WHE Proforma with ITC cash grant 10 Yr Amort_for deferral_102809_16.07E Wild Horse Wind Expansionwrkingfile 2 4 2" xfId="18419"/>
    <cellStyle name="_Tenaska Comparison_(C) WHE Proforma with ITC cash grant 10 Yr Amort_for deferral_102809_16.07E Wild Horse Wind Expansionwrkingfile 2 5" xfId="18420"/>
    <cellStyle name="_Tenaska Comparison_(C) WHE Proforma with ITC cash grant 10 Yr Amort_for deferral_102809_16.07E Wild Horse Wind Expansionwrkingfile 3" xfId="18421"/>
    <cellStyle name="_Tenaska Comparison_(C) WHE Proforma with ITC cash grant 10 Yr Amort_for deferral_102809_16.07E Wild Horse Wind Expansionwrkingfile 3 2" xfId="18422"/>
    <cellStyle name="_Tenaska Comparison_(C) WHE Proforma with ITC cash grant 10 Yr Amort_for deferral_102809_16.07E Wild Horse Wind Expansionwrkingfile 3 2 2" xfId="18423"/>
    <cellStyle name="_Tenaska Comparison_(C) WHE Proforma with ITC cash grant 10 Yr Amort_for deferral_102809_16.07E Wild Horse Wind Expansionwrkingfile 3 3" xfId="18424"/>
    <cellStyle name="_Tenaska Comparison_(C) WHE Proforma with ITC cash grant 10 Yr Amort_for deferral_102809_16.07E Wild Horse Wind Expansionwrkingfile 3 4" xfId="18425"/>
    <cellStyle name="_Tenaska Comparison_(C) WHE Proforma with ITC cash grant 10 Yr Amort_for deferral_102809_16.07E Wild Horse Wind Expansionwrkingfile 4" xfId="18426"/>
    <cellStyle name="_Tenaska Comparison_(C) WHE Proforma with ITC cash grant 10 Yr Amort_for deferral_102809_16.07E Wild Horse Wind Expansionwrkingfile 4 2" xfId="18427"/>
    <cellStyle name="_Tenaska Comparison_(C) WHE Proforma with ITC cash grant 10 Yr Amort_for deferral_102809_16.07E Wild Horse Wind Expansionwrkingfile 4 2 2" xfId="18428"/>
    <cellStyle name="_Tenaska Comparison_(C) WHE Proforma with ITC cash grant 10 Yr Amort_for deferral_102809_16.07E Wild Horse Wind Expansionwrkingfile 4 3" xfId="18429"/>
    <cellStyle name="_Tenaska Comparison_(C) WHE Proforma with ITC cash grant 10 Yr Amort_for deferral_102809_16.07E Wild Horse Wind Expansionwrkingfile 5" xfId="18430"/>
    <cellStyle name="_Tenaska Comparison_(C) WHE Proforma with ITC cash grant 10 Yr Amort_for deferral_102809_16.07E Wild Horse Wind Expansionwrkingfile 5 2" xfId="18431"/>
    <cellStyle name="_Tenaska Comparison_(C) WHE Proforma with ITC cash grant 10 Yr Amort_for deferral_102809_16.07E Wild Horse Wind Expansionwrkingfile 6" xfId="18432"/>
    <cellStyle name="_Tenaska Comparison_(C) WHE Proforma with ITC cash grant 10 Yr Amort_for deferral_102809_16.07E Wild Horse Wind Expansionwrkingfile 6 2" xfId="18433"/>
    <cellStyle name="_Tenaska Comparison_(C) WHE Proforma with ITC cash grant 10 Yr Amort_for deferral_102809_16.07E Wild Horse Wind Expansionwrkingfile 7" xfId="18434"/>
    <cellStyle name="_Tenaska Comparison_(C) WHE Proforma with ITC cash grant 10 Yr Amort_for deferral_102809_16.07E Wild Horse Wind Expansionwrkingfile SF" xfId="842"/>
    <cellStyle name="_Tenaska Comparison_(C) WHE Proforma with ITC cash grant 10 Yr Amort_for deferral_102809_16.07E Wild Horse Wind Expansionwrkingfile SF 2" xfId="18435"/>
    <cellStyle name="_Tenaska Comparison_(C) WHE Proforma with ITC cash grant 10 Yr Amort_for deferral_102809_16.07E Wild Horse Wind Expansionwrkingfile SF 2 2" xfId="18436"/>
    <cellStyle name="_Tenaska Comparison_(C) WHE Proforma with ITC cash grant 10 Yr Amort_for deferral_102809_16.07E Wild Horse Wind Expansionwrkingfile SF 2 2 2" xfId="18437"/>
    <cellStyle name="_Tenaska Comparison_(C) WHE Proforma with ITC cash grant 10 Yr Amort_for deferral_102809_16.07E Wild Horse Wind Expansionwrkingfile SF 2 2 2 2" xfId="18438"/>
    <cellStyle name="_Tenaska Comparison_(C) WHE Proforma with ITC cash grant 10 Yr Amort_for deferral_102809_16.07E Wild Horse Wind Expansionwrkingfile SF 2 2 3" xfId="18439"/>
    <cellStyle name="_Tenaska Comparison_(C) WHE Proforma with ITC cash grant 10 Yr Amort_for deferral_102809_16.07E Wild Horse Wind Expansionwrkingfile SF 2 3" xfId="18440"/>
    <cellStyle name="_Tenaska Comparison_(C) WHE Proforma with ITC cash grant 10 Yr Amort_for deferral_102809_16.07E Wild Horse Wind Expansionwrkingfile SF 2 3 2" xfId="18441"/>
    <cellStyle name="_Tenaska Comparison_(C) WHE Proforma with ITC cash grant 10 Yr Amort_for deferral_102809_16.07E Wild Horse Wind Expansionwrkingfile SF 2 4" xfId="18442"/>
    <cellStyle name="_Tenaska Comparison_(C) WHE Proforma with ITC cash grant 10 Yr Amort_for deferral_102809_16.07E Wild Horse Wind Expansionwrkingfile SF 2 4 2" xfId="18443"/>
    <cellStyle name="_Tenaska Comparison_(C) WHE Proforma with ITC cash grant 10 Yr Amort_for deferral_102809_16.07E Wild Horse Wind Expansionwrkingfile SF 2 5" xfId="18444"/>
    <cellStyle name="_Tenaska Comparison_(C) WHE Proforma with ITC cash grant 10 Yr Amort_for deferral_102809_16.07E Wild Horse Wind Expansionwrkingfile SF 3" xfId="18445"/>
    <cellStyle name="_Tenaska Comparison_(C) WHE Proforma with ITC cash grant 10 Yr Amort_for deferral_102809_16.07E Wild Horse Wind Expansionwrkingfile SF 3 2" xfId="18446"/>
    <cellStyle name="_Tenaska Comparison_(C) WHE Proforma with ITC cash grant 10 Yr Amort_for deferral_102809_16.07E Wild Horse Wind Expansionwrkingfile SF 3 2 2" xfId="18447"/>
    <cellStyle name="_Tenaska Comparison_(C) WHE Proforma with ITC cash grant 10 Yr Amort_for deferral_102809_16.07E Wild Horse Wind Expansionwrkingfile SF 3 3" xfId="18448"/>
    <cellStyle name="_Tenaska Comparison_(C) WHE Proforma with ITC cash grant 10 Yr Amort_for deferral_102809_16.07E Wild Horse Wind Expansionwrkingfile SF 3 4" xfId="18449"/>
    <cellStyle name="_Tenaska Comparison_(C) WHE Proforma with ITC cash grant 10 Yr Amort_for deferral_102809_16.07E Wild Horse Wind Expansionwrkingfile SF 4" xfId="18450"/>
    <cellStyle name="_Tenaska Comparison_(C) WHE Proforma with ITC cash grant 10 Yr Amort_for deferral_102809_16.07E Wild Horse Wind Expansionwrkingfile SF 4 2" xfId="18451"/>
    <cellStyle name="_Tenaska Comparison_(C) WHE Proforma with ITC cash grant 10 Yr Amort_for deferral_102809_16.07E Wild Horse Wind Expansionwrkingfile SF 4 2 2" xfId="18452"/>
    <cellStyle name="_Tenaska Comparison_(C) WHE Proforma with ITC cash grant 10 Yr Amort_for deferral_102809_16.07E Wild Horse Wind Expansionwrkingfile SF 4 3" xfId="18453"/>
    <cellStyle name="_Tenaska Comparison_(C) WHE Proforma with ITC cash grant 10 Yr Amort_for deferral_102809_16.07E Wild Horse Wind Expansionwrkingfile SF 5" xfId="18454"/>
    <cellStyle name="_Tenaska Comparison_(C) WHE Proforma with ITC cash grant 10 Yr Amort_for deferral_102809_16.07E Wild Horse Wind Expansionwrkingfile SF 5 2" xfId="18455"/>
    <cellStyle name="_Tenaska Comparison_(C) WHE Proforma with ITC cash grant 10 Yr Amort_for deferral_102809_16.07E Wild Horse Wind Expansionwrkingfile SF 6" xfId="18456"/>
    <cellStyle name="_Tenaska Comparison_(C) WHE Proforma with ITC cash grant 10 Yr Amort_for deferral_102809_16.07E Wild Horse Wind Expansionwrkingfile SF 6 2" xfId="18457"/>
    <cellStyle name="_Tenaska Comparison_(C) WHE Proforma with ITC cash grant 10 Yr Amort_for deferral_102809_16.07E Wild Horse Wind Expansionwrkingfile SF 7" xfId="18458"/>
    <cellStyle name="_Tenaska Comparison_(C) WHE Proforma with ITC cash grant 10 Yr Amort_for deferral_102809_16.07E Wild Horse Wind Expansionwrkingfile SF_DEM-WP(C) ENERG10C--ctn Mid-C_042010 2010GRC" xfId="18459"/>
    <cellStyle name="_Tenaska Comparison_(C) WHE Proforma with ITC cash grant 10 Yr Amort_for deferral_102809_16.07E Wild Horse Wind Expansionwrkingfile SF_DEM-WP(C) ENERG10C--ctn Mid-C_042010 2010GRC 2" xfId="18460"/>
    <cellStyle name="_Tenaska Comparison_(C) WHE Proforma with ITC cash grant 10 Yr Amort_for deferral_102809_16.07E Wild Horse Wind Expansionwrkingfile_DEM-WP(C) ENERG10C--ctn Mid-C_042010 2010GRC" xfId="18461"/>
    <cellStyle name="_Tenaska Comparison_(C) WHE Proforma with ITC cash grant 10 Yr Amort_for deferral_102809_16.07E Wild Horse Wind Expansionwrkingfile_DEM-WP(C) ENERG10C--ctn Mid-C_042010 2010GRC 2" xfId="18462"/>
    <cellStyle name="_Tenaska Comparison_(C) WHE Proforma with ITC cash grant 10 Yr Amort_for deferral_102809_16.37E Wild Horse Expansion DeferralRevwrkingfile SF" xfId="843"/>
    <cellStyle name="_Tenaska Comparison_(C) WHE Proforma with ITC cash grant 10 Yr Amort_for deferral_102809_16.37E Wild Horse Expansion DeferralRevwrkingfile SF 2" xfId="18463"/>
    <cellStyle name="_Tenaska Comparison_(C) WHE Proforma with ITC cash grant 10 Yr Amort_for deferral_102809_16.37E Wild Horse Expansion DeferralRevwrkingfile SF 2 2" xfId="18464"/>
    <cellStyle name="_Tenaska Comparison_(C) WHE Proforma with ITC cash grant 10 Yr Amort_for deferral_102809_16.37E Wild Horse Expansion DeferralRevwrkingfile SF 2 2 2" xfId="18465"/>
    <cellStyle name="_Tenaska Comparison_(C) WHE Proforma with ITC cash grant 10 Yr Amort_for deferral_102809_16.37E Wild Horse Expansion DeferralRevwrkingfile SF 2 2 2 2" xfId="18466"/>
    <cellStyle name="_Tenaska Comparison_(C) WHE Proforma with ITC cash grant 10 Yr Amort_for deferral_102809_16.37E Wild Horse Expansion DeferralRevwrkingfile SF 2 2 3" xfId="18467"/>
    <cellStyle name="_Tenaska Comparison_(C) WHE Proforma with ITC cash grant 10 Yr Amort_for deferral_102809_16.37E Wild Horse Expansion DeferralRevwrkingfile SF 2 3" xfId="18468"/>
    <cellStyle name="_Tenaska Comparison_(C) WHE Proforma with ITC cash grant 10 Yr Amort_for deferral_102809_16.37E Wild Horse Expansion DeferralRevwrkingfile SF 2 3 2" xfId="18469"/>
    <cellStyle name="_Tenaska Comparison_(C) WHE Proforma with ITC cash grant 10 Yr Amort_for deferral_102809_16.37E Wild Horse Expansion DeferralRevwrkingfile SF 2 4" xfId="18470"/>
    <cellStyle name="_Tenaska Comparison_(C) WHE Proforma with ITC cash grant 10 Yr Amort_for deferral_102809_16.37E Wild Horse Expansion DeferralRevwrkingfile SF 2 4 2" xfId="18471"/>
    <cellStyle name="_Tenaska Comparison_(C) WHE Proforma with ITC cash grant 10 Yr Amort_for deferral_102809_16.37E Wild Horse Expansion DeferralRevwrkingfile SF 2 5" xfId="18472"/>
    <cellStyle name="_Tenaska Comparison_(C) WHE Proforma with ITC cash grant 10 Yr Amort_for deferral_102809_16.37E Wild Horse Expansion DeferralRevwrkingfile SF 3" xfId="18473"/>
    <cellStyle name="_Tenaska Comparison_(C) WHE Proforma with ITC cash grant 10 Yr Amort_for deferral_102809_16.37E Wild Horse Expansion DeferralRevwrkingfile SF 3 2" xfId="18474"/>
    <cellStyle name="_Tenaska Comparison_(C) WHE Proforma with ITC cash grant 10 Yr Amort_for deferral_102809_16.37E Wild Horse Expansion DeferralRevwrkingfile SF 3 2 2" xfId="18475"/>
    <cellStyle name="_Tenaska Comparison_(C) WHE Proforma with ITC cash grant 10 Yr Amort_for deferral_102809_16.37E Wild Horse Expansion DeferralRevwrkingfile SF 3 3" xfId="18476"/>
    <cellStyle name="_Tenaska Comparison_(C) WHE Proforma with ITC cash grant 10 Yr Amort_for deferral_102809_16.37E Wild Horse Expansion DeferralRevwrkingfile SF 3 4" xfId="18477"/>
    <cellStyle name="_Tenaska Comparison_(C) WHE Proforma with ITC cash grant 10 Yr Amort_for deferral_102809_16.37E Wild Horse Expansion DeferralRevwrkingfile SF 4" xfId="18478"/>
    <cellStyle name="_Tenaska Comparison_(C) WHE Proforma with ITC cash grant 10 Yr Amort_for deferral_102809_16.37E Wild Horse Expansion DeferralRevwrkingfile SF 4 2" xfId="18479"/>
    <cellStyle name="_Tenaska Comparison_(C) WHE Proforma with ITC cash grant 10 Yr Amort_for deferral_102809_16.37E Wild Horse Expansion DeferralRevwrkingfile SF 4 2 2" xfId="18480"/>
    <cellStyle name="_Tenaska Comparison_(C) WHE Proforma with ITC cash grant 10 Yr Amort_for deferral_102809_16.37E Wild Horse Expansion DeferralRevwrkingfile SF 4 3" xfId="18481"/>
    <cellStyle name="_Tenaska Comparison_(C) WHE Proforma with ITC cash grant 10 Yr Amort_for deferral_102809_16.37E Wild Horse Expansion DeferralRevwrkingfile SF 5" xfId="18482"/>
    <cellStyle name="_Tenaska Comparison_(C) WHE Proforma with ITC cash grant 10 Yr Amort_for deferral_102809_16.37E Wild Horse Expansion DeferralRevwrkingfile SF 5 2" xfId="18483"/>
    <cellStyle name="_Tenaska Comparison_(C) WHE Proforma with ITC cash grant 10 Yr Amort_for deferral_102809_16.37E Wild Horse Expansion DeferralRevwrkingfile SF 6" xfId="18484"/>
    <cellStyle name="_Tenaska Comparison_(C) WHE Proforma with ITC cash grant 10 Yr Amort_for deferral_102809_16.37E Wild Horse Expansion DeferralRevwrkingfile SF 6 2" xfId="18485"/>
    <cellStyle name="_Tenaska Comparison_(C) WHE Proforma with ITC cash grant 10 Yr Amort_for deferral_102809_16.37E Wild Horse Expansion DeferralRevwrkingfile SF 7" xfId="18486"/>
    <cellStyle name="_Tenaska Comparison_(C) WHE Proforma with ITC cash grant 10 Yr Amort_for deferral_102809_16.37E Wild Horse Expansion DeferralRevwrkingfile SF_DEM-WP(C) ENERG10C--ctn Mid-C_042010 2010GRC" xfId="18487"/>
    <cellStyle name="_Tenaska Comparison_(C) WHE Proforma with ITC cash grant 10 Yr Amort_for deferral_102809_16.37E Wild Horse Expansion DeferralRevwrkingfile SF_DEM-WP(C) ENERG10C--ctn Mid-C_042010 2010GRC 2" xfId="18488"/>
    <cellStyle name="_Tenaska Comparison_(C) WHE Proforma with ITC cash grant 10 Yr Amort_for deferral_102809_DEM-WP(C) ENERG10C--ctn Mid-C_042010 2010GRC" xfId="18489"/>
    <cellStyle name="_Tenaska Comparison_(C) WHE Proforma with ITC cash grant 10 Yr Amort_for deferral_102809_DEM-WP(C) ENERG10C--ctn Mid-C_042010 2010GRC 2" xfId="18490"/>
    <cellStyle name="_Tenaska Comparison_(C) WHE Proforma with ITC cash grant 10 Yr Amort_for rebuttal_120709" xfId="844"/>
    <cellStyle name="_Tenaska Comparison_(C) WHE Proforma with ITC cash grant 10 Yr Amort_for rebuttal_120709 2" xfId="18491"/>
    <cellStyle name="_Tenaska Comparison_(C) WHE Proforma with ITC cash grant 10 Yr Amort_for rebuttal_120709 2 2" xfId="18492"/>
    <cellStyle name="_Tenaska Comparison_(C) WHE Proforma with ITC cash grant 10 Yr Amort_for rebuttal_120709 2 2 2" xfId="18493"/>
    <cellStyle name="_Tenaska Comparison_(C) WHE Proforma with ITC cash grant 10 Yr Amort_for rebuttal_120709 2 2 2 2" xfId="18494"/>
    <cellStyle name="_Tenaska Comparison_(C) WHE Proforma with ITC cash grant 10 Yr Amort_for rebuttal_120709 2 2 3" xfId="18495"/>
    <cellStyle name="_Tenaska Comparison_(C) WHE Proforma with ITC cash grant 10 Yr Amort_for rebuttal_120709 2 3" xfId="18496"/>
    <cellStyle name="_Tenaska Comparison_(C) WHE Proforma with ITC cash grant 10 Yr Amort_for rebuttal_120709 2 3 2" xfId="18497"/>
    <cellStyle name="_Tenaska Comparison_(C) WHE Proforma with ITC cash grant 10 Yr Amort_for rebuttal_120709 2 4" xfId="18498"/>
    <cellStyle name="_Tenaska Comparison_(C) WHE Proforma with ITC cash grant 10 Yr Amort_for rebuttal_120709 2 4 2" xfId="18499"/>
    <cellStyle name="_Tenaska Comparison_(C) WHE Proforma with ITC cash grant 10 Yr Amort_for rebuttal_120709 2 5" xfId="18500"/>
    <cellStyle name="_Tenaska Comparison_(C) WHE Proforma with ITC cash grant 10 Yr Amort_for rebuttal_120709 3" xfId="18501"/>
    <cellStyle name="_Tenaska Comparison_(C) WHE Proforma with ITC cash grant 10 Yr Amort_for rebuttal_120709 3 2" xfId="18502"/>
    <cellStyle name="_Tenaska Comparison_(C) WHE Proforma with ITC cash grant 10 Yr Amort_for rebuttal_120709 3 2 2" xfId="18503"/>
    <cellStyle name="_Tenaska Comparison_(C) WHE Proforma with ITC cash grant 10 Yr Amort_for rebuttal_120709 3 3" xfId="18504"/>
    <cellStyle name="_Tenaska Comparison_(C) WHE Proforma with ITC cash grant 10 Yr Amort_for rebuttal_120709 4" xfId="18505"/>
    <cellStyle name="_Tenaska Comparison_(C) WHE Proforma with ITC cash grant 10 Yr Amort_for rebuttal_120709 4 2" xfId="18506"/>
    <cellStyle name="_Tenaska Comparison_(C) WHE Proforma with ITC cash grant 10 Yr Amort_for rebuttal_120709 4 2 2" xfId="18507"/>
    <cellStyle name="_Tenaska Comparison_(C) WHE Proforma with ITC cash grant 10 Yr Amort_for rebuttal_120709 4 3" xfId="18508"/>
    <cellStyle name="_Tenaska Comparison_(C) WHE Proforma with ITC cash grant 10 Yr Amort_for rebuttal_120709 5" xfId="18509"/>
    <cellStyle name="_Tenaska Comparison_(C) WHE Proforma with ITC cash grant 10 Yr Amort_for rebuttal_120709 5 2" xfId="18510"/>
    <cellStyle name="_Tenaska Comparison_(C) WHE Proforma with ITC cash grant 10 Yr Amort_for rebuttal_120709 6" xfId="18511"/>
    <cellStyle name="_Tenaska Comparison_(C) WHE Proforma with ITC cash grant 10 Yr Amort_for rebuttal_120709 6 2" xfId="18512"/>
    <cellStyle name="_Tenaska Comparison_(C) WHE Proforma with ITC cash grant 10 Yr Amort_for rebuttal_120709 7" xfId="18513"/>
    <cellStyle name="_Tenaska Comparison_(C) WHE Proforma with ITC cash grant 10 Yr Amort_for rebuttal_120709_DEM-WP(C) ENERG10C--ctn Mid-C_042010 2010GRC" xfId="18514"/>
    <cellStyle name="_Tenaska Comparison_(C) WHE Proforma with ITC cash grant 10 Yr Amort_for rebuttal_120709_DEM-WP(C) ENERG10C--ctn Mid-C_042010 2010GRC 2" xfId="18515"/>
    <cellStyle name="_Tenaska Comparison_04.07E Wild Horse Wind Expansion" xfId="845"/>
    <cellStyle name="_Tenaska Comparison_04.07E Wild Horse Wind Expansion 2" xfId="18516"/>
    <cellStyle name="_Tenaska Comparison_04.07E Wild Horse Wind Expansion 2 2" xfId="18517"/>
    <cellStyle name="_Tenaska Comparison_04.07E Wild Horse Wind Expansion 2 2 2" xfId="18518"/>
    <cellStyle name="_Tenaska Comparison_04.07E Wild Horse Wind Expansion 2 2 2 2" xfId="18519"/>
    <cellStyle name="_Tenaska Comparison_04.07E Wild Horse Wind Expansion 2 2 3" xfId="18520"/>
    <cellStyle name="_Tenaska Comparison_04.07E Wild Horse Wind Expansion 2 3" xfId="18521"/>
    <cellStyle name="_Tenaska Comparison_04.07E Wild Horse Wind Expansion 2 3 2" xfId="18522"/>
    <cellStyle name="_Tenaska Comparison_04.07E Wild Horse Wind Expansion 2 4" xfId="18523"/>
    <cellStyle name="_Tenaska Comparison_04.07E Wild Horse Wind Expansion 2 4 2" xfId="18524"/>
    <cellStyle name="_Tenaska Comparison_04.07E Wild Horse Wind Expansion 2 5" xfId="18525"/>
    <cellStyle name="_Tenaska Comparison_04.07E Wild Horse Wind Expansion 3" xfId="18526"/>
    <cellStyle name="_Tenaska Comparison_04.07E Wild Horse Wind Expansion 3 2" xfId="18527"/>
    <cellStyle name="_Tenaska Comparison_04.07E Wild Horse Wind Expansion 3 2 2" xfId="18528"/>
    <cellStyle name="_Tenaska Comparison_04.07E Wild Horse Wind Expansion 3 3" xfId="18529"/>
    <cellStyle name="_Tenaska Comparison_04.07E Wild Horse Wind Expansion 3 4" xfId="18530"/>
    <cellStyle name="_Tenaska Comparison_04.07E Wild Horse Wind Expansion 4" xfId="18531"/>
    <cellStyle name="_Tenaska Comparison_04.07E Wild Horse Wind Expansion 4 2" xfId="18532"/>
    <cellStyle name="_Tenaska Comparison_04.07E Wild Horse Wind Expansion 4 2 2" xfId="18533"/>
    <cellStyle name="_Tenaska Comparison_04.07E Wild Horse Wind Expansion 4 3" xfId="18534"/>
    <cellStyle name="_Tenaska Comparison_04.07E Wild Horse Wind Expansion 5" xfId="18535"/>
    <cellStyle name="_Tenaska Comparison_04.07E Wild Horse Wind Expansion 5 2" xfId="18536"/>
    <cellStyle name="_Tenaska Comparison_04.07E Wild Horse Wind Expansion 6" xfId="18537"/>
    <cellStyle name="_Tenaska Comparison_04.07E Wild Horse Wind Expansion 6 2" xfId="18538"/>
    <cellStyle name="_Tenaska Comparison_04.07E Wild Horse Wind Expansion 7" xfId="18539"/>
    <cellStyle name="_Tenaska Comparison_04.07E Wild Horse Wind Expansion_16.07E Wild Horse Wind Expansionwrkingfile" xfId="846"/>
    <cellStyle name="_Tenaska Comparison_04.07E Wild Horse Wind Expansion_16.07E Wild Horse Wind Expansionwrkingfile 2" xfId="18540"/>
    <cellStyle name="_Tenaska Comparison_04.07E Wild Horse Wind Expansion_16.07E Wild Horse Wind Expansionwrkingfile 2 2" xfId="18541"/>
    <cellStyle name="_Tenaska Comparison_04.07E Wild Horse Wind Expansion_16.07E Wild Horse Wind Expansionwrkingfile 2 2 2" xfId="18542"/>
    <cellStyle name="_Tenaska Comparison_04.07E Wild Horse Wind Expansion_16.07E Wild Horse Wind Expansionwrkingfile 2 2 2 2" xfId="18543"/>
    <cellStyle name="_Tenaska Comparison_04.07E Wild Horse Wind Expansion_16.07E Wild Horse Wind Expansionwrkingfile 2 2 3" xfId="18544"/>
    <cellStyle name="_Tenaska Comparison_04.07E Wild Horse Wind Expansion_16.07E Wild Horse Wind Expansionwrkingfile 2 3" xfId="18545"/>
    <cellStyle name="_Tenaska Comparison_04.07E Wild Horse Wind Expansion_16.07E Wild Horse Wind Expansionwrkingfile 2 3 2" xfId="18546"/>
    <cellStyle name="_Tenaska Comparison_04.07E Wild Horse Wind Expansion_16.07E Wild Horse Wind Expansionwrkingfile 2 4" xfId="18547"/>
    <cellStyle name="_Tenaska Comparison_04.07E Wild Horse Wind Expansion_16.07E Wild Horse Wind Expansionwrkingfile 2 4 2" xfId="18548"/>
    <cellStyle name="_Tenaska Comparison_04.07E Wild Horse Wind Expansion_16.07E Wild Horse Wind Expansionwrkingfile 2 5" xfId="18549"/>
    <cellStyle name="_Tenaska Comparison_04.07E Wild Horse Wind Expansion_16.07E Wild Horse Wind Expansionwrkingfile 3" xfId="18550"/>
    <cellStyle name="_Tenaska Comparison_04.07E Wild Horse Wind Expansion_16.07E Wild Horse Wind Expansionwrkingfile 3 2" xfId="18551"/>
    <cellStyle name="_Tenaska Comparison_04.07E Wild Horse Wind Expansion_16.07E Wild Horse Wind Expansionwrkingfile 3 2 2" xfId="18552"/>
    <cellStyle name="_Tenaska Comparison_04.07E Wild Horse Wind Expansion_16.07E Wild Horse Wind Expansionwrkingfile 3 3" xfId="18553"/>
    <cellStyle name="_Tenaska Comparison_04.07E Wild Horse Wind Expansion_16.07E Wild Horse Wind Expansionwrkingfile 3 4" xfId="18554"/>
    <cellStyle name="_Tenaska Comparison_04.07E Wild Horse Wind Expansion_16.07E Wild Horse Wind Expansionwrkingfile 4" xfId="18555"/>
    <cellStyle name="_Tenaska Comparison_04.07E Wild Horse Wind Expansion_16.07E Wild Horse Wind Expansionwrkingfile 4 2" xfId="18556"/>
    <cellStyle name="_Tenaska Comparison_04.07E Wild Horse Wind Expansion_16.07E Wild Horse Wind Expansionwrkingfile 4 2 2" xfId="18557"/>
    <cellStyle name="_Tenaska Comparison_04.07E Wild Horse Wind Expansion_16.07E Wild Horse Wind Expansionwrkingfile 4 3" xfId="18558"/>
    <cellStyle name="_Tenaska Comparison_04.07E Wild Horse Wind Expansion_16.07E Wild Horse Wind Expansionwrkingfile 5" xfId="18559"/>
    <cellStyle name="_Tenaska Comparison_04.07E Wild Horse Wind Expansion_16.07E Wild Horse Wind Expansionwrkingfile 5 2" xfId="18560"/>
    <cellStyle name="_Tenaska Comparison_04.07E Wild Horse Wind Expansion_16.07E Wild Horse Wind Expansionwrkingfile 6" xfId="18561"/>
    <cellStyle name="_Tenaska Comparison_04.07E Wild Horse Wind Expansion_16.07E Wild Horse Wind Expansionwrkingfile 6 2" xfId="18562"/>
    <cellStyle name="_Tenaska Comparison_04.07E Wild Horse Wind Expansion_16.07E Wild Horse Wind Expansionwrkingfile 7" xfId="18563"/>
    <cellStyle name="_Tenaska Comparison_04.07E Wild Horse Wind Expansion_16.07E Wild Horse Wind Expansionwrkingfile SF" xfId="847"/>
    <cellStyle name="_Tenaska Comparison_04.07E Wild Horse Wind Expansion_16.07E Wild Horse Wind Expansionwrkingfile SF 2" xfId="18564"/>
    <cellStyle name="_Tenaska Comparison_04.07E Wild Horse Wind Expansion_16.07E Wild Horse Wind Expansionwrkingfile SF 2 2" xfId="18565"/>
    <cellStyle name="_Tenaska Comparison_04.07E Wild Horse Wind Expansion_16.07E Wild Horse Wind Expansionwrkingfile SF 2 2 2" xfId="18566"/>
    <cellStyle name="_Tenaska Comparison_04.07E Wild Horse Wind Expansion_16.07E Wild Horse Wind Expansionwrkingfile SF 2 2 2 2" xfId="18567"/>
    <cellStyle name="_Tenaska Comparison_04.07E Wild Horse Wind Expansion_16.07E Wild Horse Wind Expansionwrkingfile SF 2 2 3" xfId="18568"/>
    <cellStyle name="_Tenaska Comparison_04.07E Wild Horse Wind Expansion_16.07E Wild Horse Wind Expansionwrkingfile SF 2 3" xfId="18569"/>
    <cellStyle name="_Tenaska Comparison_04.07E Wild Horse Wind Expansion_16.07E Wild Horse Wind Expansionwrkingfile SF 2 3 2" xfId="18570"/>
    <cellStyle name="_Tenaska Comparison_04.07E Wild Horse Wind Expansion_16.07E Wild Horse Wind Expansionwrkingfile SF 2 4" xfId="18571"/>
    <cellStyle name="_Tenaska Comparison_04.07E Wild Horse Wind Expansion_16.07E Wild Horse Wind Expansionwrkingfile SF 2 4 2" xfId="18572"/>
    <cellStyle name="_Tenaska Comparison_04.07E Wild Horse Wind Expansion_16.07E Wild Horse Wind Expansionwrkingfile SF 2 5" xfId="18573"/>
    <cellStyle name="_Tenaska Comparison_04.07E Wild Horse Wind Expansion_16.07E Wild Horse Wind Expansionwrkingfile SF 3" xfId="18574"/>
    <cellStyle name="_Tenaska Comparison_04.07E Wild Horse Wind Expansion_16.07E Wild Horse Wind Expansionwrkingfile SF 3 2" xfId="18575"/>
    <cellStyle name="_Tenaska Comparison_04.07E Wild Horse Wind Expansion_16.07E Wild Horse Wind Expansionwrkingfile SF 3 2 2" xfId="18576"/>
    <cellStyle name="_Tenaska Comparison_04.07E Wild Horse Wind Expansion_16.07E Wild Horse Wind Expansionwrkingfile SF 3 3" xfId="18577"/>
    <cellStyle name="_Tenaska Comparison_04.07E Wild Horse Wind Expansion_16.07E Wild Horse Wind Expansionwrkingfile SF 3 4" xfId="18578"/>
    <cellStyle name="_Tenaska Comparison_04.07E Wild Horse Wind Expansion_16.07E Wild Horse Wind Expansionwrkingfile SF 4" xfId="18579"/>
    <cellStyle name="_Tenaska Comparison_04.07E Wild Horse Wind Expansion_16.07E Wild Horse Wind Expansionwrkingfile SF 4 2" xfId="18580"/>
    <cellStyle name="_Tenaska Comparison_04.07E Wild Horse Wind Expansion_16.07E Wild Horse Wind Expansionwrkingfile SF 4 2 2" xfId="18581"/>
    <cellStyle name="_Tenaska Comparison_04.07E Wild Horse Wind Expansion_16.07E Wild Horse Wind Expansionwrkingfile SF 4 3" xfId="18582"/>
    <cellStyle name="_Tenaska Comparison_04.07E Wild Horse Wind Expansion_16.07E Wild Horse Wind Expansionwrkingfile SF 5" xfId="18583"/>
    <cellStyle name="_Tenaska Comparison_04.07E Wild Horse Wind Expansion_16.07E Wild Horse Wind Expansionwrkingfile SF 5 2" xfId="18584"/>
    <cellStyle name="_Tenaska Comparison_04.07E Wild Horse Wind Expansion_16.07E Wild Horse Wind Expansionwrkingfile SF 6" xfId="18585"/>
    <cellStyle name="_Tenaska Comparison_04.07E Wild Horse Wind Expansion_16.07E Wild Horse Wind Expansionwrkingfile SF 6 2" xfId="18586"/>
    <cellStyle name="_Tenaska Comparison_04.07E Wild Horse Wind Expansion_16.07E Wild Horse Wind Expansionwrkingfile SF 7" xfId="18587"/>
    <cellStyle name="_Tenaska Comparison_04.07E Wild Horse Wind Expansion_16.07E Wild Horse Wind Expansionwrkingfile SF_DEM-WP(C) ENERG10C--ctn Mid-C_042010 2010GRC" xfId="18588"/>
    <cellStyle name="_Tenaska Comparison_04.07E Wild Horse Wind Expansion_16.07E Wild Horse Wind Expansionwrkingfile SF_DEM-WP(C) ENERG10C--ctn Mid-C_042010 2010GRC 2" xfId="18589"/>
    <cellStyle name="_Tenaska Comparison_04.07E Wild Horse Wind Expansion_16.07E Wild Horse Wind Expansionwrkingfile_DEM-WP(C) ENERG10C--ctn Mid-C_042010 2010GRC" xfId="18590"/>
    <cellStyle name="_Tenaska Comparison_04.07E Wild Horse Wind Expansion_16.07E Wild Horse Wind Expansionwrkingfile_DEM-WP(C) ENERG10C--ctn Mid-C_042010 2010GRC 2" xfId="18591"/>
    <cellStyle name="_Tenaska Comparison_04.07E Wild Horse Wind Expansion_16.37E Wild Horse Expansion DeferralRevwrkingfile SF" xfId="848"/>
    <cellStyle name="_Tenaska Comparison_04.07E Wild Horse Wind Expansion_16.37E Wild Horse Expansion DeferralRevwrkingfile SF 2" xfId="18592"/>
    <cellStyle name="_Tenaska Comparison_04.07E Wild Horse Wind Expansion_16.37E Wild Horse Expansion DeferralRevwrkingfile SF 2 2" xfId="18593"/>
    <cellStyle name="_Tenaska Comparison_04.07E Wild Horse Wind Expansion_16.37E Wild Horse Expansion DeferralRevwrkingfile SF 2 2 2" xfId="18594"/>
    <cellStyle name="_Tenaska Comparison_04.07E Wild Horse Wind Expansion_16.37E Wild Horse Expansion DeferralRevwrkingfile SF 2 2 2 2" xfId="18595"/>
    <cellStyle name="_Tenaska Comparison_04.07E Wild Horse Wind Expansion_16.37E Wild Horse Expansion DeferralRevwrkingfile SF 2 2 3" xfId="18596"/>
    <cellStyle name="_Tenaska Comparison_04.07E Wild Horse Wind Expansion_16.37E Wild Horse Expansion DeferralRevwrkingfile SF 2 3" xfId="18597"/>
    <cellStyle name="_Tenaska Comparison_04.07E Wild Horse Wind Expansion_16.37E Wild Horse Expansion DeferralRevwrkingfile SF 2 3 2" xfId="18598"/>
    <cellStyle name="_Tenaska Comparison_04.07E Wild Horse Wind Expansion_16.37E Wild Horse Expansion DeferralRevwrkingfile SF 2 4" xfId="18599"/>
    <cellStyle name="_Tenaska Comparison_04.07E Wild Horse Wind Expansion_16.37E Wild Horse Expansion DeferralRevwrkingfile SF 2 4 2" xfId="18600"/>
    <cellStyle name="_Tenaska Comparison_04.07E Wild Horse Wind Expansion_16.37E Wild Horse Expansion DeferralRevwrkingfile SF 2 5" xfId="18601"/>
    <cellStyle name="_Tenaska Comparison_04.07E Wild Horse Wind Expansion_16.37E Wild Horse Expansion DeferralRevwrkingfile SF 3" xfId="18602"/>
    <cellStyle name="_Tenaska Comparison_04.07E Wild Horse Wind Expansion_16.37E Wild Horse Expansion DeferralRevwrkingfile SF 3 2" xfId="18603"/>
    <cellStyle name="_Tenaska Comparison_04.07E Wild Horse Wind Expansion_16.37E Wild Horse Expansion DeferralRevwrkingfile SF 3 2 2" xfId="18604"/>
    <cellStyle name="_Tenaska Comparison_04.07E Wild Horse Wind Expansion_16.37E Wild Horse Expansion DeferralRevwrkingfile SF 3 3" xfId="18605"/>
    <cellStyle name="_Tenaska Comparison_04.07E Wild Horse Wind Expansion_16.37E Wild Horse Expansion DeferralRevwrkingfile SF 3 4" xfId="18606"/>
    <cellStyle name="_Tenaska Comparison_04.07E Wild Horse Wind Expansion_16.37E Wild Horse Expansion DeferralRevwrkingfile SF 4" xfId="18607"/>
    <cellStyle name="_Tenaska Comparison_04.07E Wild Horse Wind Expansion_16.37E Wild Horse Expansion DeferralRevwrkingfile SF 4 2" xfId="18608"/>
    <cellStyle name="_Tenaska Comparison_04.07E Wild Horse Wind Expansion_16.37E Wild Horse Expansion DeferralRevwrkingfile SF 4 2 2" xfId="18609"/>
    <cellStyle name="_Tenaska Comparison_04.07E Wild Horse Wind Expansion_16.37E Wild Horse Expansion DeferralRevwrkingfile SF 4 3" xfId="18610"/>
    <cellStyle name="_Tenaska Comparison_04.07E Wild Horse Wind Expansion_16.37E Wild Horse Expansion DeferralRevwrkingfile SF 5" xfId="18611"/>
    <cellStyle name="_Tenaska Comparison_04.07E Wild Horse Wind Expansion_16.37E Wild Horse Expansion DeferralRevwrkingfile SF 5 2" xfId="18612"/>
    <cellStyle name="_Tenaska Comparison_04.07E Wild Horse Wind Expansion_16.37E Wild Horse Expansion DeferralRevwrkingfile SF 6" xfId="18613"/>
    <cellStyle name="_Tenaska Comparison_04.07E Wild Horse Wind Expansion_16.37E Wild Horse Expansion DeferralRevwrkingfile SF 6 2" xfId="18614"/>
    <cellStyle name="_Tenaska Comparison_04.07E Wild Horse Wind Expansion_16.37E Wild Horse Expansion DeferralRevwrkingfile SF 7" xfId="18615"/>
    <cellStyle name="_Tenaska Comparison_04.07E Wild Horse Wind Expansion_16.37E Wild Horse Expansion DeferralRevwrkingfile SF_DEM-WP(C) ENERG10C--ctn Mid-C_042010 2010GRC" xfId="18616"/>
    <cellStyle name="_Tenaska Comparison_04.07E Wild Horse Wind Expansion_16.37E Wild Horse Expansion DeferralRevwrkingfile SF_DEM-WP(C) ENERG10C--ctn Mid-C_042010 2010GRC 2" xfId="18617"/>
    <cellStyle name="_Tenaska Comparison_04.07E Wild Horse Wind Expansion_DEM-WP(C) ENERG10C--ctn Mid-C_042010 2010GRC" xfId="18618"/>
    <cellStyle name="_Tenaska Comparison_04.07E Wild Horse Wind Expansion_DEM-WP(C) ENERG10C--ctn Mid-C_042010 2010GRC 2" xfId="18619"/>
    <cellStyle name="_Tenaska Comparison_16.07E Wild Horse Wind Expansionwrkingfile" xfId="849"/>
    <cellStyle name="_Tenaska Comparison_16.07E Wild Horse Wind Expansionwrkingfile 2" xfId="18620"/>
    <cellStyle name="_Tenaska Comparison_16.07E Wild Horse Wind Expansionwrkingfile 2 2" xfId="18621"/>
    <cellStyle name="_Tenaska Comparison_16.07E Wild Horse Wind Expansionwrkingfile 2 2 2" xfId="18622"/>
    <cellStyle name="_Tenaska Comparison_16.07E Wild Horse Wind Expansionwrkingfile 2 2 2 2" xfId="18623"/>
    <cellStyle name="_Tenaska Comparison_16.07E Wild Horse Wind Expansionwrkingfile 2 2 3" xfId="18624"/>
    <cellStyle name="_Tenaska Comparison_16.07E Wild Horse Wind Expansionwrkingfile 2 3" xfId="18625"/>
    <cellStyle name="_Tenaska Comparison_16.07E Wild Horse Wind Expansionwrkingfile 2 3 2" xfId="18626"/>
    <cellStyle name="_Tenaska Comparison_16.07E Wild Horse Wind Expansionwrkingfile 2 4" xfId="18627"/>
    <cellStyle name="_Tenaska Comparison_16.07E Wild Horse Wind Expansionwrkingfile 2 4 2" xfId="18628"/>
    <cellStyle name="_Tenaska Comparison_16.07E Wild Horse Wind Expansionwrkingfile 2 5" xfId="18629"/>
    <cellStyle name="_Tenaska Comparison_16.07E Wild Horse Wind Expansionwrkingfile 3" xfId="18630"/>
    <cellStyle name="_Tenaska Comparison_16.07E Wild Horse Wind Expansionwrkingfile 3 2" xfId="18631"/>
    <cellStyle name="_Tenaska Comparison_16.07E Wild Horse Wind Expansionwrkingfile 3 2 2" xfId="18632"/>
    <cellStyle name="_Tenaska Comparison_16.07E Wild Horse Wind Expansionwrkingfile 3 3" xfId="18633"/>
    <cellStyle name="_Tenaska Comparison_16.07E Wild Horse Wind Expansionwrkingfile 3 4" xfId="18634"/>
    <cellStyle name="_Tenaska Comparison_16.07E Wild Horse Wind Expansionwrkingfile 4" xfId="18635"/>
    <cellStyle name="_Tenaska Comparison_16.07E Wild Horse Wind Expansionwrkingfile 4 2" xfId="18636"/>
    <cellStyle name="_Tenaska Comparison_16.07E Wild Horse Wind Expansionwrkingfile 4 2 2" xfId="18637"/>
    <cellStyle name="_Tenaska Comparison_16.07E Wild Horse Wind Expansionwrkingfile 4 3" xfId="18638"/>
    <cellStyle name="_Tenaska Comparison_16.07E Wild Horse Wind Expansionwrkingfile 5" xfId="18639"/>
    <cellStyle name="_Tenaska Comparison_16.07E Wild Horse Wind Expansionwrkingfile 5 2" xfId="18640"/>
    <cellStyle name="_Tenaska Comparison_16.07E Wild Horse Wind Expansionwrkingfile 6" xfId="18641"/>
    <cellStyle name="_Tenaska Comparison_16.07E Wild Horse Wind Expansionwrkingfile 6 2" xfId="18642"/>
    <cellStyle name="_Tenaska Comparison_16.07E Wild Horse Wind Expansionwrkingfile 7" xfId="18643"/>
    <cellStyle name="_Tenaska Comparison_16.07E Wild Horse Wind Expansionwrkingfile SF" xfId="850"/>
    <cellStyle name="_Tenaska Comparison_16.07E Wild Horse Wind Expansionwrkingfile SF 2" xfId="18644"/>
    <cellStyle name="_Tenaska Comparison_16.07E Wild Horse Wind Expansionwrkingfile SF 2 2" xfId="18645"/>
    <cellStyle name="_Tenaska Comparison_16.07E Wild Horse Wind Expansionwrkingfile SF 2 2 2" xfId="18646"/>
    <cellStyle name="_Tenaska Comparison_16.07E Wild Horse Wind Expansionwrkingfile SF 2 2 2 2" xfId="18647"/>
    <cellStyle name="_Tenaska Comparison_16.07E Wild Horse Wind Expansionwrkingfile SF 2 2 3" xfId="18648"/>
    <cellStyle name="_Tenaska Comparison_16.07E Wild Horse Wind Expansionwrkingfile SF 2 3" xfId="18649"/>
    <cellStyle name="_Tenaska Comparison_16.07E Wild Horse Wind Expansionwrkingfile SF 2 3 2" xfId="18650"/>
    <cellStyle name="_Tenaska Comparison_16.07E Wild Horse Wind Expansionwrkingfile SF 2 4" xfId="18651"/>
    <cellStyle name="_Tenaska Comparison_16.07E Wild Horse Wind Expansionwrkingfile SF 2 4 2" xfId="18652"/>
    <cellStyle name="_Tenaska Comparison_16.07E Wild Horse Wind Expansionwrkingfile SF 2 5" xfId="18653"/>
    <cellStyle name="_Tenaska Comparison_16.07E Wild Horse Wind Expansionwrkingfile SF 3" xfId="18654"/>
    <cellStyle name="_Tenaska Comparison_16.07E Wild Horse Wind Expansionwrkingfile SF 3 2" xfId="18655"/>
    <cellStyle name="_Tenaska Comparison_16.07E Wild Horse Wind Expansionwrkingfile SF 3 2 2" xfId="18656"/>
    <cellStyle name="_Tenaska Comparison_16.07E Wild Horse Wind Expansionwrkingfile SF 3 3" xfId="18657"/>
    <cellStyle name="_Tenaska Comparison_16.07E Wild Horse Wind Expansionwrkingfile SF 3 4" xfId="18658"/>
    <cellStyle name="_Tenaska Comparison_16.07E Wild Horse Wind Expansionwrkingfile SF 4" xfId="18659"/>
    <cellStyle name="_Tenaska Comparison_16.07E Wild Horse Wind Expansionwrkingfile SF 4 2" xfId="18660"/>
    <cellStyle name="_Tenaska Comparison_16.07E Wild Horse Wind Expansionwrkingfile SF 4 2 2" xfId="18661"/>
    <cellStyle name="_Tenaska Comparison_16.07E Wild Horse Wind Expansionwrkingfile SF 4 3" xfId="18662"/>
    <cellStyle name="_Tenaska Comparison_16.07E Wild Horse Wind Expansionwrkingfile SF 5" xfId="18663"/>
    <cellStyle name="_Tenaska Comparison_16.07E Wild Horse Wind Expansionwrkingfile SF 5 2" xfId="18664"/>
    <cellStyle name="_Tenaska Comparison_16.07E Wild Horse Wind Expansionwrkingfile SF 6" xfId="18665"/>
    <cellStyle name="_Tenaska Comparison_16.07E Wild Horse Wind Expansionwrkingfile SF 6 2" xfId="18666"/>
    <cellStyle name="_Tenaska Comparison_16.07E Wild Horse Wind Expansionwrkingfile SF 7" xfId="18667"/>
    <cellStyle name="_Tenaska Comparison_16.07E Wild Horse Wind Expansionwrkingfile SF_DEM-WP(C) ENERG10C--ctn Mid-C_042010 2010GRC" xfId="18668"/>
    <cellStyle name="_Tenaska Comparison_16.07E Wild Horse Wind Expansionwrkingfile SF_DEM-WP(C) ENERG10C--ctn Mid-C_042010 2010GRC 2" xfId="18669"/>
    <cellStyle name="_Tenaska Comparison_16.07E Wild Horse Wind Expansionwrkingfile_DEM-WP(C) ENERG10C--ctn Mid-C_042010 2010GRC" xfId="18670"/>
    <cellStyle name="_Tenaska Comparison_16.07E Wild Horse Wind Expansionwrkingfile_DEM-WP(C) ENERG10C--ctn Mid-C_042010 2010GRC 2" xfId="18671"/>
    <cellStyle name="_Tenaska Comparison_16.37E Wild Horse Expansion DeferralRevwrkingfile SF" xfId="851"/>
    <cellStyle name="_Tenaska Comparison_16.37E Wild Horse Expansion DeferralRevwrkingfile SF 2" xfId="18672"/>
    <cellStyle name="_Tenaska Comparison_16.37E Wild Horse Expansion DeferralRevwrkingfile SF 2 2" xfId="18673"/>
    <cellStyle name="_Tenaska Comparison_16.37E Wild Horse Expansion DeferralRevwrkingfile SF 2 2 2" xfId="18674"/>
    <cellStyle name="_Tenaska Comparison_16.37E Wild Horse Expansion DeferralRevwrkingfile SF 2 2 2 2" xfId="18675"/>
    <cellStyle name="_Tenaska Comparison_16.37E Wild Horse Expansion DeferralRevwrkingfile SF 2 2 3" xfId="18676"/>
    <cellStyle name="_Tenaska Comparison_16.37E Wild Horse Expansion DeferralRevwrkingfile SF 2 3" xfId="18677"/>
    <cellStyle name="_Tenaska Comparison_16.37E Wild Horse Expansion DeferralRevwrkingfile SF 2 3 2" xfId="18678"/>
    <cellStyle name="_Tenaska Comparison_16.37E Wild Horse Expansion DeferralRevwrkingfile SF 2 4" xfId="18679"/>
    <cellStyle name="_Tenaska Comparison_16.37E Wild Horse Expansion DeferralRevwrkingfile SF 2 4 2" xfId="18680"/>
    <cellStyle name="_Tenaska Comparison_16.37E Wild Horse Expansion DeferralRevwrkingfile SF 2 5" xfId="18681"/>
    <cellStyle name="_Tenaska Comparison_16.37E Wild Horse Expansion DeferralRevwrkingfile SF 3" xfId="18682"/>
    <cellStyle name="_Tenaska Comparison_16.37E Wild Horse Expansion DeferralRevwrkingfile SF 3 2" xfId="18683"/>
    <cellStyle name="_Tenaska Comparison_16.37E Wild Horse Expansion DeferralRevwrkingfile SF 3 2 2" xfId="18684"/>
    <cellStyle name="_Tenaska Comparison_16.37E Wild Horse Expansion DeferralRevwrkingfile SF 3 3" xfId="18685"/>
    <cellStyle name="_Tenaska Comparison_16.37E Wild Horse Expansion DeferralRevwrkingfile SF 3 4" xfId="18686"/>
    <cellStyle name="_Tenaska Comparison_16.37E Wild Horse Expansion DeferralRevwrkingfile SF 4" xfId="18687"/>
    <cellStyle name="_Tenaska Comparison_16.37E Wild Horse Expansion DeferralRevwrkingfile SF 4 2" xfId="18688"/>
    <cellStyle name="_Tenaska Comparison_16.37E Wild Horse Expansion DeferralRevwrkingfile SF 4 2 2" xfId="18689"/>
    <cellStyle name="_Tenaska Comparison_16.37E Wild Horse Expansion DeferralRevwrkingfile SF 4 3" xfId="18690"/>
    <cellStyle name="_Tenaska Comparison_16.37E Wild Horse Expansion DeferralRevwrkingfile SF 5" xfId="18691"/>
    <cellStyle name="_Tenaska Comparison_16.37E Wild Horse Expansion DeferralRevwrkingfile SF 5 2" xfId="18692"/>
    <cellStyle name="_Tenaska Comparison_16.37E Wild Horse Expansion DeferralRevwrkingfile SF 6" xfId="18693"/>
    <cellStyle name="_Tenaska Comparison_16.37E Wild Horse Expansion DeferralRevwrkingfile SF 6 2" xfId="18694"/>
    <cellStyle name="_Tenaska Comparison_16.37E Wild Horse Expansion DeferralRevwrkingfile SF 7" xfId="18695"/>
    <cellStyle name="_Tenaska Comparison_16.37E Wild Horse Expansion DeferralRevwrkingfile SF_DEM-WP(C) ENERG10C--ctn Mid-C_042010 2010GRC" xfId="18696"/>
    <cellStyle name="_Tenaska Comparison_16.37E Wild Horse Expansion DeferralRevwrkingfile SF_DEM-WP(C) ENERG10C--ctn Mid-C_042010 2010GRC 2" xfId="18697"/>
    <cellStyle name="_Tenaska Comparison_2009 Compliance Filing PCA Exhibits for GRC" xfId="18698"/>
    <cellStyle name="_Tenaska Comparison_2009 Compliance Filing PCA Exhibits for GRC 2" xfId="18699"/>
    <cellStyle name="_Tenaska Comparison_2009 Compliance Filing PCA Exhibits for GRC 2 2" xfId="18700"/>
    <cellStyle name="_Tenaska Comparison_2009 Compliance Filing PCA Exhibits for GRC 3" xfId="18701"/>
    <cellStyle name="_Tenaska Comparison_2009 GRC Compl Filing - Exhibit D" xfId="852"/>
    <cellStyle name="_Tenaska Comparison_2009 GRC Compl Filing - Exhibit D 2" xfId="18702"/>
    <cellStyle name="_Tenaska Comparison_2009 GRC Compl Filing - Exhibit D 2 2" xfId="18703"/>
    <cellStyle name="_Tenaska Comparison_2009 GRC Compl Filing - Exhibit D 2 2 2" xfId="18704"/>
    <cellStyle name="_Tenaska Comparison_2009 GRC Compl Filing - Exhibit D 2 2 2 2" xfId="18705"/>
    <cellStyle name="_Tenaska Comparison_2009 GRC Compl Filing - Exhibit D 2 3" xfId="18706"/>
    <cellStyle name="_Tenaska Comparison_2009 GRC Compl Filing - Exhibit D 2 3 2" xfId="18707"/>
    <cellStyle name="_Tenaska Comparison_2009 GRC Compl Filing - Exhibit D 2 4" xfId="18708"/>
    <cellStyle name="_Tenaska Comparison_2009 GRC Compl Filing - Exhibit D 2 4 2" xfId="18709"/>
    <cellStyle name="_Tenaska Comparison_2009 GRC Compl Filing - Exhibit D 2 5" xfId="18710"/>
    <cellStyle name="_Tenaska Comparison_2009 GRC Compl Filing - Exhibit D 3" xfId="18711"/>
    <cellStyle name="_Tenaska Comparison_2009 GRC Compl Filing - Exhibit D 3 2" xfId="18712"/>
    <cellStyle name="_Tenaska Comparison_2009 GRC Compl Filing - Exhibit D 3 2 2" xfId="18713"/>
    <cellStyle name="_Tenaska Comparison_2009 GRC Compl Filing - Exhibit D 3 3" xfId="18714"/>
    <cellStyle name="_Tenaska Comparison_2009 GRC Compl Filing - Exhibit D 4" xfId="18715"/>
    <cellStyle name="_Tenaska Comparison_2009 GRC Compl Filing - Exhibit D 4 2" xfId="18716"/>
    <cellStyle name="_Tenaska Comparison_2009 GRC Compl Filing - Exhibit D 4 2 2" xfId="18717"/>
    <cellStyle name="_Tenaska Comparison_2009 GRC Compl Filing - Exhibit D 4 3" xfId="18718"/>
    <cellStyle name="_Tenaska Comparison_2009 GRC Compl Filing - Exhibit D 5" xfId="18719"/>
    <cellStyle name="_Tenaska Comparison_2009 GRC Compl Filing - Exhibit D 5 2" xfId="18720"/>
    <cellStyle name="_Tenaska Comparison_2009 GRC Compl Filing - Exhibit D 6" xfId="18721"/>
    <cellStyle name="_Tenaska Comparison_2009 GRC Compl Filing - Exhibit D 6 2" xfId="18722"/>
    <cellStyle name="_Tenaska Comparison_2009 GRC Compl Filing - Exhibit D 7" xfId="18723"/>
    <cellStyle name="_Tenaska Comparison_2009 GRC Compl Filing - Exhibit D_DEM-WP(C) ENERG10C--ctn Mid-C_042010 2010GRC" xfId="18724"/>
    <cellStyle name="_Tenaska Comparison_2009 GRC Compl Filing - Exhibit D_DEM-WP(C) ENERG10C--ctn Mid-C_042010 2010GRC 2" xfId="18725"/>
    <cellStyle name="_Tenaska Comparison_3.01 Income Statement" xfId="853"/>
    <cellStyle name="_Tenaska Comparison_4 31 Regulatory Assets and Liabilities  7 06- Exhibit D" xfId="854"/>
    <cellStyle name="_Tenaska Comparison_4 31 Regulatory Assets and Liabilities  7 06- Exhibit D 2" xfId="18726"/>
    <cellStyle name="_Tenaska Comparison_4 31 Regulatory Assets and Liabilities  7 06- Exhibit D 2 2" xfId="18727"/>
    <cellStyle name="_Tenaska Comparison_4 31 Regulatory Assets and Liabilities  7 06- Exhibit D 2 2 2" xfId="18728"/>
    <cellStyle name="_Tenaska Comparison_4 31 Regulatory Assets and Liabilities  7 06- Exhibit D 2 2 2 2" xfId="18729"/>
    <cellStyle name="_Tenaska Comparison_4 31 Regulatory Assets and Liabilities  7 06- Exhibit D 2 2 3" xfId="18730"/>
    <cellStyle name="_Tenaska Comparison_4 31 Regulatory Assets and Liabilities  7 06- Exhibit D 2 2 4" xfId="18731"/>
    <cellStyle name="_Tenaska Comparison_4 31 Regulatory Assets and Liabilities  7 06- Exhibit D 2 3" xfId="18732"/>
    <cellStyle name="_Tenaska Comparison_4 31 Regulatory Assets and Liabilities  7 06- Exhibit D 2 3 2" xfId="18733"/>
    <cellStyle name="_Tenaska Comparison_4 31 Regulatory Assets and Liabilities  7 06- Exhibit D 2 3 2 2" xfId="18734"/>
    <cellStyle name="_Tenaska Comparison_4 31 Regulatory Assets and Liabilities  7 06- Exhibit D 2 3 3" xfId="18735"/>
    <cellStyle name="_Tenaska Comparison_4 31 Regulatory Assets and Liabilities  7 06- Exhibit D 2 4" xfId="18736"/>
    <cellStyle name="_Tenaska Comparison_4 31 Regulatory Assets and Liabilities  7 06- Exhibit D 2 4 2" xfId="18737"/>
    <cellStyle name="_Tenaska Comparison_4 31 Regulatory Assets and Liabilities  7 06- Exhibit D 2 5" xfId="18738"/>
    <cellStyle name="_Tenaska Comparison_4 31 Regulatory Assets and Liabilities  7 06- Exhibit D 2 5 2" xfId="18739"/>
    <cellStyle name="_Tenaska Comparison_4 31 Regulatory Assets and Liabilities  7 06- Exhibit D 2 6" xfId="18740"/>
    <cellStyle name="_Tenaska Comparison_4 31 Regulatory Assets and Liabilities  7 06- Exhibit D 3" xfId="18741"/>
    <cellStyle name="_Tenaska Comparison_4 31 Regulatory Assets and Liabilities  7 06- Exhibit D 3 2" xfId="18742"/>
    <cellStyle name="_Tenaska Comparison_4 31 Regulatory Assets and Liabilities  7 06- Exhibit D 3 2 2" xfId="18743"/>
    <cellStyle name="_Tenaska Comparison_4 31 Regulatory Assets and Liabilities  7 06- Exhibit D 3 3" xfId="18744"/>
    <cellStyle name="_Tenaska Comparison_4 31 Regulatory Assets and Liabilities  7 06- Exhibit D 3 4" xfId="18745"/>
    <cellStyle name="_Tenaska Comparison_4 31 Regulatory Assets and Liabilities  7 06- Exhibit D 4" xfId="18746"/>
    <cellStyle name="_Tenaska Comparison_4 31 Regulatory Assets and Liabilities  7 06- Exhibit D 4 2" xfId="18747"/>
    <cellStyle name="_Tenaska Comparison_4 31 Regulatory Assets and Liabilities  7 06- Exhibit D 4 2 2" xfId="18748"/>
    <cellStyle name="_Tenaska Comparison_4 31 Regulatory Assets and Liabilities  7 06- Exhibit D 4 3" xfId="18749"/>
    <cellStyle name="_Tenaska Comparison_4 31 Regulatory Assets and Liabilities  7 06- Exhibit D 5" xfId="18750"/>
    <cellStyle name="_Tenaska Comparison_4 31 Regulatory Assets and Liabilities  7 06- Exhibit D 5 2" xfId="18751"/>
    <cellStyle name="_Tenaska Comparison_4 31 Regulatory Assets and Liabilities  7 06- Exhibit D 6" xfId="18752"/>
    <cellStyle name="_Tenaska Comparison_4 31 Regulatory Assets and Liabilities  7 06- Exhibit D 6 2" xfId="18753"/>
    <cellStyle name="_Tenaska Comparison_4 31 Regulatory Assets and Liabilities  7 06- Exhibit D 7" xfId="18754"/>
    <cellStyle name="_Tenaska Comparison_4 31 Regulatory Assets and Liabilities  7 06- Exhibit D_DEM-WP(C) ENERG10C--ctn Mid-C_042010 2010GRC" xfId="18755"/>
    <cellStyle name="_Tenaska Comparison_4 31 Regulatory Assets and Liabilities  7 06- Exhibit D_DEM-WP(C) ENERG10C--ctn Mid-C_042010 2010GRC 2" xfId="18756"/>
    <cellStyle name="_Tenaska Comparison_4 31 Regulatory Assets and Liabilities  7 06- Exhibit D_NIM Summary" xfId="18757"/>
    <cellStyle name="_Tenaska Comparison_4 31 Regulatory Assets and Liabilities  7 06- Exhibit D_NIM Summary 2" xfId="18758"/>
    <cellStyle name="_Tenaska Comparison_4 31 Regulatory Assets and Liabilities  7 06- Exhibit D_NIM Summary 2 2" xfId="18759"/>
    <cellStyle name="_Tenaska Comparison_4 31 Regulatory Assets and Liabilities  7 06- Exhibit D_NIM Summary 2 2 2" xfId="18760"/>
    <cellStyle name="_Tenaska Comparison_4 31 Regulatory Assets and Liabilities  7 06- Exhibit D_NIM Summary 2 2 2 2" xfId="18761"/>
    <cellStyle name="_Tenaska Comparison_4 31 Regulatory Assets and Liabilities  7 06- Exhibit D_NIM Summary 2 3" xfId="18762"/>
    <cellStyle name="_Tenaska Comparison_4 31 Regulatory Assets and Liabilities  7 06- Exhibit D_NIM Summary 2 3 2" xfId="18763"/>
    <cellStyle name="_Tenaska Comparison_4 31 Regulatory Assets and Liabilities  7 06- Exhibit D_NIM Summary 2 4" xfId="18764"/>
    <cellStyle name="_Tenaska Comparison_4 31 Regulatory Assets and Liabilities  7 06- Exhibit D_NIM Summary 2 4 2" xfId="18765"/>
    <cellStyle name="_Tenaska Comparison_4 31 Regulatory Assets and Liabilities  7 06- Exhibit D_NIM Summary 2 5" xfId="18766"/>
    <cellStyle name="_Tenaska Comparison_4 31 Regulatory Assets and Liabilities  7 06- Exhibit D_NIM Summary 3" xfId="18767"/>
    <cellStyle name="_Tenaska Comparison_4 31 Regulatory Assets and Liabilities  7 06- Exhibit D_NIM Summary 3 2" xfId="18768"/>
    <cellStyle name="_Tenaska Comparison_4 31 Regulatory Assets and Liabilities  7 06- Exhibit D_NIM Summary 3 2 2" xfId="18769"/>
    <cellStyle name="_Tenaska Comparison_4 31 Regulatory Assets and Liabilities  7 06- Exhibit D_NIM Summary 3 3" xfId="18770"/>
    <cellStyle name="_Tenaska Comparison_4 31 Regulatory Assets and Liabilities  7 06- Exhibit D_NIM Summary 4" xfId="18771"/>
    <cellStyle name="_Tenaska Comparison_4 31 Regulatory Assets and Liabilities  7 06- Exhibit D_NIM Summary 4 2" xfId="18772"/>
    <cellStyle name="_Tenaska Comparison_4 31 Regulatory Assets and Liabilities  7 06- Exhibit D_NIM Summary 4 2 2" xfId="18773"/>
    <cellStyle name="_Tenaska Comparison_4 31 Regulatory Assets and Liabilities  7 06- Exhibit D_NIM Summary 4 3" xfId="18774"/>
    <cellStyle name="_Tenaska Comparison_4 31 Regulatory Assets and Liabilities  7 06- Exhibit D_NIM Summary 5" xfId="18775"/>
    <cellStyle name="_Tenaska Comparison_4 31 Regulatory Assets and Liabilities  7 06- Exhibit D_NIM Summary 5 2" xfId="18776"/>
    <cellStyle name="_Tenaska Comparison_4 31 Regulatory Assets and Liabilities  7 06- Exhibit D_NIM Summary 6" xfId="18777"/>
    <cellStyle name="_Tenaska Comparison_4 31 Regulatory Assets and Liabilities  7 06- Exhibit D_NIM Summary 6 2" xfId="18778"/>
    <cellStyle name="_Tenaska Comparison_4 31 Regulatory Assets and Liabilities  7 06- Exhibit D_NIM Summary 7" xfId="18779"/>
    <cellStyle name="_Tenaska Comparison_4 31 Regulatory Assets and Liabilities  7 06- Exhibit D_NIM Summary_DEM-WP(C) ENERG10C--ctn Mid-C_042010 2010GRC" xfId="18780"/>
    <cellStyle name="_Tenaska Comparison_4 31 Regulatory Assets and Liabilities  7 06- Exhibit D_NIM Summary_DEM-WP(C) ENERG10C--ctn Mid-C_042010 2010GRC 2" xfId="18781"/>
    <cellStyle name="_Tenaska Comparison_4 31 Regulatory Assets and Liabilities  7 06- Exhibit D_NIM+O&amp;M" xfId="18782"/>
    <cellStyle name="_Tenaska Comparison_4 31 Regulatory Assets and Liabilities  7 06- Exhibit D_NIM+O&amp;M 2" xfId="18783"/>
    <cellStyle name="_Tenaska Comparison_4 31 Regulatory Assets and Liabilities  7 06- Exhibit D_NIM+O&amp;M 2 2" xfId="18784"/>
    <cellStyle name="_Tenaska Comparison_4 31 Regulatory Assets and Liabilities  7 06- Exhibit D_NIM+O&amp;M 2 2 2" xfId="18785"/>
    <cellStyle name="_Tenaska Comparison_4 31 Regulatory Assets and Liabilities  7 06- Exhibit D_NIM+O&amp;M 3" xfId="18786"/>
    <cellStyle name="_Tenaska Comparison_4 31 Regulatory Assets and Liabilities  7 06- Exhibit D_NIM+O&amp;M 3 2" xfId="18787"/>
    <cellStyle name="_Tenaska Comparison_4 31 Regulatory Assets and Liabilities  7 06- Exhibit D_NIM+O&amp;M 3 2 2" xfId="18788"/>
    <cellStyle name="_Tenaska Comparison_4 31 Regulatory Assets and Liabilities  7 06- Exhibit D_NIM+O&amp;M 3 3" xfId="18789"/>
    <cellStyle name="_Tenaska Comparison_4 31 Regulatory Assets and Liabilities  7 06- Exhibit D_NIM+O&amp;M 4" xfId="18790"/>
    <cellStyle name="_Tenaska Comparison_4 31 Regulatory Assets and Liabilities  7 06- Exhibit D_NIM+O&amp;M 4 2" xfId="18791"/>
    <cellStyle name="_Tenaska Comparison_4 31 Regulatory Assets and Liabilities  7 06- Exhibit D_NIM+O&amp;M 5" xfId="18792"/>
    <cellStyle name="_Tenaska Comparison_4 31 Regulatory Assets and Liabilities  7 06- Exhibit D_NIM+O&amp;M 5 2" xfId="18793"/>
    <cellStyle name="_Tenaska Comparison_4 31 Regulatory Assets and Liabilities  7 06- Exhibit D_NIM+O&amp;M Monthly" xfId="18794"/>
    <cellStyle name="_Tenaska Comparison_4 31 Regulatory Assets and Liabilities  7 06- Exhibit D_NIM+O&amp;M Monthly 2" xfId="18795"/>
    <cellStyle name="_Tenaska Comparison_4 31 Regulatory Assets and Liabilities  7 06- Exhibit D_NIM+O&amp;M Monthly 2 2" xfId="18796"/>
    <cellStyle name="_Tenaska Comparison_4 31 Regulatory Assets and Liabilities  7 06- Exhibit D_NIM+O&amp;M Monthly 2 2 2" xfId="18797"/>
    <cellStyle name="_Tenaska Comparison_4 31 Regulatory Assets and Liabilities  7 06- Exhibit D_NIM+O&amp;M Monthly 3" xfId="18798"/>
    <cellStyle name="_Tenaska Comparison_4 31 Regulatory Assets and Liabilities  7 06- Exhibit D_NIM+O&amp;M Monthly 3 2" xfId="18799"/>
    <cellStyle name="_Tenaska Comparison_4 31 Regulatory Assets and Liabilities  7 06- Exhibit D_NIM+O&amp;M Monthly 3 2 2" xfId="18800"/>
    <cellStyle name="_Tenaska Comparison_4 31 Regulatory Assets and Liabilities  7 06- Exhibit D_NIM+O&amp;M Monthly 3 3" xfId="18801"/>
    <cellStyle name="_Tenaska Comparison_4 31 Regulatory Assets and Liabilities  7 06- Exhibit D_NIM+O&amp;M Monthly 4" xfId="18802"/>
    <cellStyle name="_Tenaska Comparison_4 31 Regulatory Assets and Liabilities  7 06- Exhibit D_NIM+O&amp;M Monthly 4 2" xfId="18803"/>
    <cellStyle name="_Tenaska Comparison_4 31 Regulatory Assets and Liabilities  7 06- Exhibit D_NIM+O&amp;M Monthly 5" xfId="18804"/>
    <cellStyle name="_Tenaska Comparison_4 31 Regulatory Assets and Liabilities  7 06- Exhibit D_NIM+O&amp;M Monthly 5 2" xfId="18805"/>
    <cellStyle name="_Tenaska Comparison_4 31E Reg Asset  Liab and EXH D" xfId="18806"/>
    <cellStyle name="_Tenaska Comparison_4 31E Reg Asset  Liab and EXH D _ Aug 10 Filing (2)" xfId="18807"/>
    <cellStyle name="_Tenaska Comparison_4 31E Reg Asset  Liab and EXH D _ Aug 10 Filing (2) 2" xfId="18808"/>
    <cellStyle name="_Tenaska Comparison_4 31E Reg Asset  Liab and EXH D _ Aug 10 Filing (2) 2 2" xfId="18809"/>
    <cellStyle name="_Tenaska Comparison_4 31E Reg Asset  Liab and EXH D _ Aug 10 Filing (2) 2 2 2" xfId="18810"/>
    <cellStyle name="_Tenaska Comparison_4 31E Reg Asset  Liab and EXH D _ Aug 10 Filing (2) 2 3" xfId="18811"/>
    <cellStyle name="_Tenaska Comparison_4 31E Reg Asset  Liab and EXH D _ Aug 10 Filing (2) 3" xfId="18812"/>
    <cellStyle name="_Tenaska Comparison_4 31E Reg Asset  Liab and EXH D _ Aug 10 Filing (2) 3 2" xfId="18813"/>
    <cellStyle name="_Tenaska Comparison_4 31E Reg Asset  Liab and EXH D _ Aug 10 Filing (2) 3 2 2" xfId="18814"/>
    <cellStyle name="_Tenaska Comparison_4 31E Reg Asset  Liab and EXH D _ Aug 10 Filing (2) 3 3" xfId="18815"/>
    <cellStyle name="_Tenaska Comparison_4 31E Reg Asset  Liab and EXH D _ Aug 10 Filing (2) 4" xfId="18816"/>
    <cellStyle name="_Tenaska Comparison_4 31E Reg Asset  Liab and EXH D _ Aug 10 Filing (2) 4 2" xfId="18817"/>
    <cellStyle name="_Tenaska Comparison_4 31E Reg Asset  Liab and EXH D _ Aug 10 Filing (2) 5" xfId="18818"/>
    <cellStyle name="_Tenaska Comparison_4 31E Reg Asset  Liab and EXH D _ Aug 10 Filing (2) 5 2" xfId="18819"/>
    <cellStyle name="_Tenaska Comparison_4 31E Reg Asset  Liab and EXH D 10" xfId="18820"/>
    <cellStyle name="_Tenaska Comparison_4 31E Reg Asset  Liab and EXH D 10 2" xfId="18821"/>
    <cellStyle name="_Tenaska Comparison_4 31E Reg Asset  Liab and EXH D 10 2 2" xfId="18822"/>
    <cellStyle name="_Tenaska Comparison_4 31E Reg Asset  Liab and EXH D 10 3" xfId="18823"/>
    <cellStyle name="_Tenaska Comparison_4 31E Reg Asset  Liab and EXH D 11" xfId="18824"/>
    <cellStyle name="_Tenaska Comparison_4 31E Reg Asset  Liab and EXH D 11 2" xfId="18825"/>
    <cellStyle name="_Tenaska Comparison_4 31E Reg Asset  Liab and EXH D 11 2 2" xfId="18826"/>
    <cellStyle name="_Tenaska Comparison_4 31E Reg Asset  Liab and EXH D 11 3" xfId="18827"/>
    <cellStyle name="_Tenaska Comparison_4 31E Reg Asset  Liab and EXH D 12" xfId="18828"/>
    <cellStyle name="_Tenaska Comparison_4 31E Reg Asset  Liab and EXH D 12 2" xfId="18829"/>
    <cellStyle name="_Tenaska Comparison_4 31E Reg Asset  Liab and EXH D 12 2 2" xfId="18830"/>
    <cellStyle name="_Tenaska Comparison_4 31E Reg Asset  Liab and EXH D 12 3" xfId="18831"/>
    <cellStyle name="_Tenaska Comparison_4 31E Reg Asset  Liab and EXH D 13" xfId="18832"/>
    <cellStyle name="_Tenaska Comparison_4 31E Reg Asset  Liab and EXH D 13 2" xfId="18833"/>
    <cellStyle name="_Tenaska Comparison_4 31E Reg Asset  Liab and EXH D 13 2 2" xfId="18834"/>
    <cellStyle name="_Tenaska Comparison_4 31E Reg Asset  Liab and EXH D 13 3" xfId="18835"/>
    <cellStyle name="_Tenaska Comparison_4 31E Reg Asset  Liab and EXH D 14" xfId="18836"/>
    <cellStyle name="_Tenaska Comparison_4 31E Reg Asset  Liab and EXH D 14 2" xfId="18837"/>
    <cellStyle name="_Tenaska Comparison_4 31E Reg Asset  Liab and EXH D 14 2 2" xfId="18838"/>
    <cellStyle name="_Tenaska Comparison_4 31E Reg Asset  Liab and EXH D 14 3" xfId="18839"/>
    <cellStyle name="_Tenaska Comparison_4 31E Reg Asset  Liab and EXH D 15" xfId="18840"/>
    <cellStyle name="_Tenaska Comparison_4 31E Reg Asset  Liab and EXH D 15 2" xfId="18841"/>
    <cellStyle name="_Tenaska Comparison_4 31E Reg Asset  Liab and EXH D 15 2 2" xfId="18842"/>
    <cellStyle name="_Tenaska Comparison_4 31E Reg Asset  Liab and EXH D 15 3" xfId="18843"/>
    <cellStyle name="_Tenaska Comparison_4 31E Reg Asset  Liab and EXH D 16" xfId="18844"/>
    <cellStyle name="_Tenaska Comparison_4 31E Reg Asset  Liab and EXH D 16 2" xfId="18845"/>
    <cellStyle name="_Tenaska Comparison_4 31E Reg Asset  Liab and EXH D 16 2 2" xfId="18846"/>
    <cellStyle name="_Tenaska Comparison_4 31E Reg Asset  Liab and EXH D 16 3" xfId="18847"/>
    <cellStyle name="_Tenaska Comparison_4 31E Reg Asset  Liab and EXH D 17" xfId="18848"/>
    <cellStyle name="_Tenaska Comparison_4 31E Reg Asset  Liab and EXH D 17 2" xfId="18849"/>
    <cellStyle name="_Tenaska Comparison_4 31E Reg Asset  Liab and EXH D 18" xfId="18850"/>
    <cellStyle name="_Tenaska Comparison_4 31E Reg Asset  Liab and EXH D 18 2" xfId="18851"/>
    <cellStyle name="_Tenaska Comparison_4 31E Reg Asset  Liab and EXH D 19" xfId="18852"/>
    <cellStyle name="_Tenaska Comparison_4 31E Reg Asset  Liab and EXH D 19 2" xfId="18853"/>
    <cellStyle name="_Tenaska Comparison_4 31E Reg Asset  Liab and EXH D 2" xfId="18854"/>
    <cellStyle name="_Tenaska Comparison_4 31E Reg Asset  Liab and EXH D 2 2" xfId="18855"/>
    <cellStyle name="_Tenaska Comparison_4 31E Reg Asset  Liab and EXH D 2 2 2" xfId="18856"/>
    <cellStyle name="_Tenaska Comparison_4 31E Reg Asset  Liab and EXH D 2 3" xfId="18857"/>
    <cellStyle name="_Tenaska Comparison_4 31E Reg Asset  Liab and EXH D 20" xfId="18858"/>
    <cellStyle name="_Tenaska Comparison_4 31E Reg Asset  Liab and EXH D 20 2" xfId="18859"/>
    <cellStyle name="_Tenaska Comparison_4 31E Reg Asset  Liab and EXH D 21" xfId="18860"/>
    <cellStyle name="_Tenaska Comparison_4 31E Reg Asset  Liab and EXH D 21 2" xfId="18861"/>
    <cellStyle name="_Tenaska Comparison_4 31E Reg Asset  Liab and EXH D 22" xfId="18862"/>
    <cellStyle name="_Tenaska Comparison_4 31E Reg Asset  Liab and EXH D 22 2" xfId="18863"/>
    <cellStyle name="_Tenaska Comparison_4 31E Reg Asset  Liab and EXH D 23" xfId="18864"/>
    <cellStyle name="_Tenaska Comparison_4 31E Reg Asset  Liab and EXH D 23 2" xfId="18865"/>
    <cellStyle name="_Tenaska Comparison_4 31E Reg Asset  Liab and EXH D 24" xfId="18866"/>
    <cellStyle name="_Tenaska Comparison_4 31E Reg Asset  Liab and EXH D 24 2" xfId="18867"/>
    <cellStyle name="_Tenaska Comparison_4 31E Reg Asset  Liab and EXH D 25" xfId="18868"/>
    <cellStyle name="_Tenaska Comparison_4 31E Reg Asset  Liab and EXH D 25 2" xfId="18869"/>
    <cellStyle name="_Tenaska Comparison_4 31E Reg Asset  Liab and EXH D 26" xfId="18870"/>
    <cellStyle name="_Tenaska Comparison_4 31E Reg Asset  Liab and EXH D 26 2" xfId="18871"/>
    <cellStyle name="_Tenaska Comparison_4 31E Reg Asset  Liab and EXH D 27" xfId="18872"/>
    <cellStyle name="_Tenaska Comparison_4 31E Reg Asset  Liab and EXH D 27 2" xfId="18873"/>
    <cellStyle name="_Tenaska Comparison_4 31E Reg Asset  Liab and EXH D 28" xfId="18874"/>
    <cellStyle name="_Tenaska Comparison_4 31E Reg Asset  Liab and EXH D 28 2" xfId="18875"/>
    <cellStyle name="_Tenaska Comparison_4 31E Reg Asset  Liab and EXH D 29" xfId="18876"/>
    <cellStyle name="_Tenaska Comparison_4 31E Reg Asset  Liab and EXH D 29 2" xfId="18877"/>
    <cellStyle name="_Tenaska Comparison_4 31E Reg Asset  Liab and EXH D 3" xfId="18878"/>
    <cellStyle name="_Tenaska Comparison_4 31E Reg Asset  Liab and EXH D 3 2" xfId="18879"/>
    <cellStyle name="_Tenaska Comparison_4 31E Reg Asset  Liab and EXH D 3 2 2" xfId="18880"/>
    <cellStyle name="_Tenaska Comparison_4 31E Reg Asset  Liab and EXH D 3 3" xfId="18881"/>
    <cellStyle name="_Tenaska Comparison_4 31E Reg Asset  Liab and EXH D 30" xfId="18882"/>
    <cellStyle name="_Tenaska Comparison_4 31E Reg Asset  Liab and EXH D 30 2" xfId="18883"/>
    <cellStyle name="_Tenaska Comparison_4 31E Reg Asset  Liab and EXH D 4" xfId="18884"/>
    <cellStyle name="_Tenaska Comparison_4 31E Reg Asset  Liab and EXH D 4 2" xfId="18885"/>
    <cellStyle name="_Tenaska Comparison_4 31E Reg Asset  Liab and EXH D 4 2 2" xfId="18886"/>
    <cellStyle name="_Tenaska Comparison_4 31E Reg Asset  Liab and EXH D 5" xfId="18887"/>
    <cellStyle name="_Tenaska Comparison_4 31E Reg Asset  Liab and EXH D 5 2" xfId="18888"/>
    <cellStyle name="_Tenaska Comparison_4 31E Reg Asset  Liab and EXH D 5 2 2" xfId="18889"/>
    <cellStyle name="_Tenaska Comparison_4 31E Reg Asset  Liab and EXH D 6" xfId="18890"/>
    <cellStyle name="_Tenaska Comparison_4 31E Reg Asset  Liab and EXH D 6 2" xfId="18891"/>
    <cellStyle name="_Tenaska Comparison_4 31E Reg Asset  Liab and EXH D 6 2 2" xfId="18892"/>
    <cellStyle name="_Tenaska Comparison_4 31E Reg Asset  Liab and EXH D 6 3" xfId="18893"/>
    <cellStyle name="_Tenaska Comparison_4 31E Reg Asset  Liab and EXH D 7" xfId="18894"/>
    <cellStyle name="_Tenaska Comparison_4 31E Reg Asset  Liab and EXH D 7 2" xfId="18895"/>
    <cellStyle name="_Tenaska Comparison_4 31E Reg Asset  Liab and EXH D 7 2 2" xfId="18896"/>
    <cellStyle name="_Tenaska Comparison_4 31E Reg Asset  Liab and EXH D 7 3" xfId="18897"/>
    <cellStyle name="_Tenaska Comparison_4 31E Reg Asset  Liab and EXH D 8" xfId="18898"/>
    <cellStyle name="_Tenaska Comparison_4 31E Reg Asset  Liab and EXH D 8 2" xfId="18899"/>
    <cellStyle name="_Tenaska Comparison_4 31E Reg Asset  Liab and EXH D 8 2 2" xfId="18900"/>
    <cellStyle name="_Tenaska Comparison_4 31E Reg Asset  Liab and EXH D 8 3" xfId="18901"/>
    <cellStyle name="_Tenaska Comparison_4 31E Reg Asset  Liab and EXH D 9" xfId="18902"/>
    <cellStyle name="_Tenaska Comparison_4 31E Reg Asset  Liab and EXH D 9 2" xfId="18903"/>
    <cellStyle name="_Tenaska Comparison_4 31E Reg Asset  Liab and EXH D 9 2 2" xfId="18904"/>
    <cellStyle name="_Tenaska Comparison_4 31E Reg Asset  Liab and EXH D 9 3" xfId="18905"/>
    <cellStyle name="_Tenaska Comparison_4 32 Regulatory Assets and Liabilities  7 06- Exhibit D" xfId="855"/>
    <cellStyle name="_Tenaska Comparison_4 32 Regulatory Assets and Liabilities  7 06- Exhibit D 2" xfId="18906"/>
    <cellStyle name="_Tenaska Comparison_4 32 Regulatory Assets and Liabilities  7 06- Exhibit D 2 2" xfId="18907"/>
    <cellStyle name="_Tenaska Comparison_4 32 Regulatory Assets and Liabilities  7 06- Exhibit D 2 2 2" xfId="18908"/>
    <cellStyle name="_Tenaska Comparison_4 32 Regulatory Assets and Liabilities  7 06- Exhibit D 2 2 2 2" xfId="18909"/>
    <cellStyle name="_Tenaska Comparison_4 32 Regulatory Assets and Liabilities  7 06- Exhibit D 2 2 3" xfId="18910"/>
    <cellStyle name="_Tenaska Comparison_4 32 Regulatory Assets and Liabilities  7 06- Exhibit D 2 2 4" xfId="18911"/>
    <cellStyle name="_Tenaska Comparison_4 32 Regulatory Assets and Liabilities  7 06- Exhibit D 2 3" xfId="18912"/>
    <cellStyle name="_Tenaska Comparison_4 32 Regulatory Assets and Liabilities  7 06- Exhibit D 2 3 2" xfId="18913"/>
    <cellStyle name="_Tenaska Comparison_4 32 Regulatory Assets and Liabilities  7 06- Exhibit D 2 3 2 2" xfId="18914"/>
    <cellStyle name="_Tenaska Comparison_4 32 Regulatory Assets and Liabilities  7 06- Exhibit D 2 3 3" xfId="18915"/>
    <cellStyle name="_Tenaska Comparison_4 32 Regulatory Assets and Liabilities  7 06- Exhibit D 2 4" xfId="18916"/>
    <cellStyle name="_Tenaska Comparison_4 32 Regulatory Assets and Liabilities  7 06- Exhibit D 2 4 2" xfId="18917"/>
    <cellStyle name="_Tenaska Comparison_4 32 Regulatory Assets and Liabilities  7 06- Exhibit D 2 5" xfId="18918"/>
    <cellStyle name="_Tenaska Comparison_4 32 Regulatory Assets and Liabilities  7 06- Exhibit D 2 5 2" xfId="18919"/>
    <cellStyle name="_Tenaska Comparison_4 32 Regulatory Assets and Liabilities  7 06- Exhibit D 2 6" xfId="18920"/>
    <cellStyle name="_Tenaska Comparison_4 32 Regulatory Assets and Liabilities  7 06- Exhibit D 3" xfId="18921"/>
    <cellStyle name="_Tenaska Comparison_4 32 Regulatory Assets and Liabilities  7 06- Exhibit D 3 2" xfId="18922"/>
    <cellStyle name="_Tenaska Comparison_4 32 Regulatory Assets and Liabilities  7 06- Exhibit D 3 2 2" xfId="18923"/>
    <cellStyle name="_Tenaska Comparison_4 32 Regulatory Assets and Liabilities  7 06- Exhibit D 3 3" xfId="18924"/>
    <cellStyle name="_Tenaska Comparison_4 32 Regulatory Assets and Liabilities  7 06- Exhibit D 3 4" xfId="18925"/>
    <cellStyle name="_Tenaska Comparison_4 32 Regulatory Assets and Liabilities  7 06- Exhibit D 4" xfId="18926"/>
    <cellStyle name="_Tenaska Comparison_4 32 Regulatory Assets and Liabilities  7 06- Exhibit D 4 2" xfId="18927"/>
    <cellStyle name="_Tenaska Comparison_4 32 Regulatory Assets and Liabilities  7 06- Exhibit D 4 2 2" xfId="18928"/>
    <cellStyle name="_Tenaska Comparison_4 32 Regulatory Assets and Liabilities  7 06- Exhibit D 4 3" xfId="18929"/>
    <cellStyle name="_Tenaska Comparison_4 32 Regulatory Assets and Liabilities  7 06- Exhibit D 5" xfId="18930"/>
    <cellStyle name="_Tenaska Comparison_4 32 Regulatory Assets and Liabilities  7 06- Exhibit D 5 2" xfId="18931"/>
    <cellStyle name="_Tenaska Comparison_4 32 Regulatory Assets and Liabilities  7 06- Exhibit D 6" xfId="18932"/>
    <cellStyle name="_Tenaska Comparison_4 32 Regulatory Assets and Liabilities  7 06- Exhibit D 6 2" xfId="18933"/>
    <cellStyle name="_Tenaska Comparison_4 32 Regulatory Assets and Liabilities  7 06- Exhibit D 7" xfId="18934"/>
    <cellStyle name="_Tenaska Comparison_4 32 Regulatory Assets and Liabilities  7 06- Exhibit D_DEM-WP(C) ENERG10C--ctn Mid-C_042010 2010GRC" xfId="18935"/>
    <cellStyle name="_Tenaska Comparison_4 32 Regulatory Assets and Liabilities  7 06- Exhibit D_DEM-WP(C) ENERG10C--ctn Mid-C_042010 2010GRC 2" xfId="18936"/>
    <cellStyle name="_Tenaska Comparison_4 32 Regulatory Assets and Liabilities  7 06- Exhibit D_NIM Summary" xfId="18937"/>
    <cellStyle name="_Tenaska Comparison_4 32 Regulatory Assets and Liabilities  7 06- Exhibit D_NIM Summary 2" xfId="18938"/>
    <cellStyle name="_Tenaska Comparison_4 32 Regulatory Assets and Liabilities  7 06- Exhibit D_NIM Summary 2 2" xfId="18939"/>
    <cellStyle name="_Tenaska Comparison_4 32 Regulatory Assets and Liabilities  7 06- Exhibit D_NIM Summary 2 2 2" xfId="18940"/>
    <cellStyle name="_Tenaska Comparison_4 32 Regulatory Assets and Liabilities  7 06- Exhibit D_NIM Summary 2 2 2 2" xfId="18941"/>
    <cellStyle name="_Tenaska Comparison_4 32 Regulatory Assets and Liabilities  7 06- Exhibit D_NIM Summary 2 3" xfId="18942"/>
    <cellStyle name="_Tenaska Comparison_4 32 Regulatory Assets and Liabilities  7 06- Exhibit D_NIM Summary 2 3 2" xfId="18943"/>
    <cellStyle name="_Tenaska Comparison_4 32 Regulatory Assets and Liabilities  7 06- Exhibit D_NIM Summary 2 4" xfId="18944"/>
    <cellStyle name="_Tenaska Comparison_4 32 Regulatory Assets and Liabilities  7 06- Exhibit D_NIM Summary 2 4 2" xfId="18945"/>
    <cellStyle name="_Tenaska Comparison_4 32 Regulatory Assets and Liabilities  7 06- Exhibit D_NIM Summary 2 5" xfId="18946"/>
    <cellStyle name="_Tenaska Comparison_4 32 Regulatory Assets and Liabilities  7 06- Exhibit D_NIM Summary 3" xfId="18947"/>
    <cellStyle name="_Tenaska Comparison_4 32 Regulatory Assets and Liabilities  7 06- Exhibit D_NIM Summary 3 2" xfId="18948"/>
    <cellStyle name="_Tenaska Comparison_4 32 Regulatory Assets and Liabilities  7 06- Exhibit D_NIM Summary 3 2 2" xfId="18949"/>
    <cellStyle name="_Tenaska Comparison_4 32 Regulatory Assets and Liabilities  7 06- Exhibit D_NIM Summary 3 3" xfId="18950"/>
    <cellStyle name="_Tenaska Comparison_4 32 Regulatory Assets and Liabilities  7 06- Exhibit D_NIM Summary 4" xfId="18951"/>
    <cellStyle name="_Tenaska Comparison_4 32 Regulatory Assets and Liabilities  7 06- Exhibit D_NIM Summary 4 2" xfId="18952"/>
    <cellStyle name="_Tenaska Comparison_4 32 Regulatory Assets and Liabilities  7 06- Exhibit D_NIM Summary 4 2 2" xfId="18953"/>
    <cellStyle name="_Tenaska Comparison_4 32 Regulatory Assets and Liabilities  7 06- Exhibit D_NIM Summary 4 3" xfId="18954"/>
    <cellStyle name="_Tenaska Comparison_4 32 Regulatory Assets and Liabilities  7 06- Exhibit D_NIM Summary 5" xfId="18955"/>
    <cellStyle name="_Tenaska Comparison_4 32 Regulatory Assets and Liabilities  7 06- Exhibit D_NIM Summary 5 2" xfId="18956"/>
    <cellStyle name="_Tenaska Comparison_4 32 Regulatory Assets and Liabilities  7 06- Exhibit D_NIM Summary 6" xfId="18957"/>
    <cellStyle name="_Tenaska Comparison_4 32 Regulatory Assets and Liabilities  7 06- Exhibit D_NIM Summary 6 2" xfId="18958"/>
    <cellStyle name="_Tenaska Comparison_4 32 Regulatory Assets and Liabilities  7 06- Exhibit D_NIM Summary 7" xfId="18959"/>
    <cellStyle name="_Tenaska Comparison_4 32 Regulatory Assets and Liabilities  7 06- Exhibit D_NIM Summary_DEM-WP(C) ENERG10C--ctn Mid-C_042010 2010GRC" xfId="18960"/>
    <cellStyle name="_Tenaska Comparison_4 32 Regulatory Assets and Liabilities  7 06- Exhibit D_NIM Summary_DEM-WP(C) ENERG10C--ctn Mid-C_042010 2010GRC 2" xfId="18961"/>
    <cellStyle name="_Tenaska Comparison_4 32 Regulatory Assets and Liabilities  7 06- Exhibit D_NIM+O&amp;M" xfId="18962"/>
    <cellStyle name="_Tenaska Comparison_4 32 Regulatory Assets and Liabilities  7 06- Exhibit D_NIM+O&amp;M 2" xfId="18963"/>
    <cellStyle name="_Tenaska Comparison_4 32 Regulatory Assets and Liabilities  7 06- Exhibit D_NIM+O&amp;M 2 2" xfId="18964"/>
    <cellStyle name="_Tenaska Comparison_4 32 Regulatory Assets and Liabilities  7 06- Exhibit D_NIM+O&amp;M 2 2 2" xfId="18965"/>
    <cellStyle name="_Tenaska Comparison_4 32 Regulatory Assets and Liabilities  7 06- Exhibit D_NIM+O&amp;M 3" xfId="18966"/>
    <cellStyle name="_Tenaska Comparison_4 32 Regulatory Assets and Liabilities  7 06- Exhibit D_NIM+O&amp;M 3 2" xfId="18967"/>
    <cellStyle name="_Tenaska Comparison_4 32 Regulatory Assets and Liabilities  7 06- Exhibit D_NIM+O&amp;M 3 2 2" xfId="18968"/>
    <cellStyle name="_Tenaska Comparison_4 32 Regulatory Assets and Liabilities  7 06- Exhibit D_NIM+O&amp;M 3 3" xfId="18969"/>
    <cellStyle name="_Tenaska Comparison_4 32 Regulatory Assets and Liabilities  7 06- Exhibit D_NIM+O&amp;M 4" xfId="18970"/>
    <cellStyle name="_Tenaska Comparison_4 32 Regulatory Assets and Liabilities  7 06- Exhibit D_NIM+O&amp;M 4 2" xfId="18971"/>
    <cellStyle name="_Tenaska Comparison_4 32 Regulatory Assets and Liabilities  7 06- Exhibit D_NIM+O&amp;M 5" xfId="18972"/>
    <cellStyle name="_Tenaska Comparison_4 32 Regulatory Assets and Liabilities  7 06- Exhibit D_NIM+O&amp;M 5 2" xfId="18973"/>
    <cellStyle name="_Tenaska Comparison_4 32 Regulatory Assets and Liabilities  7 06- Exhibit D_NIM+O&amp;M Monthly" xfId="18974"/>
    <cellStyle name="_Tenaska Comparison_4 32 Regulatory Assets and Liabilities  7 06- Exhibit D_NIM+O&amp;M Monthly 2" xfId="18975"/>
    <cellStyle name="_Tenaska Comparison_4 32 Regulatory Assets and Liabilities  7 06- Exhibit D_NIM+O&amp;M Monthly 2 2" xfId="18976"/>
    <cellStyle name="_Tenaska Comparison_4 32 Regulatory Assets and Liabilities  7 06- Exhibit D_NIM+O&amp;M Monthly 2 2 2" xfId="18977"/>
    <cellStyle name="_Tenaska Comparison_4 32 Regulatory Assets and Liabilities  7 06- Exhibit D_NIM+O&amp;M Monthly 3" xfId="18978"/>
    <cellStyle name="_Tenaska Comparison_4 32 Regulatory Assets and Liabilities  7 06- Exhibit D_NIM+O&amp;M Monthly 3 2" xfId="18979"/>
    <cellStyle name="_Tenaska Comparison_4 32 Regulatory Assets and Liabilities  7 06- Exhibit D_NIM+O&amp;M Monthly 3 2 2" xfId="18980"/>
    <cellStyle name="_Tenaska Comparison_4 32 Regulatory Assets and Liabilities  7 06- Exhibit D_NIM+O&amp;M Monthly 3 3" xfId="18981"/>
    <cellStyle name="_Tenaska Comparison_4 32 Regulatory Assets and Liabilities  7 06- Exhibit D_NIM+O&amp;M Monthly 4" xfId="18982"/>
    <cellStyle name="_Tenaska Comparison_4 32 Regulatory Assets and Liabilities  7 06- Exhibit D_NIM+O&amp;M Monthly 4 2" xfId="18983"/>
    <cellStyle name="_Tenaska Comparison_4 32 Regulatory Assets and Liabilities  7 06- Exhibit D_NIM+O&amp;M Monthly 5" xfId="18984"/>
    <cellStyle name="_Tenaska Comparison_4 32 Regulatory Assets and Liabilities  7 06- Exhibit D_NIM+O&amp;M Monthly 5 2" xfId="18985"/>
    <cellStyle name="_Tenaska Comparison_AURORA Total New" xfId="18986"/>
    <cellStyle name="_Tenaska Comparison_AURORA Total New 2" xfId="18987"/>
    <cellStyle name="_Tenaska Comparison_AURORA Total New 2 2" xfId="18988"/>
    <cellStyle name="_Tenaska Comparison_AURORA Total New 2 2 2" xfId="18989"/>
    <cellStyle name="_Tenaska Comparison_AURORA Total New 2 2 2 2" xfId="18990"/>
    <cellStyle name="_Tenaska Comparison_AURORA Total New 2 3" xfId="18991"/>
    <cellStyle name="_Tenaska Comparison_AURORA Total New 2 3 2" xfId="18992"/>
    <cellStyle name="_Tenaska Comparison_AURORA Total New 2 4" xfId="18993"/>
    <cellStyle name="_Tenaska Comparison_AURORA Total New 2 4 2" xfId="18994"/>
    <cellStyle name="_Tenaska Comparison_AURORA Total New 2 5" xfId="18995"/>
    <cellStyle name="_Tenaska Comparison_AURORA Total New 3" xfId="18996"/>
    <cellStyle name="_Tenaska Comparison_AURORA Total New 3 2" xfId="18997"/>
    <cellStyle name="_Tenaska Comparison_AURORA Total New 3 2 2" xfId="18998"/>
    <cellStyle name="_Tenaska Comparison_AURORA Total New 4" xfId="18999"/>
    <cellStyle name="_Tenaska Comparison_AURORA Total New 4 2" xfId="19000"/>
    <cellStyle name="_Tenaska Comparison_AURORA Total New 5" xfId="19001"/>
    <cellStyle name="_Tenaska Comparison_AURORA Total New 5 2" xfId="19002"/>
    <cellStyle name="_Tenaska Comparison_AURORA Total New 6" xfId="19003"/>
    <cellStyle name="_Tenaska Comparison_Book1" xfId="19004"/>
    <cellStyle name="_Tenaska Comparison_Book2" xfId="856"/>
    <cellStyle name="_Tenaska Comparison_Book2 2" xfId="19005"/>
    <cellStyle name="_Tenaska Comparison_Book2 2 2" xfId="19006"/>
    <cellStyle name="_Tenaska Comparison_Book2 2 2 2" xfId="19007"/>
    <cellStyle name="_Tenaska Comparison_Book2 2 2 2 2" xfId="19008"/>
    <cellStyle name="_Tenaska Comparison_Book2 2 2 3" xfId="19009"/>
    <cellStyle name="_Tenaska Comparison_Book2 2 3" xfId="19010"/>
    <cellStyle name="_Tenaska Comparison_Book2 2 3 2" xfId="19011"/>
    <cellStyle name="_Tenaska Comparison_Book2 2 4" xfId="19012"/>
    <cellStyle name="_Tenaska Comparison_Book2 2 4 2" xfId="19013"/>
    <cellStyle name="_Tenaska Comparison_Book2 2 5" xfId="19014"/>
    <cellStyle name="_Tenaska Comparison_Book2 3" xfId="19015"/>
    <cellStyle name="_Tenaska Comparison_Book2 3 2" xfId="19016"/>
    <cellStyle name="_Tenaska Comparison_Book2 3 2 2" xfId="19017"/>
    <cellStyle name="_Tenaska Comparison_Book2 3 3" xfId="19018"/>
    <cellStyle name="_Tenaska Comparison_Book2 3 4" xfId="19019"/>
    <cellStyle name="_Tenaska Comparison_Book2 4" xfId="19020"/>
    <cellStyle name="_Tenaska Comparison_Book2 4 2" xfId="19021"/>
    <cellStyle name="_Tenaska Comparison_Book2 4 2 2" xfId="19022"/>
    <cellStyle name="_Tenaska Comparison_Book2 4 3" xfId="19023"/>
    <cellStyle name="_Tenaska Comparison_Book2 5" xfId="19024"/>
    <cellStyle name="_Tenaska Comparison_Book2 5 2" xfId="19025"/>
    <cellStyle name="_Tenaska Comparison_Book2 6" xfId="19026"/>
    <cellStyle name="_Tenaska Comparison_Book2 6 2" xfId="19027"/>
    <cellStyle name="_Tenaska Comparison_Book2 7" xfId="19028"/>
    <cellStyle name="_Tenaska Comparison_Book2_Adj Bench DR 3 for Initial Briefs (Electric)" xfId="857"/>
    <cellStyle name="_Tenaska Comparison_Book2_Adj Bench DR 3 for Initial Briefs (Electric) 2" xfId="19029"/>
    <cellStyle name="_Tenaska Comparison_Book2_Adj Bench DR 3 for Initial Briefs (Electric) 2 2" xfId="19030"/>
    <cellStyle name="_Tenaska Comparison_Book2_Adj Bench DR 3 for Initial Briefs (Electric) 2 2 2" xfId="19031"/>
    <cellStyle name="_Tenaska Comparison_Book2_Adj Bench DR 3 for Initial Briefs (Electric) 2 2 2 2" xfId="19032"/>
    <cellStyle name="_Tenaska Comparison_Book2_Adj Bench DR 3 for Initial Briefs (Electric) 2 2 3" xfId="19033"/>
    <cellStyle name="_Tenaska Comparison_Book2_Adj Bench DR 3 for Initial Briefs (Electric) 2 3" xfId="19034"/>
    <cellStyle name="_Tenaska Comparison_Book2_Adj Bench DR 3 for Initial Briefs (Electric) 2 3 2" xfId="19035"/>
    <cellStyle name="_Tenaska Comparison_Book2_Adj Bench DR 3 for Initial Briefs (Electric) 2 4" xfId="19036"/>
    <cellStyle name="_Tenaska Comparison_Book2_Adj Bench DR 3 for Initial Briefs (Electric) 2 4 2" xfId="19037"/>
    <cellStyle name="_Tenaska Comparison_Book2_Adj Bench DR 3 for Initial Briefs (Electric) 2 5" xfId="19038"/>
    <cellStyle name="_Tenaska Comparison_Book2_Adj Bench DR 3 for Initial Briefs (Electric) 3" xfId="19039"/>
    <cellStyle name="_Tenaska Comparison_Book2_Adj Bench DR 3 for Initial Briefs (Electric) 3 2" xfId="19040"/>
    <cellStyle name="_Tenaska Comparison_Book2_Adj Bench DR 3 for Initial Briefs (Electric) 3 2 2" xfId="19041"/>
    <cellStyle name="_Tenaska Comparison_Book2_Adj Bench DR 3 for Initial Briefs (Electric) 3 3" xfId="19042"/>
    <cellStyle name="_Tenaska Comparison_Book2_Adj Bench DR 3 for Initial Briefs (Electric) 3 4" xfId="19043"/>
    <cellStyle name="_Tenaska Comparison_Book2_Adj Bench DR 3 for Initial Briefs (Electric) 4" xfId="19044"/>
    <cellStyle name="_Tenaska Comparison_Book2_Adj Bench DR 3 for Initial Briefs (Electric) 4 2" xfId="19045"/>
    <cellStyle name="_Tenaska Comparison_Book2_Adj Bench DR 3 for Initial Briefs (Electric) 4 2 2" xfId="19046"/>
    <cellStyle name="_Tenaska Comparison_Book2_Adj Bench DR 3 for Initial Briefs (Electric) 4 3" xfId="19047"/>
    <cellStyle name="_Tenaska Comparison_Book2_Adj Bench DR 3 for Initial Briefs (Electric) 5" xfId="19048"/>
    <cellStyle name="_Tenaska Comparison_Book2_Adj Bench DR 3 for Initial Briefs (Electric) 5 2" xfId="19049"/>
    <cellStyle name="_Tenaska Comparison_Book2_Adj Bench DR 3 for Initial Briefs (Electric) 6" xfId="19050"/>
    <cellStyle name="_Tenaska Comparison_Book2_Adj Bench DR 3 for Initial Briefs (Electric) 6 2" xfId="19051"/>
    <cellStyle name="_Tenaska Comparison_Book2_Adj Bench DR 3 for Initial Briefs (Electric) 7" xfId="19052"/>
    <cellStyle name="_Tenaska Comparison_Book2_Adj Bench DR 3 for Initial Briefs (Electric)_DEM-WP(C) ENERG10C--ctn Mid-C_042010 2010GRC" xfId="19053"/>
    <cellStyle name="_Tenaska Comparison_Book2_Adj Bench DR 3 for Initial Briefs (Electric)_DEM-WP(C) ENERG10C--ctn Mid-C_042010 2010GRC 2" xfId="19054"/>
    <cellStyle name="_Tenaska Comparison_Book2_DEM-WP(C) ENERG10C--ctn Mid-C_042010 2010GRC" xfId="19055"/>
    <cellStyle name="_Tenaska Comparison_Book2_DEM-WP(C) ENERG10C--ctn Mid-C_042010 2010GRC 2" xfId="19056"/>
    <cellStyle name="_Tenaska Comparison_Book2_Electric Rev Req Model (2009 GRC) Rebuttal" xfId="858"/>
    <cellStyle name="_Tenaska Comparison_Book2_Electric Rev Req Model (2009 GRC) Rebuttal 2" xfId="19057"/>
    <cellStyle name="_Tenaska Comparison_Book2_Electric Rev Req Model (2009 GRC) Rebuttal 2 2" xfId="19058"/>
    <cellStyle name="_Tenaska Comparison_Book2_Electric Rev Req Model (2009 GRC) Rebuttal 2 2 2" xfId="19059"/>
    <cellStyle name="_Tenaska Comparison_Book2_Electric Rev Req Model (2009 GRC) Rebuttal 2 3" xfId="19060"/>
    <cellStyle name="_Tenaska Comparison_Book2_Electric Rev Req Model (2009 GRC) Rebuttal 2 4" xfId="19061"/>
    <cellStyle name="_Tenaska Comparison_Book2_Electric Rev Req Model (2009 GRC) Rebuttal 3" xfId="19062"/>
    <cellStyle name="_Tenaska Comparison_Book2_Electric Rev Req Model (2009 GRC) Rebuttal 3 2" xfId="19063"/>
    <cellStyle name="_Tenaska Comparison_Book2_Electric Rev Req Model (2009 GRC) Rebuttal 4" xfId="19064"/>
    <cellStyle name="_Tenaska Comparison_Book2_Electric Rev Req Model (2009 GRC) Rebuttal 5" xfId="19065"/>
    <cellStyle name="_Tenaska Comparison_Book2_Electric Rev Req Model (2009 GRC) Rebuttal REmoval of New  WH Solar AdjustMI" xfId="859"/>
    <cellStyle name="_Tenaska Comparison_Book2_Electric Rev Req Model (2009 GRC) Rebuttal REmoval of New  WH Solar AdjustMI 2" xfId="19066"/>
    <cellStyle name="_Tenaska Comparison_Book2_Electric Rev Req Model (2009 GRC) Rebuttal REmoval of New  WH Solar AdjustMI 2 2" xfId="19067"/>
    <cellStyle name="_Tenaska Comparison_Book2_Electric Rev Req Model (2009 GRC) Rebuttal REmoval of New  WH Solar AdjustMI 2 2 2" xfId="19068"/>
    <cellStyle name="_Tenaska Comparison_Book2_Electric Rev Req Model (2009 GRC) Rebuttal REmoval of New  WH Solar AdjustMI 2 2 2 2" xfId="19069"/>
    <cellStyle name="_Tenaska Comparison_Book2_Electric Rev Req Model (2009 GRC) Rebuttal REmoval of New  WH Solar AdjustMI 2 2 3" xfId="19070"/>
    <cellStyle name="_Tenaska Comparison_Book2_Electric Rev Req Model (2009 GRC) Rebuttal REmoval of New  WH Solar AdjustMI 2 3" xfId="19071"/>
    <cellStyle name="_Tenaska Comparison_Book2_Electric Rev Req Model (2009 GRC) Rebuttal REmoval of New  WH Solar AdjustMI 2 3 2" xfId="19072"/>
    <cellStyle name="_Tenaska Comparison_Book2_Electric Rev Req Model (2009 GRC) Rebuttal REmoval of New  WH Solar AdjustMI 2 4" xfId="19073"/>
    <cellStyle name="_Tenaska Comparison_Book2_Electric Rev Req Model (2009 GRC) Rebuttal REmoval of New  WH Solar AdjustMI 2 4 2" xfId="19074"/>
    <cellStyle name="_Tenaska Comparison_Book2_Electric Rev Req Model (2009 GRC) Rebuttal REmoval of New  WH Solar AdjustMI 2 5" xfId="19075"/>
    <cellStyle name="_Tenaska Comparison_Book2_Electric Rev Req Model (2009 GRC) Rebuttal REmoval of New  WH Solar AdjustMI 3" xfId="19076"/>
    <cellStyle name="_Tenaska Comparison_Book2_Electric Rev Req Model (2009 GRC) Rebuttal REmoval of New  WH Solar AdjustMI 3 2" xfId="19077"/>
    <cellStyle name="_Tenaska Comparison_Book2_Electric Rev Req Model (2009 GRC) Rebuttal REmoval of New  WH Solar AdjustMI 3 2 2" xfId="19078"/>
    <cellStyle name="_Tenaska Comparison_Book2_Electric Rev Req Model (2009 GRC) Rebuttal REmoval of New  WH Solar AdjustMI 3 3" xfId="19079"/>
    <cellStyle name="_Tenaska Comparison_Book2_Electric Rev Req Model (2009 GRC) Rebuttal REmoval of New  WH Solar AdjustMI 3 4" xfId="19080"/>
    <cellStyle name="_Tenaska Comparison_Book2_Electric Rev Req Model (2009 GRC) Rebuttal REmoval of New  WH Solar AdjustMI 4" xfId="19081"/>
    <cellStyle name="_Tenaska Comparison_Book2_Electric Rev Req Model (2009 GRC) Rebuttal REmoval of New  WH Solar AdjustMI 4 2" xfId="19082"/>
    <cellStyle name="_Tenaska Comparison_Book2_Electric Rev Req Model (2009 GRC) Rebuttal REmoval of New  WH Solar AdjustMI 4 2 2" xfId="19083"/>
    <cellStyle name="_Tenaska Comparison_Book2_Electric Rev Req Model (2009 GRC) Rebuttal REmoval of New  WH Solar AdjustMI 4 3" xfId="19084"/>
    <cellStyle name="_Tenaska Comparison_Book2_Electric Rev Req Model (2009 GRC) Rebuttal REmoval of New  WH Solar AdjustMI 5" xfId="19085"/>
    <cellStyle name="_Tenaska Comparison_Book2_Electric Rev Req Model (2009 GRC) Rebuttal REmoval of New  WH Solar AdjustMI 5 2" xfId="19086"/>
    <cellStyle name="_Tenaska Comparison_Book2_Electric Rev Req Model (2009 GRC) Rebuttal REmoval of New  WH Solar AdjustMI 6" xfId="19087"/>
    <cellStyle name="_Tenaska Comparison_Book2_Electric Rev Req Model (2009 GRC) Rebuttal REmoval of New  WH Solar AdjustMI 6 2" xfId="19088"/>
    <cellStyle name="_Tenaska Comparison_Book2_Electric Rev Req Model (2009 GRC) Rebuttal REmoval of New  WH Solar AdjustMI 7" xfId="19089"/>
    <cellStyle name="_Tenaska Comparison_Book2_Electric Rev Req Model (2009 GRC) Rebuttal REmoval of New  WH Solar AdjustMI_DEM-WP(C) ENERG10C--ctn Mid-C_042010 2010GRC" xfId="19090"/>
    <cellStyle name="_Tenaska Comparison_Book2_Electric Rev Req Model (2009 GRC) Rebuttal REmoval of New  WH Solar AdjustMI_DEM-WP(C) ENERG10C--ctn Mid-C_042010 2010GRC 2" xfId="19091"/>
    <cellStyle name="_Tenaska Comparison_Book2_Electric Rev Req Model (2009 GRC) Revised 01-18-2010" xfId="860"/>
    <cellStyle name="_Tenaska Comparison_Book2_Electric Rev Req Model (2009 GRC) Revised 01-18-2010 2" xfId="19092"/>
    <cellStyle name="_Tenaska Comparison_Book2_Electric Rev Req Model (2009 GRC) Revised 01-18-2010 2 2" xfId="19093"/>
    <cellStyle name="_Tenaska Comparison_Book2_Electric Rev Req Model (2009 GRC) Revised 01-18-2010 2 2 2" xfId="19094"/>
    <cellStyle name="_Tenaska Comparison_Book2_Electric Rev Req Model (2009 GRC) Revised 01-18-2010 2 2 2 2" xfId="19095"/>
    <cellStyle name="_Tenaska Comparison_Book2_Electric Rev Req Model (2009 GRC) Revised 01-18-2010 2 2 3" xfId="19096"/>
    <cellStyle name="_Tenaska Comparison_Book2_Electric Rev Req Model (2009 GRC) Revised 01-18-2010 2 3" xfId="19097"/>
    <cellStyle name="_Tenaska Comparison_Book2_Electric Rev Req Model (2009 GRC) Revised 01-18-2010 2 3 2" xfId="19098"/>
    <cellStyle name="_Tenaska Comparison_Book2_Electric Rev Req Model (2009 GRC) Revised 01-18-2010 2 4" xfId="19099"/>
    <cellStyle name="_Tenaska Comparison_Book2_Electric Rev Req Model (2009 GRC) Revised 01-18-2010 2 4 2" xfId="19100"/>
    <cellStyle name="_Tenaska Comparison_Book2_Electric Rev Req Model (2009 GRC) Revised 01-18-2010 2 5" xfId="19101"/>
    <cellStyle name="_Tenaska Comparison_Book2_Electric Rev Req Model (2009 GRC) Revised 01-18-2010 3" xfId="19102"/>
    <cellStyle name="_Tenaska Comparison_Book2_Electric Rev Req Model (2009 GRC) Revised 01-18-2010 3 2" xfId="19103"/>
    <cellStyle name="_Tenaska Comparison_Book2_Electric Rev Req Model (2009 GRC) Revised 01-18-2010 3 2 2" xfId="19104"/>
    <cellStyle name="_Tenaska Comparison_Book2_Electric Rev Req Model (2009 GRC) Revised 01-18-2010 3 3" xfId="19105"/>
    <cellStyle name="_Tenaska Comparison_Book2_Electric Rev Req Model (2009 GRC) Revised 01-18-2010 3 4" xfId="19106"/>
    <cellStyle name="_Tenaska Comparison_Book2_Electric Rev Req Model (2009 GRC) Revised 01-18-2010 4" xfId="19107"/>
    <cellStyle name="_Tenaska Comparison_Book2_Electric Rev Req Model (2009 GRC) Revised 01-18-2010 4 2" xfId="19108"/>
    <cellStyle name="_Tenaska Comparison_Book2_Electric Rev Req Model (2009 GRC) Revised 01-18-2010 4 2 2" xfId="19109"/>
    <cellStyle name="_Tenaska Comparison_Book2_Electric Rev Req Model (2009 GRC) Revised 01-18-2010 4 3" xfId="19110"/>
    <cellStyle name="_Tenaska Comparison_Book2_Electric Rev Req Model (2009 GRC) Revised 01-18-2010 5" xfId="19111"/>
    <cellStyle name="_Tenaska Comparison_Book2_Electric Rev Req Model (2009 GRC) Revised 01-18-2010 5 2" xfId="19112"/>
    <cellStyle name="_Tenaska Comparison_Book2_Electric Rev Req Model (2009 GRC) Revised 01-18-2010 6" xfId="19113"/>
    <cellStyle name="_Tenaska Comparison_Book2_Electric Rev Req Model (2009 GRC) Revised 01-18-2010 6 2" xfId="19114"/>
    <cellStyle name="_Tenaska Comparison_Book2_Electric Rev Req Model (2009 GRC) Revised 01-18-2010 7" xfId="19115"/>
    <cellStyle name="_Tenaska Comparison_Book2_Electric Rev Req Model (2009 GRC) Revised 01-18-2010_DEM-WP(C) ENERG10C--ctn Mid-C_042010 2010GRC" xfId="19116"/>
    <cellStyle name="_Tenaska Comparison_Book2_Electric Rev Req Model (2009 GRC) Revised 01-18-2010_DEM-WP(C) ENERG10C--ctn Mid-C_042010 2010GRC 2" xfId="19117"/>
    <cellStyle name="_Tenaska Comparison_Book2_Final Order Electric EXHIBIT A-1" xfId="861"/>
    <cellStyle name="_Tenaska Comparison_Book2_Final Order Electric EXHIBIT A-1 2" xfId="19118"/>
    <cellStyle name="_Tenaska Comparison_Book2_Final Order Electric EXHIBIT A-1 2 2" xfId="19119"/>
    <cellStyle name="_Tenaska Comparison_Book2_Final Order Electric EXHIBIT A-1 2 2 2" xfId="19120"/>
    <cellStyle name="_Tenaska Comparison_Book2_Final Order Electric EXHIBIT A-1 2 3" xfId="19121"/>
    <cellStyle name="_Tenaska Comparison_Book2_Final Order Electric EXHIBIT A-1 2 4" xfId="19122"/>
    <cellStyle name="_Tenaska Comparison_Book2_Final Order Electric EXHIBIT A-1 3" xfId="19123"/>
    <cellStyle name="_Tenaska Comparison_Book2_Final Order Electric EXHIBIT A-1 3 2" xfId="19124"/>
    <cellStyle name="_Tenaska Comparison_Book2_Final Order Electric EXHIBIT A-1 3 2 2" xfId="19125"/>
    <cellStyle name="_Tenaska Comparison_Book2_Final Order Electric EXHIBIT A-1 3 3" xfId="19126"/>
    <cellStyle name="_Tenaska Comparison_Book2_Final Order Electric EXHIBIT A-1 4" xfId="19127"/>
    <cellStyle name="_Tenaska Comparison_Book2_Final Order Electric EXHIBIT A-1 4 2" xfId="19128"/>
    <cellStyle name="_Tenaska Comparison_Book2_Final Order Electric EXHIBIT A-1 5" xfId="19129"/>
    <cellStyle name="_Tenaska Comparison_Book2_Final Order Electric EXHIBIT A-1 6" xfId="19130"/>
    <cellStyle name="_Tenaska Comparison_Book2_Final Order Electric EXHIBIT A-1 7" xfId="19131"/>
    <cellStyle name="_Tenaska Comparison_Book4" xfId="862"/>
    <cellStyle name="_Tenaska Comparison_Book4 2" xfId="19132"/>
    <cellStyle name="_Tenaska Comparison_Book4 2 2" xfId="19133"/>
    <cellStyle name="_Tenaska Comparison_Book4 2 2 2" xfId="19134"/>
    <cellStyle name="_Tenaska Comparison_Book4 2 2 2 2" xfId="19135"/>
    <cellStyle name="_Tenaska Comparison_Book4 2 2 3" xfId="19136"/>
    <cellStyle name="_Tenaska Comparison_Book4 2 3" xfId="19137"/>
    <cellStyle name="_Tenaska Comparison_Book4 2 3 2" xfId="19138"/>
    <cellStyle name="_Tenaska Comparison_Book4 2 4" xfId="19139"/>
    <cellStyle name="_Tenaska Comparison_Book4 2 4 2" xfId="19140"/>
    <cellStyle name="_Tenaska Comparison_Book4 2 5" xfId="19141"/>
    <cellStyle name="_Tenaska Comparison_Book4 3" xfId="19142"/>
    <cellStyle name="_Tenaska Comparison_Book4 3 2" xfId="19143"/>
    <cellStyle name="_Tenaska Comparison_Book4 3 2 2" xfId="19144"/>
    <cellStyle name="_Tenaska Comparison_Book4 3 3" xfId="19145"/>
    <cellStyle name="_Tenaska Comparison_Book4 3 4" xfId="19146"/>
    <cellStyle name="_Tenaska Comparison_Book4 4" xfId="19147"/>
    <cellStyle name="_Tenaska Comparison_Book4 4 2" xfId="19148"/>
    <cellStyle name="_Tenaska Comparison_Book4 4 2 2" xfId="19149"/>
    <cellStyle name="_Tenaska Comparison_Book4 4 3" xfId="19150"/>
    <cellStyle name="_Tenaska Comparison_Book4 5" xfId="19151"/>
    <cellStyle name="_Tenaska Comparison_Book4 5 2" xfId="19152"/>
    <cellStyle name="_Tenaska Comparison_Book4 6" xfId="19153"/>
    <cellStyle name="_Tenaska Comparison_Book4 6 2" xfId="19154"/>
    <cellStyle name="_Tenaska Comparison_Book4 7" xfId="19155"/>
    <cellStyle name="_Tenaska Comparison_Book4_DEM-WP(C) ENERG10C--ctn Mid-C_042010 2010GRC" xfId="19156"/>
    <cellStyle name="_Tenaska Comparison_Book4_DEM-WP(C) ENERG10C--ctn Mid-C_042010 2010GRC 2" xfId="19157"/>
    <cellStyle name="_Tenaska Comparison_Book9" xfId="863"/>
    <cellStyle name="_Tenaska Comparison_Book9 2" xfId="19158"/>
    <cellStyle name="_Tenaska Comparison_Book9 2 2" xfId="19159"/>
    <cellStyle name="_Tenaska Comparison_Book9 2 2 2" xfId="19160"/>
    <cellStyle name="_Tenaska Comparison_Book9 2 2 2 2" xfId="19161"/>
    <cellStyle name="_Tenaska Comparison_Book9 2 2 3" xfId="19162"/>
    <cellStyle name="_Tenaska Comparison_Book9 2 3" xfId="19163"/>
    <cellStyle name="_Tenaska Comparison_Book9 2 3 2" xfId="19164"/>
    <cellStyle name="_Tenaska Comparison_Book9 2 4" xfId="19165"/>
    <cellStyle name="_Tenaska Comparison_Book9 2 4 2" xfId="19166"/>
    <cellStyle name="_Tenaska Comparison_Book9 2 5" xfId="19167"/>
    <cellStyle name="_Tenaska Comparison_Book9 3" xfId="19168"/>
    <cellStyle name="_Tenaska Comparison_Book9 3 2" xfId="19169"/>
    <cellStyle name="_Tenaska Comparison_Book9 3 2 2" xfId="19170"/>
    <cellStyle name="_Tenaska Comparison_Book9 3 3" xfId="19171"/>
    <cellStyle name="_Tenaska Comparison_Book9 3 4" xfId="19172"/>
    <cellStyle name="_Tenaska Comparison_Book9 4" xfId="19173"/>
    <cellStyle name="_Tenaska Comparison_Book9 4 2" xfId="19174"/>
    <cellStyle name="_Tenaska Comparison_Book9 4 2 2" xfId="19175"/>
    <cellStyle name="_Tenaska Comparison_Book9 4 3" xfId="19176"/>
    <cellStyle name="_Tenaska Comparison_Book9 5" xfId="19177"/>
    <cellStyle name="_Tenaska Comparison_Book9 5 2" xfId="19178"/>
    <cellStyle name="_Tenaska Comparison_Book9 6" xfId="19179"/>
    <cellStyle name="_Tenaska Comparison_Book9 6 2" xfId="19180"/>
    <cellStyle name="_Tenaska Comparison_Book9 7" xfId="19181"/>
    <cellStyle name="_Tenaska Comparison_Book9_DEM-WP(C) ENERG10C--ctn Mid-C_042010 2010GRC" xfId="19182"/>
    <cellStyle name="_Tenaska Comparison_Book9_DEM-WP(C) ENERG10C--ctn Mid-C_042010 2010GRC 2" xfId="19183"/>
    <cellStyle name="_Tenaska Comparison_Chelan PUD Power Costs (8-10)" xfId="19184"/>
    <cellStyle name="_Tenaska Comparison_Chelan PUD Power Costs (8-10) 2" xfId="19185"/>
    <cellStyle name="_Tenaska Comparison_DEM-WP(C) Chelan Power Costs" xfId="19186"/>
    <cellStyle name="_Tenaska Comparison_DEM-WP(C) Chelan Power Costs 2" xfId="19187"/>
    <cellStyle name="_Tenaska Comparison_DEM-WP(C) Chelan Power Costs 2 2" xfId="19188"/>
    <cellStyle name="_Tenaska Comparison_DEM-WP(C) Chelan Power Costs 2 2 2" xfId="19189"/>
    <cellStyle name="_Tenaska Comparison_DEM-WP(C) Chelan Power Costs 2 3" xfId="19190"/>
    <cellStyle name="_Tenaska Comparison_DEM-WP(C) Chelan Power Costs 3" xfId="19191"/>
    <cellStyle name="_Tenaska Comparison_DEM-WP(C) Chelan Power Costs 3 2" xfId="19192"/>
    <cellStyle name="_Tenaska Comparison_DEM-WP(C) Chelan Power Costs 3 2 2" xfId="19193"/>
    <cellStyle name="_Tenaska Comparison_DEM-WP(C) Chelan Power Costs 3 3" xfId="19194"/>
    <cellStyle name="_Tenaska Comparison_DEM-WP(C) Chelan Power Costs 4" xfId="19195"/>
    <cellStyle name="_Tenaska Comparison_DEM-WP(C) Chelan Power Costs 4 2" xfId="19196"/>
    <cellStyle name="_Tenaska Comparison_DEM-WP(C) Chelan Power Costs 5" xfId="19197"/>
    <cellStyle name="_Tenaska Comparison_DEM-WP(C) Chelan Power Costs 5 2" xfId="19198"/>
    <cellStyle name="_Tenaska Comparison_DEM-WP(C) ENERG10C--ctn Mid-C_042010 2010GRC" xfId="19199"/>
    <cellStyle name="_Tenaska Comparison_DEM-WP(C) ENERG10C--ctn Mid-C_042010 2010GRC 2" xfId="19200"/>
    <cellStyle name="_Tenaska Comparison_DEM-WP(C) Gas Transport 2010GRC" xfId="19201"/>
    <cellStyle name="_Tenaska Comparison_DEM-WP(C) Gas Transport 2010GRC 2" xfId="19202"/>
    <cellStyle name="_Tenaska Comparison_DEM-WP(C) Gas Transport 2010GRC 2 2" xfId="19203"/>
    <cellStyle name="_Tenaska Comparison_DEM-WP(C) Gas Transport 2010GRC 2 2 2" xfId="19204"/>
    <cellStyle name="_Tenaska Comparison_DEM-WP(C) Gas Transport 2010GRC 2 3" xfId="19205"/>
    <cellStyle name="_Tenaska Comparison_DEM-WP(C) Gas Transport 2010GRC 3" xfId="19206"/>
    <cellStyle name="_Tenaska Comparison_DEM-WP(C) Gas Transport 2010GRC 3 2" xfId="19207"/>
    <cellStyle name="_Tenaska Comparison_DEM-WP(C) Gas Transport 2010GRC 3 2 2" xfId="19208"/>
    <cellStyle name="_Tenaska Comparison_DEM-WP(C) Gas Transport 2010GRC 3 3" xfId="19209"/>
    <cellStyle name="_Tenaska Comparison_DEM-WP(C) Gas Transport 2010GRC 4" xfId="19210"/>
    <cellStyle name="_Tenaska Comparison_DEM-WP(C) Gas Transport 2010GRC 4 2" xfId="19211"/>
    <cellStyle name="_Tenaska Comparison_DEM-WP(C) Gas Transport 2010GRC 5" xfId="19212"/>
    <cellStyle name="_Tenaska Comparison_DEM-WP(C) Gas Transport 2010GRC 5 2" xfId="19213"/>
    <cellStyle name="_Tenaska Comparison_Electric COS Inputs" xfId="19214"/>
    <cellStyle name="_Tenaska Comparison_Electric COS Inputs 2" xfId="19215"/>
    <cellStyle name="_Tenaska Comparison_Electric COS Inputs 2 2" xfId="19216"/>
    <cellStyle name="_Tenaska Comparison_Electric COS Inputs 2 2 2" xfId="19217"/>
    <cellStyle name="_Tenaska Comparison_Electric COS Inputs 2 2 2 2" xfId="19218"/>
    <cellStyle name="_Tenaska Comparison_Electric COS Inputs 2 2 3" xfId="19219"/>
    <cellStyle name="_Tenaska Comparison_Electric COS Inputs 2 3" xfId="19220"/>
    <cellStyle name="_Tenaska Comparison_Electric COS Inputs 2 3 2" xfId="19221"/>
    <cellStyle name="_Tenaska Comparison_Electric COS Inputs 2 3 2 2" xfId="19222"/>
    <cellStyle name="_Tenaska Comparison_Electric COS Inputs 2 3 3" xfId="19223"/>
    <cellStyle name="_Tenaska Comparison_Electric COS Inputs 2 4" xfId="19224"/>
    <cellStyle name="_Tenaska Comparison_Electric COS Inputs 2 4 2" xfId="19225"/>
    <cellStyle name="_Tenaska Comparison_Electric COS Inputs 2 4 2 2" xfId="19226"/>
    <cellStyle name="_Tenaska Comparison_Electric COS Inputs 2 4 3" xfId="19227"/>
    <cellStyle name="_Tenaska Comparison_Electric COS Inputs 2 5" xfId="19228"/>
    <cellStyle name="_Tenaska Comparison_Electric COS Inputs 3" xfId="19229"/>
    <cellStyle name="_Tenaska Comparison_Electric COS Inputs 3 2" xfId="19230"/>
    <cellStyle name="_Tenaska Comparison_Electric COS Inputs 3 2 2" xfId="19231"/>
    <cellStyle name="_Tenaska Comparison_Electric COS Inputs 3 3" xfId="19232"/>
    <cellStyle name="_Tenaska Comparison_Electric COS Inputs 4" xfId="19233"/>
    <cellStyle name="_Tenaska Comparison_Electric COS Inputs 4 2" xfId="19234"/>
    <cellStyle name="_Tenaska Comparison_Electric COS Inputs 4 2 2" xfId="19235"/>
    <cellStyle name="_Tenaska Comparison_Electric COS Inputs 4 3" xfId="19236"/>
    <cellStyle name="_Tenaska Comparison_Electric COS Inputs 5" xfId="19237"/>
    <cellStyle name="_Tenaska Comparison_Electric COS Inputs 5 2" xfId="19238"/>
    <cellStyle name="_Tenaska Comparison_Electric COS Inputs 6" xfId="19239"/>
    <cellStyle name="_Tenaska Comparison_Exh A-1 resulting from UE-112050 effective Jan 1 2012" xfId="19240"/>
    <cellStyle name="_Tenaska Comparison_Exh A-1 resulting from UE-112050 effective Jan 1 2012 2" xfId="19241"/>
    <cellStyle name="_Tenaska Comparison_Exhibit A-1 effective 4-1-11 fr S Free 12-11" xfId="19242"/>
    <cellStyle name="_Tenaska Comparison_Exhibit A-1 effective 4-1-11 fr S Free 12-11 2" xfId="19243"/>
    <cellStyle name="_Tenaska Comparison_LSRWEP LGIA like Acctg Petition Aug 2010" xfId="19244"/>
    <cellStyle name="_Tenaska Comparison_LSRWEP LGIA like Acctg Petition Aug 2010 2" xfId="19245"/>
    <cellStyle name="_Tenaska Comparison_LSRWEP LGIA like Acctg Petition Aug 2010 2 2" xfId="19246"/>
    <cellStyle name="_Tenaska Comparison_LSRWEP LGIA like Acctg Petition Aug 2010 2 2 2" xfId="19247"/>
    <cellStyle name="_Tenaska Comparison_LSRWEP LGIA like Acctg Petition Aug 2010 3" xfId="19248"/>
    <cellStyle name="_Tenaska Comparison_LSRWEP LGIA like Acctg Petition Aug 2010 3 2" xfId="19249"/>
    <cellStyle name="_Tenaska Comparison_LSRWEP LGIA like Acctg Petition Aug 2010 3 2 2" xfId="19250"/>
    <cellStyle name="_Tenaska Comparison_LSRWEP LGIA like Acctg Petition Aug 2010 3 3" xfId="19251"/>
    <cellStyle name="_Tenaska Comparison_LSRWEP LGIA like Acctg Petition Aug 2010 4" xfId="19252"/>
    <cellStyle name="_Tenaska Comparison_LSRWEP LGIA like Acctg Petition Aug 2010 4 2" xfId="19253"/>
    <cellStyle name="_Tenaska Comparison_LSRWEP LGIA like Acctg Petition Aug 2010 5" xfId="19254"/>
    <cellStyle name="_Tenaska Comparison_LSRWEP LGIA like Acctg Petition Aug 2010 5 2" xfId="19255"/>
    <cellStyle name="_Tenaska Comparison_Mint Farm Generation BPA" xfId="19256"/>
    <cellStyle name="_Tenaska Comparison_NIM Summary" xfId="19257"/>
    <cellStyle name="_Tenaska Comparison_NIM Summary 09GRC" xfId="19258"/>
    <cellStyle name="_Tenaska Comparison_NIM Summary 09GRC 2" xfId="19259"/>
    <cellStyle name="_Tenaska Comparison_NIM Summary 09GRC 2 2" xfId="19260"/>
    <cellStyle name="_Tenaska Comparison_NIM Summary 09GRC 2 2 2" xfId="19261"/>
    <cellStyle name="_Tenaska Comparison_NIM Summary 09GRC 2 2 2 2" xfId="19262"/>
    <cellStyle name="_Tenaska Comparison_NIM Summary 09GRC 2 3" xfId="19263"/>
    <cellStyle name="_Tenaska Comparison_NIM Summary 09GRC 2 3 2" xfId="19264"/>
    <cellStyle name="_Tenaska Comparison_NIM Summary 09GRC 2 4" xfId="19265"/>
    <cellStyle name="_Tenaska Comparison_NIM Summary 09GRC 2 4 2" xfId="19266"/>
    <cellStyle name="_Tenaska Comparison_NIM Summary 09GRC 2 5" xfId="19267"/>
    <cellStyle name="_Tenaska Comparison_NIM Summary 09GRC 3" xfId="19268"/>
    <cellStyle name="_Tenaska Comparison_NIM Summary 09GRC 3 2" xfId="19269"/>
    <cellStyle name="_Tenaska Comparison_NIM Summary 09GRC 3 2 2" xfId="19270"/>
    <cellStyle name="_Tenaska Comparison_NIM Summary 09GRC 3 3" xfId="19271"/>
    <cellStyle name="_Tenaska Comparison_NIM Summary 09GRC 4" xfId="19272"/>
    <cellStyle name="_Tenaska Comparison_NIM Summary 09GRC 4 2" xfId="19273"/>
    <cellStyle name="_Tenaska Comparison_NIM Summary 09GRC 4 2 2" xfId="19274"/>
    <cellStyle name="_Tenaska Comparison_NIM Summary 09GRC 4 3" xfId="19275"/>
    <cellStyle name="_Tenaska Comparison_NIM Summary 09GRC 5" xfId="19276"/>
    <cellStyle name="_Tenaska Comparison_NIM Summary 09GRC 5 2" xfId="19277"/>
    <cellStyle name="_Tenaska Comparison_NIM Summary 09GRC 6" xfId="19278"/>
    <cellStyle name="_Tenaska Comparison_NIM Summary 09GRC 6 2" xfId="19279"/>
    <cellStyle name="_Tenaska Comparison_NIM Summary 09GRC 7" xfId="19280"/>
    <cellStyle name="_Tenaska Comparison_NIM Summary 09GRC_DEM-WP(C) ENERG10C--ctn Mid-C_042010 2010GRC" xfId="19281"/>
    <cellStyle name="_Tenaska Comparison_NIM Summary 09GRC_DEM-WP(C) ENERG10C--ctn Mid-C_042010 2010GRC 2" xfId="19282"/>
    <cellStyle name="_Tenaska Comparison_NIM Summary 10" xfId="19283"/>
    <cellStyle name="_Tenaska Comparison_NIM Summary 10 2" xfId="19284"/>
    <cellStyle name="_Tenaska Comparison_NIM Summary 10 2 2" xfId="19285"/>
    <cellStyle name="_Tenaska Comparison_NIM Summary 10 3" xfId="19286"/>
    <cellStyle name="_Tenaska Comparison_NIM Summary 10 4" xfId="19287"/>
    <cellStyle name="_Tenaska Comparison_NIM Summary 11" xfId="19288"/>
    <cellStyle name="_Tenaska Comparison_NIM Summary 11 2" xfId="19289"/>
    <cellStyle name="_Tenaska Comparison_NIM Summary 11 2 2" xfId="19290"/>
    <cellStyle name="_Tenaska Comparison_NIM Summary 11 3" xfId="19291"/>
    <cellStyle name="_Tenaska Comparison_NIM Summary 11 4" xfId="19292"/>
    <cellStyle name="_Tenaska Comparison_NIM Summary 12" xfId="19293"/>
    <cellStyle name="_Tenaska Comparison_NIM Summary 12 2" xfId="19294"/>
    <cellStyle name="_Tenaska Comparison_NIM Summary 12 2 2" xfId="19295"/>
    <cellStyle name="_Tenaska Comparison_NIM Summary 12 3" xfId="19296"/>
    <cellStyle name="_Tenaska Comparison_NIM Summary 12 4" xfId="19297"/>
    <cellStyle name="_Tenaska Comparison_NIM Summary 13" xfId="19298"/>
    <cellStyle name="_Tenaska Comparison_NIM Summary 13 2" xfId="19299"/>
    <cellStyle name="_Tenaska Comparison_NIM Summary 13 2 2" xfId="19300"/>
    <cellStyle name="_Tenaska Comparison_NIM Summary 13 3" xfId="19301"/>
    <cellStyle name="_Tenaska Comparison_NIM Summary 13 4" xfId="19302"/>
    <cellStyle name="_Tenaska Comparison_NIM Summary 14" xfId="19303"/>
    <cellStyle name="_Tenaska Comparison_NIM Summary 14 2" xfId="19304"/>
    <cellStyle name="_Tenaska Comparison_NIM Summary 14 2 2" xfId="19305"/>
    <cellStyle name="_Tenaska Comparison_NIM Summary 14 3" xfId="19306"/>
    <cellStyle name="_Tenaska Comparison_NIM Summary 14 4" xfId="19307"/>
    <cellStyle name="_Tenaska Comparison_NIM Summary 15" xfId="19308"/>
    <cellStyle name="_Tenaska Comparison_NIM Summary 15 2" xfId="19309"/>
    <cellStyle name="_Tenaska Comparison_NIM Summary 15 2 2" xfId="19310"/>
    <cellStyle name="_Tenaska Comparison_NIM Summary 15 3" xfId="19311"/>
    <cellStyle name="_Tenaska Comparison_NIM Summary 15 4" xfId="19312"/>
    <cellStyle name="_Tenaska Comparison_NIM Summary 16" xfId="19313"/>
    <cellStyle name="_Tenaska Comparison_NIM Summary 16 2" xfId="19314"/>
    <cellStyle name="_Tenaska Comparison_NIM Summary 16 2 2" xfId="19315"/>
    <cellStyle name="_Tenaska Comparison_NIM Summary 16 3" xfId="19316"/>
    <cellStyle name="_Tenaska Comparison_NIM Summary 16 4" xfId="19317"/>
    <cellStyle name="_Tenaska Comparison_NIM Summary 17" xfId="19318"/>
    <cellStyle name="_Tenaska Comparison_NIM Summary 17 2" xfId="19319"/>
    <cellStyle name="_Tenaska Comparison_NIM Summary 17 2 2" xfId="19320"/>
    <cellStyle name="_Tenaska Comparison_NIM Summary 17 3" xfId="19321"/>
    <cellStyle name="_Tenaska Comparison_NIM Summary 17 4" xfId="19322"/>
    <cellStyle name="_Tenaska Comparison_NIM Summary 18" xfId="19323"/>
    <cellStyle name="_Tenaska Comparison_NIM Summary 18 2" xfId="19324"/>
    <cellStyle name="_Tenaska Comparison_NIM Summary 18 3" xfId="19325"/>
    <cellStyle name="_Tenaska Comparison_NIM Summary 19" xfId="19326"/>
    <cellStyle name="_Tenaska Comparison_NIM Summary 19 2" xfId="19327"/>
    <cellStyle name="_Tenaska Comparison_NIM Summary 19 3" xfId="19328"/>
    <cellStyle name="_Tenaska Comparison_NIM Summary 2" xfId="19329"/>
    <cellStyle name="_Tenaska Comparison_NIM Summary 2 2" xfId="19330"/>
    <cellStyle name="_Tenaska Comparison_NIM Summary 2 2 2" xfId="19331"/>
    <cellStyle name="_Tenaska Comparison_NIM Summary 2 2 2 2" xfId="19332"/>
    <cellStyle name="_Tenaska Comparison_NIM Summary 2 3" xfId="19333"/>
    <cellStyle name="_Tenaska Comparison_NIM Summary 2 3 2" xfId="19334"/>
    <cellStyle name="_Tenaska Comparison_NIM Summary 2 4" xfId="19335"/>
    <cellStyle name="_Tenaska Comparison_NIM Summary 2 4 2" xfId="19336"/>
    <cellStyle name="_Tenaska Comparison_NIM Summary 2 5" xfId="19337"/>
    <cellStyle name="_Tenaska Comparison_NIM Summary 20" xfId="19338"/>
    <cellStyle name="_Tenaska Comparison_NIM Summary 20 2" xfId="19339"/>
    <cellStyle name="_Tenaska Comparison_NIM Summary 20 3" xfId="19340"/>
    <cellStyle name="_Tenaska Comparison_NIM Summary 21" xfId="19341"/>
    <cellStyle name="_Tenaska Comparison_NIM Summary 21 2" xfId="19342"/>
    <cellStyle name="_Tenaska Comparison_NIM Summary 21 3" xfId="19343"/>
    <cellStyle name="_Tenaska Comparison_NIM Summary 22" xfId="19344"/>
    <cellStyle name="_Tenaska Comparison_NIM Summary 22 2" xfId="19345"/>
    <cellStyle name="_Tenaska Comparison_NIM Summary 22 3" xfId="19346"/>
    <cellStyle name="_Tenaska Comparison_NIM Summary 23" xfId="19347"/>
    <cellStyle name="_Tenaska Comparison_NIM Summary 23 2" xfId="19348"/>
    <cellStyle name="_Tenaska Comparison_NIM Summary 23 3" xfId="19349"/>
    <cellStyle name="_Tenaska Comparison_NIM Summary 24" xfId="19350"/>
    <cellStyle name="_Tenaska Comparison_NIM Summary 24 2" xfId="19351"/>
    <cellStyle name="_Tenaska Comparison_NIM Summary 24 3" xfId="19352"/>
    <cellStyle name="_Tenaska Comparison_NIM Summary 25" xfId="19353"/>
    <cellStyle name="_Tenaska Comparison_NIM Summary 25 2" xfId="19354"/>
    <cellStyle name="_Tenaska Comparison_NIM Summary 25 3" xfId="19355"/>
    <cellStyle name="_Tenaska Comparison_NIM Summary 26" xfId="19356"/>
    <cellStyle name="_Tenaska Comparison_NIM Summary 26 2" xfId="19357"/>
    <cellStyle name="_Tenaska Comparison_NIM Summary 26 3" xfId="19358"/>
    <cellStyle name="_Tenaska Comparison_NIM Summary 27" xfId="19359"/>
    <cellStyle name="_Tenaska Comparison_NIM Summary 27 2" xfId="19360"/>
    <cellStyle name="_Tenaska Comparison_NIM Summary 27 3" xfId="19361"/>
    <cellStyle name="_Tenaska Comparison_NIM Summary 28" xfId="19362"/>
    <cellStyle name="_Tenaska Comparison_NIM Summary 28 2" xfId="19363"/>
    <cellStyle name="_Tenaska Comparison_NIM Summary 28 3" xfId="19364"/>
    <cellStyle name="_Tenaska Comparison_NIM Summary 29" xfId="19365"/>
    <cellStyle name="_Tenaska Comparison_NIM Summary 29 2" xfId="19366"/>
    <cellStyle name="_Tenaska Comparison_NIM Summary 29 3" xfId="19367"/>
    <cellStyle name="_Tenaska Comparison_NIM Summary 3" xfId="19368"/>
    <cellStyle name="_Tenaska Comparison_NIM Summary 3 2" xfId="19369"/>
    <cellStyle name="_Tenaska Comparison_NIM Summary 3 2 2" xfId="19370"/>
    <cellStyle name="_Tenaska Comparison_NIM Summary 3 3" xfId="19371"/>
    <cellStyle name="_Tenaska Comparison_NIM Summary 3 4" xfId="19372"/>
    <cellStyle name="_Tenaska Comparison_NIM Summary 30" xfId="19373"/>
    <cellStyle name="_Tenaska Comparison_NIM Summary 30 2" xfId="19374"/>
    <cellStyle name="_Tenaska Comparison_NIM Summary 30 3" xfId="19375"/>
    <cellStyle name="_Tenaska Comparison_NIM Summary 31" xfId="19376"/>
    <cellStyle name="_Tenaska Comparison_NIM Summary 31 2" xfId="19377"/>
    <cellStyle name="_Tenaska Comparison_NIM Summary 31 3" xfId="19378"/>
    <cellStyle name="_Tenaska Comparison_NIM Summary 32" xfId="19379"/>
    <cellStyle name="_Tenaska Comparison_NIM Summary 32 2" xfId="19380"/>
    <cellStyle name="_Tenaska Comparison_NIM Summary 33" xfId="19381"/>
    <cellStyle name="_Tenaska Comparison_NIM Summary 33 2" xfId="19382"/>
    <cellStyle name="_Tenaska Comparison_NIM Summary 34" xfId="19383"/>
    <cellStyle name="_Tenaska Comparison_NIM Summary 34 2" xfId="19384"/>
    <cellStyle name="_Tenaska Comparison_NIM Summary 35" xfId="19385"/>
    <cellStyle name="_Tenaska Comparison_NIM Summary 35 2" xfId="19386"/>
    <cellStyle name="_Tenaska Comparison_NIM Summary 36" xfId="19387"/>
    <cellStyle name="_Tenaska Comparison_NIM Summary 36 2" xfId="19388"/>
    <cellStyle name="_Tenaska Comparison_NIM Summary 37" xfId="19389"/>
    <cellStyle name="_Tenaska Comparison_NIM Summary 37 2" xfId="19390"/>
    <cellStyle name="_Tenaska Comparison_NIM Summary 38" xfId="19391"/>
    <cellStyle name="_Tenaska Comparison_NIM Summary 38 2" xfId="19392"/>
    <cellStyle name="_Tenaska Comparison_NIM Summary 39" xfId="19393"/>
    <cellStyle name="_Tenaska Comparison_NIM Summary 39 2" xfId="19394"/>
    <cellStyle name="_Tenaska Comparison_NIM Summary 4" xfId="19395"/>
    <cellStyle name="_Tenaska Comparison_NIM Summary 4 2" xfId="19396"/>
    <cellStyle name="_Tenaska Comparison_NIM Summary 4 2 2" xfId="19397"/>
    <cellStyle name="_Tenaska Comparison_NIM Summary 4 3" xfId="19398"/>
    <cellStyle name="_Tenaska Comparison_NIM Summary 4 4" xfId="19399"/>
    <cellStyle name="_Tenaska Comparison_NIM Summary 40" xfId="19400"/>
    <cellStyle name="_Tenaska Comparison_NIM Summary 40 2" xfId="19401"/>
    <cellStyle name="_Tenaska Comparison_NIM Summary 41" xfId="19402"/>
    <cellStyle name="_Tenaska Comparison_NIM Summary 41 2" xfId="19403"/>
    <cellStyle name="_Tenaska Comparison_NIM Summary 42" xfId="19404"/>
    <cellStyle name="_Tenaska Comparison_NIM Summary 42 2" xfId="19405"/>
    <cellStyle name="_Tenaska Comparison_NIM Summary 43" xfId="19406"/>
    <cellStyle name="_Tenaska Comparison_NIM Summary 43 2" xfId="19407"/>
    <cellStyle name="_Tenaska Comparison_NIM Summary 44" xfId="19408"/>
    <cellStyle name="_Tenaska Comparison_NIM Summary 44 2" xfId="19409"/>
    <cellStyle name="_Tenaska Comparison_NIM Summary 45" xfId="19410"/>
    <cellStyle name="_Tenaska Comparison_NIM Summary 45 2" xfId="19411"/>
    <cellStyle name="_Tenaska Comparison_NIM Summary 46" xfId="19412"/>
    <cellStyle name="_Tenaska Comparison_NIM Summary 46 2" xfId="19413"/>
    <cellStyle name="_Tenaska Comparison_NIM Summary 47" xfId="19414"/>
    <cellStyle name="_Tenaska Comparison_NIM Summary 47 2" xfId="19415"/>
    <cellStyle name="_Tenaska Comparison_NIM Summary 48" xfId="19416"/>
    <cellStyle name="_Tenaska Comparison_NIM Summary 49" xfId="19417"/>
    <cellStyle name="_Tenaska Comparison_NIM Summary 5" xfId="19418"/>
    <cellStyle name="_Tenaska Comparison_NIM Summary 5 2" xfId="19419"/>
    <cellStyle name="_Tenaska Comparison_NIM Summary 5 2 2" xfId="19420"/>
    <cellStyle name="_Tenaska Comparison_NIM Summary 5 3" xfId="19421"/>
    <cellStyle name="_Tenaska Comparison_NIM Summary 5 4" xfId="19422"/>
    <cellStyle name="_Tenaska Comparison_NIM Summary 50" xfId="19423"/>
    <cellStyle name="_Tenaska Comparison_NIM Summary 51" xfId="19424"/>
    <cellStyle name="_Tenaska Comparison_NIM Summary 52" xfId="19425"/>
    <cellStyle name="_Tenaska Comparison_NIM Summary 6" xfId="19426"/>
    <cellStyle name="_Tenaska Comparison_NIM Summary 6 2" xfId="19427"/>
    <cellStyle name="_Tenaska Comparison_NIM Summary 6 2 2" xfId="19428"/>
    <cellStyle name="_Tenaska Comparison_NIM Summary 6 3" xfId="19429"/>
    <cellStyle name="_Tenaska Comparison_NIM Summary 6 4" xfId="19430"/>
    <cellStyle name="_Tenaska Comparison_NIM Summary 7" xfId="19431"/>
    <cellStyle name="_Tenaska Comparison_NIM Summary 7 2" xfId="19432"/>
    <cellStyle name="_Tenaska Comparison_NIM Summary 7 2 2" xfId="19433"/>
    <cellStyle name="_Tenaska Comparison_NIM Summary 7 3" xfId="19434"/>
    <cellStyle name="_Tenaska Comparison_NIM Summary 7 4" xfId="19435"/>
    <cellStyle name="_Tenaska Comparison_NIM Summary 7 5" xfId="19436"/>
    <cellStyle name="_Tenaska Comparison_NIM Summary 8" xfId="19437"/>
    <cellStyle name="_Tenaska Comparison_NIM Summary 8 2" xfId="19438"/>
    <cellStyle name="_Tenaska Comparison_NIM Summary 8 2 2" xfId="19439"/>
    <cellStyle name="_Tenaska Comparison_NIM Summary 8 3" xfId="19440"/>
    <cellStyle name="_Tenaska Comparison_NIM Summary 8 4" xfId="19441"/>
    <cellStyle name="_Tenaska Comparison_NIM Summary 8 5" xfId="19442"/>
    <cellStyle name="_Tenaska Comparison_NIM Summary 9" xfId="19443"/>
    <cellStyle name="_Tenaska Comparison_NIM Summary 9 2" xfId="19444"/>
    <cellStyle name="_Tenaska Comparison_NIM Summary 9 2 2" xfId="19445"/>
    <cellStyle name="_Tenaska Comparison_NIM Summary 9 3" xfId="19446"/>
    <cellStyle name="_Tenaska Comparison_NIM Summary 9 4" xfId="19447"/>
    <cellStyle name="_Tenaska Comparison_NIM Summary 9 5" xfId="19448"/>
    <cellStyle name="_Tenaska Comparison_NIM Summary_DEM-WP(C) ENERG10C--ctn Mid-C_042010 2010GRC" xfId="19449"/>
    <cellStyle name="_Tenaska Comparison_NIM Summary_DEM-WP(C) ENERG10C--ctn Mid-C_042010 2010GRC 2" xfId="19450"/>
    <cellStyle name="_Tenaska Comparison_NIM+O&amp;M" xfId="19451"/>
    <cellStyle name="_Tenaska Comparison_NIM+O&amp;M 2" xfId="19452"/>
    <cellStyle name="_Tenaska Comparison_NIM+O&amp;M 2 2" xfId="19453"/>
    <cellStyle name="_Tenaska Comparison_NIM+O&amp;M 2 2 2" xfId="19454"/>
    <cellStyle name="_Tenaska Comparison_NIM+O&amp;M 2 2 2 2" xfId="19455"/>
    <cellStyle name="_Tenaska Comparison_NIM+O&amp;M 2 3" xfId="19456"/>
    <cellStyle name="_Tenaska Comparison_NIM+O&amp;M 2 3 2" xfId="19457"/>
    <cellStyle name="_Tenaska Comparison_NIM+O&amp;M 2 4" xfId="19458"/>
    <cellStyle name="_Tenaska Comparison_NIM+O&amp;M 2 4 2" xfId="19459"/>
    <cellStyle name="_Tenaska Comparison_NIM+O&amp;M 3" xfId="19460"/>
    <cellStyle name="_Tenaska Comparison_NIM+O&amp;M 3 2" xfId="19461"/>
    <cellStyle name="_Tenaska Comparison_NIM+O&amp;M 3 2 2" xfId="19462"/>
    <cellStyle name="_Tenaska Comparison_NIM+O&amp;M 4" xfId="19463"/>
    <cellStyle name="_Tenaska Comparison_NIM+O&amp;M 4 2" xfId="19464"/>
    <cellStyle name="_Tenaska Comparison_NIM+O&amp;M 4 2 2" xfId="19465"/>
    <cellStyle name="_Tenaska Comparison_NIM+O&amp;M 4 3" xfId="19466"/>
    <cellStyle name="_Tenaska Comparison_NIM+O&amp;M 5" xfId="19467"/>
    <cellStyle name="_Tenaska Comparison_NIM+O&amp;M 5 2" xfId="19468"/>
    <cellStyle name="_Tenaska Comparison_NIM+O&amp;M 6" xfId="19469"/>
    <cellStyle name="_Tenaska Comparison_NIM+O&amp;M 6 2" xfId="19470"/>
    <cellStyle name="_Tenaska Comparison_NIM+O&amp;M Monthly" xfId="19471"/>
    <cellStyle name="_Tenaska Comparison_NIM+O&amp;M Monthly 2" xfId="19472"/>
    <cellStyle name="_Tenaska Comparison_NIM+O&amp;M Monthly 2 2" xfId="19473"/>
    <cellStyle name="_Tenaska Comparison_NIM+O&amp;M Monthly 2 2 2" xfId="19474"/>
    <cellStyle name="_Tenaska Comparison_NIM+O&amp;M Monthly 2 2 2 2" xfId="19475"/>
    <cellStyle name="_Tenaska Comparison_NIM+O&amp;M Monthly 2 3" xfId="19476"/>
    <cellStyle name="_Tenaska Comparison_NIM+O&amp;M Monthly 2 3 2" xfId="19477"/>
    <cellStyle name="_Tenaska Comparison_NIM+O&amp;M Monthly 2 4" xfId="19478"/>
    <cellStyle name="_Tenaska Comparison_NIM+O&amp;M Monthly 2 4 2" xfId="19479"/>
    <cellStyle name="_Tenaska Comparison_NIM+O&amp;M Monthly 3" xfId="19480"/>
    <cellStyle name="_Tenaska Comparison_NIM+O&amp;M Monthly 3 2" xfId="19481"/>
    <cellStyle name="_Tenaska Comparison_NIM+O&amp;M Monthly 3 2 2" xfId="19482"/>
    <cellStyle name="_Tenaska Comparison_NIM+O&amp;M Monthly 4" xfId="19483"/>
    <cellStyle name="_Tenaska Comparison_NIM+O&amp;M Monthly 4 2" xfId="19484"/>
    <cellStyle name="_Tenaska Comparison_NIM+O&amp;M Monthly 4 2 2" xfId="19485"/>
    <cellStyle name="_Tenaska Comparison_NIM+O&amp;M Monthly 4 3" xfId="19486"/>
    <cellStyle name="_Tenaska Comparison_NIM+O&amp;M Monthly 5" xfId="19487"/>
    <cellStyle name="_Tenaska Comparison_NIM+O&amp;M Monthly 5 2" xfId="19488"/>
    <cellStyle name="_Tenaska Comparison_NIM+O&amp;M Monthly 6" xfId="19489"/>
    <cellStyle name="_Tenaska Comparison_NIM+O&amp;M Monthly 6 2" xfId="19490"/>
    <cellStyle name="_Tenaska Comparison_PCA 10 -  Exhibit D Dec 2011" xfId="19491"/>
    <cellStyle name="_Tenaska Comparison_PCA 10 -  Exhibit D Dec 2011 2" xfId="19492"/>
    <cellStyle name="_Tenaska Comparison_PCA 10 -  Exhibit D from A Kellogg Jan 2011" xfId="19493"/>
    <cellStyle name="_Tenaska Comparison_PCA 10 -  Exhibit D from A Kellogg Jan 2011 2" xfId="19494"/>
    <cellStyle name="_Tenaska Comparison_PCA 10 -  Exhibit D from A Kellogg July 2011" xfId="19495"/>
    <cellStyle name="_Tenaska Comparison_PCA 10 -  Exhibit D from A Kellogg July 2011 2" xfId="19496"/>
    <cellStyle name="_Tenaska Comparison_PCA 10 -  Exhibit D from S Free Rcv'd 12-11" xfId="19497"/>
    <cellStyle name="_Tenaska Comparison_PCA 10 -  Exhibit D from S Free Rcv'd 12-11 2" xfId="19498"/>
    <cellStyle name="_Tenaska Comparison_PCA 11 -  Exhibit D Jan 2012 fr A Kellogg" xfId="19499"/>
    <cellStyle name="_Tenaska Comparison_PCA 11 -  Exhibit D Jan 2012 fr A Kellogg 2" xfId="19500"/>
    <cellStyle name="_Tenaska Comparison_PCA 11 -  Exhibit D Jan 2012 WF" xfId="19501"/>
    <cellStyle name="_Tenaska Comparison_PCA 11 -  Exhibit D Jan 2012 WF 2" xfId="19502"/>
    <cellStyle name="_Tenaska Comparison_PCA 9 -  Exhibit D April 2010" xfId="19503"/>
    <cellStyle name="_Tenaska Comparison_PCA 9 -  Exhibit D April 2010 (3)" xfId="19504"/>
    <cellStyle name="_Tenaska Comparison_PCA 9 -  Exhibit D April 2010 (3) 2" xfId="19505"/>
    <cellStyle name="_Tenaska Comparison_PCA 9 -  Exhibit D April 2010 (3) 2 2" xfId="19506"/>
    <cellStyle name="_Tenaska Comparison_PCA 9 -  Exhibit D April 2010 (3) 2 2 2" xfId="19507"/>
    <cellStyle name="_Tenaska Comparison_PCA 9 -  Exhibit D April 2010 (3) 2 2 2 2" xfId="19508"/>
    <cellStyle name="_Tenaska Comparison_PCA 9 -  Exhibit D April 2010 (3) 2 3" xfId="19509"/>
    <cellStyle name="_Tenaska Comparison_PCA 9 -  Exhibit D April 2010 (3) 2 3 2" xfId="19510"/>
    <cellStyle name="_Tenaska Comparison_PCA 9 -  Exhibit D April 2010 (3) 2 4" xfId="19511"/>
    <cellStyle name="_Tenaska Comparison_PCA 9 -  Exhibit D April 2010 (3) 2 4 2" xfId="19512"/>
    <cellStyle name="_Tenaska Comparison_PCA 9 -  Exhibit D April 2010 (3) 2 5" xfId="19513"/>
    <cellStyle name="_Tenaska Comparison_PCA 9 -  Exhibit D April 2010 (3) 3" xfId="19514"/>
    <cellStyle name="_Tenaska Comparison_PCA 9 -  Exhibit D April 2010 (3) 3 2" xfId="19515"/>
    <cellStyle name="_Tenaska Comparison_PCA 9 -  Exhibit D April 2010 (3) 3 2 2" xfId="19516"/>
    <cellStyle name="_Tenaska Comparison_PCA 9 -  Exhibit D April 2010 (3) 3 3" xfId="19517"/>
    <cellStyle name="_Tenaska Comparison_PCA 9 -  Exhibit D April 2010 (3) 4" xfId="19518"/>
    <cellStyle name="_Tenaska Comparison_PCA 9 -  Exhibit D April 2010 (3) 4 2" xfId="19519"/>
    <cellStyle name="_Tenaska Comparison_PCA 9 -  Exhibit D April 2010 (3) 4 2 2" xfId="19520"/>
    <cellStyle name="_Tenaska Comparison_PCA 9 -  Exhibit D April 2010 (3) 4 3" xfId="19521"/>
    <cellStyle name="_Tenaska Comparison_PCA 9 -  Exhibit D April 2010 (3) 5" xfId="19522"/>
    <cellStyle name="_Tenaska Comparison_PCA 9 -  Exhibit D April 2010 (3) 5 2" xfId="19523"/>
    <cellStyle name="_Tenaska Comparison_PCA 9 -  Exhibit D April 2010 (3) 6" xfId="19524"/>
    <cellStyle name="_Tenaska Comparison_PCA 9 -  Exhibit D April 2010 (3) 6 2" xfId="19525"/>
    <cellStyle name="_Tenaska Comparison_PCA 9 -  Exhibit D April 2010 (3) 7" xfId="19526"/>
    <cellStyle name="_Tenaska Comparison_PCA 9 -  Exhibit D April 2010 (3)_DEM-WP(C) ENERG10C--ctn Mid-C_042010 2010GRC" xfId="19527"/>
    <cellStyle name="_Tenaska Comparison_PCA 9 -  Exhibit D April 2010 (3)_DEM-WP(C) ENERG10C--ctn Mid-C_042010 2010GRC 2" xfId="19528"/>
    <cellStyle name="_Tenaska Comparison_PCA 9 -  Exhibit D April 2010 2" xfId="19529"/>
    <cellStyle name="_Tenaska Comparison_PCA 9 -  Exhibit D April 2010 2 2" xfId="19530"/>
    <cellStyle name="_Tenaska Comparison_PCA 9 -  Exhibit D April 2010 3" xfId="19531"/>
    <cellStyle name="_Tenaska Comparison_PCA 9 -  Exhibit D April 2010 3 2" xfId="19532"/>
    <cellStyle name="_Tenaska Comparison_PCA 9 -  Exhibit D April 2010 4" xfId="19533"/>
    <cellStyle name="_Tenaska Comparison_PCA 9 -  Exhibit D April 2010 4 2" xfId="19534"/>
    <cellStyle name="_Tenaska Comparison_PCA 9 -  Exhibit D April 2010 5" xfId="19535"/>
    <cellStyle name="_Tenaska Comparison_PCA 9 -  Exhibit D April 2010 5 2" xfId="19536"/>
    <cellStyle name="_Tenaska Comparison_PCA 9 -  Exhibit D April 2010 6" xfId="19537"/>
    <cellStyle name="_Tenaska Comparison_PCA 9 -  Exhibit D April 2010 6 2" xfId="19538"/>
    <cellStyle name="_Tenaska Comparison_PCA 9 -  Exhibit D April 2010 7" xfId="19539"/>
    <cellStyle name="_Tenaska Comparison_PCA 9 -  Exhibit D Nov 2010" xfId="19540"/>
    <cellStyle name="_Tenaska Comparison_PCA 9 -  Exhibit D Nov 2010 2" xfId="19541"/>
    <cellStyle name="_Tenaska Comparison_PCA 9 -  Exhibit D Nov 2010 2 2" xfId="19542"/>
    <cellStyle name="_Tenaska Comparison_PCA 9 -  Exhibit D Nov 2010 3" xfId="19543"/>
    <cellStyle name="_Tenaska Comparison_PCA 9 - Exhibit D at August 2010" xfId="19544"/>
    <cellStyle name="_Tenaska Comparison_PCA 9 - Exhibit D at August 2010 2" xfId="19545"/>
    <cellStyle name="_Tenaska Comparison_PCA 9 - Exhibit D at August 2010 2 2" xfId="19546"/>
    <cellStyle name="_Tenaska Comparison_PCA 9 - Exhibit D at August 2010 3" xfId="19547"/>
    <cellStyle name="_Tenaska Comparison_PCA 9 - Exhibit D June 2010 GRC" xfId="19548"/>
    <cellStyle name="_Tenaska Comparison_PCA 9 - Exhibit D June 2010 GRC 2" xfId="19549"/>
    <cellStyle name="_Tenaska Comparison_PCA 9 - Exhibit D June 2010 GRC 2 2" xfId="19550"/>
    <cellStyle name="_Tenaska Comparison_PCA 9 - Exhibit D June 2010 GRC 3" xfId="19551"/>
    <cellStyle name="_Tenaska Comparison_Power Costs - Comparison bx Rbtl-Staff-Jt-PC" xfId="864"/>
    <cellStyle name="_Tenaska Comparison_Power Costs - Comparison bx Rbtl-Staff-Jt-PC 2" xfId="19552"/>
    <cellStyle name="_Tenaska Comparison_Power Costs - Comparison bx Rbtl-Staff-Jt-PC 2 2" xfId="19553"/>
    <cellStyle name="_Tenaska Comparison_Power Costs - Comparison bx Rbtl-Staff-Jt-PC 2 2 2" xfId="19554"/>
    <cellStyle name="_Tenaska Comparison_Power Costs - Comparison bx Rbtl-Staff-Jt-PC 2 2 2 2" xfId="19555"/>
    <cellStyle name="_Tenaska Comparison_Power Costs - Comparison bx Rbtl-Staff-Jt-PC 2 2 3" xfId="19556"/>
    <cellStyle name="_Tenaska Comparison_Power Costs - Comparison bx Rbtl-Staff-Jt-PC 2 3" xfId="19557"/>
    <cellStyle name="_Tenaska Comparison_Power Costs - Comparison bx Rbtl-Staff-Jt-PC 2 3 2" xfId="19558"/>
    <cellStyle name="_Tenaska Comparison_Power Costs - Comparison bx Rbtl-Staff-Jt-PC 2 4" xfId="19559"/>
    <cellStyle name="_Tenaska Comparison_Power Costs - Comparison bx Rbtl-Staff-Jt-PC 2 4 2" xfId="19560"/>
    <cellStyle name="_Tenaska Comparison_Power Costs - Comparison bx Rbtl-Staff-Jt-PC 2 5" xfId="19561"/>
    <cellStyle name="_Tenaska Comparison_Power Costs - Comparison bx Rbtl-Staff-Jt-PC 3" xfId="19562"/>
    <cellStyle name="_Tenaska Comparison_Power Costs - Comparison bx Rbtl-Staff-Jt-PC 3 2" xfId="19563"/>
    <cellStyle name="_Tenaska Comparison_Power Costs - Comparison bx Rbtl-Staff-Jt-PC 3 2 2" xfId="19564"/>
    <cellStyle name="_Tenaska Comparison_Power Costs - Comparison bx Rbtl-Staff-Jt-PC 3 3" xfId="19565"/>
    <cellStyle name="_Tenaska Comparison_Power Costs - Comparison bx Rbtl-Staff-Jt-PC 3 4" xfId="19566"/>
    <cellStyle name="_Tenaska Comparison_Power Costs - Comparison bx Rbtl-Staff-Jt-PC 4" xfId="19567"/>
    <cellStyle name="_Tenaska Comparison_Power Costs - Comparison bx Rbtl-Staff-Jt-PC 4 2" xfId="19568"/>
    <cellStyle name="_Tenaska Comparison_Power Costs - Comparison bx Rbtl-Staff-Jt-PC 4 2 2" xfId="19569"/>
    <cellStyle name="_Tenaska Comparison_Power Costs - Comparison bx Rbtl-Staff-Jt-PC 4 3" xfId="19570"/>
    <cellStyle name="_Tenaska Comparison_Power Costs - Comparison bx Rbtl-Staff-Jt-PC 5" xfId="19571"/>
    <cellStyle name="_Tenaska Comparison_Power Costs - Comparison bx Rbtl-Staff-Jt-PC 5 2" xfId="19572"/>
    <cellStyle name="_Tenaska Comparison_Power Costs - Comparison bx Rbtl-Staff-Jt-PC 6" xfId="19573"/>
    <cellStyle name="_Tenaska Comparison_Power Costs - Comparison bx Rbtl-Staff-Jt-PC 6 2" xfId="19574"/>
    <cellStyle name="_Tenaska Comparison_Power Costs - Comparison bx Rbtl-Staff-Jt-PC 7" xfId="19575"/>
    <cellStyle name="_Tenaska Comparison_Power Costs - Comparison bx Rbtl-Staff-Jt-PC_Adj Bench DR 3 for Initial Briefs (Electric)" xfId="865"/>
    <cellStyle name="_Tenaska Comparison_Power Costs - Comparison bx Rbtl-Staff-Jt-PC_Adj Bench DR 3 for Initial Briefs (Electric) 2" xfId="19576"/>
    <cellStyle name="_Tenaska Comparison_Power Costs - Comparison bx Rbtl-Staff-Jt-PC_Adj Bench DR 3 for Initial Briefs (Electric) 2 2" xfId="19577"/>
    <cellStyle name="_Tenaska Comparison_Power Costs - Comparison bx Rbtl-Staff-Jt-PC_Adj Bench DR 3 for Initial Briefs (Electric) 2 2 2" xfId="19578"/>
    <cellStyle name="_Tenaska Comparison_Power Costs - Comparison bx Rbtl-Staff-Jt-PC_Adj Bench DR 3 for Initial Briefs (Electric) 2 2 2 2" xfId="19579"/>
    <cellStyle name="_Tenaska Comparison_Power Costs - Comparison bx Rbtl-Staff-Jt-PC_Adj Bench DR 3 for Initial Briefs (Electric) 2 2 3" xfId="19580"/>
    <cellStyle name="_Tenaska Comparison_Power Costs - Comparison bx Rbtl-Staff-Jt-PC_Adj Bench DR 3 for Initial Briefs (Electric) 2 3" xfId="19581"/>
    <cellStyle name="_Tenaska Comparison_Power Costs - Comparison bx Rbtl-Staff-Jt-PC_Adj Bench DR 3 for Initial Briefs (Electric) 2 3 2" xfId="19582"/>
    <cellStyle name="_Tenaska Comparison_Power Costs - Comparison bx Rbtl-Staff-Jt-PC_Adj Bench DR 3 for Initial Briefs (Electric) 2 4" xfId="19583"/>
    <cellStyle name="_Tenaska Comparison_Power Costs - Comparison bx Rbtl-Staff-Jt-PC_Adj Bench DR 3 for Initial Briefs (Electric) 2 4 2" xfId="19584"/>
    <cellStyle name="_Tenaska Comparison_Power Costs - Comparison bx Rbtl-Staff-Jt-PC_Adj Bench DR 3 for Initial Briefs (Electric) 2 5" xfId="19585"/>
    <cellStyle name="_Tenaska Comparison_Power Costs - Comparison bx Rbtl-Staff-Jt-PC_Adj Bench DR 3 for Initial Briefs (Electric) 3" xfId="19586"/>
    <cellStyle name="_Tenaska Comparison_Power Costs - Comparison bx Rbtl-Staff-Jt-PC_Adj Bench DR 3 for Initial Briefs (Electric) 3 2" xfId="19587"/>
    <cellStyle name="_Tenaska Comparison_Power Costs - Comparison bx Rbtl-Staff-Jt-PC_Adj Bench DR 3 for Initial Briefs (Electric) 3 2 2" xfId="19588"/>
    <cellStyle name="_Tenaska Comparison_Power Costs - Comparison bx Rbtl-Staff-Jt-PC_Adj Bench DR 3 for Initial Briefs (Electric) 3 3" xfId="19589"/>
    <cellStyle name="_Tenaska Comparison_Power Costs - Comparison bx Rbtl-Staff-Jt-PC_Adj Bench DR 3 for Initial Briefs (Electric) 3 4" xfId="19590"/>
    <cellStyle name="_Tenaska Comparison_Power Costs - Comparison bx Rbtl-Staff-Jt-PC_Adj Bench DR 3 for Initial Briefs (Electric) 4" xfId="19591"/>
    <cellStyle name="_Tenaska Comparison_Power Costs - Comparison bx Rbtl-Staff-Jt-PC_Adj Bench DR 3 for Initial Briefs (Electric) 4 2" xfId="19592"/>
    <cellStyle name="_Tenaska Comparison_Power Costs - Comparison bx Rbtl-Staff-Jt-PC_Adj Bench DR 3 for Initial Briefs (Electric) 4 2 2" xfId="19593"/>
    <cellStyle name="_Tenaska Comparison_Power Costs - Comparison bx Rbtl-Staff-Jt-PC_Adj Bench DR 3 for Initial Briefs (Electric) 4 3" xfId="19594"/>
    <cellStyle name="_Tenaska Comparison_Power Costs - Comparison bx Rbtl-Staff-Jt-PC_Adj Bench DR 3 for Initial Briefs (Electric) 5" xfId="19595"/>
    <cellStyle name="_Tenaska Comparison_Power Costs - Comparison bx Rbtl-Staff-Jt-PC_Adj Bench DR 3 for Initial Briefs (Electric) 5 2" xfId="19596"/>
    <cellStyle name="_Tenaska Comparison_Power Costs - Comparison bx Rbtl-Staff-Jt-PC_Adj Bench DR 3 for Initial Briefs (Electric) 6" xfId="19597"/>
    <cellStyle name="_Tenaska Comparison_Power Costs - Comparison bx Rbtl-Staff-Jt-PC_Adj Bench DR 3 for Initial Briefs (Electric) 6 2" xfId="19598"/>
    <cellStyle name="_Tenaska Comparison_Power Costs - Comparison bx Rbtl-Staff-Jt-PC_Adj Bench DR 3 for Initial Briefs (Electric) 7" xfId="19599"/>
    <cellStyle name="_Tenaska Comparison_Power Costs - Comparison bx Rbtl-Staff-Jt-PC_Adj Bench DR 3 for Initial Briefs (Electric)_DEM-WP(C) ENERG10C--ctn Mid-C_042010 2010GRC" xfId="19600"/>
    <cellStyle name="_Tenaska Comparison_Power Costs - Comparison bx Rbtl-Staff-Jt-PC_Adj Bench DR 3 for Initial Briefs (Electric)_DEM-WP(C) ENERG10C--ctn Mid-C_042010 2010GRC 2" xfId="19601"/>
    <cellStyle name="_Tenaska Comparison_Power Costs - Comparison bx Rbtl-Staff-Jt-PC_DEM-WP(C) ENERG10C--ctn Mid-C_042010 2010GRC" xfId="19602"/>
    <cellStyle name="_Tenaska Comparison_Power Costs - Comparison bx Rbtl-Staff-Jt-PC_DEM-WP(C) ENERG10C--ctn Mid-C_042010 2010GRC 2" xfId="19603"/>
    <cellStyle name="_Tenaska Comparison_Power Costs - Comparison bx Rbtl-Staff-Jt-PC_Electric Rev Req Model (2009 GRC) Rebuttal" xfId="866"/>
    <cellStyle name="_Tenaska Comparison_Power Costs - Comparison bx Rbtl-Staff-Jt-PC_Electric Rev Req Model (2009 GRC) Rebuttal 2" xfId="19604"/>
    <cellStyle name="_Tenaska Comparison_Power Costs - Comparison bx Rbtl-Staff-Jt-PC_Electric Rev Req Model (2009 GRC) Rebuttal 2 2" xfId="19605"/>
    <cellStyle name="_Tenaska Comparison_Power Costs - Comparison bx Rbtl-Staff-Jt-PC_Electric Rev Req Model (2009 GRC) Rebuttal 2 2 2" xfId="19606"/>
    <cellStyle name="_Tenaska Comparison_Power Costs - Comparison bx Rbtl-Staff-Jt-PC_Electric Rev Req Model (2009 GRC) Rebuttal 2 3" xfId="19607"/>
    <cellStyle name="_Tenaska Comparison_Power Costs - Comparison bx Rbtl-Staff-Jt-PC_Electric Rev Req Model (2009 GRC) Rebuttal 2 4" xfId="19608"/>
    <cellStyle name="_Tenaska Comparison_Power Costs - Comparison bx Rbtl-Staff-Jt-PC_Electric Rev Req Model (2009 GRC) Rebuttal 3" xfId="19609"/>
    <cellStyle name="_Tenaska Comparison_Power Costs - Comparison bx Rbtl-Staff-Jt-PC_Electric Rev Req Model (2009 GRC) Rebuttal 3 2" xfId="19610"/>
    <cellStyle name="_Tenaska Comparison_Power Costs - Comparison bx Rbtl-Staff-Jt-PC_Electric Rev Req Model (2009 GRC) Rebuttal 4" xfId="19611"/>
    <cellStyle name="_Tenaska Comparison_Power Costs - Comparison bx Rbtl-Staff-Jt-PC_Electric Rev Req Model (2009 GRC) Rebuttal 5" xfId="19612"/>
    <cellStyle name="_Tenaska Comparison_Power Costs - Comparison bx Rbtl-Staff-Jt-PC_Electric Rev Req Model (2009 GRC) Rebuttal REmoval of New  WH Solar AdjustMI" xfId="867"/>
    <cellStyle name="_Tenaska Comparison_Power Costs - Comparison bx Rbtl-Staff-Jt-PC_Electric Rev Req Model (2009 GRC) Rebuttal REmoval of New  WH Solar AdjustMI 2" xfId="19613"/>
    <cellStyle name="_Tenaska Comparison_Power Costs - Comparison bx Rbtl-Staff-Jt-PC_Electric Rev Req Model (2009 GRC) Rebuttal REmoval of New  WH Solar AdjustMI 2 2" xfId="19614"/>
    <cellStyle name="_Tenaska Comparison_Power Costs - Comparison bx Rbtl-Staff-Jt-PC_Electric Rev Req Model (2009 GRC) Rebuttal REmoval of New  WH Solar AdjustMI 2 2 2" xfId="19615"/>
    <cellStyle name="_Tenaska Comparison_Power Costs - Comparison bx Rbtl-Staff-Jt-PC_Electric Rev Req Model (2009 GRC) Rebuttal REmoval of New  WH Solar AdjustMI 2 2 2 2" xfId="19616"/>
    <cellStyle name="_Tenaska Comparison_Power Costs - Comparison bx Rbtl-Staff-Jt-PC_Electric Rev Req Model (2009 GRC) Rebuttal REmoval of New  WH Solar AdjustMI 2 2 3" xfId="19617"/>
    <cellStyle name="_Tenaska Comparison_Power Costs - Comparison bx Rbtl-Staff-Jt-PC_Electric Rev Req Model (2009 GRC) Rebuttal REmoval of New  WH Solar AdjustMI 2 3" xfId="19618"/>
    <cellStyle name="_Tenaska Comparison_Power Costs - Comparison bx Rbtl-Staff-Jt-PC_Electric Rev Req Model (2009 GRC) Rebuttal REmoval of New  WH Solar AdjustMI 2 3 2" xfId="19619"/>
    <cellStyle name="_Tenaska Comparison_Power Costs - Comparison bx Rbtl-Staff-Jt-PC_Electric Rev Req Model (2009 GRC) Rebuttal REmoval of New  WH Solar AdjustMI 2 4" xfId="19620"/>
    <cellStyle name="_Tenaska Comparison_Power Costs - Comparison bx Rbtl-Staff-Jt-PC_Electric Rev Req Model (2009 GRC) Rebuttal REmoval of New  WH Solar AdjustMI 2 4 2" xfId="19621"/>
    <cellStyle name="_Tenaska Comparison_Power Costs - Comparison bx Rbtl-Staff-Jt-PC_Electric Rev Req Model (2009 GRC) Rebuttal REmoval of New  WH Solar AdjustMI 2 5" xfId="19622"/>
    <cellStyle name="_Tenaska Comparison_Power Costs - Comparison bx Rbtl-Staff-Jt-PC_Electric Rev Req Model (2009 GRC) Rebuttal REmoval of New  WH Solar AdjustMI 3" xfId="19623"/>
    <cellStyle name="_Tenaska Comparison_Power Costs - Comparison bx Rbtl-Staff-Jt-PC_Electric Rev Req Model (2009 GRC) Rebuttal REmoval of New  WH Solar AdjustMI 3 2" xfId="19624"/>
    <cellStyle name="_Tenaska Comparison_Power Costs - Comparison bx Rbtl-Staff-Jt-PC_Electric Rev Req Model (2009 GRC) Rebuttal REmoval of New  WH Solar AdjustMI 3 2 2" xfId="19625"/>
    <cellStyle name="_Tenaska Comparison_Power Costs - Comparison bx Rbtl-Staff-Jt-PC_Electric Rev Req Model (2009 GRC) Rebuttal REmoval of New  WH Solar AdjustMI 3 3" xfId="19626"/>
    <cellStyle name="_Tenaska Comparison_Power Costs - Comparison bx Rbtl-Staff-Jt-PC_Electric Rev Req Model (2009 GRC) Rebuttal REmoval of New  WH Solar AdjustMI 3 4" xfId="19627"/>
    <cellStyle name="_Tenaska Comparison_Power Costs - Comparison bx Rbtl-Staff-Jt-PC_Electric Rev Req Model (2009 GRC) Rebuttal REmoval of New  WH Solar AdjustMI 4" xfId="19628"/>
    <cellStyle name="_Tenaska Comparison_Power Costs - Comparison bx Rbtl-Staff-Jt-PC_Electric Rev Req Model (2009 GRC) Rebuttal REmoval of New  WH Solar AdjustMI 4 2" xfId="19629"/>
    <cellStyle name="_Tenaska Comparison_Power Costs - Comparison bx Rbtl-Staff-Jt-PC_Electric Rev Req Model (2009 GRC) Rebuttal REmoval of New  WH Solar AdjustMI 4 2 2" xfId="19630"/>
    <cellStyle name="_Tenaska Comparison_Power Costs - Comparison bx Rbtl-Staff-Jt-PC_Electric Rev Req Model (2009 GRC) Rebuttal REmoval of New  WH Solar AdjustMI 4 3" xfId="19631"/>
    <cellStyle name="_Tenaska Comparison_Power Costs - Comparison bx Rbtl-Staff-Jt-PC_Electric Rev Req Model (2009 GRC) Rebuttal REmoval of New  WH Solar AdjustMI 5" xfId="19632"/>
    <cellStyle name="_Tenaska Comparison_Power Costs - Comparison bx Rbtl-Staff-Jt-PC_Electric Rev Req Model (2009 GRC) Rebuttal REmoval of New  WH Solar AdjustMI 5 2" xfId="19633"/>
    <cellStyle name="_Tenaska Comparison_Power Costs - Comparison bx Rbtl-Staff-Jt-PC_Electric Rev Req Model (2009 GRC) Rebuttal REmoval of New  WH Solar AdjustMI 6" xfId="19634"/>
    <cellStyle name="_Tenaska Comparison_Power Costs - Comparison bx Rbtl-Staff-Jt-PC_Electric Rev Req Model (2009 GRC) Rebuttal REmoval of New  WH Solar AdjustMI 6 2" xfId="19635"/>
    <cellStyle name="_Tenaska Comparison_Power Costs - Comparison bx Rbtl-Staff-Jt-PC_Electric Rev Req Model (2009 GRC) Rebuttal REmoval of New  WH Solar AdjustMI 7" xfId="19636"/>
    <cellStyle name="_Tenaska Comparison_Power Costs - Comparison bx Rbtl-Staff-Jt-PC_Electric Rev Req Model (2009 GRC) Rebuttal REmoval of New  WH Solar AdjustMI_DEM-WP(C) ENERG10C--ctn Mid-C_042010 2010GRC" xfId="19637"/>
    <cellStyle name="_Tenaska Comparison_Power Costs - Comparison bx Rbtl-Staff-Jt-PC_Electric Rev Req Model (2009 GRC) Rebuttal REmoval of New  WH Solar AdjustMI_DEM-WP(C) ENERG10C--ctn Mid-C_042010 2010GRC 2" xfId="19638"/>
    <cellStyle name="_Tenaska Comparison_Power Costs - Comparison bx Rbtl-Staff-Jt-PC_Electric Rev Req Model (2009 GRC) Revised 01-18-2010" xfId="868"/>
    <cellStyle name="_Tenaska Comparison_Power Costs - Comparison bx Rbtl-Staff-Jt-PC_Electric Rev Req Model (2009 GRC) Revised 01-18-2010 2" xfId="19639"/>
    <cellStyle name="_Tenaska Comparison_Power Costs - Comparison bx Rbtl-Staff-Jt-PC_Electric Rev Req Model (2009 GRC) Revised 01-18-2010 2 2" xfId="19640"/>
    <cellStyle name="_Tenaska Comparison_Power Costs - Comparison bx Rbtl-Staff-Jt-PC_Electric Rev Req Model (2009 GRC) Revised 01-18-2010 2 2 2" xfId="19641"/>
    <cellStyle name="_Tenaska Comparison_Power Costs - Comparison bx Rbtl-Staff-Jt-PC_Electric Rev Req Model (2009 GRC) Revised 01-18-2010 2 2 2 2" xfId="19642"/>
    <cellStyle name="_Tenaska Comparison_Power Costs - Comparison bx Rbtl-Staff-Jt-PC_Electric Rev Req Model (2009 GRC) Revised 01-18-2010 2 2 3" xfId="19643"/>
    <cellStyle name="_Tenaska Comparison_Power Costs - Comparison bx Rbtl-Staff-Jt-PC_Electric Rev Req Model (2009 GRC) Revised 01-18-2010 2 3" xfId="19644"/>
    <cellStyle name="_Tenaska Comparison_Power Costs - Comparison bx Rbtl-Staff-Jt-PC_Electric Rev Req Model (2009 GRC) Revised 01-18-2010 2 3 2" xfId="19645"/>
    <cellStyle name="_Tenaska Comparison_Power Costs - Comparison bx Rbtl-Staff-Jt-PC_Electric Rev Req Model (2009 GRC) Revised 01-18-2010 2 4" xfId="19646"/>
    <cellStyle name="_Tenaska Comparison_Power Costs - Comparison bx Rbtl-Staff-Jt-PC_Electric Rev Req Model (2009 GRC) Revised 01-18-2010 2 4 2" xfId="19647"/>
    <cellStyle name="_Tenaska Comparison_Power Costs - Comparison bx Rbtl-Staff-Jt-PC_Electric Rev Req Model (2009 GRC) Revised 01-18-2010 2 5" xfId="19648"/>
    <cellStyle name="_Tenaska Comparison_Power Costs - Comparison bx Rbtl-Staff-Jt-PC_Electric Rev Req Model (2009 GRC) Revised 01-18-2010 3" xfId="19649"/>
    <cellStyle name="_Tenaska Comparison_Power Costs - Comparison bx Rbtl-Staff-Jt-PC_Electric Rev Req Model (2009 GRC) Revised 01-18-2010 3 2" xfId="19650"/>
    <cellStyle name="_Tenaska Comparison_Power Costs - Comparison bx Rbtl-Staff-Jt-PC_Electric Rev Req Model (2009 GRC) Revised 01-18-2010 3 2 2" xfId="19651"/>
    <cellStyle name="_Tenaska Comparison_Power Costs - Comparison bx Rbtl-Staff-Jt-PC_Electric Rev Req Model (2009 GRC) Revised 01-18-2010 3 3" xfId="19652"/>
    <cellStyle name="_Tenaska Comparison_Power Costs - Comparison bx Rbtl-Staff-Jt-PC_Electric Rev Req Model (2009 GRC) Revised 01-18-2010 3 4" xfId="19653"/>
    <cellStyle name="_Tenaska Comparison_Power Costs - Comparison bx Rbtl-Staff-Jt-PC_Electric Rev Req Model (2009 GRC) Revised 01-18-2010 4" xfId="19654"/>
    <cellStyle name="_Tenaska Comparison_Power Costs - Comparison bx Rbtl-Staff-Jt-PC_Electric Rev Req Model (2009 GRC) Revised 01-18-2010 4 2" xfId="19655"/>
    <cellStyle name="_Tenaska Comparison_Power Costs - Comparison bx Rbtl-Staff-Jt-PC_Electric Rev Req Model (2009 GRC) Revised 01-18-2010 4 2 2" xfId="19656"/>
    <cellStyle name="_Tenaska Comparison_Power Costs - Comparison bx Rbtl-Staff-Jt-PC_Electric Rev Req Model (2009 GRC) Revised 01-18-2010 4 3" xfId="19657"/>
    <cellStyle name="_Tenaska Comparison_Power Costs - Comparison bx Rbtl-Staff-Jt-PC_Electric Rev Req Model (2009 GRC) Revised 01-18-2010 5" xfId="19658"/>
    <cellStyle name="_Tenaska Comparison_Power Costs - Comparison bx Rbtl-Staff-Jt-PC_Electric Rev Req Model (2009 GRC) Revised 01-18-2010 5 2" xfId="19659"/>
    <cellStyle name="_Tenaska Comparison_Power Costs - Comparison bx Rbtl-Staff-Jt-PC_Electric Rev Req Model (2009 GRC) Revised 01-18-2010 6" xfId="19660"/>
    <cellStyle name="_Tenaska Comparison_Power Costs - Comparison bx Rbtl-Staff-Jt-PC_Electric Rev Req Model (2009 GRC) Revised 01-18-2010 6 2" xfId="19661"/>
    <cellStyle name="_Tenaska Comparison_Power Costs - Comparison bx Rbtl-Staff-Jt-PC_Electric Rev Req Model (2009 GRC) Revised 01-18-2010 7" xfId="19662"/>
    <cellStyle name="_Tenaska Comparison_Power Costs - Comparison bx Rbtl-Staff-Jt-PC_Electric Rev Req Model (2009 GRC) Revised 01-18-2010_DEM-WP(C) ENERG10C--ctn Mid-C_042010 2010GRC" xfId="19663"/>
    <cellStyle name="_Tenaska Comparison_Power Costs - Comparison bx Rbtl-Staff-Jt-PC_Electric Rev Req Model (2009 GRC) Revised 01-18-2010_DEM-WP(C) ENERG10C--ctn Mid-C_042010 2010GRC 2" xfId="19664"/>
    <cellStyle name="_Tenaska Comparison_Power Costs - Comparison bx Rbtl-Staff-Jt-PC_Final Order Electric EXHIBIT A-1" xfId="869"/>
    <cellStyle name="_Tenaska Comparison_Power Costs - Comparison bx Rbtl-Staff-Jt-PC_Final Order Electric EXHIBIT A-1 2" xfId="19665"/>
    <cellStyle name="_Tenaska Comparison_Power Costs - Comparison bx Rbtl-Staff-Jt-PC_Final Order Electric EXHIBIT A-1 2 2" xfId="19666"/>
    <cellStyle name="_Tenaska Comparison_Power Costs - Comparison bx Rbtl-Staff-Jt-PC_Final Order Electric EXHIBIT A-1 2 2 2" xfId="19667"/>
    <cellStyle name="_Tenaska Comparison_Power Costs - Comparison bx Rbtl-Staff-Jt-PC_Final Order Electric EXHIBIT A-1 2 3" xfId="19668"/>
    <cellStyle name="_Tenaska Comparison_Power Costs - Comparison bx Rbtl-Staff-Jt-PC_Final Order Electric EXHIBIT A-1 2 4" xfId="19669"/>
    <cellStyle name="_Tenaska Comparison_Power Costs - Comparison bx Rbtl-Staff-Jt-PC_Final Order Electric EXHIBIT A-1 3" xfId="19670"/>
    <cellStyle name="_Tenaska Comparison_Power Costs - Comparison bx Rbtl-Staff-Jt-PC_Final Order Electric EXHIBIT A-1 3 2" xfId="19671"/>
    <cellStyle name="_Tenaska Comparison_Power Costs - Comparison bx Rbtl-Staff-Jt-PC_Final Order Electric EXHIBIT A-1 3 2 2" xfId="19672"/>
    <cellStyle name="_Tenaska Comparison_Power Costs - Comparison bx Rbtl-Staff-Jt-PC_Final Order Electric EXHIBIT A-1 3 3" xfId="19673"/>
    <cellStyle name="_Tenaska Comparison_Power Costs - Comparison bx Rbtl-Staff-Jt-PC_Final Order Electric EXHIBIT A-1 4" xfId="19674"/>
    <cellStyle name="_Tenaska Comparison_Power Costs - Comparison bx Rbtl-Staff-Jt-PC_Final Order Electric EXHIBIT A-1 4 2" xfId="19675"/>
    <cellStyle name="_Tenaska Comparison_Power Costs - Comparison bx Rbtl-Staff-Jt-PC_Final Order Electric EXHIBIT A-1 5" xfId="19676"/>
    <cellStyle name="_Tenaska Comparison_Power Costs - Comparison bx Rbtl-Staff-Jt-PC_Final Order Electric EXHIBIT A-1 6" xfId="19677"/>
    <cellStyle name="_Tenaska Comparison_Power Costs - Comparison bx Rbtl-Staff-Jt-PC_Final Order Electric EXHIBIT A-1 7" xfId="19678"/>
    <cellStyle name="_Tenaska Comparison_Production Adj 4.37" xfId="19679"/>
    <cellStyle name="_Tenaska Comparison_Production Adj 4.37 2" xfId="19680"/>
    <cellStyle name="_Tenaska Comparison_Production Adj 4.37 2 2" xfId="19681"/>
    <cellStyle name="_Tenaska Comparison_Production Adj 4.37 2 2 2" xfId="19682"/>
    <cellStyle name="_Tenaska Comparison_Production Adj 4.37 2 3" xfId="19683"/>
    <cellStyle name="_Tenaska Comparison_Production Adj 4.37 3" xfId="19684"/>
    <cellStyle name="_Tenaska Comparison_Production Adj 4.37 3 2" xfId="19685"/>
    <cellStyle name="_Tenaska Comparison_Production Adj 4.37 4" xfId="19686"/>
    <cellStyle name="_Tenaska Comparison_Purchased Power Adj 4.03" xfId="19687"/>
    <cellStyle name="_Tenaska Comparison_Purchased Power Adj 4.03 2" xfId="19688"/>
    <cellStyle name="_Tenaska Comparison_Purchased Power Adj 4.03 2 2" xfId="19689"/>
    <cellStyle name="_Tenaska Comparison_Purchased Power Adj 4.03 2 2 2" xfId="19690"/>
    <cellStyle name="_Tenaska Comparison_Purchased Power Adj 4.03 2 3" xfId="19691"/>
    <cellStyle name="_Tenaska Comparison_Purchased Power Adj 4.03 3" xfId="19692"/>
    <cellStyle name="_Tenaska Comparison_Purchased Power Adj 4.03 3 2" xfId="19693"/>
    <cellStyle name="_Tenaska Comparison_Purchased Power Adj 4.03 4" xfId="19694"/>
    <cellStyle name="_Tenaska Comparison_Rebuttal Power Costs" xfId="870"/>
    <cellStyle name="_Tenaska Comparison_Rebuttal Power Costs 2" xfId="19695"/>
    <cellStyle name="_Tenaska Comparison_Rebuttal Power Costs 2 2" xfId="19696"/>
    <cellStyle name="_Tenaska Comparison_Rebuttal Power Costs 2 2 2" xfId="19697"/>
    <cellStyle name="_Tenaska Comparison_Rebuttal Power Costs 2 2 2 2" xfId="19698"/>
    <cellStyle name="_Tenaska Comparison_Rebuttal Power Costs 2 2 3" xfId="19699"/>
    <cellStyle name="_Tenaska Comparison_Rebuttal Power Costs 2 3" xfId="19700"/>
    <cellStyle name="_Tenaska Comparison_Rebuttal Power Costs 2 3 2" xfId="19701"/>
    <cellStyle name="_Tenaska Comparison_Rebuttal Power Costs 2 4" xfId="19702"/>
    <cellStyle name="_Tenaska Comparison_Rebuttal Power Costs 2 4 2" xfId="19703"/>
    <cellStyle name="_Tenaska Comparison_Rebuttal Power Costs 2 5" xfId="19704"/>
    <cellStyle name="_Tenaska Comparison_Rebuttal Power Costs 3" xfId="19705"/>
    <cellStyle name="_Tenaska Comparison_Rebuttal Power Costs 3 2" xfId="19706"/>
    <cellStyle name="_Tenaska Comparison_Rebuttal Power Costs 3 2 2" xfId="19707"/>
    <cellStyle name="_Tenaska Comparison_Rebuttal Power Costs 3 3" xfId="19708"/>
    <cellStyle name="_Tenaska Comparison_Rebuttal Power Costs 3 4" xfId="19709"/>
    <cellStyle name="_Tenaska Comparison_Rebuttal Power Costs 4" xfId="19710"/>
    <cellStyle name="_Tenaska Comparison_Rebuttal Power Costs 4 2" xfId="19711"/>
    <cellStyle name="_Tenaska Comparison_Rebuttal Power Costs 4 2 2" xfId="19712"/>
    <cellStyle name="_Tenaska Comparison_Rebuttal Power Costs 4 3" xfId="19713"/>
    <cellStyle name="_Tenaska Comparison_Rebuttal Power Costs 5" xfId="19714"/>
    <cellStyle name="_Tenaska Comparison_Rebuttal Power Costs 5 2" xfId="19715"/>
    <cellStyle name="_Tenaska Comparison_Rebuttal Power Costs 6" xfId="19716"/>
    <cellStyle name="_Tenaska Comparison_Rebuttal Power Costs 6 2" xfId="19717"/>
    <cellStyle name="_Tenaska Comparison_Rebuttal Power Costs 7" xfId="19718"/>
    <cellStyle name="_Tenaska Comparison_Rebuttal Power Costs_Adj Bench DR 3 for Initial Briefs (Electric)" xfId="871"/>
    <cellStyle name="_Tenaska Comparison_Rebuttal Power Costs_Adj Bench DR 3 for Initial Briefs (Electric) 2" xfId="19719"/>
    <cellStyle name="_Tenaska Comparison_Rebuttal Power Costs_Adj Bench DR 3 for Initial Briefs (Electric) 2 2" xfId="19720"/>
    <cellStyle name="_Tenaska Comparison_Rebuttal Power Costs_Adj Bench DR 3 for Initial Briefs (Electric) 2 2 2" xfId="19721"/>
    <cellStyle name="_Tenaska Comparison_Rebuttal Power Costs_Adj Bench DR 3 for Initial Briefs (Electric) 2 2 2 2" xfId="19722"/>
    <cellStyle name="_Tenaska Comparison_Rebuttal Power Costs_Adj Bench DR 3 for Initial Briefs (Electric) 2 2 3" xfId="19723"/>
    <cellStyle name="_Tenaska Comparison_Rebuttal Power Costs_Adj Bench DR 3 for Initial Briefs (Electric) 2 3" xfId="19724"/>
    <cellStyle name="_Tenaska Comparison_Rebuttal Power Costs_Adj Bench DR 3 for Initial Briefs (Electric) 2 3 2" xfId="19725"/>
    <cellStyle name="_Tenaska Comparison_Rebuttal Power Costs_Adj Bench DR 3 for Initial Briefs (Electric) 2 4" xfId="19726"/>
    <cellStyle name="_Tenaska Comparison_Rebuttal Power Costs_Adj Bench DR 3 for Initial Briefs (Electric) 2 4 2" xfId="19727"/>
    <cellStyle name="_Tenaska Comparison_Rebuttal Power Costs_Adj Bench DR 3 for Initial Briefs (Electric) 2 5" xfId="19728"/>
    <cellStyle name="_Tenaska Comparison_Rebuttal Power Costs_Adj Bench DR 3 for Initial Briefs (Electric) 3" xfId="19729"/>
    <cellStyle name="_Tenaska Comparison_Rebuttal Power Costs_Adj Bench DR 3 for Initial Briefs (Electric) 3 2" xfId="19730"/>
    <cellStyle name="_Tenaska Comparison_Rebuttal Power Costs_Adj Bench DR 3 for Initial Briefs (Electric) 3 2 2" xfId="19731"/>
    <cellStyle name="_Tenaska Comparison_Rebuttal Power Costs_Adj Bench DR 3 for Initial Briefs (Electric) 3 3" xfId="19732"/>
    <cellStyle name="_Tenaska Comparison_Rebuttal Power Costs_Adj Bench DR 3 for Initial Briefs (Electric) 3 4" xfId="19733"/>
    <cellStyle name="_Tenaska Comparison_Rebuttal Power Costs_Adj Bench DR 3 for Initial Briefs (Electric) 4" xfId="19734"/>
    <cellStyle name="_Tenaska Comparison_Rebuttal Power Costs_Adj Bench DR 3 for Initial Briefs (Electric) 4 2" xfId="19735"/>
    <cellStyle name="_Tenaska Comparison_Rebuttal Power Costs_Adj Bench DR 3 for Initial Briefs (Electric) 4 2 2" xfId="19736"/>
    <cellStyle name="_Tenaska Comparison_Rebuttal Power Costs_Adj Bench DR 3 for Initial Briefs (Electric) 4 3" xfId="19737"/>
    <cellStyle name="_Tenaska Comparison_Rebuttal Power Costs_Adj Bench DR 3 for Initial Briefs (Electric) 5" xfId="19738"/>
    <cellStyle name="_Tenaska Comparison_Rebuttal Power Costs_Adj Bench DR 3 for Initial Briefs (Electric) 5 2" xfId="19739"/>
    <cellStyle name="_Tenaska Comparison_Rebuttal Power Costs_Adj Bench DR 3 for Initial Briefs (Electric) 6" xfId="19740"/>
    <cellStyle name="_Tenaska Comparison_Rebuttal Power Costs_Adj Bench DR 3 for Initial Briefs (Electric) 6 2" xfId="19741"/>
    <cellStyle name="_Tenaska Comparison_Rebuttal Power Costs_Adj Bench DR 3 for Initial Briefs (Electric) 7" xfId="19742"/>
    <cellStyle name="_Tenaska Comparison_Rebuttal Power Costs_Adj Bench DR 3 for Initial Briefs (Electric)_DEM-WP(C) ENERG10C--ctn Mid-C_042010 2010GRC" xfId="19743"/>
    <cellStyle name="_Tenaska Comparison_Rebuttal Power Costs_Adj Bench DR 3 for Initial Briefs (Electric)_DEM-WP(C) ENERG10C--ctn Mid-C_042010 2010GRC 2" xfId="19744"/>
    <cellStyle name="_Tenaska Comparison_Rebuttal Power Costs_DEM-WP(C) ENERG10C--ctn Mid-C_042010 2010GRC" xfId="19745"/>
    <cellStyle name="_Tenaska Comparison_Rebuttal Power Costs_DEM-WP(C) ENERG10C--ctn Mid-C_042010 2010GRC 2" xfId="19746"/>
    <cellStyle name="_Tenaska Comparison_Rebuttal Power Costs_Electric Rev Req Model (2009 GRC) Rebuttal" xfId="872"/>
    <cellStyle name="_Tenaska Comparison_Rebuttal Power Costs_Electric Rev Req Model (2009 GRC) Rebuttal 2" xfId="19747"/>
    <cellStyle name="_Tenaska Comparison_Rebuttal Power Costs_Electric Rev Req Model (2009 GRC) Rebuttal 2 2" xfId="19748"/>
    <cellStyle name="_Tenaska Comparison_Rebuttal Power Costs_Electric Rev Req Model (2009 GRC) Rebuttal 2 2 2" xfId="19749"/>
    <cellStyle name="_Tenaska Comparison_Rebuttal Power Costs_Electric Rev Req Model (2009 GRC) Rebuttal 2 3" xfId="19750"/>
    <cellStyle name="_Tenaska Comparison_Rebuttal Power Costs_Electric Rev Req Model (2009 GRC) Rebuttal 2 4" xfId="19751"/>
    <cellStyle name="_Tenaska Comparison_Rebuttal Power Costs_Electric Rev Req Model (2009 GRC) Rebuttal 3" xfId="19752"/>
    <cellStyle name="_Tenaska Comparison_Rebuttal Power Costs_Electric Rev Req Model (2009 GRC) Rebuttal 3 2" xfId="19753"/>
    <cellStyle name="_Tenaska Comparison_Rebuttal Power Costs_Electric Rev Req Model (2009 GRC) Rebuttal 4" xfId="19754"/>
    <cellStyle name="_Tenaska Comparison_Rebuttal Power Costs_Electric Rev Req Model (2009 GRC) Rebuttal 5" xfId="19755"/>
    <cellStyle name="_Tenaska Comparison_Rebuttal Power Costs_Electric Rev Req Model (2009 GRC) Rebuttal REmoval of New  WH Solar AdjustMI" xfId="873"/>
    <cellStyle name="_Tenaska Comparison_Rebuttal Power Costs_Electric Rev Req Model (2009 GRC) Rebuttal REmoval of New  WH Solar AdjustMI 2" xfId="19756"/>
    <cellStyle name="_Tenaska Comparison_Rebuttal Power Costs_Electric Rev Req Model (2009 GRC) Rebuttal REmoval of New  WH Solar AdjustMI 2 2" xfId="19757"/>
    <cellStyle name="_Tenaska Comparison_Rebuttal Power Costs_Electric Rev Req Model (2009 GRC) Rebuttal REmoval of New  WH Solar AdjustMI 2 2 2" xfId="19758"/>
    <cellStyle name="_Tenaska Comparison_Rebuttal Power Costs_Electric Rev Req Model (2009 GRC) Rebuttal REmoval of New  WH Solar AdjustMI 2 2 2 2" xfId="19759"/>
    <cellStyle name="_Tenaska Comparison_Rebuttal Power Costs_Electric Rev Req Model (2009 GRC) Rebuttal REmoval of New  WH Solar AdjustMI 2 2 3" xfId="19760"/>
    <cellStyle name="_Tenaska Comparison_Rebuttal Power Costs_Electric Rev Req Model (2009 GRC) Rebuttal REmoval of New  WH Solar AdjustMI 2 3" xfId="19761"/>
    <cellStyle name="_Tenaska Comparison_Rebuttal Power Costs_Electric Rev Req Model (2009 GRC) Rebuttal REmoval of New  WH Solar AdjustMI 2 3 2" xfId="19762"/>
    <cellStyle name="_Tenaska Comparison_Rebuttal Power Costs_Electric Rev Req Model (2009 GRC) Rebuttal REmoval of New  WH Solar AdjustMI 2 4" xfId="19763"/>
    <cellStyle name="_Tenaska Comparison_Rebuttal Power Costs_Electric Rev Req Model (2009 GRC) Rebuttal REmoval of New  WH Solar AdjustMI 2 4 2" xfId="19764"/>
    <cellStyle name="_Tenaska Comparison_Rebuttal Power Costs_Electric Rev Req Model (2009 GRC) Rebuttal REmoval of New  WH Solar AdjustMI 2 5" xfId="19765"/>
    <cellStyle name="_Tenaska Comparison_Rebuttal Power Costs_Electric Rev Req Model (2009 GRC) Rebuttal REmoval of New  WH Solar AdjustMI 3" xfId="19766"/>
    <cellStyle name="_Tenaska Comparison_Rebuttal Power Costs_Electric Rev Req Model (2009 GRC) Rebuttal REmoval of New  WH Solar AdjustMI 3 2" xfId="19767"/>
    <cellStyle name="_Tenaska Comparison_Rebuttal Power Costs_Electric Rev Req Model (2009 GRC) Rebuttal REmoval of New  WH Solar AdjustMI 3 2 2" xfId="19768"/>
    <cellStyle name="_Tenaska Comparison_Rebuttal Power Costs_Electric Rev Req Model (2009 GRC) Rebuttal REmoval of New  WH Solar AdjustMI 3 3" xfId="19769"/>
    <cellStyle name="_Tenaska Comparison_Rebuttal Power Costs_Electric Rev Req Model (2009 GRC) Rebuttal REmoval of New  WH Solar AdjustMI 3 4" xfId="19770"/>
    <cellStyle name="_Tenaska Comparison_Rebuttal Power Costs_Electric Rev Req Model (2009 GRC) Rebuttal REmoval of New  WH Solar AdjustMI 4" xfId="19771"/>
    <cellStyle name="_Tenaska Comparison_Rebuttal Power Costs_Electric Rev Req Model (2009 GRC) Rebuttal REmoval of New  WH Solar AdjustMI 4 2" xfId="19772"/>
    <cellStyle name="_Tenaska Comparison_Rebuttal Power Costs_Electric Rev Req Model (2009 GRC) Rebuttal REmoval of New  WH Solar AdjustMI 4 2 2" xfId="19773"/>
    <cellStyle name="_Tenaska Comparison_Rebuttal Power Costs_Electric Rev Req Model (2009 GRC) Rebuttal REmoval of New  WH Solar AdjustMI 4 3" xfId="19774"/>
    <cellStyle name="_Tenaska Comparison_Rebuttal Power Costs_Electric Rev Req Model (2009 GRC) Rebuttal REmoval of New  WH Solar AdjustMI 5" xfId="19775"/>
    <cellStyle name="_Tenaska Comparison_Rebuttal Power Costs_Electric Rev Req Model (2009 GRC) Rebuttal REmoval of New  WH Solar AdjustMI 5 2" xfId="19776"/>
    <cellStyle name="_Tenaska Comparison_Rebuttal Power Costs_Electric Rev Req Model (2009 GRC) Rebuttal REmoval of New  WH Solar AdjustMI 6" xfId="19777"/>
    <cellStyle name="_Tenaska Comparison_Rebuttal Power Costs_Electric Rev Req Model (2009 GRC) Rebuttal REmoval of New  WH Solar AdjustMI 6 2" xfId="19778"/>
    <cellStyle name="_Tenaska Comparison_Rebuttal Power Costs_Electric Rev Req Model (2009 GRC) Rebuttal REmoval of New  WH Solar AdjustMI 7" xfId="19779"/>
    <cellStyle name="_Tenaska Comparison_Rebuttal Power Costs_Electric Rev Req Model (2009 GRC) Rebuttal REmoval of New  WH Solar AdjustMI_DEM-WP(C) ENERG10C--ctn Mid-C_042010 2010GRC" xfId="19780"/>
    <cellStyle name="_Tenaska Comparison_Rebuttal Power Costs_Electric Rev Req Model (2009 GRC) Rebuttal REmoval of New  WH Solar AdjustMI_DEM-WP(C) ENERG10C--ctn Mid-C_042010 2010GRC 2" xfId="19781"/>
    <cellStyle name="_Tenaska Comparison_Rebuttal Power Costs_Electric Rev Req Model (2009 GRC) Revised 01-18-2010" xfId="874"/>
    <cellStyle name="_Tenaska Comparison_Rebuttal Power Costs_Electric Rev Req Model (2009 GRC) Revised 01-18-2010 2" xfId="19782"/>
    <cellStyle name="_Tenaska Comparison_Rebuttal Power Costs_Electric Rev Req Model (2009 GRC) Revised 01-18-2010 2 2" xfId="19783"/>
    <cellStyle name="_Tenaska Comparison_Rebuttal Power Costs_Electric Rev Req Model (2009 GRC) Revised 01-18-2010 2 2 2" xfId="19784"/>
    <cellStyle name="_Tenaska Comparison_Rebuttal Power Costs_Electric Rev Req Model (2009 GRC) Revised 01-18-2010 2 2 2 2" xfId="19785"/>
    <cellStyle name="_Tenaska Comparison_Rebuttal Power Costs_Electric Rev Req Model (2009 GRC) Revised 01-18-2010 2 2 3" xfId="19786"/>
    <cellStyle name="_Tenaska Comparison_Rebuttal Power Costs_Electric Rev Req Model (2009 GRC) Revised 01-18-2010 2 3" xfId="19787"/>
    <cellStyle name="_Tenaska Comparison_Rebuttal Power Costs_Electric Rev Req Model (2009 GRC) Revised 01-18-2010 2 3 2" xfId="19788"/>
    <cellStyle name="_Tenaska Comparison_Rebuttal Power Costs_Electric Rev Req Model (2009 GRC) Revised 01-18-2010 2 4" xfId="19789"/>
    <cellStyle name="_Tenaska Comparison_Rebuttal Power Costs_Electric Rev Req Model (2009 GRC) Revised 01-18-2010 2 4 2" xfId="19790"/>
    <cellStyle name="_Tenaska Comparison_Rebuttal Power Costs_Electric Rev Req Model (2009 GRC) Revised 01-18-2010 2 5" xfId="19791"/>
    <cellStyle name="_Tenaska Comparison_Rebuttal Power Costs_Electric Rev Req Model (2009 GRC) Revised 01-18-2010 3" xfId="19792"/>
    <cellStyle name="_Tenaska Comparison_Rebuttal Power Costs_Electric Rev Req Model (2009 GRC) Revised 01-18-2010 3 2" xfId="19793"/>
    <cellStyle name="_Tenaska Comparison_Rebuttal Power Costs_Electric Rev Req Model (2009 GRC) Revised 01-18-2010 3 2 2" xfId="19794"/>
    <cellStyle name="_Tenaska Comparison_Rebuttal Power Costs_Electric Rev Req Model (2009 GRC) Revised 01-18-2010 3 3" xfId="19795"/>
    <cellStyle name="_Tenaska Comparison_Rebuttal Power Costs_Electric Rev Req Model (2009 GRC) Revised 01-18-2010 3 4" xfId="19796"/>
    <cellStyle name="_Tenaska Comparison_Rebuttal Power Costs_Electric Rev Req Model (2009 GRC) Revised 01-18-2010 4" xfId="19797"/>
    <cellStyle name="_Tenaska Comparison_Rebuttal Power Costs_Electric Rev Req Model (2009 GRC) Revised 01-18-2010 4 2" xfId="19798"/>
    <cellStyle name="_Tenaska Comparison_Rebuttal Power Costs_Electric Rev Req Model (2009 GRC) Revised 01-18-2010 4 2 2" xfId="19799"/>
    <cellStyle name="_Tenaska Comparison_Rebuttal Power Costs_Electric Rev Req Model (2009 GRC) Revised 01-18-2010 4 3" xfId="19800"/>
    <cellStyle name="_Tenaska Comparison_Rebuttal Power Costs_Electric Rev Req Model (2009 GRC) Revised 01-18-2010 5" xfId="19801"/>
    <cellStyle name="_Tenaska Comparison_Rebuttal Power Costs_Electric Rev Req Model (2009 GRC) Revised 01-18-2010 5 2" xfId="19802"/>
    <cellStyle name="_Tenaska Comparison_Rebuttal Power Costs_Electric Rev Req Model (2009 GRC) Revised 01-18-2010 6" xfId="19803"/>
    <cellStyle name="_Tenaska Comparison_Rebuttal Power Costs_Electric Rev Req Model (2009 GRC) Revised 01-18-2010 6 2" xfId="19804"/>
    <cellStyle name="_Tenaska Comparison_Rebuttal Power Costs_Electric Rev Req Model (2009 GRC) Revised 01-18-2010 7" xfId="19805"/>
    <cellStyle name="_Tenaska Comparison_Rebuttal Power Costs_Electric Rev Req Model (2009 GRC) Revised 01-18-2010_DEM-WP(C) ENERG10C--ctn Mid-C_042010 2010GRC" xfId="19806"/>
    <cellStyle name="_Tenaska Comparison_Rebuttal Power Costs_Electric Rev Req Model (2009 GRC) Revised 01-18-2010_DEM-WP(C) ENERG10C--ctn Mid-C_042010 2010GRC 2" xfId="19807"/>
    <cellStyle name="_Tenaska Comparison_Rebuttal Power Costs_Final Order Electric EXHIBIT A-1" xfId="875"/>
    <cellStyle name="_Tenaska Comparison_Rebuttal Power Costs_Final Order Electric EXHIBIT A-1 2" xfId="19808"/>
    <cellStyle name="_Tenaska Comparison_Rebuttal Power Costs_Final Order Electric EXHIBIT A-1 2 2" xfId="19809"/>
    <cellStyle name="_Tenaska Comparison_Rebuttal Power Costs_Final Order Electric EXHIBIT A-1 2 2 2" xfId="19810"/>
    <cellStyle name="_Tenaska Comparison_Rebuttal Power Costs_Final Order Electric EXHIBIT A-1 2 3" xfId="19811"/>
    <cellStyle name="_Tenaska Comparison_Rebuttal Power Costs_Final Order Electric EXHIBIT A-1 2 4" xfId="19812"/>
    <cellStyle name="_Tenaska Comparison_Rebuttal Power Costs_Final Order Electric EXHIBIT A-1 3" xfId="19813"/>
    <cellStyle name="_Tenaska Comparison_Rebuttal Power Costs_Final Order Electric EXHIBIT A-1 3 2" xfId="19814"/>
    <cellStyle name="_Tenaska Comparison_Rebuttal Power Costs_Final Order Electric EXHIBIT A-1 3 2 2" xfId="19815"/>
    <cellStyle name="_Tenaska Comparison_Rebuttal Power Costs_Final Order Electric EXHIBIT A-1 3 3" xfId="19816"/>
    <cellStyle name="_Tenaska Comparison_Rebuttal Power Costs_Final Order Electric EXHIBIT A-1 4" xfId="19817"/>
    <cellStyle name="_Tenaska Comparison_Rebuttal Power Costs_Final Order Electric EXHIBIT A-1 4 2" xfId="19818"/>
    <cellStyle name="_Tenaska Comparison_Rebuttal Power Costs_Final Order Electric EXHIBIT A-1 5" xfId="19819"/>
    <cellStyle name="_Tenaska Comparison_Rebuttal Power Costs_Final Order Electric EXHIBIT A-1 6" xfId="19820"/>
    <cellStyle name="_Tenaska Comparison_Rebuttal Power Costs_Final Order Electric EXHIBIT A-1 7" xfId="19821"/>
    <cellStyle name="_Tenaska Comparison_ROR 5.02" xfId="19822"/>
    <cellStyle name="_Tenaska Comparison_ROR 5.02 2" xfId="19823"/>
    <cellStyle name="_Tenaska Comparison_ROR 5.02 2 2" xfId="19824"/>
    <cellStyle name="_Tenaska Comparison_ROR 5.02 2 2 2" xfId="19825"/>
    <cellStyle name="_Tenaska Comparison_ROR 5.02 2 3" xfId="19826"/>
    <cellStyle name="_Tenaska Comparison_ROR 5.02 3" xfId="19827"/>
    <cellStyle name="_Tenaska Comparison_ROR 5.02 3 2" xfId="19828"/>
    <cellStyle name="_Tenaska Comparison_ROR 5.02 4" xfId="19829"/>
    <cellStyle name="_Tenaska Comparison_Transmission Workbook for May BOD" xfId="19830"/>
    <cellStyle name="_Tenaska Comparison_Transmission Workbook for May BOD 2" xfId="19831"/>
    <cellStyle name="_Tenaska Comparison_Transmission Workbook for May BOD 2 2" xfId="19832"/>
    <cellStyle name="_Tenaska Comparison_Transmission Workbook for May BOD 2 2 2" xfId="19833"/>
    <cellStyle name="_Tenaska Comparison_Transmission Workbook for May BOD 2 2 2 2" xfId="19834"/>
    <cellStyle name="_Tenaska Comparison_Transmission Workbook for May BOD 2 3" xfId="19835"/>
    <cellStyle name="_Tenaska Comparison_Transmission Workbook for May BOD 2 3 2" xfId="19836"/>
    <cellStyle name="_Tenaska Comparison_Transmission Workbook for May BOD 2 4" xfId="19837"/>
    <cellStyle name="_Tenaska Comparison_Transmission Workbook for May BOD 2 4 2" xfId="19838"/>
    <cellStyle name="_Tenaska Comparison_Transmission Workbook for May BOD 2 5" xfId="19839"/>
    <cellStyle name="_Tenaska Comparison_Transmission Workbook for May BOD 3" xfId="19840"/>
    <cellStyle name="_Tenaska Comparison_Transmission Workbook for May BOD 3 2" xfId="19841"/>
    <cellStyle name="_Tenaska Comparison_Transmission Workbook for May BOD 3 2 2" xfId="19842"/>
    <cellStyle name="_Tenaska Comparison_Transmission Workbook for May BOD 3 3" xfId="19843"/>
    <cellStyle name="_Tenaska Comparison_Transmission Workbook for May BOD 4" xfId="19844"/>
    <cellStyle name="_Tenaska Comparison_Transmission Workbook for May BOD 4 2" xfId="19845"/>
    <cellStyle name="_Tenaska Comparison_Transmission Workbook for May BOD 4 2 2" xfId="19846"/>
    <cellStyle name="_Tenaska Comparison_Transmission Workbook for May BOD 4 3" xfId="19847"/>
    <cellStyle name="_Tenaska Comparison_Transmission Workbook for May BOD 5" xfId="19848"/>
    <cellStyle name="_Tenaska Comparison_Transmission Workbook for May BOD 5 2" xfId="19849"/>
    <cellStyle name="_Tenaska Comparison_Transmission Workbook for May BOD 6" xfId="19850"/>
    <cellStyle name="_Tenaska Comparison_Transmission Workbook for May BOD 6 2" xfId="19851"/>
    <cellStyle name="_Tenaska Comparison_Transmission Workbook for May BOD 7" xfId="19852"/>
    <cellStyle name="_Tenaska Comparison_Transmission Workbook for May BOD_DEM-WP(C) ENERG10C--ctn Mid-C_042010 2010GRC" xfId="19853"/>
    <cellStyle name="_Tenaska Comparison_Transmission Workbook for May BOD_DEM-WP(C) ENERG10C--ctn Mid-C_042010 2010GRC 2" xfId="19854"/>
    <cellStyle name="_Tenaska Comparison_Wind Integration 10GRC" xfId="19855"/>
    <cellStyle name="_Tenaska Comparison_Wind Integration 10GRC 2" xfId="19856"/>
    <cellStyle name="_Tenaska Comparison_Wind Integration 10GRC 2 2" xfId="19857"/>
    <cellStyle name="_Tenaska Comparison_Wind Integration 10GRC 2 2 2" xfId="19858"/>
    <cellStyle name="_Tenaska Comparison_Wind Integration 10GRC 2 2 2 2" xfId="19859"/>
    <cellStyle name="_Tenaska Comparison_Wind Integration 10GRC 2 3" xfId="19860"/>
    <cellStyle name="_Tenaska Comparison_Wind Integration 10GRC 2 3 2" xfId="19861"/>
    <cellStyle name="_Tenaska Comparison_Wind Integration 10GRC 2 4" xfId="19862"/>
    <cellStyle name="_Tenaska Comparison_Wind Integration 10GRC 2 4 2" xfId="19863"/>
    <cellStyle name="_Tenaska Comparison_Wind Integration 10GRC 2 5" xfId="19864"/>
    <cellStyle name="_Tenaska Comparison_Wind Integration 10GRC 3" xfId="19865"/>
    <cellStyle name="_Tenaska Comparison_Wind Integration 10GRC 3 2" xfId="19866"/>
    <cellStyle name="_Tenaska Comparison_Wind Integration 10GRC 3 2 2" xfId="19867"/>
    <cellStyle name="_Tenaska Comparison_Wind Integration 10GRC 3 3" xfId="19868"/>
    <cellStyle name="_Tenaska Comparison_Wind Integration 10GRC 4" xfId="19869"/>
    <cellStyle name="_Tenaska Comparison_Wind Integration 10GRC 4 2" xfId="19870"/>
    <cellStyle name="_Tenaska Comparison_Wind Integration 10GRC 4 2 2" xfId="19871"/>
    <cellStyle name="_Tenaska Comparison_Wind Integration 10GRC 4 3" xfId="19872"/>
    <cellStyle name="_Tenaska Comparison_Wind Integration 10GRC 5" xfId="19873"/>
    <cellStyle name="_Tenaska Comparison_Wind Integration 10GRC 5 2" xfId="19874"/>
    <cellStyle name="_Tenaska Comparison_Wind Integration 10GRC 6" xfId="19875"/>
    <cellStyle name="_Tenaska Comparison_Wind Integration 10GRC 6 2" xfId="19876"/>
    <cellStyle name="_Tenaska Comparison_Wind Integration 10GRC 7" xfId="19877"/>
    <cellStyle name="_Tenaska Comparison_Wind Integration 10GRC_DEM-WP(C) ENERG10C--ctn Mid-C_042010 2010GRC" xfId="19878"/>
    <cellStyle name="_Tenaska Comparison_Wind Integration 10GRC_DEM-WP(C) ENERG10C--ctn Mid-C_042010 2010GRC 2" xfId="19879"/>
    <cellStyle name="_x0013__TENASKA REGULATORY ASSET" xfId="876"/>
    <cellStyle name="_x0013__TENASKA REGULATORY ASSET 2" xfId="19880"/>
    <cellStyle name="_x0013__TENASKA REGULATORY ASSET 2 2" xfId="19881"/>
    <cellStyle name="_x0013__TENASKA REGULATORY ASSET 2 2 2" xfId="19882"/>
    <cellStyle name="_x0013__TENASKA REGULATORY ASSET 2 3" xfId="19883"/>
    <cellStyle name="_x0013__TENASKA REGULATORY ASSET 3" xfId="19884"/>
    <cellStyle name="_x0013__TENASKA REGULATORY ASSET 3 2" xfId="19885"/>
    <cellStyle name="_x0013__TENASKA REGULATORY ASSET 4" xfId="19886"/>
    <cellStyle name="_Therms Data" xfId="877"/>
    <cellStyle name="_Therms Data 2" xfId="19887"/>
    <cellStyle name="_Therms Data_Pro Forma Rev 09 GRC" xfId="878"/>
    <cellStyle name="_Therms Data_Pro Forma Rev 09 GRC 2" xfId="19888"/>
    <cellStyle name="_Therms Data_Pro Forma Rev 2010 GRC" xfId="879"/>
    <cellStyle name="_Therms Data_Pro Forma Rev 2010 GRC 2" xfId="19889"/>
    <cellStyle name="_Therms Data_Pro Forma Rev 2010 GRC_Preliminary" xfId="880"/>
    <cellStyle name="_Therms Data_Pro Forma Rev 2010 GRC_Preliminary 2" xfId="19890"/>
    <cellStyle name="_Therms Data_Revenue (Feb 09 - Jan 10)" xfId="881"/>
    <cellStyle name="_Therms Data_Revenue (Feb 09 - Jan 10) 2" xfId="19891"/>
    <cellStyle name="_Therms Data_Revenue (Jan 09 - Dec 09)" xfId="882"/>
    <cellStyle name="_Therms Data_Revenue (Jan 09 - Dec 09) 2" xfId="19892"/>
    <cellStyle name="_Therms Data_Revenue (Mar 09 - Feb 10)" xfId="883"/>
    <cellStyle name="_Therms Data_Revenue (Mar 09 - Feb 10) 2" xfId="19893"/>
    <cellStyle name="_Therms Data_Volume Exhibit (Jan09 - Dec09)" xfId="884"/>
    <cellStyle name="_Therms Data_Volume Exhibit (Jan09 - Dec09) 2" xfId="19894"/>
    <cellStyle name="_Value Copy 11 30 05 gas 12 09 05 AURORA at 12 14 05" xfId="885"/>
    <cellStyle name="_Value Copy 11 30 05 gas 12 09 05 AURORA at 12 14 05 10" xfId="19895"/>
    <cellStyle name="_Value Copy 11 30 05 gas 12 09 05 AURORA at 12 14 05 10 2" xfId="19896"/>
    <cellStyle name="_Value Copy 11 30 05 gas 12 09 05 AURORA at 12 14 05 11" xfId="19897"/>
    <cellStyle name="_Value Copy 11 30 05 gas 12 09 05 AURORA at 12 14 05 11 2" xfId="19898"/>
    <cellStyle name="_Value Copy 11 30 05 gas 12 09 05 AURORA at 12 14 05 11 3" xfId="19899"/>
    <cellStyle name="_Value Copy 11 30 05 gas 12 09 05 AURORA at 12 14 05 12" xfId="19900"/>
    <cellStyle name="_Value Copy 11 30 05 gas 12 09 05 AURORA at 12 14 05 2" xfId="886"/>
    <cellStyle name="_Value Copy 11 30 05 gas 12 09 05 AURORA at 12 14 05 2 2" xfId="19901"/>
    <cellStyle name="_Value Copy 11 30 05 gas 12 09 05 AURORA at 12 14 05 2 2 2" xfId="19902"/>
    <cellStyle name="_Value Copy 11 30 05 gas 12 09 05 AURORA at 12 14 05 2 2 2 2" xfId="19903"/>
    <cellStyle name="_Value Copy 11 30 05 gas 12 09 05 AURORA at 12 14 05 2 2 2 2 2" xfId="19904"/>
    <cellStyle name="_Value Copy 11 30 05 gas 12 09 05 AURORA at 12 14 05 2 2 2 3" xfId="19905"/>
    <cellStyle name="_Value Copy 11 30 05 gas 12 09 05 AURORA at 12 14 05 2 2 3" xfId="19906"/>
    <cellStyle name="_Value Copy 11 30 05 gas 12 09 05 AURORA at 12 14 05 2 2 3 2" xfId="19907"/>
    <cellStyle name="_Value Copy 11 30 05 gas 12 09 05 AURORA at 12 14 05 2 2 4" xfId="19908"/>
    <cellStyle name="_Value Copy 11 30 05 gas 12 09 05 AURORA at 12 14 05 2 2 4 2" xfId="19909"/>
    <cellStyle name="_Value Copy 11 30 05 gas 12 09 05 AURORA at 12 14 05 2 2 5" xfId="19910"/>
    <cellStyle name="_Value Copy 11 30 05 gas 12 09 05 AURORA at 12 14 05 2 3" xfId="19911"/>
    <cellStyle name="_Value Copy 11 30 05 gas 12 09 05 AURORA at 12 14 05 2 3 2" xfId="19912"/>
    <cellStyle name="_Value Copy 11 30 05 gas 12 09 05 AURORA at 12 14 05 2 3 2 2" xfId="19913"/>
    <cellStyle name="_Value Copy 11 30 05 gas 12 09 05 AURORA at 12 14 05 2 3 3" xfId="19914"/>
    <cellStyle name="_Value Copy 11 30 05 gas 12 09 05 AURORA at 12 14 05 2 3 4" xfId="19915"/>
    <cellStyle name="_Value Copy 11 30 05 gas 12 09 05 AURORA at 12 14 05 2 4" xfId="19916"/>
    <cellStyle name="_Value Copy 11 30 05 gas 12 09 05 AURORA at 12 14 05 2 4 2" xfId="19917"/>
    <cellStyle name="_Value Copy 11 30 05 gas 12 09 05 AURORA at 12 14 05 2 4 2 2" xfId="19918"/>
    <cellStyle name="_Value Copy 11 30 05 gas 12 09 05 AURORA at 12 14 05 2 4 3" xfId="19919"/>
    <cellStyle name="_Value Copy 11 30 05 gas 12 09 05 AURORA at 12 14 05 2 5" xfId="19920"/>
    <cellStyle name="_Value Copy 11 30 05 gas 12 09 05 AURORA at 12 14 05 2 5 2" xfId="19921"/>
    <cellStyle name="_Value Copy 11 30 05 gas 12 09 05 AURORA at 12 14 05 2 6" xfId="19922"/>
    <cellStyle name="_Value Copy 11 30 05 gas 12 09 05 AURORA at 12 14 05 2 6 2" xfId="19923"/>
    <cellStyle name="_Value Copy 11 30 05 gas 12 09 05 AURORA at 12 14 05 2 7" xfId="19924"/>
    <cellStyle name="_Value Copy 11 30 05 gas 12 09 05 AURORA at 12 14 05 3" xfId="19925"/>
    <cellStyle name="_Value Copy 11 30 05 gas 12 09 05 AURORA at 12 14 05 3 2" xfId="19926"/>
    <cellStyle name="_Value Copy 11 30 05 gas 12 09 05 AURORA at 12 14 05 3 2 2" xfId="19927"/>
    <cellStyle name="_Value Copy 11 30 05 gas 12 09 05 AURORA at 12 14 05 3 2 2 2" xfId="19928"/>
    <cellStyle name="_Value Copy 11 30 05 gas 12 09 05 AURORA at 12 14 05 3 2 3" xfId="19929"/>
    <cellStyle name="_Value Copy 11 30 05 gas 12 09 05 AURORA at 12 14 05 3 2 4" xfId="19930"/>
    <cellStyle name="_Value Copy 11 30 05 gas 12 09 05 AURORA at 12 14 05 3 3" xfId="19931"/>
    <cellStyle name="_Value Copy 11 30 05 gas 12 09 05 AURORA at 12 14 05 3 3 2" xfId="19932"/>
    <cellStyle name="_Value Copy 11 30 05 gas 12 09 05 AURORA at 12 14 05 3 3 2 2" xfId="19933"/>
    <cellStyle name="_Value Copy 11 30 05 gas 12 09 05 AURORA at 12 14 05 3 3 3" xfId="19934"/>
    <cellStyle name="_Value Copy 11 30 05 gas 12 09 05 AURORA at 12 14 05 3 4" xfId="19935"/>
    <cellStyle name="_Value Copy 11 30 05 gas 12 09 05 AURORA at 12 14 05 3 4 2" xfId="19936"/>
    <cellStyle name="_Value Copy 11 30 05 gas 12 09 05 AURORA at 12 14 05 3 5" xfId="19937"/>
    <cellStyle name="_Value Copy 11 30 05 gas 12 09 05 AURORA at 12 14 05 3 5 2" xfId="19938"/>
    <cellStyle name="_Value Copy 11 30 05 gas 12 09 05 AURORA at 12 14 05 3 6" xfId="19939"/>
    <cellStyle name="_Value Copy 11 30 05 gas 12 09 05 AURORA at 12 14 05 4" xfId="19940"/>
    <cellStyle name="_Value Copy 11 30 05 gas 12 09 05 AURORA at 12 14 05 4 2" xfId="19941"/>
    <cellStyle name="_Value Copy 11 30 05 gas 12 09 05 AURORA at 12 14 05 4 2 2" xfId="19942"/>
    <cellStyle name="_Value Copy 11 30 05 gas 12 09 05 AURORA at 12 14 05 4 2 2 2" xfId="19943"/>
    <cellStyle name="_Value Copy 11 30 05 gas 12 09 05 AURORA at 12 14 05 4 2 2 2 2" xfId="19944"/>
    <cellStyle name="_Value Copy 11 30 05 gas 12 09 05 AURORA at 12 14 05 4 2 3" xfId="19945"/>
    <cellStyle name="_Value Copy 11 30 05 gas 12 09 05 AURORA at 12 14 05 4 2 3 2" xfId="19946"/>
    <cellStyle name="_Value Copy 11 30 05 gas 12 09 05 AURORA at 12 14 05 4 2 4" xfId="19947"/>
    <cellStyle name="_Value Copy 11 30 05 gas 12 09 05 AURORA at 12 14 05 4 2 4 2" xfId="19948"/>
    <cellStyle name="_Value Copy 11 30 05 gas 12 09 05 AURORA at 12 14 05 4 2 5" xfId="19949"/>
    <cellStyle name="_Value Copy 11 30 05 gas 12 09 05 AURORA at 12 14 05 4 3" xfId="19950"/>
    <cellStyle name="_Value Copy 11 30 05 gas 12 09 05 AURORA at 12 14 05 4 3 2" xfId="19951"/>
    <cellStyle name="_Value Copy 11 30 05 gas 12 09 05 AURORA at 12 14 05 4 3 2 2" xfId="19952"/>
    <cellStyle name="_Value Copy 11 30 05 gas 12 09 05 AURORA at 12 14 05 4 3 3" xfId="19953"/>
    <cellStyle name="_Value Copy 11 30 05 gas 12 09 05 AURORA at 12 14 05 4 4" xfId="19954"/>
    <cellStyle name="_Value Copy 11 30 05 gas 12 09 05 AURORA at 12 14 05 4 4 2" xfId="19955"/>
    <cellStyle name="_Value Copy 11 30 05 gas 12 09 05 AURORA at 12 14 05 4 4 2 2" xfId="19956"/>
    <cellStyle name="_Value Copy 11 30 05 gas 12 09 05 AURORA at 12 14 05 4 4 3" xfId="19957"/>
    <cellStyle name="_Value Copy 11 30 05 gas 12 09 05 AURORA at 12 14 05 4 5" xfId="19958"/>
    <cellStyle name="_Value Copy 11 30 05 gas 12 09 05 AURORA at 12 14 05 4 5 2" xfId="19959"/>
    <cellStyle name="_Value Copy 11 30 05 gas 12 09 05 AURORA at 12 14 05 4 6" xfId="19960"/>
    <cellStyle name="_Value Copy 11 30 05 gas 12 09 05 AURORA at 12 14 05 4 6 2" xfId="19961"/>
    <cellStyle name="_Value Copy 11 30 05 gas 12 09 05 AURORA at 12 14 05 4 7" xfId="19962"/>
    <cellStyle name="_Value Copy 11 30 05 gas 12 09 05 AURORA at 12 14 05 5" xfId="19963"/>
    <cellStyle name="_Value Copy 11 30 05 gas 12 09 05 AURORA at 12 14 05 5 2" xfId="19964"/>
    <cellStyle name="_Value Copy 11 30 05 gas 12 09 05 AURORA at 12 14 05 5 2 2" xfId="19965"/>
    <cellStyle name="_Value Copy 11 30 05 gas 12 09 05 AURORA at 12 14 05 5 2 2 2" xfId="19966"/>
    <cellStyle name="_Value Copy 11 30 05 gas 12 09 05 AURORA at 12 14 05 5 2 2 2 2" xfId="19967"/>
    <cellStyle name="_Value Copy 11 30 05 gas 12 09 05 AURORA at 12 14 05 5 2 3" xfId="19968"/>
    <cellStyle name="_Value Copy 11 30 05 gas 12 09 05 AURORA at 12 14 05 5 2 3 2" xfId="19969"/>
    <cellStyle name="_Value Copy 11 30 05 gas 12 09 05 AURORA at 12 14 05 5 2 4" xfId="19970"/>
    <cellStyle name="_Value Copy 11 30 05 gas 12 09 05 AURORA at 12 14 05 5 2 4 2" xfId="19971"/>
    <cellStyle name="_Value Copy 11 30 05 gas 12 09 05 AURORA at 12 14 05 5 2 5" xfId="19972"/>
    <cellStyle name="_Value Copy 11 30 05 gas 12 09 05 AURORA at 12 14 05 5 3" xfId="19973"/>
    <cellStyle name="_Value Copy 11 30 05 gas 12 09 05 AURORA at 12 14 05 5 3 2" xfId="19974"/>
    <cellStyle name="_Value Copy 11 30 05 gas 12 09 05 AURORA at 12 14 05 5 3 2 2" xfId="19975"/>
    <cellStyle name="_Value Copy 11 30 05 gas 12 09 05 AURORA at 12 14 05 5 4" xfId="19976"/>
    <cellStyle name="_Value Copy 11 30 05 gas 12 09 05 AURORA at 12 14 05 5 4 2" xfId="19977"/>
    <cellStyle name="_Value Copy 11 30 05 gas 12 09 05 AURORA at 12 14 05 5 5" xfId="19978"/>
    <cellStyle name="_Value Copy 11 30 05 gas 12 09 05 AURORA at 12 14 05 5 5 2" xfId="19979"/>
    <cellStyle name="_Value Copy 11 30 05 gas 12 09 05 AURORA at 12 14 05 5 6" xfId="19980"/>
    <cellStyle name="_Value Copy 11 30 05 gas 12 09 05 AURORA at 12 14 05 6" xfId="19981"/>
    <cellStyle name="_Value Copy 11 30 05 gas 12 09 05 AURORA at 12 14 05 6 2" xfId="19982"/>
    <cellStyle name="_Value Copy 11 30 05 gas 12 09 05 AURORA at 12 14 05 6 2 2" xfId="19983"/>
    <cellStyle name="_Value Copy 11 30 05 gas 12 09 05 AURORA at 12 14 05 6 2 2 2" xfId="19984"/>
    <cellStyle name="_Value Copy 11 30 05 gas 12 09 05 AURORA at 12 14 05 6 3" xfId="19985"/>
    <cellStyle name="_Value Copy 11 30 05 gas 12 09 05 AURORA at 12 14 05 6 3 2" xfId="19986"/>
    <cellStyle name="_Value Copy 11 30 05 gas 12 09 05 AURORA at 12 14 05 6 4" xfId="19987"/>
    <cellStyle name="_Value Copy 11 30 05 gas 12 09 05 AURORA at 12 14 05 6 4 2" xfId="19988"/>
    <cellStyle name="_Value Copy 11 30 05 gas 12 09 05 AURORA at 12 14 05 7" xfId="19989"/>
    <cellStyle name="_Value Copy 11 30 05 gas 12 09 05 AURORA at 12 14 05 7 2" xfId="19990"/>
    <cellStyle name="_Value Copy 11 30 05 gas 12 09 05 AURORA at 12 14 05 7 2 2" xfId="19991"/>
    <cellStyle name="_Value Copy 11 30 05 gas 12 09 05 AURORA at 12 14 05 7 3" xfId="19992"/>
    <cellStyle name="_Value Copy 11 30 05 gas 12 09 05 AURORA at 12 14 05 8" xfId="19993"/>
    <cellStyle name="_Value Copy 11 30 05 gas 12 09 05 AURORA at 12 14 05 8 2" xfId="19994"/>
    <cellStyle name="_Value Copy 11 30 05 gas 12 09 05 AURORA at 12 14 05 8 2 2" xfId="19995"/>
    <cellStyle name="_Value Copy 11 30 05 gas 12 09 05 AURORA at 12 14 05 8 3" xfId="19996"/>
    <cellStyle name="_Value Copy 11 30 05 gas 12 09 05 AURORA at 12 14 05 9" xfId="19997"/>
    <cellStyle name="_Value Copy 11 30 05 gas 12 09 05 AURORA at 12 14 05 9 2" xfId="19998"/>
    <cellStyle name="_Value Copy 11 30 05 gas 12 09 05 AURORA at 12 14 05 9 2 2" xfId="19999"/>
    <cellStyle name="_Value Copy 11 30 05 gas 12 09 05 AURORA at 12 14 05 9 2 2 2" xfId="20000"/>
    <cellStyle name="_Value Copy 11 30 05 gas 12 09 05 AURORA at 12 14 05 9 2 3" xfId="20001"/>
    <cellStyle name="_Value Copy 11 30 05 gas 12 09 05 AURORA at 12 14 05 9 3" xfId="20002"/>
    <cellStyle name="_Value Copy 11 30 05 gas 12 09 05 AURORA at 12 14 05 9 3 2" xfId="20003"/>
    <cellStyle name="_Value Copy 11 30 05 gas 12 09 05 AURORA at 12 14 05 9 4" xfId="20004"/>
    <cellStyle name="_Value Copy 11 30 05 gas 12 09 05 AURORA at 12 14 05_04 07E Wild Horse Wind Expansion (C) (2)" xfId="887"/>
    <cellStyle name="_Value Copy 11 30 05 gas 12 09 05 AURORA at 12 14 05_04 07E Wild Horse Wind Expansion (C) (2) 2" xfId="20005"/>
    <cellStyle name="_Value Copy 11 30 05 gas 12 09 05 AURORA at 12 14 05_04 07E Wild Horse Wind Expansion (C) (2) 2 2" xfId="20006"/>
    <cellStyle name="_Value Copy 11 30 05 gas 12 09 05 AURORA at 12 14 05_04 07E Wild Horse Wind Expansion (C) (2) 2 2 2" xfId="20007"/>
    <cellStyle name="_Value Copy 11 30 05 gas 12 09 05 AURORA at 12 14 05_04 07E Wild Horse Wind Expansion (C) (2) 2 2 2 2" xfId="20008"/>
    <cellStyle name="_Value Copy 11 30 05 gas 12 09 05 AURORA at 12 14 05_04 07E Wild Horse Wind Expansion (C) (2) 2 2 3" xfId="20009"/>
    <cellStyle name="_Value Copy 11 30 05 gas 12 09 05 AURORA at 12 14 05_04 07E Wild Horse Wind Expansion (C) (2) 2 3" xfId="20010"/>
    <cellStyle name="_Value Copy 11 30 05 gas 12 09 05 AURORA at 12 14 05_04 07E Wild Horse Wind Expansion (C) (2) 2 3 2" xfId="20011"/>
    <cellStyle name="_Value Copy 11 30 05 gas 12 09 05 AURORA at 12 14 05_04 07E Wild Horse Wind Expansion (C) (2) 2 4" xfId="20012"/>
    <cellStyle name="_Value Copy 11 30 05 gas 12 09 05 AURORA at 12 14 05_04 07E Wild Horse Wind Expansion (C) (2) 2 4 2" xfId="20013"/>
    <cellStyle name="_Value Copy 11 30 05 gas 12 09 05 AURORA at 12 14 05_04 07E Wild Horse Wind Expansion (C) (2) 2 5" xfId="20014"/>
    <cellStyle name="_Value Copy 11 30 05 gas 12 09 05 AURORA at 12 14 05_04 07E Wild Horse Wind Expansion (C) (2) 3" xfId="20015"/>
    <cellStyle name="_Value Copy 11 30 05 gas 12 09 05 AURORA at 12 14 05_04 07E Wild Horse Wind Expansion (C) (2) 3 2" xfId="20016"/>
    <cellStyle name="_Value Copy 11 30 05 gas 12 09 05 AURORA at 12 14 05_04 07E Wild Horse Wind Expansion (C) (2) 3 2 2" xfId="20017"/>
    <cellStyle name="_Value Copy 11 30 05 gas 12 09 05 AURORA at 12 14 05_04 07E Wild Horse Wind Expansion (C) (2) 3 3" xfId="20018"/>
    <cellStyle name="_Value Copy 11 30 05 gas 12 09 05 AURORA at 12 14 05_04 07E Wild Horse Wind Expansion (C) (2) 3 4" xfId="20019"/>
    <cellStyle name="_Value Copy 11 30 05 gas 12 09 05 AURORA at 12 14 05_04 07E Wild Horse Wind Expansion (C) (2) 4" xfId="20020"/>
    <cellStyle name="_Value Copy 11 30 05 gas 12 09 05 AURORA at 12 14 05_04 07E Wild Horse Wind Expansion (C) (2) 4 2" xfId="20021"/>
    <cellStyle name="_Value Copy 11 30 05 gas 12 09 05 AURORA at 12 14 05_04 07E Wild Horse Wind Expansion (C) (2) 4 2 2" xfId="20022"/>
    <cellStyle name="_Value Copy 11 30 05 gas 12 09 05 AURORA at 12 14 05_04 07E Wild Horse Wind Expansion (C) (2) 4 3" xfId="20023"/>
    <cellStyle name="_Value Copy 11 30 05 gas 12 09 05 AURORA at 12 14 05_04 07E Wild Horse Wind Expansion (C) (2) 5" xfId="20024"/>
    <cellStyle name="_Value Copy 11 30 05 gas 12 09 05 AURORA at 12 14 05_04 07E Wild Horse Wind Expansion (C) (2) 5 2" xfId="20025"/>
    <cellStyle name="_Value Copy 11 30 05 gas 12 09 05 AURORA at 12 14 05_04 07E Wild Horse Wind Expansion (C) (2) 6" xfId="20026"/>
    <cellStyle name="_Value Copy 11 30 05 gas 12 09 05 AURORA at 12 14 05_04 07E Wild Horse Wind Expansion (C) (2) 6 2" xfId="20027"/>
    <cellStyle name="_Value Copy 11 30 05 gas 12 09 05 AURORA at 12 14 05_04 07E Wild Horse Wind Expansion (C) (2) 7" xfId="20028"/>
    <cellStyle name="_Value Copy 11 30 05 gas 12 09 05 AURORA at 12 14 05_04 07E Wild Horse Wind Expansion (C) (2)_Adj Bench DR 3 for Initial Briefs (Electric)" xfId="888"/>
    <cellStyle name="_Value Copy 11 30 05 gas 12 09 05 AURORA at 12 14 05_04 07E Wild Horse Wind Expansion (C) (2)_Adj Bench DR 3 for Initial Briefs (Electric) 2" xfId="20029"/>
    <cellStyle name="_Value Copy 11 30 05 gas 12 09 05 AURORA at 12 14 05_04 07E Wild Horse Wind Expansion (C) (2)_Adj Bench DR 3 for Initial Briefs (Electric) 2 2" xfId="20030"/>
    <cellStyle name="_Value Copy 11 30 05 gas 12 09 05 AURORA at 12 14 05_04 07E Wild Horse Wind Expansion (C) (2)_Adj Bench DR 3 for Initial Briefs (Electric) 2 2 2" xfId="20031"/>
    <cellStyle name="_Value Copy 11 30 05 gas 12 09 05 AURORA at 12 14 05_04 07E Wild Horse Wind Expansion (C) (2)_Adj Bench DR 3 for Initial Briefs (Electric) 2 2 2 2" xfId="20032"/>
    <cellStyle name="_Value Copy 11 30 05 gas 12 09 05 AURORA at 12 14 05_04 07E Wild Horse Wind Expansion (C) (2)_Adj Bench DR 3 for Initial Briefs (Electric) 2 2 3" xfId="20033"/>
    <cellStyle name="_Value Copy 11 30 05 gas 12 09 05 AURORA at 12 14 05_04 07E Wild Horse Wind Expansion (C) (2)_Adj Bench DR 3 for Initial Briefs (Electric) 2 3" xfId="20034"/>
    <cellStyle name="_Value Copy 11 30 05 gas 12 09 05 AURORA at 12 14 05_04 07E Wild Horse Wind Expansion (C) (2)_Adj Bench DR 3 for Initial Briefs (Electric) 2 3 2" xfId="20035"/>
    <cellStyle name="_Value Copy 11 30 05 gas 12 09 05 AURORA at 12 14 05_04 07E Wild Horse Wind Expansion (C) (2)_Adj Bench DR 3 for Initial Briefs (Electric) 2 4" xfId="20036"/>
    <cellStyle name="_Value Copy 11 30 05 gas 12 09 05 AURORA at 12 14 05_04 07E Wild Horse Wind Expansion (C) (2)_Adj Bench DR 3 for Initial Briefs (Electric) 2 4 2" xfId="20037"/>
    <cellStyle name="_Value Copy 11 30 05 gas 12 09 05 AURORA at 12 14 05_04 07E Wild Horse Wind Expansion (C) (2)_Adj Bench DR 3 for Initial Briefs (Electric) 2 5" xfId="20038"/>
    <cellStyle name="_Value Copy 11 30 05 gas 12 09 05 AURORA at 12 14 05_04 07E Wild Horse Wind Expansion (C) (2)_Adj Bench DR 3 for Initial Briefs (Electric) 3" xfId="20039"/>
    <cellStyle name="_Value Copy 11 30 05 gas 12 09 05 AURORA at 12 14 05_04 07E Wild Horse Wind Expansion (C) (2)_Adj Bench DR 3 for Initial Briefs (Electric) 3 2" xfId="20040"/>
    <cellStyle name="_Value Copy 11 30 05 gas 12 09 05 AURORA at 12 14 05_04 07E Wild Horse Wind Expansion (C) (2)_Adj Bench DR 3 for Initial Briefs (Electric) 3 2 2" xfId="20041"/>
    <cellStyle name="_Value Copy 11 30 05 gas 12 09 05 AURORA at 12 14 05_04 07E Wild Horse Wind Expansion (C) (2)_Adj Bench DR 3 for Initial Briefs (Electric) 3 3" xfId="20042"/>
    <cellStyle name="_Value Copy 11 30 05 gas 12 09 05 AURORA at 12 14 05_04 07E Wild Horse Wind Expansion (C) (2)_Adj Bench DR 3 for Initial Briefs (Electric) 3 4" xfId="20043"/>
    <cellStyle name="_Value Copy 11 30 05 gas 12 09 05 AURORA at 12 14 05_04 07E Wild Horse Wind Expansion (C) (2)_Adj Bench DR 3 for Initial Briefs (Electric) 4" xfId="20044"/>
    <cellStyle name="_Value Copy 11 30 05 gas 12 09 05 AURORA at 12 14 05_04 07E Wild Horse Wind Expansion (C) (2)_Adj Bench DR 3 for Initial Briefs (Electric) 4 2" xfId="20045"/>
    <cellStyle name="_Value Copy 11 30 05 gas 12 09 05 AURORA at 12 14 05_04 07E Wild Horse Wind Expansion (C) (2)_Adj Bench DR 3 for Initial Briefs (Electric) 4 2 2" xfId="20046"/>
    <cellStyle name="_Value Copy 11 30 05 gas 12 09 05 AURORA at 12 14 05_04 07E Wild Horse Wind Expansion (C) (2)_Adj Bench DR 3 for Initial Briefs (Electric) 4 3" xfId="20047"/>
    <cellStyle name="_Value Copy 11 30 05 gas 12 09 05 AURORA at 12 14 05_04 07E Wild Horse Wind Expansion (C) (2)_Adj Bench DR 3 for Initial Briefs (Electric) 5" xfId="20048"/>
    <cellStyle name="_Value Copy 11 30 05 gas 12 09 05 AURORA at 12 14 05_04 07E Wild Horse Wind Expansion (C) (2)_Adj Bench DR 3 for Initial Briefs (Electric) 5 2" xfId="20049"/>
    <cellStyle name="_Value Copy 11 30 05 gas 12 09 05 AURORA at 12 14 05_04 07E Wild Horse Wind Expansion (C) (2)_Adj Bench DR 3 for Initial Briefs (Electric) 6" xfId="20050"/>
    <cellStyle name="_Value Copy 11 30 05 gas 12 09 05 AURORA at 12 14 05_04 07E Wild Horse Wind Expansion (C) (2)_Adj Bench DR 3 for Initial Briefs (Electric) 6 2" xfId="20051"/>
    <cellStyle name="_Value Copy 11 30 05 gas 12 09 05 AURORA at 12 14 05_04 07E Wild Horse Wind Expansion (C) (2)_Adj Bench DR 3 for Initial Briefs (Electric) 7" xfId="20052"/>
    <cellStyle name="_Value Copy 11 30 05 gas 12 09 05 AURORA at 12 14 05_04 07E Wild Horse Wind Expansion (C) (2)_Adj Bench DR 3 for Initial Briefs (Electric)_DEM-WP(C) ENERG10C--ctn Mid-C_042010 2010GRC" xfId="20053"/>
    <cellStyle name="_Value Copy 11 30 05 gas 12 09 05 AURORA at 12 14 05_04 07E Wild Horse Wind Expansion (C) (2)_Adj Bench DR 3 for Initial Briefs (Electric)_DEM-WP(C) ENERG10C--ctn Mid-C_042010 2010GRC 2" xfId="20054"/>
    <cellStyle name="_Value Copy 11 30 05 gas 12 09 05 AURORA at 12 14 05_04 07E Wild Horse Wind Expansion (C) (2)_Book1" xfId="20055"/>
    <cellStyle name="_Value Copy 11 30 05 gas 12 09 05 AURORA at 12 14 05_04 07E Wild Horse Wind Expansion (C) (2)_Book1 2" xfId="20056"/>
    <cellStyle name="_Value Copy 11 30 05 gas 12 09 05 AURORA at 12 14 05_04 07E Wild Horse Wind Expansion (C) (2)_DEM-WP(C) ENERG10C--ctn Mid-C_042010 2010GRC" xfId="20057"/>
    <cellStyle name="_Value Copy 11 30 05 gas 12 09 05 AURORA at 12 14 05_04 07E Wild Horse Wind Expansion (C) (2)_DEM-WP(C) ENERG10C--ctn Mid-C_042010 2010GRC 2" xfId="20058"/>
    <cellStyle name="_Value Copy 11 30 05 gas 12 09 05 AURORA at 12 14 05_04 07E Wild Horse Wind Expansion (C) (2)_Electric Rev Req Model (2009 GRC) " xfId="889"/>
    <cellStyle name="_Value Copy 11 30 05 gas 12 09 05 AURORA at 12 14 05_04 07E Wild Horse Wind Expansion (C) (2)_Electric Rev Req Model (2009 GRC)  2" xfId="20059"/>
    <cellStyle name="_Value Copy 11 30 05 gas 12 09 05 AURORA at 12 14 05_04 07E Wild Horse Wind Expansion (C) (2)_Electric Rev Req Model (2009 GRC)  2 2" xfId="20060"/>
    <cellStyle name="_Value Copy 11 30 05 gas 12 09 05 AURORA at 12 14 05_04 07E Wild Horse Wind Expansion (C) (2)_Electric Rev Req Model (2009 GRC)  2 2 2" xfId="20061"/>
    <cellStyle name="_Value Copy 11 30 05 gas 12 09 05 AURORA at 12 14 05_04 07E Wild Horse Wind Expansion (C) (2)_Electric Rev Req Model (2009 GRC)  2 2 2 2" xfId="20062"/>
    <cellStyle name="_Value Copy 11 30 05 gas 12 09 05 AURORA at 12 14 05_04 07E Wild Horse Wind Expansion (C) (2)_Electric Rev Req Model (2009 GRC)  2 2 3" xfId="20063"/>
    <cellStyle name="_Value Copy 11 30 05 gas 12 09 05 AURORA at 12 14 05_04 07E Wild Horse Wind Expansion (C) (2)_Electric Rev Req Model (2009 GRC)  2 3" xfId="20064"/>
    <cellStyle name="_Value Copy 11 30 05 gas 12 09 05 AURORA at 12 14 05_04 07E Wild Horse Wind Expansion (C) (2)_Electric Rev Req Model (2009 GRC)  2 3 2" xfId="20065"/>
    <cellStyle name="_Value Copy 11 30 05 gas 12 09 05 AURORA at 12 14 05_04 07E Wild Horse Wind Expansion (C) (2)_Electric Rev Req Model (2009 GRC)  2 4" xfId="20066"/>
    <cellStyle name="_Value Copy 11 30 05 gas 12 09 05 AURORA at 12 14 05_04 07E Wild Horse Wind Expansion (C) (2)_Electric Rev Req Model (2009 GRC)  2 4 2" xfId="20067"/>
    <cellStyle name="_Value Copy 11 30 05 gas 12 09 05 AURORA at 12 14 05_04 07E Wild Horse Wind Expansion (C) (2)_Electric Rev Req Model (2009 GRC)  2 5" xfId="20068"/>
    <cellStyle name="_Value Copy 11 30 05 gas 12 09 05 AURORA at 12 14 05_04 07E Wild Horse Wind Expansion (C) (2)_Electric Rev Req Model (2009 GRC)  3" xfId="20069"/>
    <cellStyle name="_Value Copy 11 30 05 gas 12 09 05 AURORA at 12 14 05_04 07E Wild Horse Wind Expansion (C) (2)_Electric Rev Req Model (2009 GRC)  3 2" xfId="20070"/>
    <cellStyle name="_Value Copy 11 30 05 gas 12 09 05 AURORA at 12 14 05_04 07E Wild Horse Wind Expansion (C) (2)_Electric Rev Req Model (2009 GRC)  3 2 2" xfId="20071"/>
    <cellStyle name="_Value Copy 11 30 05 gas 12 09 05 AURORA at 12 14 05_04 07E Wild Horse Wind Expansion (C) (2)_Electric Rev Req Model (2009 GRC)  3 3" xfId="20072"/>
    <cellStyle name="_Value Copy 11 30 05 gas 12 09 05 AURORA at 12 14 05_04 07E Wild Horse Wind Expansion (C) (2)_Electric Rev Req Model (2009 GRC)  3 4" xfId="20073"/>
    <cellStyle name="_Value Copy 11 30 05 gas 12 09 05 AURORA at 12 14 05_04 07E Wild Horse Wind Expansion (C) (2)_Electric Rev Req Model (2009 GRC)  4" xfId="20074"/>
    <cellStyle name="_Value Copy 11 30 05 gas 12 09 05 AURORA at 12 14 05_04 07E Wild Horse Wind Expansion (C) (2)_Electric Rev Req Model (2009 GRC)  4 2" xfId="20075"/>
    <cellStyle name="_Value Copy 11 30 05 gas 12 09 05 AURORA at 12 14 05_04 07E Wild Horse Wind Expansion (C) (2)_Electric Rev Req Model (2009 GRC)  4 2 2" xfId="20076"/>
    <cellStyle name="_Value Copy 11 30 05 gas 12 09 05 AURORA at 12 14 05_04 07E Wild Horse Wind Expansion (C) (2)_Electric Rev Req Model (2009 GRC)  4 3" xfId="20077"/>
    <cellStyle name="_Value Copy 11 30 05 gas 12 09 05 AURORA at 12 14 05_04 07E Wild Horse Wind Expansion (C) (2)_Electric Rev Req Model (2009 GRC)  5" xfId="20078"/>
    <cellStyle name="_Value Copy 11 30 05 gas 12 09 05 AURORA at 12 14 05_04 07E Wild Horse Wind Expansion (C) (2)_Electric Rev Req Model (2009 GRC)  5 2" xfId="20079"/>
    <cellStyle name="_Value Copy 11 30 05 gas 12 09 05 AURORA at 12 14 05_04 07E Wild Horse Wind Expansion (C) (2)_Electric Rev Req Model (2009 GRC)  6" xfId="20080"/>
    <cellStyle name="_Value Copy 11 30 05 gas 12 09 05 AURORA at 12 14 05_04 07E Wild Horse Wind Expansion (C) (2)_Electric Rev Req Model (2009 GRC)  6 2" xfId="20081"/>
    <cellStyle name="_Value Copy 11 30 05 gas 12 09 05 AURORA at 12 14 05_04 07E Wild Horse Wind Expansion (C) (2)_Electric Rev Req Model (2009 GRC)  7" xfId="20082"/>
    <cellStyle name="_Value Copy 11 30 05 gas 12 09 05 AURORA at 12 14 05_04 07E Wild Horse Wind Expansion (C) (2)_Electric Rev Req Model (2009 GRC) _DEM-WP(C) ENERG10C--ctn Mid-C_042010 2010GRC" xfId="20083"/>
    <cellStyle name="_Value Copy 11 30 05 gas 12 09 05 AURORA at 12 14 05_04 07E Wild Horse Wind Expansion (C) (2)_Electric Rev Req Model (2009 GRC) _DEM-WP(C) ENERG10C--ctn Mid-C_042010 2010GRC 2" xfId="20084"/>
    <cellStyle name="_Value Copy 11 30 05 gas 12 09 05 AURORA at 12 14 05_04 07E Wild Horse Wind Expansion (C) (2)_Electric Rev Req Model (2009 GRC) Rebuttal" xfId="890"/>
    <cellStyle name="_Value Copy 11 30 05 gas 12 09 05 AURORA at 12 14 05_04 07E Wild Horse Wind Expansion (C) (2)_Electric Rev Req Model (2009 GRC) Rebuttal 2" xfId="20085"/>
    <cellStyle name="_Value Copy 11 30 05 gas 12 09 05 AURORA at 12 14 05_04 07E Wild Horse Wind Expansion (C) (2)_Electric Rev Req Model (2009 GRC) Rebuttal 2 2" xfId="20086"/>
    <cellStyle name="_Value Copy 11 30 05 gas 12 09 05 AURORA at 12 14 05_04 07E Wild Horse Wind Expansion (C) (2)_Electric Rev Req Model (2009 GRC) Rebuttal 2 2 2" xfId="20087"/>
    <cellStyle name="_Value Copy 11 30 05 gas 12 09 05 AURORA at 12 14 05_04 07E Wild Horse Wind Expansion (C) (2)_Electric Rev Req Model (2009 GRC) Rebuttal 2 3" xfId="20088"/>
    <cellStyle name="_Value Copy 11 30 05 gas 12 09 05 AURORA at 12 14 05_04 07E Wild Horse Wind Expansion (C) (2)_Electric Rev Req Model (2009 GRC) Rebuttal 2 4" xfId="20089"/>
    <cellStyle name="_Value Copy 11 30 05 gas 12 09 05 AURORA at 12 14 05_04 07E Wild Horse Wind Expansion (C) (2)_Electric Rev Req Model (2009 GRC) Rebuttal 3" xfId="20090"/>
    <cellStyle name="_Value Copy 11 30 05 gas 12 09 05 AURORA at 12 14 05_04 07E Wild Horse Wind Expansion (C) (2)_Electric Rev Req Model (2009 GRC) Rebuttal 3 2" xfId="20091"/>
    <cellStyle name="_Value Copy 11 30 05 gas 12 09 05 AURORA at 12 14 05_04 07E Wild Horse Wind Expansion (C) (2)_Electric Rev Req Model (2009 GRC) Rebuttal 4" xfId="20092"/>
    <cellStyle name="_Value Copy 11 30 05 gas 12 09 05 AURORA at 12 14 05_04 07E Wild Horse Wind Expansion (C) (2)_Electric Rev Req Model (2009 GRC) Rebuttal 5" xfId="20093"/>
    <cellStyle name="_Value Copy 11 30 05 gas 12 09 05 AURORA at 12 14 05_04 07E Wild Horse Wind Expansion (C) (2)_Electric Rev Req Model (2009 GRC) Rebuttal REmoval of New  WH Solar AdjustMI" xfId="891"/>
    <cellStyle name="_Value Copy 11 30 05 gas 12 09 05 AURORA at 12 14 05_04 07E Wild Horse Wind Expansion (C) (2)_Electric Rev Req Model (2009 GRC) Rebuttal REmoval of New  WH Solar AdjustMI 2" xfId="20094"/>
    <cellStyle name="_Value Copy 11 30 05 gas 12 09 05 AURORA at 12 14 05_04 07E Wild Horse Wind Expansion (C) (2)_Electric Rev Req Model (2009 GRC) Rebuttal REmoval of New  WH Solar AdjustMI 2 2" xfId="20095"/>
    <cellStyle name="_Value Copy 11 30 05 gas 12 09 05 AURORA at 12 14 05_04 07E Wild Horse Wind Expansion (C) (2)_Electric Rev Req Model (2009 GRC) Rebuttal REmoval of New  WH Solar AdjustMI 2 2 2" xfId="20096"/>
    <cellStyle name="_Value Copy 11 30 05 gas 12 09 05 AURORA at 12 14 05_04 07E Wild Horse Wind Expansion (C) (2)_Electric Rev Req Model (2009 GRC) Rebuttal REmoval of New  WH Solar AdjustMI 2 2 2 2" xfId="20097"/>
    <cellStyle name="_Value Copy 11 30 05 gas 12 09 05 AURORA at 12 14 05_04 07E Wild Horse Wind Expansion (C) (2)_Electric Rev Req Model (2009 GRC) Rebuttal REmoval of New  WH Solar AdjustMI 2 2 3" xfId="20098"/>
    <cellStyle name="_Value Copy 11 30 05 gas 12 09 05 AURORA at 12 14 05_04 07E Wild Horse Wind Expansion (C) (2)_Electric Rev Req Model (2009 GRC) Rebuttal REmoval of New  WH Solar AdjustMI 2 3" xfId="20099"/>
    <cellStyle name="_Value Copy 11 30 05 gas 12 09 05 AURORA at 12 14 05_04 07E Wild Horse Wind Expansion (C) (2)_Electric Rev Req Model (2009 GRC) Rebuttal REmoval of New  WH Solar AdjustMI 2 3 2" xfId="20100"/>
    <cellStyle name="_Value Copy 11 30 05 gas 12 09 05 AURORA at 12 14 05_04 07E Wild Horse Wind Expansion (C) (2)_Electric Rev Req Model (2009 GRC) Rebuttal REmoval of New  WH Solar AdjustMI 2 4" xfId="20101"/>
    <cellStyle name="_Value Copy 11 30 05 gas 12 09 05 AURORA at 12 14 05_04 07E Wild Horse Wind Expansion (C) (2)_Electric Rev Req Model (2009 GRC) Rebuttal REmoval of New  WH Solar AdjustMI 2 4 2" xfId="20102"/>
    <cellStyle name="_Value Copy 11 30 05 gas 12 09 05 AURORA at 12 14 05_04 07E Wild Horse Wind Expansion (C) (2)_Electric Rev Req Model (2009 GRC) Rebuttal REmoval of New  WH Solar AdjustMI 2 5" xfId="20103"/>
    <cellStyle name="_Value Copy 11 30 05 gas 12 09 05 AURORA at 12 14 05_04 07E Wild Horse Wind Expansion (C) (2)_Electric Rev Req Model (2009 GRC) Rebuttal REmoval of New  WH Solar AdjustMI 3" xfId="20104"/>
    <cellStyle name="_Value Copy 11 30 05 gas 12 09 05 AURORA at 12 14 05_04 07E Wild Horse Wind Expansion (C) (2)_Electric Rev Req Model (2009 GRC) Rebuttal REmoval of New  WH Solar AdjustMI 3 2" xfId="20105"/>
    <cellStyle name="_Value Copy 11 30 05 gas 12 09 05 AURORA at 12 14 05_04 07E Wild Horse Wind Expansion (C) (2)_Electric Rev Req Model (2009 GRC) Rebuttal REmoval of New  WH Solar AdjustMI 3 2 2" xfId="20106"/>
    <cellStyle name="_Value Copy 11 30 05 gas 12 09 05 AURORA at 12 14 05_04 07E Wild Horse Wind Expansion (C) (2)_Electric Rev Req Model (2009 GRC) Rebuttal REmoval of New  WH Solar AdjustMI 3 3" xfId="20107"/>
    <cellStyle name="_Value Copy 11 30 05 gas 12 09 05 AURORA at 12 14 05_04 07E Wild Horse Wind Expansion (C) (2)_Electric Rev Req Model (2009 GRC) Rebuttal REmoval of New  WH Solar AdjustMI 3 4" xfId="20108"/>
    <cellStyle name="_Value Copy 11 30 05 gas 12 09 05 AURORA at 12 14 05_04 07E Wild Horse Wind Expansion (C) (2)_Electric Rev Req Model (2009 GRC) Rebuttal REmoval of New  WH Solar AdjustMI 4" xfId="20109"/>
    <cellStyle name="_Value Copy 11 30 05 gas 12 09 05 AURORA at 12 14 05_04 07E Wild Horse Wind Expansion (C) (2)_Electric Rev Req Model (2009 GRC) Rebuttal REmoval of New  WH Solar AdjustMI 4 2" xfId="20110"/>
    <cellStyle name="_Value Copy 11 30 05 gas 12 09 05 AURORA at 12 14 05_04 07E Wild Horse Wind Expansion (C) (2)_Electric Rev Req Model (2009 GRC) Rebuttal REmoval of New  WH Solar AdjustMI 4 2 2" xfId="20111"/>
    <cellStyle name="_Value Copy 11 30 05 gas 12 09 05 AURORA at 12 14 05_04 07E Wild Horse Wind Expansion (C) (2)_Electric Rev Req Model (2009 GRC) Rebuttal REmoval of New  WH Solar AdjustMI 4 3" xfId="20112"/>
    <cellStyle name="_Value Copy 11 30 05 gas 12 09 05 AURORA at 12 14 05_04 07E Wild Horse Wind Expansion (C) (2)_Electric Rev Req Model (2009 GRC) Rebuttal REmoval of New  WH Solar AdjustMI 5" xfId="20113"/>
    <cellStyle name="_Value Copy 11 30 05 gas 12 09 05 AURORA at 12 14 05_04 07E Wild Horse Wind Expansion (C) (2)_Electric Rev Req Model (2009 GRC) Rebuttal REmoval of New  WH Solar AdjustMI 5 2" xfId="20114"/>
    <cellStyle name="_Value Copy 11 30 05 gas 12 09 05 AURORA at 12 14 05_04 07E Wild Horse Wind Expansion (C) (2)_Electric Rev Req Model (2009 GRC) Rebuttal REmoval of New  WH Solar AdjustMI 6" xfId="20115"/>
    <cellStyle name="_Value Copy 11 30 05 gas 12 09 05 AURORA at 12 14 05_04 07E Wild Horse Wind Expansion (C) (2)_Electric Rev Req Model (2009 GRC) Rebuttal REmoval of New  WH Solar AdjustMI 6 2" xfId="20116"/>
    <cellStyle name="_Value Copy 11 30 05 gas 12 09 05 AURORA at 12 14 05_04 07E Wild Horse Wind Expansion (C) (2)_Electric Rev Req Model (2009 GRC) Rebuttal REmoval of New  WH Solar AdjustMI 7" xfId="20117"/>
    <cellStyle name="_Value Copy 11 30 05 gas 12 09 05 AURORA at 12 14 05_04 07E Wild Horse Wind Expansion (C) (2)_Electric Rev Req Model (2009 GRC) Rebuttal REmoval of New  WH Solar AdjustMI_DEM-WP(C) ENERG10C--ctn Mid-C_042010 2010GRC" xfId="20118"/>
    <cellStyle name="_Value Copy 11 30 05 gas 12 09 05 AURORA at 12 14 05_04 07E Wild Horse Wind Expansion (C) (2)_Electric Rev Req Model (2009 GRC) Rebuttal REmoval of New  WH Solar AdjustMI_DEM-WP(C) ENERG10C--ctn Mid-C_042010 2010GRC 2" xfId="20119"/>
    <cellStyle name="_Value Copy 11 30 05 gas 12 09 05 AURORA at 12 14 05_04 07E Wild Horse Wind Expansion (C) (2)_Electric Rev Req Model (2009 GRC) Revised 01-18-2010" xfId="892"/>
    <cellStyle name="_Value Copy 11 30 05 gas 12 09 05 AURORA at 12 14 05_04 07E Wild Horse Wind Expansion (C) (2)_Electric Rev Req Model (2009 GRC) Revised 01-18-2010 2" xfId="20120"/>
    <cellStyle name="_Value Copy 11 30 05 gas 12 09 05 AURORA at 12 14 05_04 07E Wild Horse Wind Expansion (C) (2)_Electric Rev Req Model (2009 GRC) Revised 01-18-2010 2 2" xfId="20121"/>
    <cellStyle name="_Value Copy 11 30 05 gas 12 09 05 AURORA at 12 14 05_04 07E Wild Horse Wind Expansion (C) (2)_Electric Rev Req Model (2009 GRC) Revised 01-18-2010 2 2 2" xfId="20122"/>
    <cellStyle name="_Value Copy 11 30 05 gas 12 09 05 AURORA at 12 14 05_04 07E Wild Horse Wind Expansion (C) (2)_Electric Rev Req Model (2009 GRC) Revised 01-18-2010 2 2 2 2" xfId="20123"/>
    <cellStyle name="_Value Copy 11 30 05 gas 12 09 05 AURORA at 12 14 05_04 07E Wild Horse Wind Expansion (C) (2)_Electric Rev Req Model (2009 GRC) Revised 01-18-2010 2 2 3" xfId="20124"/>
    <cellStyle name="_Value Copy 11 30 05 gas 12 09 05 AURORA at 12 14 05_04 07E Wild Horse Wind Expansion (C) (2)_Electric Rev Req Model (2009 GRC) Revised 01-18-2010 2 3" xfId="20125"/>
    <cellStyle name="_Value Copy 11 30 05 gas 12 09 05 AURORA at 12 14 05_04 07E Wild Horse Wind Expansion (C) (2)_Electric Rev Req Model (2009 GRC) Revised 01-18-2010 2 3 2" xfId="20126"/>
    <cellStyle name="_Value Copy 11 30 05 gas 12 09 05 AURORA at 12 14 05_04 07E Wild Horse Wind Expansion (C) (2)_Electric Rev Req Model (2009 GRC) Revised 01-18-2010 2 4" xfId="20127"/>
    <cellStyle name="_Value Copy 11 30 05 gas 12 09 05 AURORA at 12 14 05_04 07E Wild Horse Wind Expansion (C) (2)_Electric Rev Req Model (2009 GRC) Revised 01-18-2010 2 4 2" xfId="20128"/>
    <cellStyle name="_Value Copy 11 30 05 gas 12 09 05 AURORA at 12 14 05_04 07E Wild Horse Wind Expansion (C) (2)_Electric Rev Req Model (2009 GRC) Revised 01-18-2010 2 5" xfId="20129"/>
    <cellStyle name="_Value Copy 11 30 05 gas 12 09 05 AURORA at 12 14 05_04 07E Wild Horse Wind Expansion (C) (2)_Electric Rev Req Model (2009 GRC) Revised 01-18-2010 3" xfId="20130"/>
    <cellStyle name="_Value Copy 11 30 05 gas 12 09 05 AURORA at 12 14 05_04 07E Wild Horse Wind Expansion (C) (2)_Electric Rev Req Model (2009 GRC) Revised 01-18-2010 3 2" xfId="20131"/>
    <cellStyle name="_Value Copy 11 30 05 gas 12 09 05 AURORA at 12 14 05_04 07E Wild Horse Wind Expansion (C) (2)_Electric Rev Req Model (2009 GRC) Revised 01-18-2010 3 2 2" xfId="20132"/>
    <cellStyle name="_Value Copy 11 30 05 gas 12 09 05 AURORA at 12 14 05_04 07E Wild Horse Wind Expansion (C) (2)_Electric Rev Req Model (2009 GRC) Revised 01-18-2010 3 3" xfId="20133"/>
    <cellStyle name="_Value Copy 11 30 05 gas 12 09 05 AURORA at 12 14 05_04 07E Wild Horse Wind Expansion (C) (2)_Electric Rev Req Model (2009 GRC) Revised 01-18-2010 3 4" xfId="20134"/>
    <cellStyle name="_Value Copy 11 30 05 gas 12 09 05 AURORA at 12 14 05_04 07E Wild Horse Wind Expansion (C) (2)_Electric Rev Req Model (2009 GRC) Revised 01-18-2010 4" xfId="20135"/>
    <cellStyle name="_Value Copy 11 30 05 gas 12 09 05 AURORA at 12 14 05_04 07E Wild Horse Wind Expansion (C) (2)_Electric Rev Req Model (2009 GRC) Revised 01-18-2010 4 2" xfId="20136"/>
    <cellStyle name="_Value Copy 11 30 05 gas 12 09 05 AURORA at 12 14 05_04 07E Wild Horse Wind Expansion (C) (2)_Electric Rev Req Model (2009 GRC) Revised 01-18-2010 4 2 2" xfId="20137"/>
    <cellStyle name="_Value Copy 11 30 05 gas 12 09 05 AURORA at 12 14 05_04 07E Wild Horse Wind Expansion (C) (2)_Electric Rev Req Model (2009 GRC) Revised 01-18-2010 4 3" xfId="20138"/>
    <cellStyle name="_Value Copy 11 30 05 gas 12 09 05 AURORA at 12 14 05_04 07E Wild Horse Wind Expansion (C) (2)_Electric Rev Req Model (2009 GRC) Revised 01-18-2010 5" xfId="20139"/>
    <cellStyle name="_Value Copy 11 30 05 gas 12 09 05 AURORA at 12 14 05_04 07E Wild Horse Wind Expansion (C) (2)_Electric Rev Req Model (2009 GRC) Revised 01-18-2010 5 2" xfId="20140"/>
    <cellStyle name="_Value Copy 11 30 05 gas 12 09 05 AURORA at 12 14 05_04 07E Wild Horse Wind Expansion (C) (2)_Electric Rev Req Model (2009 GRC) Revised 01-18-2010 6" xfId="20141"/>
    <cellStyle name="_Value Copy 11 30 05 gas 12 09 05 AURORA at 12 14 05_04 07E Wild Horse Wind Expansion (C) (2)_Electric Rev Req Model (2009 GRC) Revised 01-18-2010 6 2" xfId="20142"/>
    <cellStyle name="_Value Copy 11 30 05 gas 12 09 05 AURORA at 12 14 05_04 07E Wild Horse Wind Expansion (C) (2)_Electric Rev Req Model (2009 GRC) Revised 01-18-2010 7" xfId="20143"/>
    <cellStyle name="_Value Copy 11 30 05 gas 12 09 05 AURORA at 12 14 05_04 07E Wild Horse Wind Expansion (C) (2)_Electric Rev Req Model (2009 GRC) Revised 01-18-2010_DEM-WP(C) ENERG10C--ctn Mid-C_042010 2010GRC" xfId="20144"/>
    <cellStyle name="_Value Copy 11 30 05 gas 12 09 05 AURORA at 12 14 05_04 07E Wild Horse Wind Expansion (C) (2)_Electric Rev Req Model (2009 GRC) Revised 01-18-2010_DEM-WP(C) ENERG10C--ctn Mid-C_042010 2010GRC 2" xfId="20145"/>
    <cellStyle name="_Value Copy 11 30 05 gas 12 09 05 AURORA at 12 14 05_04 07E Wild Horse Wind Expansion (C) (2)_Electric Rev Req Model (2010 GRC)" xfId="20146"/>
    <cellStyle name="_Value Copy 11 30 05 gas 12 09 05 AURORA at 12 14 05_04 07E Wild Horse Wind Expansion (C) (2)_Electric Rev Req Model (2010 GRC) 2" xfId="20147"/>
    <cellStyle name="_Value Copy 11 30 05 gas 12 09 05 AURORA at 12 14 05_04 07E Wild Horse Wind Expansion (C) (2)_Electric Rev Req Model (2010 GRC) SF" xfId="20148"/>
    <cellStyle name="_Value Copy 11 30 05 gas 12 09 05 AURORA at 12 14 05_04 07E Wild Horse Wind Expansion (C) (2)_Electric Rev Req Model (2010 GRC) SF 2" xfId="20149"/>
    <cellStyle name="_Value Copy 11 30 05 gas 12 09 05 AURORA at 12 14 05_04 07E Wild Horse Wind Expansion (C) (2)_Final Order Electric EXHIBIT A-1" xfId="893"/>
    <cellStyle name="_Value Copy 11 30 05 gas 12 09 05 AURORA at 12 14 05_04 07E Wild Horse Wind Expansion (C) (2)_Final Order Electric EXHIBIT A-1 2" xfId="20150"/>
    <cellStyle name="_Value Copy 11 30 05 gas 12 09 05 AURORA at 12 14 05_04 07E Wild Horse Wind Expansion (C) (2)_Final Order Electric EXHIBIT A-1 2 2" xfId="20151"/>
    <cellStyle name="_Value Copy 11 30 05 gas 12 09 05 AURORA at 12 14 05_04 07E Wild Horse Wind Expansion (C) (2)_Final Order Electric EXHIBIT A-1 2 2 2" xfId="20152"/>
    <cellStyle name="_Value Copy 11 30 05 gas 12 09 05 AURORA at 12 14 05_04 07E Wild Horse Wind Expansion (C) (2)_Final Order Electric EXHIBIT A-1 2 3" xfId="20153"/>
    <cellStyle name="_Value Copy 11 30 05 gas 12 09 05 AURORA at 12 14 05_04 07E Wild Horse Wind Expansion (C) (2)_Final Order Electric EXHIBIT A-1 2 4" xfId="20154"/>
    <cellStyle name="_Value Copy 11 30 05 gas 12 09 05 AURORA at 12 14 05_04 07E Wild Horse Wind Expansion (C) (2)_Final Order Electric EXHIBIT A-1 3" xfId="20155"/>
    <cellStyle name="_Value Copy 11 30 05 gas 12 09 05 AURORA at 12 14 05_04 07E Wild Horse Wind Expansion (C) (2)_Final Order Electric EXHIBIT A-1 3 2" xfId="20156"/>
    <cellStyle name="_Value Copy 11 30 05 gas 12 09 05 AURORA at 12 14 05_04 07E Wild Horse Wind Expansion (C) (2)_Final Order Electric EXHIBIT A-1 3 2 2" xfId="20157"/>
    <cellStyle name="_Value Copy 11 30 05 gas 12 09 05 AURORA at 12 14 05_04 07E Wild Horse Wind Expansion (C) (2)_Final Order Electric EXHIBIT A-1 3 3" xfId="20158"/>
    <cellStyle name="_Value Copy 11 30 05 gas 12 09 05 AURORA at 12 14 05_04 07E Wild Horse Wind Expansion (C) (2)_Final Order Electric EXHIBIT A-1 4" xfId="20159"/>
    <cellStyle name="_Value Copy 11 30 05 gas 12 09 05 AURORA at 12 14 05_04 07E Wild Horse Wind Expansion (C) (2)_Final Order Electric EXHIBIT A-1 4 2" xfId="20160"/>
    <cellStyle name="_Value Copy 11 30 05 gas 12 09 05 AURORA at 12 14 05_04 07E Wild Horse Wind Expansion (C) (2)_Final Order Electric EXHIBIT A-1 5" xfId="20161"/>
    <cellStyle name="_Value Copy 11 30 05 gas 12 09 05 AURORA at 12 14 05_04 07E Wild Horse Wind Expansion (C) (2)_Final Order Electric EXHIBIT A-1 6" xfId="20162"/>
    <cellStyle name="_Value Copy 11 30 05 gas 12 09 05 AURORA at 12 14 05_04 07E Wild Horse Wind Expansion (C) (2)_Final Order Electric EXHIBIT A-1 7" xfId="20163"/>
    <cellStyle name="_Value Copy 11 30 05 gas 12 09 05 AURORA at 12 14 05_04 07E Wild Horse Wind Expansion (C) (2)_TENASKA REGULATORY ASSET" xfId="894"/>
    <cellStyle name="_Value Copy 11 30 05 gas 12 09 05 AURORA at 12 14 05_04 07E Wild Horse Wind Expansion (C) (2)_TENASKA REGULATORY ASSET 2" xfId="20164"/>
    <cellStyle name="_Value Copy 11 30 05 gas 12 09 05 AURORA at 12 14 05_04 07E Wild Horse Wind Expansion (C) (2)_TENASKA REGULATORY ASSET 2 2" xfId="20165"/>
    <cellStyle name="_Value Copy 11 30 05 gas 12 09 05 AURORA at 12 14 05_04 07E Wild Horse Wind Expansion (C) (2)_TENASKA REGULATORY ASSET 2 2 2" xfId="20166"/>
    <cellStyle name="_Value Copy 11 30 05 gas 12 09 05 AURORA at 12 14 05_04 07E Wild Horse Wind Expansion (C) (2)_TENASKA REGULATORY ASSET 2 3" xfId="20167"/>
    <cellStyle name="_Value Copy 11 30 05 gas 12 09 05 AURORA at 12 14 05_04 07E Wild Horse Wind Expansion (C) (2)_TENASKA REGULATORY ASSET 2 4" xfId="20168"/>
    <cellStyle name="_Value Copy 11 30 05 gas 12 09 05 AURORA at 12 14 05_04 07E Wild Horse Wind Expansion (C) (2)_TENASKA REGULATORY ASSET 3" xfId="20169"/>
    <cellStyle name="_Value Copy 11 30 05 gas 12 09 05 AURORA at 12 14 05_04 07E Wild Horse Wind Expansion (C) (2)_TENASKA REGULATORY ASSET 3 2" xfId="20170"/>
    <cellStyle name="_Value Copy 11 30 05 gas 12 09 05 AURORA at 12 14 05_04 07E Wild Horse Wind Expansion (C) (2)_TENASKA REGULATORY ASSET 3 2 2" xfId="20171"/>
    <cellStyle name="_Value Copy 11 30 05 gas 12 09 05 AURORA at 12 14 05_04 07E Wild Horse Wind Expansion (C) (2)_TENASKA REGULATORY ASSET 3 3" xfId="20172"/>
    <cellStyle name="_Value Copy 11 30 05 gas 12 09 05 AURORA at 12 14 05_04 07E Wild Horse Wind Expansion (C) (2)_TENASKA REGULATORY ASSET 4" xfId="20173"/>
    <cellStyle name="_Value Copy 11 30 05 gas 12 09 05 AURORA at 12 14 05_04 07E Wild Horse Wind Expansion (C) (2)_TENASKA REGULATORY ASSET 4 2" xfId="20174"/>
    <cellStyle name="_Value Copy 11 30 05 gas 12 09 05 AURORA at 12 14 05_04 07E Wild Horse Wind Expansion (C) (2)_TENASKA REGULATORY ASSET 5" xfId="20175"/>
    <cellStyle name="_Value Copy 11 30 05 gas 12 09 05 AURORA at 12 14 05_04 07E Wild Horse Wind Expansion (C) (2)_TENASKA REGULATORY ASSET 6" xfId="20176"/>
    <cellStyle name="_Value Copy 11 30 05 gas 12 09 05 AURORA at 12 14 05_04 07E Wild Horse Wind Expansion (C) (2)_TENASKA REGULATORY ASSET 7" xfId="20177"/>
    <cellStyle name="_Value Copy 11 30 05 gas 12 09 05 AURORA at 12 14 05_16.37E Wild Horse Expansion DeferralRevwrkingfile SF" xfId="895"/>
    <cellStyle name="_Value Copy 11 30 05 gas 12 09 05 AURORA at 12 14 05_16.37E Wild Horse Expansion DeferralRevwrkingfile SF 2" xfId="20178"/>
    <cellStyle name="_Value Copy 11 30 05 gas 12 09 05 AURORA at 12 14 05_16.37E Wild Horse Expansion DeferralRevwrkingfile SF 2 2" xfId="20179"/>
    <cellStyle name="_Value Copy 11 30 05 gas 12 09 05 AURORA at 12 14 05_16.37E Wild Horse Expansion DeferralRevwrkingfile SF 2 2 2" xfId="20180"/>
    <cellStyle name="_Value Copy 11 30 05 gas 12 09 05 AURORA at 12 14 05_16.37E Wild Horse Expansion DeferralRevwrkingfile SF 2 2 2 2" xfId="20181"/>
    <cellStyle name="_Value Copy 11 30 05 gas 12 09 05 AURORA at 12 14 05_16.37E Wild Horse Expansion DeferralRevwrkingfile SF 2 2 3" xfId="20182"/>
    <cellStyle name="_Value Copy 11 30 05 gas 12 09 05 AURORA at 12 14 05_16.37E Wild Horse Expansion DeferralRevwrkingfile SF 2 3" xfId="20183"/>
    <cellStyle name="_Value Copy 11 30 05 gas 12 09 05 AURORA at 12 14 05_16.37E Wild Horse Expansion DeferralRevwrkingfile SF 2 3 2" xfId="20184"/>
    <cellStyle name="_Value Copy 11 30 05 gas 12 09 05 AURORA at 12 14 05_16.37E Wild Horse Expansion DeferralRevwrkingfile SF 2 4" xfId="20185"/>
    <cellStyle name="_Value Copy 11 30 05 gas 12 09 05 AURORA at 12 14 05_16.37E Wild Horse Expansion DeferralRevwrkingfile SF 2 4 2" xfId="20186"/>
    <cellStyle name="_Value Copy 11 30 05 gas 12 09 05 AURORA at 12 14 05_16.37E Wild Horse Expansion DeferralRevwrkingfile SF 2 5" xfId="20187"/>
    <cellStyle name="_Value Copy 11 30 05 gas 12 09 05 AURORA at 12 14 05_16.37E Wild Horse Expansion DeferralRevwrkingfile SF 3" xfId="20188"/>
    <cellStyle name="_Value Copy 11 30 05 gas 12 09 05 AURORA at 12 14 05_16.37E Wild Horse Expansion DeferralRevwrkingfile SF 3 2" xfId="20189"/>
    <cellStyle name="_Value Copy 11 30 05 gas 12 09 05 AURORA at 12 14 05_16.37E Wild Horse Expansion DeferralRevwrkingfile SF 3 2 2" xfId="20190"/>
    <cellStyle name="_Value Copy 11 30 05 gas 12 09 05 AURORA at 12 14 05_16.37E Wild Horse Expansion DeferralRevwrkingfile SF 3 3" xfId="20191"/>
    <cellStyle name="_Value Copy 11 30 05 gas 12 09 05 AURORA at 12 14 05_16.37E Wild Horse Expansion DeferralRevwrkingfile SF 3 4" xfId="20192"/>
    <cellStyle name="_Value Copy 11 30 05 gas 12 09 05 AURORA at 12 14 05_16.37E Wild Horse Expansion DeferralRevwrkingfile SF 4" xfId="20193"/>
    <cellStyle name="_Value Copy 11 30 05 gas 12 09 05 AURORA at 12 14 05_16.37E Wild Horse Expansion DeferralRevwrkingfile SF 4 2" xfId="20194"/>
    <cellStyle name="_Value Copy 11 30 05 gas 12 09 05 AURORA at 12 14 05_16.37E Wild Horse Expansion DeferralRevwrkingfile SF 4 2 2" xfId="20195"/>
    <cellStyle name="_Value Copy 11 30 05 gas 12 09 05 AURORA at 12 14 05_16.37E Wild Horse Expansion DeferralRevwrkingfile SF 4 3" xfId="20196"/>
    <cellStyle name="_Value Copy 11 30 05 gas 12 09 05 AURORA at 12 14 05_16.37E Wild Horse Expansion DeferralRevwrkingfile SF 5" xfId="20197"/>
    <cellStyle name="_Value Copy 11 30 05 gas 12 09 05 AURORA at 12 14 05_16.37E Wild Horse Expansion DeferralRevwrkingfile SF 5 2" xfId="20198"/>
    <cellStyle name="_Value Copy 11 30 05 gas 12 09 05 AURORA at 12 14 05_16.37E Wild Horse Expansion DeferralRevwrkingfile SF 6" xfId="20199"/>
    <cellStyle name="_Value Copy 11 30 05 gas 12 09 05 AURORA at 12 14 05_16.37E Wild Horse Expansion DeferralRevwrkingfile SF 6 2" xfId="20200"/>
    <cellStyle name="_Value Copy 11 30 05 gas 12 09 05 AURORA at 12 14 05_16.37E Wild Horse Expansion DeferralRevwrkingfile SF 7" xfId="20201"/>
    <cellStyle name="_Value Copy 11 30 05 gas 12 09 05 AURORA at 12 14 05_16.37E Wild Horse Expansion DeferralRevwrkingfile SF_DEM-WP(C) ENERG10C--ctn Mid-C_042010 2010GRC" xfId="20202"/>
    <cellStyle name="_Value Copy 11 30 05 gas 12 09 05 AURORA at 12 14 05_16.37E Wild Horse Expansion DeferralRevwrkingfile SF_DEM-WP(C) ENERG10C--ctn Mid-C_042010 2010GRC 2" xfId="20203"/>
    <cellStyle name="_Value Copy 11 30 05 gas 12 09 05 AURORA at 12 14 05_2009 Compliance Filing PCA Exhibits for GRC" xfId="20204"/>
    <cellStyle name="_Value Copy 11 30 05 gas 12 09 05 AURORA at 12 14 05_2009 Compliance Filing PCA Exhibits for GRC 2" xfId="20205"/>
    <cellStyle name="_Value Copy 11 30 05 gas 12 09 05 AURORA at 12 14 05_2009 Compliance Filing PCA Exhibits for GRC 2 2" xfId="20206"/>
    <cellStyle name="_Value Copy 11 30 05 gas 12 09 05 AURORA at 12 14 05_2009 Compliance Filing PCA Exhibits for GRC 3" xfId="20207"/>
    <cellStyle name="_Value Copy 11 30 05 gas 12 09 05 AURORA at 12 14 05_2009 GRC Compl Filing - Exhibit D" xfId="20208"/>
    <cellStyle name="_Value Copy 11 30 05 gas 12 09 05 AURORA at 12 14 05_2009 GRC Compl Filing - Exhibit D 2" xfId="20209"/>
    <cellStyle name="_Value Copy 11 30 05 gas 12 09 05 AURORA at 12 14 05_2009 GRC Compl Filing - Exhibit D 2 2" xfId="20210"/>
    <cellStyle name="_Value Copy 11 30 05 gas 12 09 05 AURORA at 12 14 05_2009 GRC Compl Filing - Exhibit D 2 2 2" xfId="20211"/>
    <cellStyle name="_Value Copy 11 30 05 gas 12 09 05 AURORA at 12 14 05_2009 GRC Compl Filing - Exhibit D 2 2 2 2" xfId="20212"/>
    <cellStyle name="_Value Copy 11 30 05 gas 12 09 05 AURORA at 12 14 05_2009 GRC Compl Filing - Exhibit D 2 3" xfId="20213"/>
    <cellStyle name="_Value Copy 11 30 05 gas 12 09 05 AURORA at 12 14 05_2009 GRC Compl Filing - Exhibit D 2 3 2" xfId="20214"/>
    <cellStyle name="_Value Copy 11 30 05 gas 12 09 05 AURORA at 12 14 05_2009 GRC Compl Filing - Exhibit D 2 4" xfId="20215"/>
    <cellStyle name="_Value Copy 11 30 05 gas 12 09 05 AURORA at 12 14 05_2009 GRC Compl Filing - Exhibit D 2 4 2" xfId="20216"/>
    <cellStyle name="_Value Copy 11 30 05 gas 12 09 05 AURORA at 12 14 05_2009 GRC Compl Filing - Exhibit D 2 5" xfId="20217"/>
    <cellStyle name="_Value Copy 11 30 05 gas 12 09 05 AURORA at 12 14 05_2009 GRC Compl Filing - Exhibit D 3" xfId="20218"/>
    <cellStyle name="_Value Copy 11 30 05 gas 12 09 05 AURORA at 12 14 05_2009 GRC Compl Filing - Exhibit D 3 2" xfId="20219"/>
    <cellStyle name="_Value Copy 11 30 05 gas 12 09 05 AURORA at 12 14 05_2009 GRC Compl Filing - Exhibit D 3 2 2" xfId="20220"/>
    <cellStyle name="_Value Copy 11 30 05 gas 12 09 05 AURORA at 12 14 05_2009 GRC Compl Filing - Exhibit D 3 3" xfId="20221"/>
    <cellStyle name="_Value Copy 11 30 05 gas 12 09 05 AURORA at 12 14 05_2009 GRC Compl Filing - Exhibit D 4" xfId="20222"/>
    <cellStyle name="_Value Copy 11 30 05 gas 12 09 05 AURORA at 12 14 05_2009 GRC Compl Filing - Exhibit D 4 2" xfId="20223"/>
    <cellStyle name="_Value Copy 11 30 05 gas 12 09 05 AURORA at 12 14 05_2009 GRC Compl Filing - Exhibit D 4 2 2" xfId="20224"/>
    <cellStyle name="_Value Copy 11 30 05 gas 12 09 05 AURORA at 12 14 05_2009 GRC Compl Filing - Exhibit D 4 3" xfId="20225"/>
    <cellStyle name="_Value Copy 11 30 05 gas 12 09 05 AURORA at 12 14 05_2009 GRC Compl Filing - Exhibit D 5" xfId="20226"/>
    <cellStyle name="_Value Copy 11 30 05 gas 12 09 05 AURORA at 12 14 05_2009 GRC Compl Filing - Exhibit D 5 2" xfId="20227"/>
    <cellStyle name="_Value Copy 11 30 05 gas 12 09 05 AURORA at 12 14 05_2009 GRC Compl Filing - Exhibit D 6" xfId="20228"/>
    <cellStyle name="_Value Copy 11 30 05 gas 12 09 05 AURORA at 12 14 05_2009 GRC Compl Filing - Exhibit D 6 2" xfId="20229"/>
    <cellStyle name="_Value Copy 11 30 05 gas 12 09 05 AURORA at 12 14 05_2009 GRC Compl Filing - Exhibit D 7" xfId="20230"/>
    <cellStyle name="_Value Copy 11 30 05 gas 12 09 05 AURORA at 12 14 05_2009 GRC Compl Filing - Exhibit D_DEM-WP(C) ENERG10C--ctn Mid-C_042010 2010GRC" xfId="20231"/>
    <cellStyle name="_Value Copy 11 30 05 gas 12 09 05 AURORA at 12 14 05_2009 GRC Compl Filing - Exhibit D_DEM-WP(C) ENERG10C--ctn Mid-C_042010 2010GRC 2" xfId="20232"/>
    <cellStyle name="_Value Copy 11 30 05 gas 12 09 05 AURORA at 12 14 05_3.01 Income Statement" xfId="896"/>
    <cellStyle name="_Value Copy 11 30 05 gas 12 09 05 AURORA at 12 14 05_4 31 Regulatory Assets and Liabilities  7 06- Exhibit D" xfId="897"/>
    <cellStyle name="_Value Copy 11 30 05 gas 12 09 05 AURORA at 12 14 05_4 31 Regulatory Assets and Liabilities  7 06- Exhibit D 2" xfId="20233"/>
    <cellStyle name="_Value Copy 11 30 05 gas 12 09 05 AURORA at 12 14 05_4 31 Regulatory Assets and Liabilities  7 06- Exhibit D 2 2" xfId="20234"/>
    <cellStyle name="_Value Copy 11 30 05 gas 12 09 05 AURORA at 12 14 05_4 31 Regulatory Assets and Liabilities  7 06- Exhibit D 2 2 2" xfId="20235"/>
    <cellStyle name="_Value Copy 11 30 05 gas 12 09 05 AURORA at 12 14 05_4 31 Regulatory Assets and Liabilities  7 06- Exhibit D 2 2 2 2" xfId="20236"/>
    <cellStyle name="_Value Copy 11 30 05 gas 12 09 05 AURORA at 12 14 05_4 31 Regulatory Assets and Liabilities  7 06- Exhibit D 2 2 3" xfId="20237"/>
    <cellStyle name="_Value Copy 11 30 05 gas 12 09 05 AURORA at 12 14 05_4 31 Regulatory Assets and Liabilities  7 06- Exhibit D 2 3" xfId="20238"/>
    <cellStyle name="_Value Copy 11 30 05 gas 12 09 05 AURORA at 12 14 05_4 31 Regulatory Assets and Liabilities  7 06- Exhibit D 2 3 2" xfId="20239"/>
    <cellStyle name="_Value Copy 11 30 05 gas 12 09 05 AURORA at 12 14 05_4 31 Regulatory Assets and Liabilities  7 06- Exhibit D 2 4" xfId="20240"/>
    <cellStyle name="_Value Copy 11 30 05 gas 12 09 05 AURORA at 12 14 05_4 31 Regulatory Assets and Liabilities  7 06- Exhibit D 2 4 2" xfId="20241"/>
    <cellStyle name="_Value Copy 11 30 05 gas 12 09 05 AURORA at 12 14 05_4 31 Regulatory Assets and Liabilities  7 06- Exhibit D 2 5" xfId="20242"/>
    <cellStyle name="_Value Copy 11 30 05 gas 12 09 05 AURORA at 12 14 05_4 31 Regulatory Assets and Liabilities  7 06- Exhibit D 3" xfId="20243"/>
    <cellStyle name="_Value Copy 11 30 05 gas 12 09 05 AURORA at 12 14 05_4 31 Regulatory Assets and Liabilities  7 06- Exhibit D 3 2" xfId="20244"/>
    <cellStyle name="_Value Copy 11 30 05 gas 12 09 05 AURORA at 12 14 05_4 31 Regulatory Assets and Liabilities  7 06- Exhibit D 3 2 2" xfId="20245"/>
    <cellStyle name="_Value Copy 11 30 05 gas 12 09 05 AURORA at 12 14 05_4 31 Regulatory Assets and Liabilities  7 06- Exhibit D 3 3" xfId="20246"/>
    <cellStyle name="_Value Copy 11 30 05 gas 12 09 05 AURORA at 12 14 05_4 31 Regulatory Assets and Liabilities  7 06- Exhibit D 3 4" xfId="20247"/>
    <cellStyle name="_Value Copy 11 30 05 gas 12 09 05 AURORA at 12 14 05_4 31 Regulatory Assets and Liabilities  7 06- Exhibit D 4" xfId="20248"/>
    <cellStyle name="_Value Copy 11 30 05 gas 12 09 05 AURORA at 12 14 05_4 31 Regulatory Assets and Liabilities  7 06- Exhibit D 4 2" xfId="20249"/>
    <cellStyle name="_Value Copy 11 30 05 gas 12 09 05 AURORA at 12 14 05_4 31 Regulatory Assets and Liabilities  7 06- Exhibit D 4 2 2" xfId="20250"/>
    <cellStyle name="_Value Copy 11 30 05 gas 12 09 05 AURORA at 12 14 05_4 31 Regulatory Assets and Liabilities  7 06- Exhibit D 4 3" xfId="20251"/>
    <cellStyle name="_Value Copy 11 30 05 gas 12 09 05 AURORA at 12 14 05_4 31 Regulatory Assets and Liabilities  7 06- Exhibit D 5" xfId="20252"/>
    <cellStyle name="_Value Copy 11 30 05 gas 12 09 05 AURORA at 12 14 05_4 31 Regulatory Assets and Liabilities  7 06- Exhibit D 5 2" xfId="20253"/>
    <cellStyle name="_Value Copy 11 30 05 gas 12 09 05 AURORA at 12 14 05_4 31 Regulatory Assets and Liabilities  7 06- Exhibit D 6" xfId="20254"/>
    <cellStyle name="_Value Copy 11 30 05 gas 12 09 05 AURORA at 12 14 05_4 31 Regulatory Assets and Liabilities  7 06- Exhibit D 6 2" xfId="20255"/>
    <cellStyle name="_Value Copy 11 30 05 gas 12 09 05 AURORA at 12 14 05_4 31 Regulatory Assets and Liabilities  7 06- Exhibit D 7" xfId="20256"/>
    <cellStyle name="_Value Copy 11 30 05 gas 12 09 05 AURORA at 12 14 05_4 31 Regulatory Assets and Liabilities  7 06- Exhibit D_DEM-WP(C) ENERG10C--ctn Mid-C_042010 2010GRC" xfId="20257"/>
    <cellStyle name="_Value Copy 11 30 05 gas 12 09 05 AURORA at 12 14 05_4 31 Regulatory Assets and Liabilities  7 06- Exhibit D_DEM-WP(C) ENERG10C--ctn Mid-C_042010 2010GRC 2" xfId="20258"/>
    <cellStyle name="_Value Copy 11 30 05 gas 12 09 05 AURORA at 12 14 05_4 31 Regulatory Assets and Liabilities  7 06- Exhibit D_NIM Summary" xfId="20259"/>
    <cellStyle name="_Value Copy 11 30 05 gas 12 09 05 AURORA at 12 14 05_4 31 Regulatory Assets and Liabilities  7 06- Exhibit D_NIM Summary 2" xfId="20260"/>
    <cellStyle name="_Value Copy 11 30 05 gas 12 09 05 AURORA at 12 14 05_4 31 Regulatory Assets and Liabilities  7 06- Exhibit D_NIM Summary 2 2" xfId="20261"/>
    <cellStyle name="_Value Copy 11 30 05 gas 12 09 05 AURORA at 12 14 05_4 31 Regulatory Assets and Liabilities  7 06- Exhibit D_NIM Summary 2 2 2" xfId="20262"/>
    <cellStyle name="_Value Copy 11 30 05 gas 12 09 05 AURORA at 12 14 05_4 31 Regulatory Assets and Liabilities  7 06- Exhibit D_NIM Summary 2 2 2 2" xfId="20263"/>
    <cellStyle name="_Value Copy 11 30 05 gas 12 09 05 AURORA at 12 14 05_4 31 Regulatory Assets and Liabilities  7 06- Exhibit D_NIM Summary 2 3" xfId="20264"/>
    <cellStyle name="_Value Copy 11 30 05 gas 12 09 05 AURORA at 12 14 05_4 31 Regulatory Assets and Liabilities  7 06- Exhibit D_NIM Summary 2 3 2" xfId="20265"/>
    <cellStyle name="_Value Copy 11 30 05 gas 12 09 05 AURORA at 12 14 05_4 31 Regulatory Assets and Liabilities  7 06- Exhibit D_NIM Summary 2 4" xfId="20266"/>
    <cellStyle name="_Value Copy 11 30 05 gas 12 09 05 AURORA at 12 14 05_4 31 Regulatory Assets and Liabilities  7 06- Exhibit D_NIM Summary 2 4 2" xfId="20267"/>
    <cellStyle name="_Value Copy 11 30 05 gas 12 09 05 AURORA at 12 14 05_4 31 Regulatory Assets and Liabilities  7 06- Exhibit D_NIM Summary 2 5" xfId="20268"/>
    <cellStyle name="_Value Copy 11 30 05 gas 12 09 05 AURORA at 12 14 05_4 31 Regulatory Assets and Liabilities  7 06- Exhibit D_NIM Summary 3" xfId="20269"/>
    <cellStyle name="_Value Copy 11 30 05 gas 12 09 05 AURORA at 12 14 05_4 31 Regulatory Assets and Liabilities  7 06- Exhibit D_NIM Summary 3 2" xfId="20270"/>
    <cellStyle name="_Value Copy 11 30 05 gas 12 09 05 AURORA at 12 14 05_4 31 Regulatory Assets and Liabilities  7 06- Exhibit D_NIM Summary 3 2 2" xfId="20271"/>
    <cellStyle name="_Value Copy 11 30 05 gas 12 09 05 AURORA at 12 14 05_4 31 Regulatory Assets and Liabilities  7 06- Exhibit D_NIM Summary 3 3" xfId="20272"/>
    <cellStyle name="_Value Copy 11 30 05 gas 12 09 05 AURORA at 12 14 05_4 31 Regulatory Assets and Liabilities  7 06- Exhibit D_NIM Summary 4" xfId="20273"/>
    <cellStyle name="_Value Copy 11 30 05 gas 12 09 05 AURORA at 12 14 05_4 31 Regulatory Assets and Liabilities  7 06- Exhibit D_NIM Summary 4 2" xfId="20274"/>
    <cellStyle name="_Value Copy 11 30 05 gas 12 09 05 AURORA at 12 14 05_4 31 Regulatory Assets and Liabilities  7 06- Exhibit D_NIM Summary 4 2 2" xfId="20275"/>
    <cellStyle name="_Value Copy 11 30 05 gas 12 09 05 AURORA at 12 14 05_4 31 Regulatory Assets and Liabilities  7 06- Exhibit D_NIM Summary 4 3" xfId="20276"/>
    <cellStyle name="_Value Copy 11 30 05 gas 12 09 05 AURORA at 12 14 05_4 31 Regulatory Assets and Liabilities  7 06- Exhibit D_NIM Summary 5" xfId="20277"/>
    <cellStyle name="_Value Copy 11 30 05 gas 12 09 05 AURORA at 12 14 05_4 31 Regulatory Assets and Liabilities  7 06- Exhibit D_NIM Summary 5 2" xfId="20278"/>
    <cellStyle name="_Value Copy 11 30 05 gas 12 09 05 AURORA at 12 14 05_4 31 Regulatory Assets and Liabilities  7 06- Exhibit D_NIM Summary 6" xfId="20279"/>
    <cellStyle name="_Value Copy 11 30 05 gas 12 09 05 AURORA at 12 14 05_4 31 Regulatory Assets and Liabilities  7 06- Exhibit D_NIM Summary 6 2" xfId="20280"/>
    <cellStyle name="_Value Copy 11 30 05 gas 12 09 05 AURORA at 12 14 05_4 31 Regulatory Assets and Liabilities  7 06- Exhibit D_NIM Summary 7" xfId="20281"/>
    <cellStyle name="_Value Copy 11 30 05 gas 12 09 05 AURORA at 12 14 05_4 31 Regulatory Assets and Liabilities  7 06- Exhibit D_NIM Summary_DEM-WP(C) ENERG10C--ctn Mid-C_042010 2010GRC" xfId="20282"/>
    <cellStyle name="_Value Copy 11 30 05 gas 12 09 05 AURORA at 12 14 05_4 31 Regulatory Assets and Liabilities  7 06- Exhibit D_NIM Summary_DEM-WP(C) ENERG10C--ctn Mid-C_042010 2010GRC 2" xfId="20283"/>
    <cellStyle name="_Value Copy 11 30 05 gas 12 09 05 AURORA at 12 14 05_4 31E Reg Asset  Liab and EXH D" xfId="20284"/>
    <cellStyle name="_Value Copy 11 30 05 gas 12 09 05 AURORA at 12 14 05_4 31E Reg Asset  Liab and EXH D _ Aug 10 Filing (2)" xfId="20285"/>
    <cellStyle name="_Value Copy 11 30 05 gas 12 09 05 AURORA at 12 14 05_4 31E Reg Asset  Liab and EXH D _ Aug 10 Filing (2) 2" xfId="20286"/>
    <cellStyle name="_Value Copy 11 30 05 gas 12 09 05 AURORA at 12 14 05_4 31E Reg Asset  Liab and EXH D _ Aug 10 Filing (2) 2 2" xfId="20287"/>
    <cellStyle name="_Value Copy 11 30 05 gas 12 09 05 AURORA at 12 14 05_4 31E Reg Asset  Liab and EXH D _ Aug 10 Filing (2) 2 2 2" xfId="20288"/>
    <cellStyle name="_Value Copy 11 30 05 gas 12 09 05 AURORA at 12 14 05_4 31E Reg Asset  Liab and EXH D _ Aug 10 Filing (2) 2 3" xfId="20289"/>
    <cellStyle name="_Value Copy 11 30 05 gas 12 09 05 AURORA at 12 14 05_4 31E Reg Asset  Liab and EXH D _ Aug 10 Filing (2) 3" xfId="20290"/>
    <cellStyle name="_Value Copy 11 30 05 gas 12 09 05 AURORA at 12 14 05_4 31E Reg Asset  Liab and EXH D _ Aug 10 Filing (2) 3 2" xfId="20291"/>
    <cellStyle name="_Value Copy 11 30 05 gas 12 09 05 AURORA at 12 14 05_4 31E Reg Asset  Liab and EXH D _ Aug 10 Filing (2) 3 2 2" xfId="20292"/>
    <cellStyle name="_Value Copy 11 30 05 gas 12 09 05 AURORA at 12 14 05_4 31E Reg Asset  Liab and EXH D _ Aug 10 Filing (2) 3 3" xfId="20293"/>
    <cellStyle name="_Value Copy 11 30 05 gas 12 09 05 AURORA at 12 14 05_4 31E Reg Asset  Liab and EXH D _ Aug 10 Filing (2) 4" xfId="20294"/>
    <cellStyle name="_Value Copy 11 30 05 gas 12 09 05 AURORA at 12 14 05_4 31E Reg Asset  Liab and EXH D _ Aug 10 Filing (2) 4 2" xfId="20295"/>
    <cellStyle name="_Value Copy 11 30 05 gas 12 09 05 AURORA at 12 14 05_4 31E Reg Asset  Liab and EXH D _ Aug 10 Filing (2) 5" xfId="20296"/>
    <cellStyle name="_Value Copy 11 30 05 gas 12 09 05 AURORA at 12 14 05_4 31E Reg Asset  Liab and EXH D _ Aug 10 Filing (2) 5 2" xfId="20297"/>
    <cellStyle name="_Value Copy 11 30 05 gas 12 09 05 AURORA at 12 14 05_4 31E Reg Asset  Liab and EXH D 10" xfId="20298"/>
    <cellStyle name="_Value Copy 11 30 05 gas 12 09 05 AURORA at 12 14 05_4 31E Reg Asset  Liab and EXH D 10 2" xfId="20299"/>
    <cellStyle name="_Value Copy 11 30 05 gas 12 09 05 AURORA at 12 14 05_4 31E Reg Asset  Liab and EXH D 10 2 2" xfId="20300"/>
    <cellStyle name="_Value Copy 11 30 05 gas 12 09 05 AURORA at 12 14 05_4 31E Reg Asset  Liab and EXH D 10 3" xfId="20301"/>
    <cellStyle name="_Value Copy 11 30 05 gas 12 09 05 AURORA at 12 14 05_4 31E Reg Asset  Liab and EXH D 11" xfId="20302"/>
    <cellStyle name="_Value Copy 11 30 05 gas 12 09 05 AURORA at 12 14 05_4 31E Reg Asset  Liab and EXH D 11 2" xfId="20303"/>
    <cellStyle name="_Value Copy 11 30 05 gas 12 09 05 AURORA at 12 14 05_4 31E Reg Asset  Liab and EXH D 11 2 2" xfId="20304"/>
    <cellStyle name="_Value Copy 11 30 05 gas 12 09 05 AURORA at 12 14 05_4 31E Reg Asset  Liab and EXH D 11 3" xfId="20305"/>
    <cellStyle name="_Value Copy 11 30 05 gas 12 09 05 AURORA at 12 14 05_4 31E Reg Asset  Liab and EXH D 12" xfId="20306"/>
    <cellStyle name="_Value Copy 11 30 05 gas 12 09 05 AURORA at 12 14 05_4 31E Reg Asset  Liab and EXH D 12 2" xfId="20307"/>
    <cellStyle name="_Value Copy 11 30 05 gas 12 09 05 AURORA at 12 14 05_4 31E Reg Asset  Liab and EXH D 12 2 2" xfId="20308"/>
    <cellStyle name="_Value Copy 11 30 05 gas 12 09 05 AURORA at 12 14 05_4 31E Reg Asset  Liab and EXH D 12 3" xfId="20309"/>
    <cellStyle name="_Value Copy 11 30 05 gas 12 09 05 AURORA at 12 14 05_4 31E Reg Asset  Liab and EXH D 13" xfId="20310"/>
    <cellStyle name="_Value Copy 11 30 05 gas 12 09 05 AURORA at 12 14 05_4 31E Reg Asset  Liab and EXH D 13 2" xfId="20311"/>
    <cellStyle name="_Value Copy 11 30 05 gas 12 09 05 AURORA at 12 14 05_4 31E Reg Asset  Liab and EXH D 13 2 2" xfId="20312"/>
    <cellStyle name="_Value Copy 11 30 05 gas 12 09 05 AURORA at 12 14 05_4 31E Reg Asset  Liab and EXH D 13 3" xfId="20313"/>
    <cellStyle name="_Value Copy 11 30 05 gas 12 09 05 AURORA at 12 14 05_4 31E Reg Asset  Liab and EXH D 14" xfId="20314"/>
    <cellStyle name="_Value Copy 11 30 05 gas 12 09 05 AURORA at 12 14 05_4 31E Reg Asset  Liab and EXH D 14 2" xfId="20315"/>
    <cellStyle name="_Value Copy 11 30 05 gas 12 09 05 AURORA at 12 14 05_4 31E Reg Asset  Liab and EXH D 14 2 2" xfId="20316"/>
    <cellStyle name="_Value Copy 11 30 05 gas 12 09 05 AURORA at 12 14 05_4 31E Reg Asset  Liab and EXH D 14 3" xfId="20317"/>
    <cellStyle name="_Value Copy 11 30 05 gas 12 09 05 AURORA at 12 14 05_4 31E Reg Asset  Liab and EXH D 15" xfId="20318"/>
    <cellStyle name="_Value Copy 11 30 05 gas 12 09 05 AURORA at 12 14 05_4 31E Reg Asset  Liab and EXH D 15 2" xfId="20319"/>
    <cellStyle name="_Value Copy 11 30 05 gas 12 09 05 AURORA at 12 14 05_4 31E Reg Asset  Liab and EXH D 15 2 2" xfId="20320"/>
    <cellStyle name="_Value Copy 11 30 05 gas 12 09 05 AURORA at 12 14 05_4 31E Reg Asset  Liab and EXH D 15 3" xfId="20321"/>
    <cellStyle name="_Value Copy 11 30 05 gas 12 09 05 AURORA at 12 14 05_4 31E Reg Asset  Liab and EXH D 16" xfId="20322"/>
    <cellStyle name="_Value Copy 11 30 05 gas 12 09 05 AURORA at 12 14 05_4 31E Reg Asset  Liab and EXH D 16 2" xfId="20323"/>
    <cellStyle name="_Value Copy 11 30 05 gas 12 09 05 AURORA at 12 14 05_4 31E Reg Asset  Liab and EXH D 16 2 2" xfId="20324"/>
    <cellStyle name="_Value Copy 11 30 05 gas 12 09 05 AURORA at 12 14 05_4 31E Reg Asset  Liab and EXH D 16 3" xfId="20325"/>
    <cellStyle name="_Value Copy 11 30 05 gas 12 09 05 AURORA at 12 14 05_4 31E Reg Asset  Liab and EXH D 17" xfId="20326"/>
    <cellStyle name="_Value Copy 11 30 05 gas 12 09 05 AURORA at 12 14 05_4 31E Reg Asset  Liab and EXH D 17 2" xfId="20327"/>
    <cellStyle name="_Value Copy 11 30 05 gas 12 09 05 AURORA at 12 14 05_4 31E Reg Asset  Liab and EXH D 18" xfId="20328"/>
    <cellStyle name="_Value Copy 11 30 05 gas 12 09 05 AURORA at 12 14 05_4 31E Reg Asset  Liab and EXH D 18 2" xfId="20329"/>
    <cellStyle name="_Value Copy 11 30 05 gas 12 09 05 AURORA at 12 14 05_4 31E Reg Asset  Liab and EXH D 19" xfId="20330"/>
    <cellStyle name="_Value Copy 11 30 05 gas 12 09 05 AURORA at 12 14 05_4 31E Reg Asset  Liab and EXH D 19 2" xfId="20331"/>
    <cellStyle name="_Value Copy 11 30 05 gas 12 09 05 AURORA at 12 14 05_4 31E Reg Asset  Liab and EXH D 2" xfId="20332"/>
    <cellStyle name="_Value Copy 11 30 05 gas 12 09 05 AURORA at 12 14 05_4 31E Reg Asset  Liab and EXH D 2 2" xfId="20333"/>
    <cellStyle name="_Value Copy 11 30 05 gas 12 09 05 AURORA at 12 14 05_4 31E Reg Asset  Liab and EXH D 2 2 2" xfId="20334"/>
    <cellStyle name="_Value Copy 11 30 05 gas 12 09 05 AURORA at 12 14 05_4 31E Reg Asset  Liab and EXH D 2 3" xfId="20335"/>
    <cellStyle name="_Value Copy 11 30 05 gas 12 09 05 AURORA at 12 14 05_4 31E Reg Asset  Liab and EXH D 20" xfId="20336"/>
    <cellStyle name="_Value Copy 11 30 05 gas 12 09 05 AURORA at 12 14 05_4 31E Reg Asset  Liab and EXH D 20 2" xfId="20337"/>
    <cellStyle name="_Value Copy 11 30 05 gas 12 09 05 AURORA at 12 14 05_4 31E Reg Asset  Liab and EXH D 21" xfId="20338"/>
    <cellStyle name="_Value Copy 11 30 05 gas 12 09 05 AURORA at 12 14 05_4 31E Reg Asset  Liab and EXH D 21 2" xfId="20339"/>
    <cellStyle name="_Value Copy 11 30 05 gas 12 09 05 AURORA at 12 14 05_4 31E Reg Asset  Liab and EXH D 22" xfId="20340"/>
    <cellStyle name="_Value Copy 11 30 05 gas 12 09 05 AURORA at 12 14 05_4 31E Reg Asset  Liab and EXH D 22 2" xfId="20341"/>
    <cellStyle name="_Value Copy 11 30 05 gas 12 09 05 AURORA at 12 14 05_4 31E Reg Asset  Liab and EXH D 23" xfId="20342"/>
    <cellStyle name="_Value Copy 11 30 05 gas 12 09 05 AURORA at 12 14 05_4 31E Reg Asset  Liab and EXH D 23 2" xfId="20343"/>
    <cellStyle name="_Value Copy 11 30 05 gas 12 09 05 AURORA at 12 14 05_4 31E Reg Asset  Liab and EXH D 24" xfId="20344"/>
    <cellStyle name="_Value Copy 11 30 05 gas 12 09 05 AURORA at 12 14 05_4 31E Reg Asset  Liab and EXH D 24 2" xfId="20345"/>
    <cellStyle name="_Value Copy 11 30 05 gas 12 09 05 AURORA at 12 14 05_4 31E Reg Asset  Liab and EXH D 25" xfId="20346"/>
    <cellStyle name="_Value Copy 11 30 05 gas 12 09 05 AURORA at 12 14 05_4 31E Reg Asset  Liab and EXH D 25 2" xfId="20347"/>
    <cellStyle name="_Value Copy 11 30 05 gas 12 09 05 AURORA at 12 14 05_4 31E Reg Asset  Liab and EXH D 26" xfId="20348"/>
    <cellStyle name="_Value Copy 11 30 05 gas 12 09 05 AURORA at 12 14 05_4 31E Reg Asset  Liab and EXH D 26 2" xfId="20349"/>
    <cellStyle name="_Value Copy 11 30 05 gas 12 09 05 AURORA at 12 14 05_4 31E Reg Asset  Liab and EXH D 27" xfId="20350"/>
    <cellStyle name="_Value Copy 11 30 05 gas 12 09 05 AURORA at 12 14 05_4 31E Reg Asset  Liab and EXH D 27 2" xfId="20351"/>
    <cellStyle name="_Value Copy 11 30 05 gas 12 09 05 AURORA at 12 14 05_4 31E Reg Asset  Liab and EXH D 28" xfId="20352"/>
    <cellStyle name="_Value Copy 11 30 05 gas 12 09 05 AURORA at 12 14 05_4 31E Reg Asset  Liab and EXH D 28 2" xfId="20353"/>
    <cellStyle name="_Value Copy 11 30 05 gas 12 09 05 AURORA at 12 14 05_4 31E Reg Asset  Liab and EXH D 29" xfId="20354"/>
    <cellStyle name="_Value Copy 11 30 05 gas 12 09 05 AURORA at 12 14 05_4 31E Reg Asset  Liab and EXH D 29 2" xfId="20355"/>
    <cellStyle name="_Value Copy 11 30 05 gas 12 09 05 AURORA at 12 14 05_4 31E Reg Asset  Liab and EXH D 3" xfId="20356"/>
    <cellStyle name="_Value Copy 11 30 05 gas 12 09 05 AURORA at 12 14 05_4 31E Reg Asset  Liab and EXH D 3 2" xfId="20357"/>
    <cellStyle name="_Value Copy 11 30 05 gas 12 09 05 AURORA at 12 14 05_4 31E Reg Asset  Liab and EXH D 3 2 2" xfId="20358"/>
    <cellStyle name="_Value Copy 11 30 05 gas 12 09 05 AURORA at 12 14 05_4 31E Reg Asset  Liab and EXH D 3 3" xfId="20359"/>
    <cellStyle name="_Value Copy 11 30 05 gas 12 09 05 AURORA at 12 14 05_4 31E Reg Asset  Liab and EXH D 30" xfId="20360"/>
    <cellStyle name="_Value Copy 11 30 05 gas 12 09 05 AURORA at 12 14 05_4 31E Reg Asset  Liab and EXH D 30 2" xfId="20361"/>
    <cellStyle name="_Value Copy 11 30 05 gas 12 09 05 AURORA at 12 14 05_4 31E Reg Asset  Liab and EXH D 4" xfId="20362"/>
    <cellStyle name="_Value Copy 11 30 05 gas 12 09 05 AURORA at 12 14 05_4 31E Reg Asset  Liab and EXH D 4 2" xfId="20363"/>
    <cellStyle name="_Value Copy 11 30 05 gas 12 09 05 AURORA at 12 14 05_4 31E Reg Asset  Liab and EXH D 4 2 2" xfId="20364"/>
    <cellStyle name="_Value Copy 11 30 05 gas 12 09 05 AURORA at 12 14 05_4 31E Reg Asset  Liab and EXH D 5" xfId="20365"/>
    <cellStyle name="_Value Copy 11 30 05 gas 12 09 05 AURORA at 12 14 05_4 31E Reg Asset  Liab and EXH D 5 2" xfId="20366"/>
    <cellStyle name="_Value Copy 11 30 05 gas 12 09 05 AURORA at 12 14 05_4 31E Reg Asset  Liab and EXH D 5 2 2" xfId="20367"/>
    <cellStyle name="_Value Copy 11 30 05 gas 12 09 05 AURORA at 12 14 05_4 31E Reg Asset  Liab and EXH D 6" xfId="20368"/>
    <cellStyle name="_Value Copy 11 30 05 gas 12 09 05 AURORA at 12 14 05_4 31E Reg Asset  Liab and EXH D 6 2" xfId="20369"/>
    <cellStyle name="_Value Copy 11 30 05 gas 12 09 05 AURORA at 12 14 05_4 31E Reg Asset  Liab and EXH D 6 2 2" xfId="20370"/>
    <cellStyle name="_Value Copy 11 30 05 gas 12 09 05 AURORA at 12 14 05_4 31E Reg Asset  Liab and EXH D 6 3" xfId="20371"/>
    <cellStyle name="_Value Copy 11 30 05 gas 12 09 05 AURORA at 12 14 05_4 31E Reg Asset  Liab and EXH D 7" xfId="20372"/>
    <cellStyle name="_Value Copy 11 30 05 gas 12 09 05 AURORA at 12 14 05_4 31E Reg Asset  Liab and EXH D 7 2" xfId="20373"/>
    <cellStyle name="_Value Copy 11 30 05 gas 12 09 05 AURORA at 12 14 05_4 31E Reg Asset  Liab and EXH D 7 2 2" xfId="20374"/>
    <cellStyle name="_Value Copy 11 30 05 gas 12 09 05 AURORA at 12 14 05_4 31E Reg Asset  Liab and EXH D 7 3" xfId="20375"/>
    <cellStyle name="_Value Copy 11 30 05 gas 12 09 05 AURORA at 12 14 05_4 31E Reg Asset  Liab and EXH D 8" xfId="20376"/>
    <cellStyle name="_Value Copy 11 30 05 gas 12 09 05 AURORA at 12 14 05_4 31E Reg Asset  Liab and EXH D 8 2" xfId="20377"/>
    <cellStyle name="_Value Copy 11 30 05 gas 12 09 05 AURORA at 12 14 05_4 31E Reg Asset  Liab and EXH D 8 2 2" xfId="20378"/>
    <cellStyle name="_Value Copy 11 30 05 gas 12 09 05 AURORA at 12 14 05_4 31E Reg Asset  Liab and EXH D 8 3" xfId="20379"/>
    <cellStyle name="_Value Copy 11 30 05 gas 12 09 05 AURORA at 12 14 05_4 31E Reg Asset  Liab and EXH D 9" xfId="20380"/>
    <cellStyle name="_Value Copy 11 30 05 gas 12 09 05 AURORA at 12 14 05_4 31E Reg Asset  Liab and EXH D 9 2" xfId="20381"/>
    <cellStyle name="_Value Copy 11 30 05 gas 12 09 05 AURORA at 12 14 05_4 31E Reg Asset  Liab and EXH D 9 2 2" xfId="20382"/>
    <cellStyle name="_Value Copy 11 30 05 gas 12 09 05 AURORA at 12 14 05_4 31E Reg Asset  Liab and EXH D 9 3" xfId="20383"/>
    <cellStyle name="_Value Copy 11 30 05 gas 12 09 05 AURORA at 12 14 05_4 32 Regulatory Assets and Liabilities  7 06- Exhibit D" xfId="898"/>
    <cellStyle name="_Value Copy 11 30 05 gas 12 09 05 AURORA at 12 14 05_4 32 Regulatory Assets and Liabilities  7 06- Exhibit D 2" xfId="20384"/>
    <cellStyle name="_Value Copy 11 30 05 gas 12 09 05 AURORA at 12 14 05_4 32 Regulatory Assets and Liabilities  7 06- Exhibit D 2 2" xfId="20385"/>
    <cellStyle name="_Value Copy 11 30 05 gas 12 09 05 AURORA at 12 14 05_4 32 Regulatory Assets and Liabilities  7 06- Exhibit D 2 2 2" xfId="20386"/>
    <cellStyle name="_Value Copy 11 30 05 gas 12 09 05 AURORA at 12 14 05_4 32 Regulatory Assets and Liabilities  7 06- Exhibit D 2 2 2 2" xfId="20387"/>
    <cellStyle name="_Value Copy 11 30 05 gas 12 09 05 AURORA at 12 14 05_4 32 Regulatory Assets and Liabilities  7 06- Exhibit D 2 2 3" xfId="20388"/>
    <cellStyle name="_Value Copy 11 30 05 gas 12 09 05 AURORA at 12 14 05_4 32 Regulatory Assets and Liabilities  7 06- Exhibit D 2 3" xfId="20389"/>
    <cellStyle name="_Value Copy 11 30 05 gas 12 09 05 AURORA at 12 14 05_4 32 Regulatory Assets and Liabilities  7 06- Exhibit D 2 3 2" xfId="20390"/>
    <cellStyle name="_Value Copy 11 30 05 gas 12 09 05 AURORA at 12 14 05_4 32 Regulatory Assets and Liabilities  7 06- Exhibit D 2 4" xfId="20391"/>
    <cellStyle name="_Value Copy 11 30 05 gas 12 09 05 AURORA at 12 14 05_4 32 Regulatory Assets and Liabilities  7 06- Exhibit D 2 4 2" xfId="20392"/>
    <cellStyle name="_Value Copy 11 30 05 gas 12 09 05 AURORA at 12 14 05_4 32 Regulatory Assets and Liabilities  7 06- Exhibit D 2 5" xfId="20393"/>
    <cellStyle name="_Value Copy 11 30 05 gas 12 09 05 AURORA at 12 14 05_4 32 Regulatory Assets and Liabilities  7 06- Exhibit D 3" xfId="20394"/>
    <cellStyle name="_Value Copy 11 30 05 gas 12 09 05 AURORA at 12 14 05_4 32 Regulatory Assets and Liabilities  7 06- Exhibit D 3 2" xfId="20395"/>
    <cellStyle name="_Value Copy 11 30 05 gas 12 09 05 AURORA at 12 14 05_4 32 Regulatory Assets and Liabilities  7 06- Exhibit D 3 2 2" xfId="20396"/>
    <cellStyle name="_Value Copy 11 30 05 gas 12 09 05 AURORA at 12 14 05_4 32 Regulatory Assets and Liabilities  7 06- Exhibit D 3 3" xfId="20397"/>
    <cellStyle name="_Value Copy 11 30 05 gas 12 09 05 AURORA at 12 14 05_4 32 Regulatory Assets and Liabilities  7 06- Exhibit D 3 4" xfId="20398"/>
    <cellStyle name="_Value Copy 11 30 05 gas 12 09 05 AURORA at 12 14 05_4 32 Regulatory Assets and Liabilities  7 06- Exhibit D 4" xfId="20399"/>
    <cellStyle name="_Value Copy 11 30 05 gas 12 09 05 AURORA at 12 14 05_4 32 Regulatory Assets and Liabilities  7 06- Exhibit D 4 2" xfId="20400"/>
    <cellStyle name="_Value Copy 11 30 05 gas 12 09 05 AURORA at 12 14 05_4 32 Regulatory Assets and Liabilities  7 06- Exhibit D 4 2 2" xfId="20401"/>
    <cellStyle name="_Value Copy 11 30 05 gas 12 09 05 AURORA at 12 14 05_4 32 Regulatory Assets and Liabilities  7 06- Exhibit D 4 3" xfId="20402"/>
    <cellStyle name="_Value Copy 11 30 05 gas 12 09 05 AURORA at 12 14 05_4 32 Regulatory Assets and Liabilities  7 06- Exhibit D 5" xfId="20403"/>
    <cellStyle name="_Value Copy 11 30 05 gas 12 09 05 AURORA at 12 14 05_4 32 Regulatory Assets and Liabilities  7 06- Exhibit D 5 2" xfId="20404"/>
    <cellStyle name="_Value Copy 11 30 05 gas 12 09 05 AURORA at 12 14 05_4 32 Regulatory Assets and Liabilities  7 06- Exhibit D 6" xfId="20405"/>
    <cellStyle name="_Value Copy 11 30 05 gas 12 09 05 AURORA at 12 14 05_4 32 Regulatory Assets and Liabilities  7 06- Exhibit D 6 2" xfId="20406"/>
    <cellStyle name="_Value Copy 11 30 05 gas 12 09 05 AURORA at 12 14 05_4 32 Regulatory Assets and Liabilities  7 06- Exhibit D 7" xfId="20407"/>
    <cellStyle name="_Value Copy 11 30 05 gas 12 09 05 AURORA at 12 14 05_4 32 Regulatory Assets and Liabilities  7 06- Exhibit D_DEM-WP(C) ENERG10C--ctn Mid-C_042010 2010GRC" xfId="20408"/>
    <cellStyle name="_Value Copy 11 30 05 gas 12 09 05 AURORA at 12 14 05_4 32 Regulatory Assets and Liabilities  7 06- Exhibit D_DEM-WP(C) ENERG10C--ctn Mid-C_042010 2010GRC 2" xfId="20409"/>
    <cellStyle name="_Value Copy 11 30 05 gas 12 09 05 AURORA at 12 14 05_4 32 Regulatory Assets and Liabilities  7 06- Exhibit D_NIM Summary" xfId="20410"/>
    <cellStyle name="_Value Copy 11 30 05 gas 12 09 05 AURORA at 12 14 05_4 32 Regulatory Assets and Liabilities  7 06- Exhibit D_NIM Summary 2" xfId="20411"/>
    <cellStyle name="_Value Copy 11 30 05 gas 12 09 05 AURORA at 12 14 05_4 32 Regulatory Assets and Liabilities  7 06- Exhibit D_NIM Summary 2 2" xfId="20412"/>
    <cellStyle name="_Value Copy 11 30 05 gas 12 09 05 AURORA at 12 14 05_4 32 Regulatory Assets and Liabilities  7 06- Exhibit D_NIM Summary 2 2 2" xfId="20413"/>
    <cellStyle name="_Value Copy 11 30 05 gas 12 09 05 AURORA at 12 14 05_4 32 Regulatory Assets and Liabilities  7 06- Exhibit D_NIM Summary 2 2 2 2" xfId="20414"/>
    <cellStyle name="_Value Copy 11 30 05 gas 12 09 05 AURORA at 12 14 05_4 32 Regulatory Assets and Liabilities  7 06- Exhibit D_NIM Summary 2 3" xfId="20415"/>
    <cellStyle name="_Value Copy 11 30 05 gas 12 09 05 AURORA at 12 14 05_4 32 Regulatory Assets and Liabilities  7 06- Exhibit D_NIM Summary 2 3 2" xfId="20416"/>
    <cellStyle name="_Value Copy 11 30 05 gas 12 09 05 AURORA at 12 14 05_4 32 Regulatory Assets and Liabilities  7 06- Exhibit D_NIM Summary 2 4" xfId="20417"/>
    <cellStyle name="_Value Copy 11 30 05 gas 12 09 05 AURORA at 12 14 05_4 32 Regulatory Assets and Liabilities  7 06- Exhibit D_NIM Summary 2 4 2" xfId="20418"/>
    <cellStyle name="_Value Copy 11 30 05 gas 12 09 05 AURORA at 12 14 05_4 32 Regulatory Assets and Liabilities  7 06- Exhibit D_NIM Summary 2 5" xfId="20419"/>
    <cellStyle name="_Value Copy 11 30 05 gas 12 09 05 AURORA at 12 14 05_4 32 Regulatory Assets and Liabilities  7 06- Exhibit D_NIM Summary 3" xfId="20420"/>
    <cellStyle name="_Value Copy 11 30 05 gas 12 09 05 AURORA at 12 14 05_4 32 Regulatory Assets and Liabilities  7 06- Exhibit D_NIM Summary 3 2" xfId="20421"/>
    <cellStyle name="_Value Copy 11 30 05 gas 12 09 05 AURORA at 12 14 05_4 32 Regulatory Assets and Liabilities  7 06- Exhibit D_NIM Summary 3 2 2" xfId="20422"/>
    <cellStyle name="_Value Copy 11 30 05 gas 12 09 05 AURORA at 12 14 05_4 32 Regulatory Assets and Liabilities  7 06- Exhibit D_NIM Summary 3 3" xfId="20423"/>
    <cellStyle name="_Value Copy 11 30 05 gas 12 09 05 AURORA at 12 14 05_4 32 Regulatory Assets and Liabilities  7 06- Exhibit D_NIM Summary 4" xfId="20424"/>
    <cellStyle name="_Value Copy 11 30 05 gas 12 09 05 AURORA at 12 14 05_4 32 Regulatory Assets and Liabilities  7 06- Exhibit D_NIM Summary 4 2" xfId="20425"/>
    <cellStyle name="_Value Copy 11 30 05 gas 12 09 05 AURORA at 12 14 05_4 32 Regulatory Assets and Liabilities  7 06- Exhibit D_NIM Summary 4 2 2" xfId="20426"/>
    <cellStyle name="_Value Copy 11 30 05 gas 12 09 05 AURORA at 12 14 05_4 32 Regulatory Assets and Liabilities  7 06- Exhibit D_NIM Summary 4 3" xfId="20427"/>
    <cellStyle name="_Value Copy 11 30 05 gas 12 09 05 AURORA at 12 14 05_4 32 Regulatory Assets and Liabilities  7 06- Exhibit D_NIM Summary 5" xfId="20428"/>
    <cellStyle name="_Value Copy 11 30 05 gas 12 09 05 AURORA at 12 14 05_4 32 Regulatory Assets and Liabilities  7 06- Exhibit D_NIM Summary 5 2" xfId="20429"/>
    <cellStyle name="_Value Copy 11 30 05 gas 12 09 05 AURORA at 12 14 05_4 32 Regulatory Assets and Liabilities  7 06- Exhibit D_NIM Summary 6" xfId="20430"/>
    <cellStyle name="_Value Copy 11 30 05 gas 12 09 05 AURORA at 12 14 05_4 32 Regulatory Assets and Liabilities  7 06- Exhibit D_NIM Summary 6 2" xfId="20431"/>
    <cellStyle name="_Value Copy 11 30 05 gas 12 09 05 AURORA at 12 14 05_4 32 Regulatory Assets and Liabilities  7 06- Exhibit D_NIM Summary 7" xfId="20432"/>
    <cellStyle name="_Value Copy 11 30 05 gas 12 09 05 AURORA at 12 14 05_4 32 Regulatory Assets and Liabilities  7 06- Exhibit D_NIM Summary_DEM-WP(C) ENERG10C--ctn Mid-C_042010 2010GRC" xfId="20433"/>
    <cellStyle name="_Value Copy 11 30 05 gas 12 09 05 AURORA at 12 14 05_4 32 Regulatory Assets and Liabilities  7 06- Exhibit D_NIM Summary_DEM-WP(C) ENERG10C--ctn Mid-C_042010 2010GRC 2" xfId="20434"/>
    <cellStyle name="_Value Copy 11 30 05 gas 12 09 05 AURORA at 12 14 05_AURORA Total New" xfId="20435"/>
    <cellStyle name="_Value Copy 11 30 05 gas 12 09 05 AURORA at 12 14 05_AURORA Total New 2" xfId="20436"/>
    <cellStyle name="_Value Copy 11 30 05 gas 12 09 05 AURORA at 12 14 05_AURORA Total New 2 2" xfId="20437"/>
    <cellStyle name="_Value Copy 11 30 05 gas 12 09 05 AURORA at 12 14 05_AURORA Total New 2 2 2" xfId="20438"/>
    <cellStyle name="_Value Copy 11 30 05 gas 12 09 05 AURORA at 12 14 05_AURORA Total New 2 2 2 2" xfId="20439"/>
    <cellStyle name="_Value Copy 11 30 05 gas 12 09 05 AURORA at 12 14 05_AURORA Total New 2 3" xfId="20440"/>
    <cellStyle name="_Value Copy 11 30 05 gas 12 09 05 AURORA at 12 14 05_AURORA Total New 2 3 2" xfId="20441"/>
    <cellStyle name="_Value Copy 11 30 05 gas 12 09 05 AURORA at 12 14 05_AURORA Total New 2 4" xfId="20442"/>
    <cellStyle name="_Value Copy 11 30 05 gas 12 09 05 AURORA at 12 14 05_AURORA Total New 2 4 2" xfId="20443"/>
    <cellStyle name="_Value Copy 11 30 05 gas 12 09 05 AURORA at 12 14 05_AURORA Total New 2 5" xfId="20444"/>
    <cellStyle name="_Value Copy 11 30 05 gas 12 09 05 AURORA at 12 14 05_AURORA Total New 3" xfId="20445"/>
    <cellStyle name="_Value Copy 11 30 05 gas 12 09 05 AURORA at 12 14 05_AURORA Total New 3 2" xfId="20446"/>
    <cellStyle name="_Value Copy 11 30 05 gas 12 09 05 AURORA at 12 14 05_AURORA Total New 3 2 2" xfId="20447"/>
    <cellStyle name="_Value Copy 11 30 05 gas 12 09 05 AURORA at 12 14 05_AURORA Total New 4" xfId="20448"/>
    <cellStyle name="_Value Copy 11 30 05 gas 12 09 05 AURORA at 12 14 05_AURORA Total New 4 2" xfId="20449"/>
    <cellStyle name="_Value Copy 11 30 05 gas 12 09 05 AURORA at 12 14 05_AURORA Total New 5" xfId="20450"/>
    <cellStyle name="_Value Copy 11 30 05 gas 12 09 05 AURORA at 12 14 05_AURORA Total New 5 2" xfId="20451"/>
    <cellStyle name="_Value Copy 11 30 05 gas 12 09 05 AURORA at 12 14 05_AURORA Total New 6" xfId="20452"/>
    <cellStyle name="_Value Copy 11 30 05 gas 12 09 05 AURORA at 12 14 05_Book2" xfId="899"/>
    <cellStyle name="_Value Copy 11 30 05 gas 12 09 05 AURORA at 12 14 05_Book2 2" xfId="20453"/>
    <cellStyle name="_Value Copy 11 30 05 gas 12 09 05 AURORA at 12 14 05_Book2 2 2" xfId="20454"/>
    <cellStyle name="_Value Copy 11 30 05 gas 12 09 05 AURORA at 12 14 05_Book2 2 2 2" xfId="20455"/>
    <cellStyle name="_Value Copy 11 30 05 gas 12 09 05 AURORA at 12 14 05_Book2 2 2 2 2" xfId="20456"/>
    <cellStyle name="_Value Copy 11 30 05 gas 12 09 05 AURORA at 12 14 05_Book2 2 2 3" xfId="20457"/>
    <cellStyle name="_Value Copy 11 30 05 gas 12 09 05 AURORA at 12 14 05_Book2 2 3" xfId="20458"/>
    <cellStyle name="_Value Copy 11 30 05 gas 12 09 05 AURORA at 12 14 05_Book2 2 3 2" xfId="20459"/>
    <cellStyle name="_Value Copy 11 30 05 gas 12 09 05 AURORA at 12 14 05_Book2 2 4" xfId="20460"/>
    <cellStyle name="_Value Copy 11 30 05 gas 12 09 05 AURORA at 12 14 05_Book2 2 4 2" xfId="20461"/>
    <cellStyle name="_Value Copy 11 30 05 gas 12 09 05 AURORA at 12 14 05_Book2 2 5" xfId="20462"/>
    <cellStyle name="_Value Copy 11 30 05 gas 12 09 05 AURORA at 12 14 05_Book2 3" xfId="20463"/>
    <cellStyle name="_Value Copy 11 30 05 gas 12 09 05 AURORA at 12 14 05_Book2 3 2" xfId="20464"/>
    <cellStyle name="_Value Copy 11 30 05 gas 12 09 05 AURORA at 12 14 05_Book2 3 2 2" xfId="20465"/>
    <cellStyle name="_Value Copy 11 30 05 gas 12 09 05 AURORA at 12 14 05_Book2 3 3" xfId="20466"/>
    <cellStyle name="_Value Copy 11 30 05 gas 12 09 05 AURORA at 12 14 05_Book2 3 4" xfId="20467"/>
    <cellStyle name="_Value Copy 11 30 05 gas 12 09 05 AURORA at 12 14 05_Book2 4" xfId="20468"/>
    <cellStyle name="_Value Copy 11 30 05 gas 12 09 05 AURORA at 12 14 05_Book2 4 2" xfId="20469"/>
    <cellStyle name="_Value Copy 11 30 05 gas 12 09 05 AURORA at 12 14 05_Book2 4 2 2" xfId="20470"/>
    <cellStyle name="_Value Copy 11 30 05 gas 12 09 05 AURORA at 12 14 05_Book2 4 3" xfId="20471"/>
    <cellStyle name="_Value Copy 11 30 05 gas 12 09 05 AURORA at 12 14 05_Book2 5" xfId="20472"/>
    <cellStyle name="_Value Copy 11 30 05 gas 12 09 05 AURORA at 12 14 05_Book2 5 2" xfId="20473"/>
    <cellStyle name="_Value Copy 11 30 05 gas 12 09 05 AURORA at 12 14 05_Book2 6" xfId="20474"/>
    <cellStyle name="_Value Copy 11 30 05 gas 12 09 05 AURORA at 12 14 05_Book2 6 2" xfId="20475"/>
    <cellStyle name="_Value Copy 11 30 05 gas 12 09 05 AURORA at 12 14 05_Book2 7" xfId="20476"/>
    <cellStyle name="_Value Copy 11 30 05 gas 12 09 05 AURORA at 12 14 05_Book2_Adj Bench DR 3 for Initial Briefs (Electric)" xfId="900"/>
    <cellStyle name="_Value Copy 11 30 05 gas 12 09 05 AURORA at 12 14 05_Book2_Adj Bench DR 3 for Initial Briefs (Electric) 2" xfId="20477"/>
    <cellStyle name="_Value Copy 11 30 05 gas 12 09 05 AURORA at 12 14 05_Book2_Adj Bench DR 3 for Initial Briefs (Electric) 2 2" xfId="20478"/>
    <cellStyle name="_Value Copy 11 30 05 gas 12 09 05 AURORA at 12 14 05_Book2_Adj Bench DR 3 for Initial Briefs (Electric) 2 2 2" xfId="20479"/>
    <cellStyle name="_Value Copy 11 30 05 gas 12 09 05 AURORA at 12 14 05_Book2_Adj Bench DR 3 for Initial Briefs (Electric) 2 2 2 2" xfId="20480"/>
    <cellStyle name="_Value Copy 11 30 05 gas 12 09 05 AURORA at 12 14 05_Book2_Adj Bench DR 3 for Initial Briefs (Electric) 2 2 3" xfId="20481"/>
    <cellStyle name="_Value Copy 11 30 05 gas 12 09 05 AURORA at 12 14 05_Book2_Adj Bench DR 3 for Initial Briefs (Electric) 2 3" xfId="20482"/>
    <cellStyle name="_Value Copy 11 30 05 gas 12 09 05 AURORA at 12 14 05_Book2_Adj Bench DR 3 for Initial Briefs (Electric) 2 3 2" xfId="20483"/>
    <cellStyle name="_Value Copy 11 30 05 gas 12 09 05 AURORA at 12 14 05_Book2_Adj Bench DR 3 for Initial Briefs (Electric) 2 4" xfId="20484"/>
    <cellStyle name="_Value Copy 11 30 05 gas 12 09 05 AURORA at 12 14 05_Book2_Adj Bench DR 3 for Initial Briefs (Electric) 2 4 2" xfId="20485"/>
    <cellStyle name="_Value Copy 11 30 05 gas 12 09 05 AURORA at 12 14 05_Book2_Adj Bench DR 3 for Initial Briefs (Electric) 2 5" xfId="20486"/>
    <cellStyle name="_Value Copy 11 30 05 gas 12 09 05 AURORA at 12 14 05_Book2_Adj Bench DR 3 for Initial Briefs (Electric) 3" xfId="20487"/>
    <cellStyle name="_Value Copy 11 30 05 gas 12 09 05 AURORA at 12 14 05_Book2_Adj Bench DR 3 for Initial Briefs (Electric) 3 2" xfId="20488"/>
    <cellStyle name="_Value Copy 11 30 05 gas 12 09 05 AURORA at 12 14 05_Book2_Adj Bench DR 3 for Initial Briefs (Electric) 3 2 2" xfId="20489"/>
    <cellStyle name="_Value Copy 11 30 05 gas 12 09 05 AURORA at 12 14 05_Book2_Adj Bench DR 3 for Initial Briefs (Electric) 3 3" xfId="20490"/>
    <cellStyle name="_Value Copy 11 30 05 gas 12 09 05 AURORA at 12 14 05_Book2_Adj Bench DR 3 for Initial Briefs (Electric) 3 4" xfId="20491"/>
    <cellStyle name="_Value Copy 11 30 05 gas 12 09 05 AURORA at 12 14 05_Book2_Adj Bench DR 3 for Initial Briefs (Electric) 4" xfId="20492"/>
    <cellStyle name="_Value Copy 11 30 05 gas 12 09 05 AURORA at 12 14 05_Book2_Adj Bench DR 3 for Initial Briefs (Electric) 4 2" xfId="20493"/>
    <cellStyle name="_Value Copy 11 30 05 gas 12 09 05 AURORA at 12 14 05_Book2_Adj Bench DR 3 for Initial Briefs (Electric) 4 2 2" xfId="20494"/>
    <cellStyle name="_Value Copy 11 30 05 gas 12 09 05 AURORA at 12 14 05_Book2_Adj Bench DR 3 for Initial Briefs (Electric) 4 3" xfId="20495"/>
    <cellStyle name="_Value Copy 11 30 05 gas 12 09 05 AURORA at 12 14 05_Book2_Adj Bench DR 3 for Initial Briefs (Electric) 5" xfId="20496"/>
    <cellStyle name="_Value Copy 11 30 05 gas 12 09 05 AURORA at 12 14 05_Book2_Adj Bench DR 3 for Initial Briefs (Electric) 5 2" xfId="20497"/>
    <cellStyle name="_Value Copy 11 30 05 gas 12 09 05 AURORA at 12 14 05_Book2_Adj Bench DR 3 for Initial Briefs (Electric) 6" xfId="20498"/>
    <cellStyle name="_Value Copy 11 30 05 gas 12 09 05 AURORA at 12 14 05_Book2_Adj Bench DR 3 for Initial Briefs (Electric) 6 2" xfId="20499"/>
    <cellStyle name="_Value Copy 11 30 05 gas 12 09 05 AURORA at 12 14 05_Book2_Adj Bench DR 3 for Initial Briefs (Electric) 7" xfId="20500"/>
    <cellStyle name="_Value Copy 11 30 05 gas 12 09 05 AURORA at 12 14 05_Book2_Adj Bench DR 3 for Initial Briefs (Electric)_DEM-WP(C) ENERG10C--ctn Mid-C_042010 2010GRC" xfId="20501"/>
    <cellStyle name="_Value Copy 11 30 05 gas 12 09 05 AURORA at 12 14 05_Book2_Adj Bench DR 3 for Initial Briefs (Electric)_DEM-WP(C) ENERG10C--ctn Mid-C_042010 2010GRC 2" xfId="20502"/>
    <cellStyle name="_Value Copy 11 30 05 gas 12 09 05 AURORA at 12 14 05_Book2_DEM-WP(C) ENERG10C--ctn Mid-C_042010 2010GRC" xfId="20503"/>
    <cellStyle name="_Value Copy 11 30 05 gas 12 09 05 AURORA at 12 14 05_Book2_DEM-WP(C) ENERG10C--ctn Mid-C_042010 2010GRC 2" xfId="20504"/>
    <cellStyle name="_Value Copy 11 30 05 gas 12 09 05 AURORA at 12 14 05_Book2_Electric Rev Req Model (2009 GRC) Rebuttal" xfId="901"/>
    <cellStyle name="_Value Copy 11 30 05 gas 12 09 05 AURORA at 12 14 05_Book2_Electric Rev Req Model (2009 GRC) Rebuttal 2" xfId="20505"/>
    <cellStyle name="_Value Copy 11 30 05 gas 12 09 05 AURORA at 12 14 05_Book2_Electric Rev Req Model (2009 GRC) Rebuttal 2 2" xfId="20506"/>
    <cellStyle name="_Value Copy 11 30 05 gas 12 09 05 AURORA at 12 14 05_Book2_Electric Rev Req Model (2009 GRC) Rebuttal 2 2 2" xfId="20507"/>
    <cellStyle name="_Value Copy 11 30 05 gas 12 09 05 AURORA at 12 14 05_Book2_Electric Rev Req Model (2009 GRC) Rebuttal 2 3" xfId="20508"/>
    <cellStyle name="_Value Copy 11 30 05 gas 12 09 05 AURORA at 12 14 05_Book2_Electric Rev Req Model (2009 GRC) Rebuttal 2 4" xfId="20509"/>
    <cellStyle name="_Value Copy 11 30 05 gas 12 09 05 AURORA at 12 14 05_Book2_Electric Rev Req Model (2009 GRC) Rebuttal 3" xfId="20510"/>
    <cellStyle name="_Value Copy 11 30 05 gas 12 09 05 AURORA at 12 14 05_Book2_Electric Rev Req Model (2009 GRC) Rebuttal 3 2" xfId="20511"/>
    <cellStyle name="_Value Copy 11 30 05 gas 12 09 05 AURORA at 12 14 05_Book2_Electric Rev Req Model (2009 GRC) Rebuttal 4" xfId="20512"/>
    <cellStyle name="_Value Copy 11 30 05 gas 12 09 05 AURORA at 12 14 05_Book2_Electric Rev Req Model (2009 GRC) Rebuttal 5" xfId="20513"/>
    <cellStyle name="_Value Copy 11 30 05 gas 12 09 05 AURORA at 12 14 05_Book2_Electric Rev Req Model (2009 GRC) Rebuttal REmoval of New  WH Solar AdjustMI" xfId="902"/>
    <cellStyle name="_Value Copy 11 30 05 gas 12 09 05 AURORA at 12 14 05_Book2_Electric Rev Req Model (2009 GRC) Rebuttal REmoval of New  WH Solar AdjustMI 2" xfId="20514"/>
    <cellStyle name="_Value Copy 11 30 05 gas 12 09 05 AURORA at 12 14 05_Book2_Electric Rev Req Model (2009 GRC) Rebuttal REmoval of New  WH Solar AdjustMI 2 2" xfId="20515"/>
    <cellStyle name="_Value Copy 11 30 05 gas 12 09 05 AURORA at 12 14 05_Book2_Electric Rev Req Model (2009 GRC) Rebuttal REmoval of New  WH Solar AdjustMI 2 2 2" xfId="20516"/>
    <cellStyle name="_Value Copy 11 30 05 gas 12 09 05 AURORA at 12 14 05_Book2_Electric Rev Req Model (2009 GRC) Rebuttal REmoval of New  WH Solar AdjustMI 2 2 2 2" xfId="20517"/>
    <cellStyle name="_Value Copy 11 30 05 gas 12 09 05 AURORA at 12 14 05_Book2_Electric Rev Req Model (2009 GRC) Rebuttal REmoval of New  WH Solar AdjustMI 2 2 3" xfId="20518"/>
    <cellStyle name="_Value Copy 11 30 05 gas 12 09 05 AURORA at 12 14 05_Book2_Electric Rev Req Model (2009 GRC) Rebuttal REmoval of New  WH Solar AdjustMI 2 3" xfId="20519"/>
    <cellStyle name="_Value Copy 11 30 05 gas 12 09 05 AURORA at 12 14 05_Book2_Electric Rev Req Model (2009 GRC) Rebuttal REmoval of New  WH Solar AdjustMI 2 3 2" xfId="20520"/>
    <cellStyle name="_Value Copy 11 30 05 gas 12 09 05 AURORA at 12 14 05_Book2_Electric Rev Req Model (2009 GRC) Rebuttal REmoval of New  WH Solar AdjustMI 2 4" xfId="20521"/>
    <cellStyle name="_Value Copy 11 30 05 gas 12 09 05 AURORA at 12 14 05_Book2_Electric Rev Req Model (2009 GRC) Rebuttal REmoval of New  WH Solar AdjustMI 2 4 2" xfId="20522"/>
    <cellStyle name="_Value Copy 11 30 05 gas 12 09 05 AURORA at 12 14 05_Book2_Electric Rev Req Model (2009 GRC) Rebuttal REmoval of New  WH Solar AdjustMI 2 5" xfId="20523"/>
    <cellStyle name="_Value Copy 11 30 05 gas 12 09 05 AURORA at 12 14 05_Book2_Electric Rev Req Model (2009 GRC) Rebuttal REmoval of New  WH Solar AdjustMI 3" xfId="20524"/>
    <cellStyle name="_Value Copy 11 30 05 gas 12 09 05 AURORA at 12 14 05_Book2_Electric Rev Req Model (2009 GRC) Rebuttal REmoval of New  WH Solar AdjustMI 3 2" xfId="20525"/>
    <cellStyle name="_Value Copy 11 30 05 gas 12 09 05 AURORA at 12 14 05_Book2_Electric Rev Req Model (2009 GRC) Rebuttal REmoval of New  WH Solar AdjustMI 3 2 2" xfId="20526"/>
    <cellStyle name="_Value Copy 11 30 05 gas 12 09 05 AURORA at 12 14 05_Book2_Electric Rev Req Model (2009 GRC) Rebuttal REmoval of New  WH Solar AdjustMI 3 3" xfId="20527"/>
    <cellStyle name="_Value Copy 11 30 05 gas 12 09 05 AURORA at 12 14 05_Book2_Electric Rev Req Model (2009 GRC) Rebuttal REmoval of New  WH Solar AdjustMI 3 4" xfId="20528"/>
    <cellStyle name="_Value Copy 11 30 05 gas 12 09 05 AURORA at 12 14 05_Book2_Electric Rev Req Model (2009 GRC) Rebuttal REmoval of New  WH Solar AdjustMI 4" xfId="20529"/>
    <cellStyle name="_Value Copy 11 30 05 gas 12 09 05 AURORA at 12 14 05_Book2_Electric Rev Req Model (2009 GRC) Rebuttal REmoval of New  WH Solar AdjustMI 4 2" xfId="20530"/>
    <cellStyle name="_Value Copy 11 30 05 gas 12 09 05 AURORA at 12 14 05_Book2_Electric Rev Req Model (2009 GRC) Rebuttal REmoval of New  WH Solar AdjustMI 4 2 2" xfId="20531"/>
    <cellStyle name="_Value Copy 11 30 05 gas 12 09 05 AURORA at 12 14 05_Book2_Electric Rev Req Model (2009 GRC) Rebuttal REmoval of New  WH Solar AdjustMI 4 3" xfId="20532"/>
    <cellStyle name="_Value Copy 11 30 05 gas 12 09 05 AURORA at 12 14 05_Book2_Electric Rev Req Model (2009 GRC) Rebuttal REmoval of New  WH Solar AdjustMI 5" xfId="20533"/>
    <cellStyle name="_Value Copy 11 30 05 gas 12 09 05 AURORA at 12 14 05_Book2_Electric Rev Req Model (2009 GRC) Rebuttal REmoval of New  WH Solar AdjustMI 5 2" xfId="20534"/>
    <cellStyle name="_Value Copy 11 30 05 gas 12 09 05 AURORA at 12 14 05_Book2_Electric Rev Req Model (2009 GRC) Rebuttal REmoval of New  WH Solar AdjustMI 6" xfId="20535"/>
    <cellStyle name="_Value Copy 11 30 05 gas 12 09 05 AURORA at 12 14 05_Book2_Electric Rev Req Model (2009 GRC) Rebuttal REmoval of New  WH Solar AdjustMI 6 2" xfId="20536"/>
    <cellStyle name="_Value Copy 11 30 05 gas 12 09 05 AURORA at 12 14 05_Book2_Electric Rev Req Model (2009 GRC) Rebuttal REmoval of New  WH Solar AdjustMI 7" xfId="20537"/>
    <cellStyle name="_Value Copy 11 30 05 gas 12 09 05 AURORA at 12 14 05_Book2_Electric Rev Req Model (2009 GRC) Rebuttal REmoval of New  WH Solar AdjustMI_DEM-WP(C) ENERG10C--ctn Mid-C_042010 2010GRC" xfId="20538"/>
    <cellStyle name="_Value Copy 11 30 05 gas 12 09 05 AURORA at 12 14 05_Book2_Electric Rev Req Model (2009 GRC) Rebuttal REmoval of New  WH Solar AdjustMI_DEM-WP(C) ENERG10C--ctn Mid-C_042010 2010GRC 2" xfId="20539"/>
    <cellStyle name="_Value Copy 11 30 05 gas 12 09 05 AURORA at 12 14 05_Book2_Electric Rev Req Model (2009 GRC) Revised 01-18-2010" xfId="903"/>
    <cellStyle name="_Value Copy 11 30 05 gas 12 09 05 AURORA at 12 14 05_Book2_Electric Rev Req Model (2009 GRC) Revised 01-18-2010 2" xfId="20540"/>
    <cellStyle name="_Value Copy 11 30 05 gas 12 09 05 AURORA at 12 14 05_Book2_Electric Rev Req Model (2009 GRC) Revised 01-18-2010 2 2" xfId="20541"/>
    <cellStyle name="_Value Copy 11 30 05 gas 12 09 05 AURORA at 12 14 05_Book2_Electric Rev Req Model (2009 GRC) Revised 01-18-2010 2 2 2" xfId="20542"/>
    <cellStyle name="_Value Copy 11 30 05 gas 12 09 05 AURORA at 12 14 05_Book2_Electric Rev Req Model (2009 GRC) Revised 01-18-2010 2 2 2 2" xfId="20543"/>
    <cellStyle name="_Value Copy 11 30 05 gas 12 09 05 AURORA at 12 14 05_Book2_Electric Rev Req Model (2009 GRC) Revised 01-18-2010 2 2 3" xfId="20544"/>
    <cellStyle name="_Value Copy 11 30 05 gas 12 09 05 AURORA at 12 14 05_Book2_Electric Rev Req Model (2009 GRC) Revised 01-18-2010 2 3" xfId="20545"/>
    <cellStyle name="_Value Copy 11 30 05 gas 12 09 05 AURORA at 12 14 05_Book2_Electric Rev Req Model (2009 GRC) Revised 01-18-2010 2 3 2" xfId="20546"/>
    <cellStyle name="_Value Copy 11 30 05 gas 12 09 05 AURORA at 12 14 05_Book2_Electric Rev Req Model (2009 GRC) Revised 01-18-2010 2 4" xfId="20547"/>
    <cellStyle name="_Value Copy 11 30 05 gas 12 09 05 AURORA at 12 14 05_Book2_Electric Rev Req Model (2009 GRC) Revised 01-18-2010 2 4 2" xfId="20548"/>
    <cellStyle name="_Value Copy 11 30 05 gas 12 09 05 AURORA at 12 14 05_Book2_Electric Rev Req Model (2009 GRC) Revised 01-18-2010 2 5" xfId="20549"/>
    <cellStyle name="_Value Copy 11 30 05 gas 12 09 05 AURORA at 12 14 05_Book2_Electric Rev Req Model (2009 GRC) Revised 01-18-2010 3" xfId="20550"/>
    <cellStyle name="_Value Copy 11 30 05 gas 12 09 05 AURORA at 12 14 05_Book2_Electric Rev Req Model (2009 GRC) Revised 01-18-2010 3 2" xfId="20551"/>
    <cellStyle name="_Value Copy 11 30 05 gas 12 09 05 AURORA at 12 14 05_Book2_Electric Rev Req Model (2009 GRC) Revised 01-18-2010 3 2 2" xfId="20552"/>
    <cellStyle name="_Value Copy 11 30 05 gas 12 09 05 AURORA at 12 14 05_Book2_Electric Rev Req Model (2009 GRC) Revised 01-18-2010 3 3" xfId="20553"/>
    <cellStyle name="_Value Copy 11 30 05 gas 12 09 05 AURORA at 12 14 05_Book2_Electric Rev Req Model (2009 GRC) Revised 01-18-2010 3 4" xfId="20554"/>
    <cellStyle name="_Value Copy 11 30 05 gas 12 09 05 AURORA at 12 14 05_Book2_Electric Rev Req Model (2009 GRC) Revised 01-18-2010 4" xfId="20555"/>
    <cellStyle name="_Value Copy 11 30 05 gas 12 09 05 AURORA at 12 14 05_Book2_Electric Rev Req Model (2009 GRC) Revised 01-18-2010 4 2" xfId="20556"/>
    <cellStyle name="_Value Copy 11 30 05 gas 12 09 05 AURORA at 12 14 05_Book2_Electric Rev Req Model (2009 GRC) Revised 01-18-2010 4 2 2" xfId="20557"/>
    <cellStyle name="_Value Copy 11 30 05 gas 12 09 05 AURORA at 12 14 05_Book2_Electric Rev Req Model (2009 GRC) Revised 01-18-2010 4 3" xfId="20558"/>
    <cellStyle name="_Value Copy 11 30 05 gas 12 09 05 AURORA at 12 14 05_Book2_Electric Rev Req Model (2009 GRC) Revised 01-18-2010 5" xfId="20559"/>
    <cellStyle name="_Value Copy 11 30 05 gas 12 09 05 AURORA at 12 14 05_Book2_Electric Rev Req Model (2009 GRC) Revised 01-18-2010 5 2" xfId="20560"/>
    <cellStyle name="_Value Copy 11 30 05 gas 12 09 05 AURORA at 12 14 05_Book2_Electric Rev Req Model (2009 GRC) Revised 01-18-2010 6" xfId="20561"/>
    <cellStyle name="_Value Copy 11 30 05 gas 12 09 05 AURORA at 12 14 05_Book2_Electric Rev Req Model (2009 GRC) Revised 01-18-2010 6 2" xfId="20562"/>
    <cellStyle name="_Value Copy 11 30 05 gas 12 09 05 AURORA at 12 14 05_Book2_Electric Rev Req Model (2009 GRC) Revised 01-18-2010 7" xfId="20563"/>
    <cellStyle name="_Value Copy 11 30 05 gas 12 09 05 AURORA at 12 14 05_Book2_Electric Rev Req Model (2009 GRC) Revised 01-18-2010_DEM-WP(C) ENERG10C--ctn Mid-C_042010 2010GRC" xfId="20564"/>
    <cellStyle name="_Value Copy 11 30 05 gas 12 09 05 AURORA at 12 14 05_Book2_Electric Rev Req Model (2009 GRC) Revised 01-18-2010_DEM-WP(C) ENERG10C--ctn Mid-C_042010 2010GRC 2" xfId="20565"/>
    <cellStyle name="_Value Copy 11 30 05 gas 12 09 05 AURORA at 12 14 05_Book2_Final Order Electric EXHIBIT A-1" xfId="904"/>
    <cellStyle name="_Value Copy 11 30 05 gas 12 09 05 AURORA at 12 14 05_Book2_Final Order Electric EXHIBIT A-1 2" xfId="20566"/>
    <cellStyle name="_Value Copy 11 30 05 gas 12 09 05 AURORA at 12 14 05_Book2_Final Order Electric EXHIBIT A-1 2 2" xfId="20567"/>
    <cellStyle name="_Value Copy 11 30 05 gas 12 09 05 AURORA at 12 14 05_Book2_Final Order Electric EXHIBIT A-1 2 2 2" xfId="20568"/>
    <cellStyle name="_Value Copy 11 30 05 gas 12 09 05 AURORA at 12 14 05_Book2_Final Order Electric EXHIBIT A-1 2 3" xfId="20569"/>
    <cellStyle name="_Value Copy 11 30 05 gas 12 09 05 AURORA at 12 14 05_Book2_Final Order Electric EXHIBIT A-1 2 4" xfId="20570"/>
    <cellStyle name="_Value Copy 11 30 05 gas 12 09 05 AURORA at 12 14 05_Book2_Final Order Electric EXHIBIT A-1 3" xfId="20571"/>
    <cellStyle name="_Value Copy 11 30 05 gas 12 09 05 AURORA at 12 14 05_Book2_Final Order Electric EXHIBIT A-1 3 2" xfId="20572"/>
    <cellStyle name="_Value Copy 11 30 05 gas 12 09 05 AURORA at 12 14 05_Book2_Final Order Electric EXHIBIT A-1 3 2 2" xfId="20573"/>
    <cellStyle name="_Value Copy 11 30 05 gas 12 09 05 AURORA at 12 14 05_Book2_Final Order Electric EXHIBIT A-1 3 3" xfId="20574"/>
    <cellStyle name="_Value Copy 11 30 05 gas 12 09 05 AURORA at 12 14 05_Book2_Final Order Electric EXHIBIT A-1 4" xfId="20575"/>
    <cellStyle name="_Value Copy 11 30 05 gas 12 09 05 AURORA at 12 14 05_Book2_Final Order Electric EXHIBIT A-1 4 2" xfId="20576"/>
    <cellStyle name="_Value Copy 11 30 05 gas 12 09 05 AURORA at 12 14 05_Book2_Final Order Electric EXHIBIT A-1 5" xfId="20577"/>
    <cellStyle name="_Value Copy 11 30 05 gas 12 09 05 AURORA at 12 14 05_Book2_Final Order Electric EXHIBIT A-1 6" xfId="20578"/>
    <cellStyle name="_Value Copy 11 30 05 gas 12 09 05 AURORA at 12 14 05_Book2_Final Order Electric EXHIBIT A-1 7" xfId="20579"/>
    <cellStyle name="_Value Copy 11 30 05 gas 12 09 05 AURORA at 12 14 05_Book4" xfId="905"/>
    <cellStyle name="_Value Copy 11 30 05 gas 12 09 05 AURORA at 12 14 05_Book4 2" xfId="20580"/>
    <cellStyle name="_Value Copy 11 30 05 gas 12 09 05 AURORA at 12 14 05_Book4 2 2" xfId="20581"/>
    <cellStyle name="_Value Copy 11 30 05 gas 12 09 05 AURORA at 12 14 05_Book4 2 2 2" xfId="20582"/>
    <cellStyle name="_Value Copy 11 30 05 gas 12 09 05 AURORA at 12 14 05_Book4 2 2 2 2" xfId="20583"/>
    <cellStyle name="_Value Copy 11 30 05 gas 12 09 05 AURORA at 12 14 05_Book4 2 2 3" xfId="20584"/>
    <cellStyle name="_Value Copy 11 30 05 gas 12 09 05 AURORA at 12 14 05_Book4 2 3" xfId="20585"/>
    <cellStyle name="_Value Copy 11 30 05 gas 12 09 05 AURORA at 12 14 05_Book4 2 3 2" xfId="20586"/>
    <cellStyle name="_Value Copy 11 30 05 gas 12 09 05 AURORA at 12 14 05_Book4 2 4" xfId="20587"/>
    <cellStyle name="_Value Copy 11 30 05 gas 12 09 05 AURORA at 12 14 05_Book4 2 4 2" xfId="20588"/>
    <cellStyle name="_Value Copy 11 30 05 gas 12 09 05 AURORA at 12 14 05_Book4 2 5" xfId="20589"/>
    <cellStyle name="_Value Copy 11 30 05 gas 12 09 05 AURORA at 12 14 05_Book4 3" xfId="20590"/>
    <cellStyle name="_Value Copy 11 30 05 gas 12 09 05 AURORA at 12 14 05_Book4 3 2" xfId="20591"/>
    <cellStyle name="_Value Copy 11 30 05 gas 12 09 05 AURORA at 12 14 05_Book4 3 2 2" xfId="20592"/>
    <cellStyle name="_Value Copy 11 30 05 gas 12 09 05 AURORA at 12 14 05_Book4 3 3" xfId="20593"/>
    <cellStyle name="_Value Copy 11 30 05 gas 12 09 05 AURORA at 12 14 05_Book4 3 4" xfId="20594"/>
    <cellStyle name="_Value Copy 11 30 05 gas 12 09 05 AURORA at 12 14 05_Book4 4" xfId="20595"/>
    <cellStyle name="_Value Copy 11 30 05 gas 12 09 05 AURORA at 12 14 05_Book4 4 2" xfId="20596"/>
    <cellStyle name="_Value Copy 11 30 05 gas 12 09 05 AURORA at 12 14 05_Book4 4 2 2" xfId="20597"/>
    <cellStyle name="_Value Copy 11 30 05 gas 12 09 05 AURORA at 12 14 05_Book4 4 3" xfId="20598"/>
    <cellStyle name="_Value Copy 11 30 05 gas 12 09 05 AURORA at 12 14 05_Book4 5" xfId="20599"/>
    <cellStyle name="_Value Copy 11 30 05 gas 12 09 05 AURORA at 12 14 05_Book4 5 2" xfId="20600"/>
    <cellStyle name="_Value Copy 11 30 05 gas 12 09 05 AURORA at 12 14 05_Book4 6" xfId="20601"/>
    <cellStyle name="_Value Copy 11 30 05 gas 12 09 05 AURORA at 12 14 05_Book4 6 2" xfId="20602"/>
    <cellStyle name="_Value Copy 11 30 05 gas 12 09 05 AURORA at 12 14 05_Book4 7" xfId="20603"/>
    <cellStyle name="_Value Copy 11 30 05 gas 12 09 05 AURORA at 12 14 05_Book4_DEM-WP(C) ENERG10C--ctn Mid-C_042010 2010GRC" xfId="20604"/>
    <cellStyle name="_Value Copy 11 30 05 gas 12 09 05 AURORA at 12 14 05_Book4_DEM-WP(C) ENERG10C--ctn Mid-C_042010 2010GRC 2" xfId="20605"/>
    <cellStyle name="_Value Copy 11 30 05 gas 12 09 05 AURORA at 12 14 05_Book9" xfId="906"/>
    <cellStyle name="_Value Copy 11 30 05 gas 12 09 05 AURORA at 12 14 05_Book9 2" xfId="20606"/>
    <cellStyle name="_Value Copy 11 30 05 gas 12 09 05 AURORA at 12 14 05_Book9 2 2" xfId="20607"/>
    <cellStyle name="_Value Copy 11 30 05 gas 12 09 05 AURORA at 12 14 05_Book9 2 2 2" xfId="20608"/>
    <cellStyle name="_Value Copy 11 30 05 gas 12 09 05 AURORA at 12 14 05_Book9 2 2 2 2" xfId="20609"/>
    <cellStyle name="_Value Copy 11 30 05 gas 12 09 05 AURORA at 12 14 05_Book9 2 2 3" xfId="20610"/>
    <cellStyle name="_Value Copy 11 30 05 gas 12 09 05 AURORA at 12 14 05_Book9 2 3" xfId="20611"/>
    <cellStyle name="_Value Copy 11 30 05 gas 12 09 05 AURORA at 12 14 05_Book9 2 3 2" xfId="20612"/>
    <cellStyle name="_Value Copy 11 30 05 gas 12 09 05 AURORA at 12 14 05_Book9 2 4" xfId="20613"/>
    <cellStyle name="_Value Copy 11 30 05 gas 12 09 05 AURORA at 12 14 05_Book9 2 4 2" xfId="20614"/>
    <cellStyle name="_Value Copy 11 30 05 gas 12 09 05 AURORA at 12 14 05_Book9 2 5" xfId="20615"/>
    <cellStyle name="_Value Copy 11 30 05 gas 12 09 05 AURORA at 12 14 05_Book9 3" xfId="20616"/>
    <cellStyle name="_Value Copy 11 30 05 gas 12 09 05 AURORA at 12 14 05_Book9 3 2" xfId="20617"/>
    <cellStyle name="_Value Copy 11 30 05 gas 12 09 05 AURORA at 12 14 05_Book9 3 2 2" xfId="20618"/>
    <cellStyle name="_Value Copy 11 30 05 gas 12 09 05 AURORA at 12 14 05_Book9 3 3" xfId="20619"/>
    <cellStyle name="_Value Copy 11 30 05 gas 12 09 05 AURORA at 12 14 05_Book9 3 4" xfId="20620"/>
    <cellStyle name="_Value Copy 11 30 05 gas 12 09 05 AURORA at 12 14 05_Book9 4" xfId="20621"/>
    <cellStyle name="_Value Copy 11 30 05 gas 12 09 05 AURORA at 12 14 05_Book9 4 2" xfId="20622"/>
    <cellStyle name="_Value Copy 11 30 05 gas 12 09 05 AURORA at 12 14 05_Book9 4 2 2" xfId="20623"/>
    <cellStyle name="_Value Copy 11 30 05 gas 12 09 05 AURORA at 12 14 05_Book9 4 3" xfId="20624"/>
    <cellStyle name="_Value Copy 11 30 05 gas 12 09 05 AURORA at 12 14 05_Book9 5" xfId="20625"/>
    <cellStyle name="_Value Copy 11 30 05 gas 12 09 05 AURORA at 12 14 05_Book9 5 2" xfId="20626"/>
    <cellStyle name="_Value Copy 11 30 05 gas 12 09 05 AURORA at 12 14 05_Book9 6" xfId="20627"/>
    <cellStyle name="_Value Copy 11 30 05 gas 12 09 05 AURORA at 12 14 05_Book9 6 2" xfId="20628"/>
    <cellStyle name="_Value Copy 11 30 05 gas 12 09 05 AURORA at 12 14 05_Book9 7" xfId="20629"/>
    <cellStyle name="_Value Copy 11 30 05 gas 12 09 05 AURORA at 12 14 05_Book9_DEM-WP(C) ENERG10C--ctn Mid-C_042010 2010GRC" xfId="20630"/>
    <cellStyle name="_Value Copy 11 30 05 gas 12 09 05 AURORA at 12 14 05_Book9_DEM-WP(C) ENERG10C--ctn Mid-C_042010 2010GRC 2" xfId="20631"/>
    <cellStyle name="_Value Copy 11 30 05 gas 12 09 05 AURORA at 12 14 05_Check the Interest Calculation" xfId="907"/>
    <cellStyle name="_Value Copy 11 30 05 gas 12 09 05 AURORA at 12 14 05_Check the Interest Calculation 2" xfId="20632"/>
    <cellStyle name="_Value Copy 11 30 05 gas 12 09 05 AURORA at 12 14 05_Check the Interest Calculation_Scenario 1 REC vs PTC Offset" xfId="908"/>
    <cellStyle name="_Value Copy 11 30 05 gas 12 09 05 AURORA at 12 14 05_Check the Interest Calculation_Scenario 1 REC vs PTC Offset 2" xfId="20633"/>
    <cellStyle name="_Value Copy 11 30 05 gas 12 09 05 AURORA at 12 14 05_Check the Interest Calculation_Scenario 3" xfId="909"/>
    <cellStyle name="_Value Copy 11 30 05 gas 12 09 05 AURORA at 12 14 05_Check the Interest Calculation_Scenario 3 2" xfId="20634"/>
    <cellStyle name="_Value Copy 11 30 05 gas 12 09 05 AURORA at 12 14 05_Chelan PUD Power Costs (8-10)" xfId="20635"/>
    <cellStyle name="_Value Copy 11 30 05 gas 12 09 05 AURORA at 12 14 05_Chelan PUD Power Costs (8-10) 2" xfId="20636"/>
    <cellStyle name="_Value Copy 11 30 05 gas 12 09 05 AURORA at 12 14 05_DEM-WP(C) Chelan Power Costs" xfId="20637"/>
    <cellStyle name="_Value Copy 11 30 05 gas 12 09 05 AURORA at 12 14 05_DEM-WP(C) Chelan Power Costs 2" xfId="20638"/>
    <cellStyle name="_Value Copy 11 30 05 gas 12 09 05 AURORA at 12 14 05_DEM-WP(C) Chelan Power Costs 2 2" xfId="20639"/>
    <cellStyle name="_Value Copy 11 30 05 gas 12 09 05 AURORA at 12 14 05_DEM-WP(C) Chelan Power Costs 2 2 2" xfId="20640"/>
    <cellStyle name="_Value Copy 11 30 05 gas 12 09 05 AURORA at 12 14 05_DEM-WP(C) Chelan Power Costs 2 3" xfId="20641"/>
    <cellStyle name="_Value Copy 11 30 05 gas 12 09 05 AURORA at 12 14 05_DEM-WP(C) Chelan Power Costs 3" xfId="20642"/>
    <cellStyle name="_Value Copy 11 30 05 gas 12 09 05 AURORA at 12 14 05_DEM-WP(C) Chelan Power Costs 3 2" xfId="20643"/>
    <cellStyle name="_Value Copy 11 30 05 gas 12 09 05 AURORA at 12 14 05_DEM-WP(C) Chelan Power Costs 3 2 2" xfId="20644"/>
    <cellStyle name="_Value Copy 11 30 05 gas 12 09 05 AURORA at 12 14 05_DEM-WP(C) Chelan Power Costs 3 3" xfId="20645"/>
    <cellStyle name="_Value Copy 11 30 05 gas 12 09 05 AURORA at 12 14 05_DEM-WP(C) Chelan Power Costs 4" xfId="20646"/>
    <cellStyle name="_Value Copy 11 30 05 gas 12 09 05 AURORA at 12 14 05_DEM-WP(C) Chelan Power Costs 4 2" xfId="20647"/>
    <cellStyle name="_Value Copy 11 30 05 gas 12 09 05 AURORA at 12 14 05_DEM-WP(C) Chelan Power Costs 5" xfId="20648"/>
    <cellStyle name="_Value Copy 11 30 05 gas 12 09 05 AURORA at 12 14 05_DEM-WP(C) Chelan Power Costs 5 2" xfId="20649"/>
    <cellStyle name="_Value Copy 11 30 05 gas 12 09 05 AURORA at 12 14 05_DEM-WP(C) ENERG10C--ctn Mid-C_042010 2010GRC" xfId="20650"/>
    <cellStyle name="_Value Copy 11 30 05 gas 12 09 05 AURORA at 12 14 05_DEM-WP(C) ENERG10C--ctn Mid-C_042010 2010GRC 2" xfId="20651"/>
    <cellStyle name="_Value Copy 11 30 05 gas 12 09 05 AURORA at 12 14 05_DEM-WP(C) Gas Transport 2010GRC" xfId="20652"/>
    <cellStyle name="_Value Copy 11 30 05 gas 12 09 05 AURORA at 12 14 05_DEM-WP(C) Gas Transport 2010GRC 2" xfId="20653"/>
    <cellStyle name="_Value Copy 11 30 05 gas 12 09 05 AURORA at 12 14 05_DEM-WP(C) Gas Transport 2010GRC 2 2" xfId="20654"/>
    <cellStyle name="_Value Copy 11 30 05 gas 12 09 05 AURORA at 12 14 05_DEM-WP(C) Gas Transport 2010GRC 2 2 2" xfId="20655"/>
    <cellStyle name="_Value Copy 11 30 05 gas 12 09 05 AURORA at 12 14 05_DEM-WP(C) Gas Transport 2010GRC 2 3" xfId="20656"/>
    <cellStyle name="_Value Copy 11 30 05 gas 12 09 05 AURORA at 12 14 05_DEM-WP(C) Gas Transport 2010GRC 3" xfId="20657"/>
    <cellStyle name="_Value Copy 11 30 05 gas 12 09 05 AURORA at 12 14 05_DEM-WP(C) Gas Transport 2010GRC 3 2" xfId="20658"/>
    <cellStyle name="_Value Copy 11 30 05 gas 12 09 05 AURORA at 12 14 05_DEM-WP(C) Gas Transport 2010GRC 3 2 2" xfId="20659"/>
    <cellStyle name="_Value Copy 11 30 05 gas 12 09 05 AURORA at 12 14 05_DEM-WP(C) Gas Transport 2010GRC 3 3" xfId="20660"/>
    <cellStyle name="_Value Copy 11 30 05 gas 12 09 05 AURORA at 12 14 05_DEM-WP(C) Gas Transport 2010GRC 4" xfId="20661"/>
    <cellStyle name="_Value Copy 11 30 05 gas 12 09 05 AURORA at 12 14 05_DEM-WP(C) Gas Transport 2010GRC 4 2" xfId="20662"/>
    <cellStyle name="_Value Copy 11 30 05 gas 12 09 05 AURORA at 12 14 05_DEM-WP(C) Gas Transport 2010GRC 5" xfId="20663"/>
    <cellStyle name="_Value Copy 11 30 05 gas 12 09 05 AURORA at 12 14 05_DEM-WP(C) Gas Transport 2010GRC 5 2" xfId="20664"/>
    <cellStyle name="_Value Copy 11 30 05 gas 12 09 05 AURORA at 12 14 05_Direct Assignment Distribution Plant 2008" xfId="20665"/>
    <cellStyle name="_Value Copy 11 30 05 gas 12 09 05 AURORA at 12 14 05_Direct Assignment Distribution Plant 2008 2" xfId="20666"/>
    <cellStyle name="_Value Copy 11 30 05 gas 12 09 05 AURORA at 12 14 05_Direct Assignment Distribution Plant 2008 2 2" xfId="20667"/>
    <cellStyle name="_Value Copy 11 30 05 gas 12 09 05 AURORA at 12 14 05_Direct Assignment Distribution Plant 2008 2 2 2" xfId="20668"/>
    <cellStyle name="_Value Copy 11 30 05 gas 12 09 05 AURORA at 12 14 05_Direct Assignment Distribution Plant 2008 2 2 2 2" xfId="20669"/>
    <cellStyle name="_Value Copy 11 30 05 gas 12 09 05 AURORA at 12 14 05_Direct Assignment Distribution Plant 2008 2 2 3" xfId="20670"/>
    <cellStyle name="_Value Copy 11 30 05 gas 12 09 05 AURORA at 12 14 05_Direct Assignment Distribution Plant 2008 2 3" xfId="20671"/>
    <cellStyle name="_Value Copy 11 30 05 gas 12 09 05 AURORA at 12 14 05_Direct Assignment Distribution Plant 2008 2 3 2" xfId="20672"/>
    <cellStyle name="_Value Copy 11 30 05 gas 12 09 05 AURORA at 12 14 05_Direct Assignment Distribution Plant 2008 2 3 2 2" xfId="20673"/>
    <cellStyle name="_Value Copy 11 30 05 gas 12 09 05 AURORA at 12 14 05_Direct Assignment Distribution Plant 2008 2 3 3" xfId="20674"/>
    <cellStyle name="_Value Copy 11 30 05 gas 12 09 05 AURORA at 12 14 05_Direct Assignment Distribution Plant 2008 2 4" xfId="20675"/>
    <cellStyle name="_Value Copy 11 30 05 gas 12 09 05 AURORA at 12 14 05_Direct Assignment Distribution Plant 2008 2 4 2" xfId="20676"/>
    <cellStyle name="_Value Copy 11 30 05 gas 12 09 05 AURORA at 12 14 05_Direct Assignment Distribution Plant 2008 2 4 2 2" xfId="20677"/>
    <cellStyle name="_Value Copy 11 30 05 gas 12 09 05 AURORA at 12 14 05_Direct Assignment Distribution Plant 2008 2 4 3" xfId="20678"/>
    <cellStyle name="_Value Copy 11 30 05 gas 12 09 05 AURORA at 12 14 05_Direct Assignment Distribution Plant 2008 2 5" xfId="20679"/>
    <cellStyle name="_Value Copy 11 30 05 gas 12 09 05 AURORA at 12 14 05_Direct Assignment Distribution Plant 2008 3" xfId="20680"/>
    <cellStyle name="_Value Copy 11 30 05 gas 12 09 05 AURORA at 12 14 05_Direct Assignment Distribution Plant 2008 3 2" xfId="20681"/>
    <cellStyle name="_Value Copy 11 30 05 gas 12 09 05 AURORA at 12 14 05_Direct Assignment Distribution Plant 2008 3 2 2" xfId="20682"/>
    <cellStyle name="_Value Copy 11 30 05 gas 12 09 05 AURORA at 12 14 05_Direct Assignment Distribution Plant 2008 3 3" xfId="20683"/>
    <cellStyle name="_Value Copy 11 30 05 gas 12 09 05 AURORA at 12 14 05_Direct Assignment Distribution Plant 2008 4" xfId="20684"/>
    <cellStyle name="_Value Copy 11 30 05 gas 12 09 05 AURORA at 12 14 05_Direct Assignment Distribution Plant 2008 4 2" xfId="20685"/>
    <cellStyle name="_Value Copy 11 30 05 gas 12 09 05 AURORA at 12 14 05_Direct Assignment Distribution Plant 2008 4 2 2" xfId="20686"/>
    <cellStyle name="_Value Copy 11 30 05 gas 12 09 05 AURORA at 12 14 05_Direct Assignment Distribution Plant 2008 4 3" xfId="20687"/>
    <cellStyle name="_Value Copy 11 30 05 gas 12 09 05 AURORA at 12 14 05_Direct Assignment Distribution Plant 2008 5" xfId="20688"/>
    <cellStyle name="_Value Copy 11 30 05 gas 12 09 05 AURORA at 12 14 05_Direct Assignment Distribution Plant 2008 5 2" xfId="20689"/>
    <cellStyle name="_Value Copy 11 30 05 gas 12 09 05 AURORA at 12 14 05_Direct Assignment Distribution Plant 2008 6" xfId="20690"/>
    <cellStyle name="_Value Copy 11 30 05 gas 12 09 05 AURORA at 12 14 05_Electric COS Inputs" xfId="20691"/>
    <cellStyle name="_Value Copy 11 30 05 gas 12 09 05 AURORA at 12 14 05_Electric COS Inputs 2" xfId="20692"/>
    <cellStyle name="_Value Copy 11 30 05 gas 12 09 05 AURORA at 12 14 05_Electric COS Inputs 2 2" xfId="20693"/>
    <cellStyle name="_Value Copy 11 30 05 gas 12 09 05 AURORA at 12 14 05_Electric COS Inputs 2 2 2" xfId="20694"/>
    <cellStyle name="_Value Copy 11 30 05 gas 12 09 05 AURORA at 12 14 05_Electric COS Inputs 2 2 2 2" xfId="20695"/>
    <cellStyle name="_Value Copy 11 30 05 gas 12 09 05 AURORA at 12 14 05_Electric COS Inputs 2 2 3" xfId="20696"/>
    <cellStyle name="_Value Copy 11 30 05 gas 12 09 05 AURORA at 12 14 05_Electric COS Inputs 2 3" xfId="20697"/>
    <cellStyle name="_Value Copy 11 30 05 gas 12 09 05 AURORA at 12 14 05_Electric COS Inputs 2 3 2" xfId="20698"/>
    <cellStyle name="_Value Copy 11 30 05 gas 12 09 05 AURORA at 12 14 05_Electric COS Inputs 2 3 2 2" xfId="20699"/>
    <cellStyle name="_Value Copy 11 30 05 gas 12 09 05 AURORA at 12 14 05_Electric COS Inputs 2 3 3" xfId="20700"/>
    <cellStyle name="_Value Copy 11 30 05 gas 12 09 05 AURORA at 12 14 05_Electric COS Inputs 2 4" xfId="20701"/>
    <cellStyle name="_Value Copy 11 30 05 gas 12 09 05 AURORA at 12 14 05_Electric COS Inputs 2 4 2" xfId="20702"/>
    <cellStyle name="_Value Copy 11 30 05 gas 12 09 05 AURORA at 12 14 05_Electric COS Inputs 2 4 2 2" xfId="20703"/>
    <cellStyle name="_Value Copy 11 30 05 gas 12 09 05 AURORA at 12 14 05_Electric COS Inputs 2 4 3" xfId="20704"/>
    <cellStyle name="_Value Copy 11 30 05 gas 12 09 05 AURORA at 12 14 05_Electric COS Inputs 2 5" xfId="20705"/>
    <cellStyle name="_Value Copy 11 30 05 gas 12 09 05 AURORA at 12 14 05_Electric COS Inputs 3" xfId="20706"/>
    <cellStyle name="_Value Copy 11 30 05 gas 12 09 05 AURORA at 12 14 05_Electric COS Inputs 3 2" xfId="20707"/>
    <cellStyle name="_Value Copy 11 30 05 gas 12 09 05 AURORA at 12 14 05_Electric COS Inputs 3 2 2" xfId="20708"/>
    <cellStyle name="_Value Copy 11 30 05 gas 12 09 05 AURORA at 12 14 05_Electric COS Inputs 3 3" xfId="20709"/>
    <cellStyle name="_Value Copy 11 30 05 gas 12 09 05 AURORA at 12 14 05_Electric COS Inputs 4" xfId="20710"/>
    <cellStyle name="_Value Copy 11 30 05 gas 12 09 05 AURORA at 12 14 05_Electric COS Inputs 4 2" xfId="20711"/>
    <cellStyle name="_Value Copy 11 30 05 gas 12 09 05 AURORA at 12 14 05_Electric COS Inputs 4 2 2" xfId="20712"/>
    <cellStyle name="_Value Copy 11 30 05 gas 12 09 05 AURORA at 12 14 05_Electric COS Inputs 4 3" xfId="20713"/>
    <cellStyle name="_Value Copy 11 30 05 gas 12 09 05 AURORA at 12 14 05_Electric COS Inputs 5" xfId="20714"/>
    <cellStyle name="_Value Copy 11 30 05 gas 12 09 05 AURORA at 12 14 05_Electric COS Inputs 5 2" xfId="20715"/>
    <cellStyle name="_Value Copy 11 30 05 gas 12 09 05 AURORA at 12 14 05_Electric COS Inputs 6" xfId="20716"/>
    <cellStyle name="_Value Copy 11 30 05 gas 12 09 05 AURORA at 12 14 05_Electric Rate Spread and Rate Design 3.23.09" xfId="20717"/>
    <cellStyle name="_Value Copy 11 30 05 gas 12 09 05 AURORA at 12 14 05_Electric Rate Spread and Rate Design 3.23.09 2" xfId="20718"/>
    <cellStyle name="_Value Copy 11 30 05 gas 12 09 05 AURORA at 12 14 05_Electric Rate Spread and Rate Design 3.23.09 2 2" xfId="20719"/>
    <cellStyle name="_Value Copy 11 30 05 gas 12 09 05 AURORA at 12 14 05_Electric Rate Spread and Rate Design 3.23.09 2 2 2" xfId="20720"/>
    <cellStyle name="_Value Copy 11 30 05 gas 12 09 05 AURORA at 12 14 05_Electric Rate Spread and Rate Design 3.23.09 2 2 2 2" xfId="20721"/>
    <cellStyle name="_Value Copy 11 30 05 gas 12 09 05 AURORA at 12 14 05_Electric Rate Spread and Rate Design 3.23.09 2 2 3" xfId="20722"/>
    <cellStyle name="_Value Copy 11 30 05 gas 12 09 05 AURORA at 12 14 05_Electric Rate Spread and Rate Design 3.23.09 2 3" xfId="20723"/>
    <cellStyle name="_Value Copy 11 30 05 gas 12 09 05 AURORA at 12 14 05_Electric Rate Spread and Rate Design 3.23.09 2 3 2" xfId="20724"/>
    <cellStyle name="_Value Copy 11 30 05 gas 12 09 05 AURORA at 12 14 05_Electric Rate Spread and Rate Design 3.23.09 2 3 2 2" xfId="20725"/>
    <cellStyle name="_Value Copy 11 30 05 gas 12 09 05 AURORA at 12 14 05_Electric Rate Spread and Rate Design 3.23.09 2 3 3" xfId="20726"/>
    <cellStyle name="_Value Copy 11 30 05 gas 12 09 05 AURORA at 12 14 05_Electric Rate Spread and Rate Design 3.23.09 2 4" xfId="20727"/>
    <cellStyle name="_Value Copy 11 30 05 gas 12 09 05 AURORA at 12 14 05_Electric Rate Spread and Rate Design 3.23.09 2 4 2" xfId="20728"/>
    <cellStyle name="_Value Copy 11 30 05 gas 12 09 05 AURORA at 12 14 05_Electric Rate Spread and Rate Design 3.23.09 2 4 2 2" xfId="20729"/>
    <cellStyle name="_Value Copy 11 30 05 gas 12 09 05 AURORA at 12 14 05_Electric Rate Spread and Rate Design 3.23.09 2 4 3" xfId="20730"/>
    <cellStyle name="_Value Copy 11 30 05 gas 12 09 05 AURORA at 12 14 05_Electric Rate Spread and Rate Design 3.23.09 2 5" xfId="20731"/>
    <cellStyle name="_Value Copy 11 30 05 gas 12 09 05 AURORA at 12 14 05_Electric Rate Spread and Rate Design 3.23.09 3" xfId="20732"/>
    <cellStyle name="_Value Copy 11 30 05 gas 12 09 05 AURORA at 12 14 05_Electric Rate Spread and Rate Design 3.23.09 3 2" xfId="20733"/>
    <cellStyle name="_Value Copy 11 30 05 gas 12 09 05 AURORA at 12 14 05_Electric Rate Spread and Rate Design 3.23.09 3 2 2" xfId="20734"/>
    <cellStyle name="_Value Copy 11 30 05 gas 12 09 05 AURORA at 12 14 05_Electric Rate Spread and Rate Design 3.23.09 3 3" xfId="20735"/>
    <cellStyle name="_Value Copy 11 30 05 gas 12 09 05 AURORA at 12 14 05_Electric Rate Spread and Rate Design 3.23.09 4" xfId="20736"/>
    <cellStyle name="_Value Copy 11 30 05 gas 12 09 05 AURORA at 12 14 05_Electric Rate Spread and Rate Design 3.23.09 4 2" xfId="20737"/>
    <cellStyle name="_Value Copy 11 30 05 gas 12 09 05 AURORA at 12 14 05_Electric Rate Spread and Rate Design 3.23.09 4 2 2" xfId="20738"/>
    <cellStyle name="_Value Copy 11 30 05 gas 12 09 05 AURORA at 12 14 05_Electric Rate Spread and Rate Design 3.23.09 4 3" xfId="20739"/>
    <cellStyle name="_Value Copy 11 30 05 gas 12 09 05 AURORA at 12 14 05_Electric Rate Spread and Rate Design 3.23.09 5" xfId="20740"/>
    <cellStyle name="_Value Copy 11 30 05 gas 12 09 05 AURORA at 12 14 05_Electric Rate Spread and Rate Design 3.23.09 5 2" xfId="20741"/>
    <cellStyle name="_Value Copy 11 30 05 gas 12 09 05 AURORA at 12 14 05_Electric Rate Spread and Rate Design 3.23.09 6" xfId="20742"/>
    <cellStyle name="_Value Copy 11 30 05 gas 12 09 05 AURORA at 12 14 05_Exh A-1 resulting from UE-112050 effective Jan 1 2012" xfId="20743"/>
    <cellStyle name="_Value Copy 11 30 05 gas 12 09 05 AURORA at 12 14 05_Exh A-1 resulting from UE-112050 effective Jan 1 2012 2" xfId="20744"/>
    <cellStyle name="_Value Copy 11 30 05 gas 12 09 05 AURORA at 12 14 05_Exhibit A-1 effective 4-1-11 fr S Free 12-11" xfId="20745"/>
    <cellStyle name="_Value Copy 11 30 05 gas 12 09 05 AURORA at 12 14 05_Exhibit A-1 effective 4-1-11 fr S Free 12-11 2" xfId="20746"/>
    <cellStyle name="_Value Copy 11 30 05 gas 12 09 05 AURORA at 12 14 05_Exhibit D fr R Gho 12-31-08" xfId="20747"/>
    <cellStyle name="_Value Copy 11 30 05 gas 12 09 05 AURORA at 12 14 05_Exhibit D fr R Gho 12-31-08 2" xfId="20748"/>
    <cellStyle name="_Value Copy 11 30 05 gas 12 09 05 AURORA at 12 14 05_Exhibit D fr R Gho 12-31-08 2 2" xfId="20749"/>
    <cellStyle name="_Value Copy 11 30 05 gas 12 09 05 AURORA at 12 14 05_Exhibit D fr R Gho 12-31-08 2 2 2" xfId="20750"/>
    <cellStyle name="_Value Copy 11 30 05 gas 12 09 05 AURORA at 12 14 05_Exhibit D fr R Gho 12-31-08 2 2 2 2" xfId="20751"/>
    <cellStyle name="_Value Copy 11 30 05 gas 12 09 05 AURORA at 12 14 05_Exhibit D fr R Gho 12-31-08 2 3" xfId="20752"/>
    <cellStyle name="_Value Copy 11 30 05 gas 12 09 05 AURORA at 12 14 05_Exhibit D fr R Gho 12-31-08 2 3 2" xfId="20753"/>
    <cellStyle name="_Value Copy 11 30 05 gas 12 09 05 AURORA at 12 14 05_Exhibit D fr R Gho 12-31-08 2 4" xfId="20754"/>
    <cellStyle name="_Value Copy 11 30 05 gas 12 09 05 AURORA at 12 14 05_Exhibit D fr R Gho 12-31-08 2 4 2" xfId="20755"/>
    <cellStyle name="_Value Copy 11 30 05 gas 12 09 05 AURORA at 12 14 05_Exhibit D fr R Gho 12-31-08 2 5" xfId="20756"/>
    <cellStyle name="_Value Copy 11 30 05 gas 12 09 05 AURORA at 12 14 05_Exhibit D fr R Gho 12-31-08 3" xfId="20757"/>
    <cellStyle name="_Value Copy 11 30 05 gas 12 09 05 AURORA at 12 14 05_Exhibit D fr R Gho 12-31-08 3 2" xfId="20758"/>
    <cellStyle name="_Value Copy 11 30 05 gas 12 09 05 AURORA at 12 14 05_Exhibit D fr R Gho 12-31-08 3 2 2" xfId="20759"/>
    <cellStyle name="_Value Copy 11 30 05 gas 12 09 05 AURORA at 12 14 05_Exhibit D fr R Gho 12-31-08 3 3" xfId="20760"/>
    <cellStyle name="_Value Copy 11 30 05 gas 12 09 05 AURORA at 12 14 05_Exhibit D fr R Gho 12-31-08 4" xfId="20761"/>
    <cellStyle name="_Value Copy 11 30 05 gas 12 09 05 AURORA at 12 14 05_Exhibit D fr R Gho 12-31-08 4 2" xfId="20762"/>
    <cellStyle name="_Value Copy 11 30 05 gas 12 09 05 AURORA at 12 14 05_Exhibit D fr R Gho 12-31-08 4 2 2" xfId="20763"/>
    <cellStyle name="_Value Copy 11 30 05 gas 12 09 05 AURORA at 12 14 05_Exhibit D fr R Gho 12-31-08 4 3" xfId="20764"/>
    <cellStyle name="_Value Copy 11 30 05 gas 12 09 05 AURORA at 12 14 05_Exhibit D fr R Gho 12-31-08 5" xfId="20765"/>
    <cellStyle name="_Value Copy 11 30 05 gas 12 09 05 AURORA at 12 14 05_Exhibit D fr R Gho 12-31-08 5 2" xfId="20766"/>
    <cellStyle name="_Value Copy 11 30 05 gas 12 09 05 AURORA at 12 14 05_Exhibit D fr R Gho 12-31-08 6" xfId="20767"/>
    <cellStyle name="_Value Copy 11 30 05 gas 12 09 05 AURORA at 12 14 05_Exhibit D fr R Gho 12-31-08 6 2" xfId="20768"/>
    <cellStyle name="_Value Copy 11 30 05 gas 12 09 05 AURORA at 12 14 05_Exhibit D fr R Gho 12-31-08 7" xfId="20769"/>
    <cellStyle name="_Value Copy 11 30 05 gas 12 09 05 AURORA at 12 14 05_Exhibit D fr R Gho 12-31-08 v2" xfId="20770"/>
    <cellStyle name="_Value Copy 11 30 05 gas 12 09 05 AURORA at 12 14 05_Exhibit D fr R Gho 12-31-08 v2 2" xfId="20771"/>
    <cellStyle name="_Value Copy 11 30 05 gas 12 09 05 AURORA at 12 14 05_Exhibit D fr R Gho 12-31-08 v2 2 2" xfId="20772"/>
    <cellStyle name="_Value Copy 11 30 05 gas 12 09 05 AURORA at 12 14 05_Exhibit D fr R Gho 12-31-08 v2 2 2 2" xfId="20773"/>
    <cellStyle name="_Value Copy 11 30 05 gas 12 09 05 AURORA at 12 14 05_Exhibit D fr R Gho 12-31-08 v2 2 2 2 2" xfId="20774"/>
    <cellStyle name="_Value Copy 11 30 05 gas 12 09 05 AURORA at 12 14 05_Exhibit D fr R Gho 12-31-08 v2 2 3" xfId="20775"/>
    <cellStyle name="_Value Copy 11 30 05 gas 12 09 05 AURORA at 12 14 05_Exhibit D fr R Gho 12-31-08 v2 2 3 2" xfId="20776"/>
    <cellStyle name="_Value Copy 11 30 05 gas 12 09 05 AURORA at 12 14 05_Exhibit D fr R Gho 12-31-08 v2 2 4" xfId="20777"/>
    <cellStyle name="_Value Copy 11 30 05 gas 12 09 05 AURORA at 12 14 05_Exhibit D fr R Gho 12-31-08 v2 2 4 2" xfId="20778"/>
    <cellStyle name="_Value Copy 11 30 05 gas 12 09 05 AURORA at 12 14 05_Exhibit D fr R Gho 12-31-08 v2 2 5" xfId="20779"/>
    <cellStyle name="_Value Copy 11 30 05 gas 12 09 05 AURORA at 12 14 05_Exhibit D fr R Gho 12-31-08 v2 3" xfId="20780"/>
    <cellStyle name="_Value Copy 11 30 05 gas 12 09 05 AURORA at 12 14 05_Exhibit D fr R Gho 12-31-08 v2 3 2" xfId="20781"/>
    <cellStyle name="_Value Copy 11 30 05 gas 12 09 05 AURORA at 12 14 05_Exhibit D fr R Gho 12-31-08 v2 3 2 2" xfId="20782"/>
    <cellStyle name="_Value Copy 11 30 05 gas 12 09 05 AURORA at 12 14 05_Exhibit D fr R Gho 12-31-08 v2 3 3" xfId="20783"/>
    <cellStyle name="_Value Copy 11 30 05 gas 12 09 05 AURORA at 12 14 05_Exhibit D fr R Gho 12-31-08 v2 4" xfId="20784"/>
    <cellStyle name="_Value Copy 11 30 05 gas 12 09 05 AURORA at 12 14 05_Exhibit D fr R Gho 12-31-08 v2 4 2" xfId="20785"/>
    <cellStyle name="_Value Copy 11 30 05 gas 12 09 05 AURORA at 12 14 05_Exhibit D fr R Gho 12-31-08 v2 4 2 2" xfId="20786"/>
    <cellStyle name="_Value Copy 11 30 05 gas 12 09 05 AURORA at 12 14 05_Exhibit D fr R Gho 12-31-08 v2 4 3" xfId="20787"/>
    <cellStyle name="_Value Copy 11 30 05 gas 12 09 05 AURORA at 12 14 05_Exhibit D fr R Gho 12-31-08 v2 5" xfId="20788"/>
    <cellStyle name="_Value Copy 11 30 05 gas 12 09 05 AURORA at 12 14 05_Exhibit D fr R Gho 12-31-08 v2 5 2" xfId="20789"/>
    <cellStyle name="_Value Copy 11 30 05 gas 12 09 05 AURORA at 12 14 05_Exhibit D fr R Gho 12-31-08 v2 6" xfId="20790"/>
    <cellStyle name="_Value Copy 11 30 05 gas 12 09 05 AURORA at 12 14 05_Exhibit D fr R Gho 12-31-08 v2 6 2" xfId="20791"/>
    <cellStyle name="_Value Copy 11 30 05 gas 12 09 05 AURORA at 12 14 05_Exhibit D fr R Gho 12-31-08 v2 7" xfId="20792"/>
    <cellStyle name="_Value Copy 11 30 05 gas 12 09 05 AURORA at 12 14 05_Exhibit D fr R Gho 12-31-08 v2_DEM-WP(C) ENERG10C--ctn Mid-C_042010 2010GRC" xfId="20793"/>
    <cellStyle name="_Value Copy 11 30 05 gas 12 09 05 AURORA at 12 14 05_Exhibit D fr R Gho 12-31-08 v2_DEM-WP(C) ENERG10C--ctn Mid-C_042010 2010GRC 2" xfId="20794"/>
    <cellStyle name="_Value Copy 11 30 05 gas 12 09 05 AURORA at 12 14 05_Exhibit D fr R Gho 12-31-08 v2_NIM Summary" xfId="20795"/>
    <cellStyle name="_Value Copy 11 30 05 gas 12 09 05 AURORA at 12 14 05_Exhibit D fr R Gho 12-31-08 v2_NIM Summary 2" xfId="20796"/>
    <cellStyle name="_Value Copy 11 30 05 gas 12 09 05 AURORA at 12 14 05_Exhibit D fr R Gho 12-31-08 v2_NIM Summary 2 2" xfId="20797"/>
    <cellStyle name="_Value Copy 11 30 05 gas 12 09 05 AURORA at 12 14 05_Exhibit D fr R Gho 12-31-08 v2_NIM Summary 2 2 2" xfId="20798"/>
    <cellStyle name="_Value Copy 11 30 05 gas 12 09 05 AURORA at 12 14 05_Exhibit D fr R Gho 12-31-08 v2_NIM Summary 2 2 2 2" xfId="20799"/>
    <cellStyle name="_Value Copy 11 30 05 gas 12 09 05 AURORA at 12 14 05_Exhibit D fr R Gho 12-31-08 v2_NIM Summary 2 3" xfId="20800"/>
    <cellStyle name="_Value Copy 11 30 05 gas 12 09 05 AURORA at 12 14 05_Exhibit D fr R Gho 12-31-08 v2_NIM Summary 2 3 2" xfId="20801"/>
    <cellStyle name="_Value Copy 11 30 05 gas 12 09 05 AURORA at 12 14 05_Exhibit D fr R Gho 12-31-08 v2_NIM Summary 2 4" xfId="20802"/>
    <cellStyle name="_Value Copy 11 30 05 gas 12 09 05 AURORA at 12 14 05_Exhibit D fr R Gho 12-31-08 v2_NIM Summary 2 4 2" xfId="20803"/>
    <cellStyle name="_Value Copy 11 30 05 gas 12 09 05 AURORA at 12 14 05_Exhibit D fr R Gho 12-31-08 v2_NIM Summary 2 5" xfId="20804"/>
    <cellStyle name="_Value Copy 11 30 05 gas 12 09 05 AURORA at 12 14 05_Exhibit D fr R Gho 12-31-08 v2_NIM Summary 3" xfId="20805"/>
    <cellStyle name="_Value Copy 11 30 05 gas 12 09 05 AURORA at 12 14 05_Exhibit D fr R Gho 12-31-08 v2_NIM Summary 3 2" xfId="20806"/>
    <cellStyle name="_Value Copy 11 30 05 gas 12 09 05 AURORA at 12 14 05_Exhibit D fr R Gho 12-31-08 v2_NIM Summary 3 2 2" xfId="20807"/>
    <cellStyle name="_Value Copy 11 30 05 gas 12 09 05 AURORA at 12 14 05_Exhibit D fr R Gho 12-31-08 v2_NIM Summary 3 3" xfId="20808"/>
    <cellStyle name="_Value Copy 11 30 05 gas 12 09 05 AURORA at 12 14 05_Exhibit D fr R Gho 12-31-08 v2_NIM Summary 4" xfId="20809"/>
    <cellStyle name="_Value Copy 11 30 05 gas 12 09 05 AURORA at 12 14 05_Exhibit D fr R Gho 12-31-08 v2_NIM Summary 4 2" xfId="20810"/>
    <cellStyle name="_Value Copy 11 30 05 gas 12 09 05 AURORA at 12 14 05_Exhibit D fr R Gho 12-31-08 v2_NIM Summary 4 2 2" xfId="20811"/>
    <cellStyle name="_Value Copy 11 30 05 gas 12 09 05 AURORA at 12 14 05_Exhibit D fr R Gho 12-31-08 v2_NIM Summary 4 3" xfId="20812"/>
    <cellStyle name="_Value Copy 11 30 05 gas 12 09 05 AURORA at 12 14 05_Exhibit D fr R Gho 12-31-08 v2_NIM Summary 5" xfId="20813"/>
    <cellStyle name="_Value Copy 11 30 05 gas 12 09 05 AURORA at 12 14 05_Exhibit D fr R Gho 12-31-08 v2_NIM Summary 5 2" xfId="20814"/>
    <cellStyle name="_Value Copy 11 30 05 gas 12 09 05 AURORA at 12 14 05_Exhibit D fr R Gho 12-31-08 v2_NIM Summary 6" xfId="20815"/>
    <cellStyle name="_Value Copy 11 30 05 gas 12 09 05 AURORA at 12 14 05_Exhibit D fr R Gho 12-31-08 v2_NIM Summary 6 2" xfId="20816"/>
    <cellStyle name="_Value Copy 11 30 05 gas 12 09 05 AURORA at 12 14 05_Exhibit D fr R Gho 12-31-08 v2_NIM Summary 7" xfId="20817"/>
    <cellStyle name="_Value Copy 11 30 05 gas 12 09 05 AURORA at 12 14 05_Exhibit D fr R Gho 12-31-08 v2_NIM Summary_DEM-WP(C) ENERG10C--ctn Mid-C_042010 2010GRC" xfId="20818"/>
    <cellStyle name="_Value Copy 11 30 05 gas 12 09 05 AURORA at 12 14 05_Exhibit D fr R Gho 12-31-08 v2_NIM Summary_DEM-WP(C) ENERG10C--ctn Mid-C_042010 2010GRC 2" xfId="20819"/>
    <cellStyle name="_Value Copy 11 30 05 gas 12 09 05 AURORA at 12 14 05_Exhibit D fr R Gho 12-31-08_DEM-WP(C) ENERG10C--ctn Mid-C_042010 2010GRC" xfId="20820"/>
    <cellStyle name="_Value Copy 11 30 05 gas 12 09 05 AURORA at 12 14 05_Exhibit D fr R Gho 12-31-08_DEM-WP(C) ENERG10C--ctn Mid-C_042010 2010GRC 2" xfId="20821"/>
    <cellStyle name="_Value Copy 11 30 05 gas 12 09 05 AURORA at 12 14 05_Exhibit D fr R Gho 12-31-08_NIM Summary" xfId="20822"/>
    <cellStyle name="_Value Copy 11 30 05 gas 12 09 05 AURORA at 12 14 05_Exhibit D fr R Gho 12-31-08_NIM Summary 2" xfId="20823"/>
    <cellStyle name="_Value Copy 11 30 05 gas 12 09 05 AURORA at 12 14 05_Exhibit D fr R Gho 12-31-08_NIM Summary 2 2" xfId="20824"/>
    <cellStyle name="_Value Copy 11 30 05 gas 12 09 05 AURORA at 12 14 05_Exhibit D fr R Gho 12-31-08_NIM Summary 2 2 2" xfId="20825"/>
    <cellStyle name="_Value Copy 11 30 05 gas 12 09 05 AURORA at 12 14 05_Exhibit D fr R Gho 12-31-08_NIM Summary 2 2 2 2" xfId="20826"/>
    <cellStyle name="_Value Copy 11 30 05 gas 12 09 05 AURORA at 12 14 05_Exhibit D fr R Gho 12-31-08_NIM Summary 2 3" xfId="20827"/>
    <cellStyle name="_Value Copy 11 30 05 gas 12 09 05 AURORA at 12 14 05_Exhibit D fr R Gho 12-31-08_NIM Summary 2 3 2" xfId="20828"/>
    <cellStyle name="_Value Copy 11 30 05 gas 12 09 05 AURORA at 12 14 05_Exhibit D fr R Gho 12-31-08_NIM Summary 2 4" xfId="20829"/>
    <cellStyle name="_Value Copy 11 30 05 gas 12 09 05 AURORA at 12 14 05_Exhibit D fr R Gho 12-31-08_NIM Summary 2 4 2" xfId="20830"/>
    <cellStyle name="_Value Copy 11 30 05 gas 12 09 05 AURORA at 12 14 05_Exhibit D fr R Gho 12-31-08_NIM Summary 2 5" xfId="20831"/>
    <cellStyle name="_Value Copy 11 30 05 gas 12 09 05 AURORA at 12 14 05_Exhibit D fr R Gho 12-31-08_NIM Summary 3" xfId="20832"/>
    <cellStyle name="_Value Copy 11 30 05 gas 12 09 05 AURORA at 12 14 05_Exhibit D fr R Gho 12-31-08_NIM Summary 3 2" xfId="20833"/>
    <cellStyle name="_Value Copy 11 30 05 gas 12 09 05 AURORA at 12 14 05_Exhibit D fr R Gho 12-31-08_NIM Summary 3 2 2" xfId="20834"/>
    <cellStyle name="_Value Copy 11 30 05 gas 12 09 05 AURORA at 12 14 05_Exhibit D fr R Gho 12-31-08_NIM Summary 3 3" xfId="20835"/>
    <cellStyle name="_Value Copy 11 30 05 gas 12 09 05 AURORA at 12 14 05_Exhibit D fr R Gho 12-31-08_NIM Summary 4" xfId="20836"/>
    <cellStyle name="_Value Copy 11 30 05 gas 12 09 05 AURORA at 12 14 05_Exhibit D fr R Gho 12-31-08_NIM Summary 4 2" xfId="20837"/>
    <cellStyle name="_Value Copy 11 30 05 gas 12 09 05 AURORA at 12 14 05_Exhibit D fr R Gho 12-31-08_NIM Summary 4 2 2" xfId="20838"/>
    <cellStyle name="_Value Copy 11 30 05 gas 12 09 05 AURORA at 12 14 05_Exhibit D fr R Gho 12-31-08_NIM Summary 4 3" xfId="20839"/>
    <cellStyle name="_Value Copy 11 30 05 gas 12 09 05 AURORA at 12 14 05_Exhibit D fr R Gho 12-31-08_NIM Summary 5" xfId="20840"/>
    <cellStyle name="_Value Copy 11 30 05 gas 12 09 05 AURORA at 12 14 05_Exhibit D fr R Gho 12-31-08_NIM Summary 5 2" xfId="20841"/>
    <cellStyle name="_Value Copy 11 30 05 gas 12 09 05 AURORA at 12 14 05_Exhibit D fr R Gho 12-31-08_NIM Summary 6" xfId="20842"/>
    <cellStyle name="_Value Copy 11 30 05 gas 12 09 05 AURORA at 12 14 05_Exhibit D fr R Gho 12-31-08_NIM Summary 6 2" xfId="20843"/>
    <cellStyle name="_Value Copy 11 30 05 gas 12 09 05 AURORA at 12 14 05_Exhibit D fr R Gho 12-31-08_NIM Summary 7" xfId="20844"/>
    <cellStyle name="_Value Copy 11 30 05 gas 12 09 05 AURORA at 12 14 05_Exhibit D fr R Gho 12-31-08_NIM Summary_DEM-WP(C) ENERG10C--ctn Mid-C_042010 2010GRC" xfId="20845"/>
    <cellStyle name="_Value Copy 11 30 05 gas 12 09 05 AURORA at 12 14 05_Exhibit D fr R Gho 12-31-08_NIM Summary_DEM-WP(C) ENERG10C--ctn Mid-C_042010 2010GRC 2" xfId="20846"/>
    <cellStyle name="_Value Copy 11 30 05 gas 12 09 05 AURORA at 12 14 05_Hopkins Ridge Prepaid Tran - Interest Earned RY 12ME Feb  '11" xfId="20847"/>
    <cellStyle name="_Value Copy 11 30 05 gas 12 09 05 AURORA at 12 14 05_Hopkins Ridge Prepaid Tran - Interest Earned RY 12ME Feb  '11 2" xfId="20848"/>
    <cellStyle name="_Value Copy 11 30 05 gas 12 09 05 AURORA at 12 14 05_Hopkins Ridge Prepaid Tran - Interest Earned RY 12ME Feb  '11 2 2" xfId="20849"/>
    <cellStyle name="_Value Copy 11 30 05 gas 12 09 05 AURORA at 12 14 05_Hopkins Ridge Prepaid Tran - Interest Earned RY 12ME Feb  '11 2 2 2" xfId="20850"/>
    <cellStyle name="_Value Copy 11 30 05 gas 12 09 05 AURORA at 12 14 05_Hopkins Ridge Prepaid Tran - Interest Earned RY 12ME Feb  '11 2 2 2 2" xfId="20851"/>
    <cellStyle name="_Value Copy 11 30 05 gas 12 09 05 AURORA at 12 14 05_Hopkins Ridge Prepaid Tran - Interest Earned RY 12ME Feb  '11 2 3" xfId="20852"/>
    <cellStyle name="_Value Copy 11 30 05 gas 12 09 05 AURORA at 12 14 05_Hopkins Ridge Prepaid Tran - Interest Earned RY 12ME Feb  '11 2 3 2" xfId="20853"/>
    <cellStyle name="_Value Copy 11 30 05 gas 12 09 05 AURORA at 12 14 05_Hopkins Ridge Prepaid Tran - Interest Earned RY 12ME Feb  '11 2 4" xfId="20854"/>
    <cellStyle name="_Value Copy 11 30 05 gas 12 09 05 AURORA at 12 14 05_Hopkins Ridge Prepaid Tran - Interest Earned RY 12ME Feb  '11 2 4 2" xfId="20855"/>
    <cellStyle name="_Value Copy 11 30 05 gas 12 09 05 AURORA at 12 14 05_Hopkins Ridge Prepaid Tran - Interest Earned RY 12ME Feb  '11 2 5" xfId="20856"/>
    <cellStyle name="_Value Copy 11 30 05 gas 12 09 05 AURORA at 12 14 05_Hopkins Ridge Prepaid Tran - Interest Earned RY 12ME Feb  '11 3" xfId="20857"/>
    <cellStyle name="_Value Copy 11 30 05 gas 12 09 05 AURORA at 12 14 05_Hopkins Ridge Prepaid Tran - Interest Earned RY 12ME Feb  '11 3 2" xfId="20858"/>
    <cellStyle name="_Value Copy 11 30 05 gas 12 09 05 AURORA at 12 14 05_Hopkins Ridge Prepaid Tran - Interest Earned RY 12ME Feb  '11 3 2 2" xfId="20859"/>
    <cellStyle name="_Value Copy 11 30 05 gas 12 09 05 AURORA at 12 14 05_Hopkins Ridge Prepaid Tran - Interest Earned RY 12ME Feb  '11 3 3" xfId="20860"/>
    <cellStyle name="_Value Copy 11 30 05 gas 12 09 05 AURORA at 12 14 05_Hopkins Ridge Prepaid Tran - Interest Earned RY 12ME Feb  '11 4" xfId="20861"/>
    <cellStyle name="_Value Copy 11 30 05 gas 12 09 05 AURORA at 12 14 05_Hopkins Ridge Prepaid Tran - Interest Earned RY 12ME Feb  '11 4 2" xfId="20862"/>
    <cellStyle name="_Value Copy 11 30 05 gas 12 09 05 AURORA at 12 14 05_Hopkins Ridge Prepaid Tran - Interest Earned RY 12ME Feb  '11 4 2 2" xfId="20863"/>
    <cellStyle name="_Value Copy 11 30 05 gas 12 09 05 AURORA at 12 14 05_Hopkins Ridge Prepaid Tran - Interest Earned RY 12ME Feb  '11 4 3" xfId="20864"/>
    <cellStyle name="_Value Copy 11 30 05 gas 12 09 05 AURORA at 12 14 05_Hopkins Ridge Prepaid Tran - Interest Earned RY 12ME Feb  '11 5" xfId="20865"/>
    <cellStyle name="_Value Copy 11 30 05 gas 12 09 05 AURORA at 12 14 05_Hopkins Ridge Prepaid Tran - Interest Earned RY 12ME Feb  '11 5 2" xfId="20866"/>
    <cellStyle name="_Value Copy 11 30 05 gas 12 09 05 AURORA at 12 14 05_Hopkins Ridge Prepaid Tran - Interest Earned RY 12ME Feb  '11 6" xfId="20867"/>
    <cellStyle name="_Value Copy 11 30 05 gas 12 09 05 AURORA at 12 14 05_Hopkins Ridge Prepaid Tran - Interest Earned RY 12ME Feb  '11 6 2" xfId="20868"/>
    <cellStyle name="_Value Copy 11 30 05 gas 12 09 05 AURORA at 12 14 05_Hopkins Ridge Prepaid Tran - Interest Earned RY 12ME Feb  '11 7" xfId="20869"/>
    <cellStyle name="_Value Copy 11 30 05 gas 12 09 05 AURORA at 12 14 05_Hopkins Ridge Prepaid Tran - Interest Earned RY 12ME Feb  '11_DEM-WP(C) ENERG10C--ctn Mid-C_042010 2010GRC" xfId="20870"/>
    <cellStyle name="_Value Copy 11 30 05 gas 12 09 05 AURORA at 12 14 05_Hopkins Ridge Prepaid Tran - Interest Earned RY 12ME Feb  '11_DEM-WP(C) ENERG10C--ctn Mid-C_042010 2010GRC 2" xfId="20871"/>
    <cellStyle name="_Value Copy 11 30 05 gas 12 09 05 AURORA at 12 14 05_Hopkins Ridge Prepaid Tran - Interest Earned RY 12ME Feb  '11_NIM Summary" xfId="20872"/>
    <cellStyle name="_Value Copy 11 30 05 gas 12 09 05 AURORA at 12 14 05_Hopkins Ridge Prepaid Tran - Interest Earned RY 12ME Feb  '11_NIM Summary 2" xfId="20873"/>
    <cellStyle name="_Value Copy 11 30 05 gas 12 09 05 AURORA at 12 14 05_Hopkins Ridge Prepaid Tran - Interest Earned RY 12ME Feb  '11_NIM Summary 2 2" xfId="20874"/>
    <cellStyle name="_Value Copy 11 30 05 gas 12 09 05 AURORA at 12 14 05_Hopkins Ridge Prepaid Tran - Interest Earned RY 12ME Feb  '11_NIM Summary 2 2 2" xfId="20875"/>
    <cellStyle name="_Value Copy 11 30 05 gas 12 09 05 AURORA at 12 14 05_Hopkins Ridge Prepaid Tran - Interest Earned RY 12ME Feb  '11_NIM Summary 2 2 2 2" xfId="20876"/>
    <cellStyle name="_Value Copy 11 30 05 gas 12 09 05 AURORA at 12 14 05_Hopkins Ridge Prepaid Tran - Interest Earned RY 12ME Feb  '11_NIM Summary 2 3" xfId="20877"/>
    <cellStyle name="_Value Copy 11 30 05 gas 12 09 05 AURORA at 12 14 05_Hopkins Ridge Prepaid Tran - Interest Earned RY 12ME Feb  '11_NIM Summary 2 3 2" xfId="20878"/>
    <cellStyle name="_Value Copy 11 30 05 gas 12 09 05 AURORA at 12 14 05_Hopkins Ridge Prepaid Tran - Interest Earned RY 12ME Feb  '11_NIM Summary 2 4" xfId="20879"/>
    <cellStyle name="_Value Copy 11 30 05 gas 12 09 05 AURORA at 12 14 05_Hopkins Ridge Prepaid Tran - Interest Earned RY 12ME Feb  '11_NIM Summary 2 4 2" xfId="20880"/>
    <cellStyle name="_Value Copy 11 30 05 gas 12 09 05 AURORA at 12 14 05_Hopkins Ridge Prepaid Tran - Interest Earned RY 12ME Feb  '11_NIM Summary 2 5" xfId="20881"/>
    <cellStyle name="_Value Copy 11 30 05 gas 12 09 05 AURORA at 12 14 05_Hopkins Ridge Prepaid Tran - Interest Earned RY 12ME Feb  '11_NIM Summary 3" xfId="20882"/>
    <cellStyle name="_Value Copy 11 30 05 gas 12 09 05 AURORA at 12 14 05_Hopkins Ridge Prepaid Tran - Interest Earned RY 12ME Feb  '11_NIM Summary 3 2" xfId="20883"/>
    <cellStyle name="_Value Copy 11 30 05 gas 12 09 05 AURORA at 12 14 05_Hopkins Ridge Prepaid Tran - Interest Earned RY 12ME Feb  '11_NIM Summary 3 2 2" xfId="20884"/>
    <cellStyle name="_Value Copy 11 30 05 gas 12 09 05 AURORA at 12 14 05_Hopkins Ridge Prepaid Tran - Interest Earned RY 12ME Feb  '11_NIM Summary 3 3" xfId="20885"/>
    <cellStyle name="_Value Copy 11 30 05 gas 12 09 05 AURORA at 12 14 05_Hopkins Ridge Prepaid Tran - Interest Earned RY 12ME Feb  '11_NIM Summary 4" xfId="20886"/>
    <cellStyle name="_Value Copy 11 30 05 gas 12 09 05 AURORA at 12 14 05_Hopkins Ridge Prepaid Tran - Interest Earned RY 12ME Feb  '11_NIM Summary 4 2" xfId="20887"/>
    <cellStyle name="_Value Copy 11 30 05 gas 12 09 05 AURORA at 12 14 05_Hopkins Ridge Prepaid Tran - Interest Earned RY 12ME Feb  '11_NIM Summary 4 2 2" xfId="20888"/>
    <cellStyle name="_Value Copy 11 30 05 gas 12 09 05 AURORA at 12 14 05_Hopkins Ridge Prepaid Tran - Interest Earned RY 12ME Feb  '11_NIM Summary 4 3" xfId="20889"/>
    <cellStyle name="_Value Copy 11 30 05 gas 12 09 05 AURORA at 12 14 05_Hopkins Ridge Prepaid Tran - Interest Earned RY 12ME Feb  '11_NIM Summary 5" xfId="20890"/>
    <cellStyle name="_Value Copy 11 30 05 gas 12 09 05 AURORA at 12 14 05_Hopkins Ridge Prepaid Tran - Interest Earned RY 12ME Feb  '11_NIM Summary 5 2" xfId="20891"/>
    <cellStyle name="_Value Copy 11 30 05 gas 12 09 05 AURORA at 12 14 05_Hopkins Ridge Prepaid Tran - Interest Earned RY 12ME Feb  '11_NIM Summary 6" xfId="20892"/>
    <cellStyle name="_Value Copy 11 30 05 gas 12 09 05 AURORA at 12 14 05_Hopkins Ridge Prepaid Tran - Interest Earned RY 12ME Feb  '11_NIM Summary 6 2" xfId="20893"/>
    <cellStyle name="_Value Copy 11 30 05 gas 12 09 05 AURORA at 12 14 05_Hopkins Ridge Prepaid Tran - Interest Earned RY 12ME Feb  '11_NIM Summary 7" xfId="20894"/>
    <cellStyle name="_Value Copy 11 30 05 gas 12 09 05 AURORA at 12 14 05_Hopkins Ridge Prepaid Tran - Interest Earned RY 12ME Feb  '11_NIM Summary_DEM-WP(C) ENERG10C--ctn Mid-C_042010 2010GRC" xfId="20895"/>
    <cellStyle name="_Value Copy 11 30 05 gas 12 09 05 AURORA at 12 14 05_Hopkins Ridge Prepaid Tran - Interest Earned RY 12ME Feb  '11_NIM Summary_DEM-WP(C) ENERG10C--ctn Mid-C_042010 2010GRC 2" xfId="20896"/>
    <cellStyle name="_Value Copy 11 30 05 gas 12 09 05 AURORA at 12 14 05_Hopkins Ridge Prepaid Tran - Interest Earned RY 12ME Feb  '11_Transmission Workbook for May BOD" xfId="20897"/>
    <cellStyle name="_Value Copy 11 30 05 gas 12 09 05 AURORA at 12 14 05_Hopkins Ridge Prepaid Tran - Interest Earned RY 12ME Feb  '11_Transmission Workbook for May BOD 2" xfId="20898"/>
    <cellStyle name="_Value Copy 11 30 05 gas 12 09 05 AURORA at 12 14 05_Hopkins Ridge Prepaid Tran - Interest Earned RY 12ME Feb  '11_Transmission Workbook for May BOD 2 2" xfId="20899"/>
    <cellStyle name="_Value Copy 11 30 05 gas 12 09 05 AURORA at 12 14 05_Hopkins Ridge Prepaid Tran - Interest Earned RY 12ME Feb  '11_Transmission Workbook for May BOD 2 2 2" xfId="20900"/>
    <cellStyle name="_Value Copy 11 30 05 gas 12 09 05 AURORA at 12 14 05_Hopkins Ridge Prepaid Tran - Interest Earned RY 12ME Feb  '11_Transmission Workbook for May BOD 2 2 2 2" xfId="20901"/>
    <cellStyle name="_Value Copy 11 30 05 gas 12 09 05 AURORA at 12 14 05_Hopkins Ridge Prepaid Tran - Interest Earned RY 12ME Feb  '11_Transmission Workbook for May BOD 2 3" xfId="20902"/>
    <cellStyle name="_Value Copy 11 30 05 gas 12 09 05 AURORA at 12 14 05_Hopkins Ridge Prepaid Tran - Interest Earned RY 12ME Feb  '11_Transmission Workbook for May BOD 2 3 2" xfId="20903"/>
    <cellStyle name="_Value Copy 11 30 05 gas 12 09 05 AURORA at 12 14 05_Hopkins Ridge Prepaid Tran - Interest Earned RY 12ME Feb  '11_Transmission Workbook for May BOD 2 4" xfId="20904"/>
    <cellStyle name="_Value Copy 11 30 05 gas 12 09 05 AURORA at 12 14 05_Hopkins Ridge Prepaid Tran - Interest Earned RY 12ME Feb  '11_Transmission Workbook for May BOD 2 4 2" xfId="20905"/>
    <cellStyle name="_Value Copy 11 30 05 gas 12 09 05 AURORA at 12 14 05_Hopkins Ridge Prepaid Tran - Interest Earned RY 12ME Feb  '11_Transmission Workbook for May BOD 2 5" xfId="20906"/>
    <cellStyle name="_Value Copy 11 30 05 gas 12 09 05 AURORA at 12 14 05_Hopkins Ridge Prepaid Tran - Interest Earned RY 12ME Feb  '11_Transmission Workbook for May BOD 3" xfId="20907"/>
    <cellStyle name="_Value Copy 11 30 05 gas 12 09 05 AURORA at 12 14 05_Hopkins Ridge Prepaid Tran - Interest Earned RY 12ME Feb  '11_Transmission Workbook for May BOD 3 2" xfId="20908"/>
    <cellStyle name="_Value Copy 11 30 05 gas 12 09 05 AURORA at 12 14 05_Hopkins Ridge Prepaid Tran - Interest Earned RY 12ME Feb  '11_Transmission Workbook for May BOD 3 2 2" xfId="20909"/>
    <cellStyle name="_Value Copy 11 30 05 gas 12 09 05 AURORA at 12 14 05_Hopkins Ridge Prepaid Tran - Interest Earned RY 12ME Feb  '11_Transmission Workbook for May BOD 3 3" xfId="20910"/>
    <cellStyle name="_Value Copy 11 30 05 gas 12 09 05 AURORA at 12 14 05_Hopkins Ridge Prepaid Tran - Interest Earned RY 12ME Feb  '11_Transmission Workbook for May BOD 4" xfId="20911"/>
    <cellStyle name="_Value Copy 11 30 05 gas 12 09 05 AURORA at 12 14 05_Hopkins Ridge Prepaid Tran - Interest Earned RY 12ME Feb  '11_Transmission Workbook for May BOD 4 2" xfId="20912"/>
    <cellStyle name="_Value Copy 11 30 05 gas 12 09 05 AURORA at 12 14 05_Hopkins Ridge Prepaid Tran - Interest Earned RY 12ME Feb  '11_Transmission Workbook for May BOD 4 2 2" xfId="20913"/>
    <cellStyle name="_Value Copy 11 30 05 gas 12 09 05 AURORA at 12 14 05_Hopkins Ridge Prepaid Tran - Interest Earned RY 12ME Feb  '11_Transmission Workbook for May BOD 4 3" xfId="20914"/>
    <cellStyle name="_Value Copy 11 30 05 gas 12 09 05 AURORA at 12 14 05_Hopkins Ridge Prepaid Tran - Interest Earned RY 12ME Feb  '11_Transmission Workbook for May BOD 5" xfId="20915"/>
    <cellStyle name="_Value Copy 11 30 05 gas 12 09 05 AURORA at 12 14 05_Hopkins Ridge Prepaid Tran - Interest Earned RY 12ME Feb  '11_Transmission Workbook for May BOD 5 2" xfId="20916"/>
    <cellStyle name="_Value Copy 11 30 05 gas 12 09 05 AURORA at 12 14 05_Hopkins Ridge Prepaid Tran - Interest Earned RY 12ME Feb  '11_Transmission Workbook for May BOD 6" xfId="20917"/>
    <cellStyle name="_Value Copy 11 30 05 gas 12 09 05 AURORA at 12 14 05_Hopkins Ridge Prepaid Tran - Interest Earned RY 12ME Feb  '11_Transmission Workbook for May BOD 6 2" xfId="20918"/>
    <cellStyle name="_Value Copy 11 30 05 gas 12 09 05 AURORA at 12 14 05_Hopkins Ridge Prepaid Tran - Interest Earned RY 12ME Feb  '11_Transmission Workbook for May BOD 7" xfId="20919"/>
    <cellStyle name="_Value Copy 11 30 05 gas 12 09 05 AURORA at 12 14 05_Hopkins Ridge Prepaid Tran - Interest Earned RY 12ME Feb  '11_Transmission Workbook for May BOD_DEM-WP(C) ENERG10C--ctn Mid-C_042010 2010GRC" xfId="20920"/>
    <cellStyle name="_Value Copy 11 30 05 gas 12 09 05 AURORA at 12 14 05_Hopkins Ridge Prepaid Tran - Interest Earned RY 12ME Feb  '11_Transmission Workbook for May BOD_DEM-WP(C) ENERG10C--ctn Mid-C_042010 2010GRC 2" xfId="20921"/>
    <cellStyle name="_Value Copy 11 30 05 gas 12 09 05 AURORA at 12 14 05_INPUTS" xfId="20922"/>
    <cellStyle name="_Value Copy 11 30 05 gas 12 09 05 AURORA at 12 14 05_INPUTS 2" xfId="20923"/>
    <cellStyle name="_Value Copy 11 30 05 gas 12 09 05 AURORA at 12 14 05_INPUTS 2 2" xfId="20924"/>
    <cellStyle name="_Value Copy 11 30 05 gas 12 09 05 AURORA at 12 14 05_INPUTS 2 2 2" xfId="20925"/>
    <cellStyle name="_Value Copy 11 30 05 gas 12 09 05 AURORA at 12 14 05_INPUTS 2 2 2 2" xfId="20926"/>
    <cellStyle name="_Value Copy 11 30 05 gas 12 09 05 AURORA at 12 14 05_INPUTS 2 2 3" xfId="20927"/>
    <cellStyle name="_Value Copy 11 30 05 gas 12 09 05 AURORA at 12 14 05_INPUTS 2 3" xfId="20928"/>
    <cellStyle name="_Value Copy 11 30 05 gas 12 09 05 AURORA at 12 14 05_INPUTS 2 3 2" xfId="20929"/>
    <cellStyle name="_Value Copy 11 30 05 gas 12 09 05 AURORA at 12 14 05_INPUTS 2 3 2 2" xfId="20930"/>
    <cellStyle name="_Value Copy 11 30 05 gas 12 09 05 AURORA at 12 14 05_INPUTS 2 3 3" xfId="20931"/>
    <cellStyle name="_Value Copy 11 30 05 gas 12 09 05 AURORA at 12 14 05_INPUTS 2 4" xfId="20932"/>
    <cellStyle name="_Value Copy 11 30 05 gas 12 09 05 AURORA at 12 14 05_INPUTS 2 4 2" xfId="20933"/>
    <cellStyle name="_Value Copy 11 30 05 gas 12 09 05 AURORA at 12 14 05_INPUTS 2 4 2 2" xfId="20934"/>
    <cellStyle name="_Value Copy 11 30 05 gas 12 09 05 AURORA at 12 14 05_INPUTS 2 4 3" xfId="20935"/>
    <cellStyle name="_Value Copy 11 30 05 gas 12 09 05 AURORA at 12 14 05_INPUTS 2 5" xfId="20936"/>
    <cellStyle name="_Value Copy 11 30 05 gas 12 09 05 AURORA at 12 14 05_INPUTS 3" xfId="20937"/>
    <cellStyle name="_Value Copy 11 30 05 gas 12 09 05 AURORA at 12 14 05_INPUTS 3 2" xfId="20938"/>
    <cellStyle name="_Value Copy 11 30 05 gas 12 09 05 AURORA at 12 14 05_INPUTS 3 2 2" xfId="20939"/>
    <cellStyle name="_Value Copy 11 30 05 gas 12 09 05 AURORA at 12 14 05_INPUTS 3 3" xfId="20940"/>
    <cellStyle name="_Value Copy 11 30 05 gas 12 09 05 AURORA at 12 14 05_INPUTS 4" xfId="20941"/>
    <cellStyle name="_Value Copy 11 30 05 gas 12 09 05 AURORA at 12 14 05_INPUTS 4 2" xfId="20942"/>
    <cellStyle name="_Value Copy 11 30 05 gas 12 09 05 AURORA at 12 14 05_INPUTS 4 2 2" xfId="20943"/>
    <cellStyle name="_Value Copy 11 30 05 gas 12 09 05 AURORA at 12 14 05_INPUTS 4 3" xfId="20944"/>
    <cellStyle name="_Value Copy 11 30 05 gas 12 09 05 AURORA at 12 14 05_INPUTS 5" xfId="20945"/>
    <cellStyle name="_Value Copy 11 30 05 gas 12 09 05 AURORA at 12 14 05_INPUTS 5 2" xfId="20946"/>
    <cellStyle name="_Value Copy 11 30 05 gas 12 09 05 AURORA at 12 14 05_INPUTS 6" xfId="20947"/>
    <cellStyle name="_Value Copy 11 30 05 gas 12 09 05 AURORA at 12 14 05_Leased Transformer &amp; Substation Plant &amp; Rev 12-2009" xfId="20948"/>
    <cellStyle name="_Value Copy 11 30 05 gas 12 09 05 AURORA at 12 14 05_Leased Transformer &amp; Substation Plant &amp; Rev 12-2009 2" xfId="20949"/>
    <cellStyle name="_Value Copy 11 30 05 gas 12 09 05 AURORA at 12 14 05_Leased Transformer &amp; Substation Plant &amp; Rev 12-2009 2 2" xfId="20950"/>
    <cellStyle name="_Value Copy 11 30 05 gas 12 09 05 AURORA at 12 14 05_Leased Transformer &amp; Substation Plant &amp; Rev 12-2009 2 2 2" xfId="20951"/>
    <cellStyle name="_Value Copy 11 30 05 gas 12 09 05 AURORA at 12 14 05_Leased Transformer &amp; Substation Plant &amp; Rev 12-2009 2 2 2 2" xfId="20952"/>
    <cellStyle name="_Value Copy 11 30 05 gas 12 09 05 AURORA at 12 14 05_Leased Transformer &amp; Substation Plant &amp; Rev 12-2009 2 2 3" xfId="20953"/>
    <cellStyle name="_Value Copy 11 30 05 gas 12 09 05 AURORA at 12 14 05_Leased Transformer &amp; Substation Plant &amp; Rev 12-2009 2 3" xfId="20954"/>
    <cellStyle name="_Value Copy 11 30 05 gas 12 09 05 AURORA at 12 14 05_Leased Transformer &amp; Substation Plant &amp; Rev 12-2009 2 3 2" xfId="20955"/>
    <cellStyle name="_Value Copy 11 30 05 gas 12 09 05 AURORA at 12 14 05_Leased Transformer &amp; Substation Plant &amp; Rev 12-2009 2 3 2 2" xfId="20956"/>
    <cellStyle name="_Value Copy 11 30 05 gas 12 09 05 AURORA at 12 14 05_Leased Transformer &amp; Substation Plant &amp; Rev 12-2009 2 3 3" xfId="20957"/>
    <cellStyle name="_Value Copy 11 30 05 gas 12 09 05 AURORA at 12 14 05_Leased Transformer &amp; Substation Plant &amp; Rev 12-2009 2 4" xfId="20958"/>
    <cellStyle name="_Value Copy 11 30 05 gas 12 09 05 AURORA at 12 14 05_Leased Transformer &amp; Substation Plant &amp; Rev 12-2009 2 4 2" xfId="20959"/>
    <cellStyle name="_Value Copy 11 30 05 gas 12 09 05 AURORA at 12 14 05_Leased Transformer &amp; Substation Plant &amp; Rev 12-2009 2 4 2 2" xfId="20960"/>
    <cellStyle name="_Value Copy 11 30 05 gas 12 09 05 AURORA at 12 14 05_Leased Transformer &amp; Substation Plant &amp; Rev 12-2009 2 4 3" xfId="20961"/>
    <cellStyle name="_Value Copy 11 30 05 gas 12 09 05 AURORA at 12 14 05_Leased Transformer &amp; Substation Plant &amp; Rev 12-2009 2 5" xfId="20962"/>
    <cellStyle name="_Value Copy 11 30 05 gas 12 09 05 AURORA at 12 14 05_Leased Transformer &amp; Substation Plant &amp; Rev 12-2009 3" xfId="20963"/>
    <cellStyle name="_Value Copy 11 30 05 gas 12 09 05 AURORA at 12 14 05_Leased Transformer &amp; Substation Plant &amp; Rev 12-2009 3 2" xfId="20964"/>
    <cellStyle name="_Value Copy 11 30 05 gas 12 09 05 AURORA at 12 14 05_Leased Transformer &amp; Substation Plant &amp; Rev 12-2009 3 2 2" xfId="20965"/>
    <cellStyle name="_Value Copy 11 30 05 gas 12 09 05 AURORA at 12 14 05_Leased Transformer &amp; Substation Plant &amp; Rev 12-2009 3 3" xfId="20966"/>
    <cellStyle name="_Value Copy 11 30 05 gas 12 09 05 AURORA at 12 14 05_Leased Transformer &amp; Substation Plant &amp; Rev 12-2009 4" xfId="20967"/>
    <cellStyle name="_Value Copy 11 30 05 gas 12 09 05 AURORA at 12 14 05_Leased Transformer &amp; Substation Plant &amp; Rev 12-2009 4 2" xfId="20968"/>
    <cellStyle name="_Value Copy 11 30 05 gas 12 09 05 AURORA at 12 14 05_Leased Transformer &amp; Substation Plant &amp; Rev 12-2009 4 2 2" xfId="20969"/>
    <cellStyle name="_Value Copy 11 30 05 gas 12 09 05 AURORA at 12 14 05_Leased Transformer &amp; Substation Plant &amp; Rev 12-2009 4 3" xfId="20970"/>
    <cellStyle name="_Value Copy 11 30 05 gas 12 09 05 AURORA at 12 14 05_Leased Transformer &amp; Substation Plant &amp; Rev 12-2009 5" xfId="20971"/>
    <cellStyle name="_Value Copy 11 30 05 gas 12 09 05 AURORA at 12 14 05_Leased Transformer &amp; Substation Plant &amp; Rev 12-2009 5 2" xfId="20972"/>
    <cellStyle name="_Value Copy 11 30 05 gas 12 09 05 AURORA at 12 14 05_Leased Transformer &amp; Substation Plant &amp; Rev 12-2009 6" xfId="20973"/>
    <cellStyle name="_Value Copy 11 30 05 gas 12 09 05 AURORA at 12 14 05_Mint Farm Generation BPA" xfId="20974"/>
    <cellStyle name="_Value Copy 11 30 05 gas 12 09 05 AURORA at 12 14 05_NIM Summary" xfId="20975"/>
    <cellStyle name="_Value Copy 11 30 05 gas 12 09 05 AURORA at 12 14 05_NIM Summary 09GRC" xfId="20976"/>
    <cellStyle name="_Value Copy 11 30 05 gas 12 09 05 AURORA at 12 14 05_NIM Summary 09GRC 2" xfId="20977"/>
    <cellStyle name="_Value Copy 11 30 05 gas 12 09 05 AURORA at 12 14 05_NIM Summary 09GRC 2 2" xfId="20978"/>
    <cellStyle name="_Value Copy 11 30 05 gas 12 09 05 AURORA at 12 14 05_NIM Summary 09GRC 2 2 2" xfId="20979"/>
    <cellStyle name="_Value Copy 11 30 05 gas 12 09 05 AURORA at 12 14 05_NIM Summary 09GRC 2 2 2 2" xfId="20980"/>
    <cellStyle name="_Value Copy 11 30 05 gas 12 09 05 AURORA at 12 14 05_NIM Summary 09GRC 2 3" xfId="20981"/>
    <cellStyle name="_Value Copy 11 30 05 gas 12 09 05 AURORA at 12 14 05_NIM Summary 09GRC 2 3 2" xfId="20982"/>
    <cellStyle name="_Value Copy 11 30 05 gas 12 09 05 AURORA at 12 14 05_NIM Summary 09GRC 2 4" xfId="20983"/>
    <cellStyle name="_Value Copy 11 30 05 gas 12 09 05 AURORA at 12 14 05_NIM Summary 09GRC 2 4 2" xfId="20984"/>
    <cellStyle name="_Value Copy 11 30 05 gas 12 09 05 AURORA at 12 14 05_NIM Summary 09GRC 2 5" xfId="20985"/>
    <cellStyle name="_Value Copy 11 30 05 gas 12 09 05 AURORA at 12 14 05_NIM Summary 09GRC 3" xfId="20986"/>
    <cellStyle name="_Value Copy 11 30 05 gas 12 09 05 AURORA at 12 14 05_NIM Summary 09GRC 3 2" xfId="20987"/>
    <cellStyle name="_Value Copy 11 30 05 gas 12 09 05 AURORA at 12 14 05_NIM Summary 09GRC 3 2 2" xfId="20988"/>
    <cellStyle name="_Value Copy 11 30 05 gas 12 09 05 AURORA at 12 14 05_NIM Summary 09GRC 3 3" xfId="20989"/>
    <cellStyle name="_Value Copy 11 30 05 gas 12 09 05 AURORA at 12 14 05_NIM Summary 09GRC 4" xfId="20990"/>
    <cellStyle name="_Value Copy 11 30 05 gas 12 09 05 AURORA at 12 14 05_NIM Summary 09GRC 4 2" xfId="20991"/>
    <cellStyle name="_Value Copy 11 30 05 gas 12 09 05 AURORA at 12 14 05_NIM Summary 09GRC 4 2 2" xfId="20992"/>
    <cellStyle name="_Value Copy 11 30 05 gas 12 09 05 AURORA at 12 14 05_NIM Summary 09GRC 4 3" xfId="20993"/>
    <cellStyle name="_Value Copy 11 30 05 gas 12 09 05 AURORA at 12 14 05_NIM Summary 09GRC 5" xfId="20994"/>
    <cellStyle name="_Value Copy 11 30 05 gas 12 09 05 AURORA at 12 14 05_NIM Summary 09GRC 5 2" xfId="20995"/>
    <cellStyle name="_Value Copy 11 30 05 gas 12 09 05 AURORA at 12 14 05_NIM Summary 09GRC 6" xfId="20996"/>
    <cellStyle name="_Value Copy 11 30 05 gas 12 09 05 AURORA at 12 14 05_NIM Summary 09GRC 6 2" xfId="20997"/>
    <cellStyle name="_Value Copy 11 30 05 gas 12 09 05 AURORA at 12 14 05_NIM Summary 09GRC 7" xfId="20998"/>
    <cellStyle name="_Value Copy 11 30 05 gas 12 09 05 AURORA at 12 14 05_NIM Summary 09GRC_DEM-WP(C) ENERG10C--ctn Mid-C_042010 2010GRC" xfId="20999"/>
    <cellStyle name="_Value Copy 11 30 05 gas 12 09 05 AURORA at 12 14 05_NIM Summary 09GRC_DEM-WP(C) ENERG10C--ctn Mid-C_042010 2010GRC 2" xfId="21000"/>
    <cellStyle name="_Value Copy 11 30 05 gas 12 09 05 AURORA at 12 14 05_NIM Summary 10" xfId="21001"/>
    <cellStyle name="_Value Copy 11 30 05 gas 12 09 05 AURORA at 12 14 05_NIM Summary 10 2" xfId="21002"/>
    <cellStyle name="_Value Copy 11 30 05 gas 12 09 05 AURORA at 12 14 05_NIM Summary 10 2 2" xfId="21003"/>
    <cellStyle name="_Value Copy 11 30 05 gas 12 09 05 AURORA at 12 14 05_NIM Summary 10 3" xfId="21004"/>
    <cellStyle name="_Value Copy 11 30 05 gas 12 09 05 AURORA at 12 14 05_NIM Summary 10 4" xfId="21005"/>
    <cellStyle name="_Value Copy 11 30 05 gas 12 09 05 AURORA at 12 14 05_NIM Summary 11" xfId="21006"/>
    <cellStyle name="_Value Copy 11 30 05 gas 12 09 05 AURORA at 12 14 05_NIM Summary 11 2" xfId="21007"/>
    <cellStyle name="_Value Copy 11 30 05 gas 12 09 05 AURORA at 12 14 05_NIM Summary 11 2 2" xfId="21008"/>
    <cellStyle name="_Value Copy 11 30 05 gas 12 09 05 AURORA at 12 14 05_NIM Summary 11 3" xfId="21009"/>
    <cellStyle name="_Value Copy 11 30 05 gas 12 09 05 AURORA at 12 14 05_NIM Summary 11 4" xfId="21010"/>
    <cellStyle name="_Value Copy 11 30 05 gas 12 09 05 AURORA at 12 14 05_NIM Summary 12" xfId="21011"/>
    <cellStyle name="_Value Copy 11 30 05 gas 12 09 05 AURORA at 12 14 05_NIM Summary 12 2" xfId="21012"/>
    <cellStyle name="_Value Copy 11 30 05 gas 12 09 05 AURORA at 12 14 05_NIM Summary 12 2 2" xfId="21013"/>
    <cellStyle name="_Value Copy 11 30 05 gas 12 09 05 AURORA at 12 14 05_NIM Summary 12 3" xfId="21014"/>
    <cellStyle name="_Value Copy 11 30 05 gas 12 09 05 AURORA at 12 14 05_NIM Summary 12 4" xfId="21015"/>
    <cellStyle name="_Value Copy 11 30 05 gas 12 09 05 AURORA at 12 14 05_NIM Summary 13" xfId="21016"/>
    <cellStyle name="_Value Copy 11 30 05 gas 12 09 05 AURORA at 12 14 05_NIM Summary 13 2" xfId="21017"/>
    <cellStyle name="_Value Copy 11 30 05 gas 12 09 05 AURORA at 12 14 05_NIM Summary 13 2 2" xfId="21018"/>
    <cellStyle name="_Value Copy 11 30 05 gas 12 09 05 AURORA at 12 14 05_NIM Summary 13 3" xfId="21019"/>
    <cellStyle name="_Value Copy 11 30 05 gas 12 09 05 AURORA at 12 14 05_NIM Summary 13 4" xfId="21020"/>
    <cellStyle name="_Value Copy 11 30 05 gas 12 09 05 AURORA at 12 14 05_NIM Summary 14" xfId="21021"/>
    <cellStyle name="_Value Copy 11 30 05 gas 12 09 05 AURORA at 12 14 05_NIM Summary 14 2" xfId="21022"/>
    <cellStyle name="_Value Copy 11 30 05 gas 12 09 05 AURORA at 12 14 05_NIM Summary 14 2 2" xfId="21023"/>
    <cellStyle name="_Value Copy 11 30 05 gas 12 09 05 AURORA at 12 14 05_NIM Summary 14 3" xfId="21024"/>
    <cellStyle name="_Value Copy 11 30 05 gas 12 09 05 AURORA at 12 14 05_NIM Summary 14 4" xfId="21025"/>
    <cellStyle name="_Value Copy 11 30 05 gas 12 09 05 AURORA at 12 14 05_NIM Summary 15" xfId="21026"/>
    <cellStyle name="_Value Copy 11 30 05 gas 12 09 05 AURORA at 12 14 05_NIM Summary 15 2" xfId="21027"/>
    <cellStyle name="_Value Copy 11 30 05 gas 12 09 05 AURORA at 12 14 05_NIM Summary 15 2 2" xfId="21028"/>
    <cellStyle name="_Value Copy 11 30 05 gas 12 09 05 AURORA at 12 14 05_NIM Summary 15 3" xfId="21029"/>
    <cellStyle name="_Value Copy 11 30 05 gas 12 09 05 AURORA at 12 14 05_NIM Summary 15 4" xfId="21030"/>
    <cellStyle name="_Value Copy 11 30 05 gas 12 09 05 AURORA at 12 14 05_NIM Summary 16" xfId="21031"/>
    <cellStyle name="_Value Copy 11 30 05 gas 12 09 05 AURORA at 12 14 05_NIM Summary 16 2" xfId="21032"/>
    <cellStyle name="_Value Copy 11 30 05 gas 12 09 05 AURORA at 12 14 05_NIM Summary 16 2 2" xfId="21033"/>
    <cellStyle name="_Value Copy 11 30 05 gas 12 09 05 AURORA at 12 14 05_NIM Summary 16 3" xfId="21034"/>
    <cellStyle name="_Value Copy 11 30 05 gas 12 09 05 AURORA at 12 14 05_NIM Summary 16 4" xfId="21035"/>
    <cellStyle name="_Value Copy 11 30 05 gas 12 09 05 AURORA at 12 14 05_NIM Summary 17" xfId="21036"/>
    <cellStyle name="_Value Copy 11 30 05 gas 12 09 05 AURORA at 12 14 05_NIM Summary 17 2" xfId="21037"/>
    <cellStyle name="_Value Copy 11 30 05 gas 12 09 05 AURORA at 12 14 05_NIM Summary 17 2 2" xfId="21038"/>
    <cellStyle name="_Value Copy 11 30 05 gas 12 09 05 AURORA at 12 14 05_NIM Summary 17 3" xfId="21039"/>
    <cellStyle name="_Value Copy 11 30 05 gas 12 09 05 AURORA at 12 14 05_NIM Summary 17 4" xfId="21040"/>
    <cellStyle name="_Value Copy 11 30 05 gas 12 09 05 AURORA at 12 14 05_NIM Summary 18" xfId="21041"/>
    <cellStyle name="_Value Copy 11 30 05 gas 12 09 05 AURORA at 12 14 05_NIM Summary 18 2" xfId="21042"/>
    <cellStyle name="_Value Copy 11 30 05 gas 12 09 05 AURORA at 12 14 05_NIM Summary 18 3" xfId="21043"/>
    <cellStyle name="_Value Copy 11 30 05 gas 12 09 05 AURORA at 12 14 05_NIM Summary 19" xfId="21044"/>
    <cellStyle name="_Value Copy 11 30 05 gas 12 09 05 AURORA at 12 14 05_NIM Summary 19 2" xfId="21045"/>
    <cellStyle name="_Value Copy 11 30 05 gas 12 09 05 AURORA at 12 14 05_NIM Summary 19 3" xfId="21046"/>
    <cellStyle name="_Value Copy 11 30 05 gas 12 09 05 AURORA at 12 14 05_NIM Summary 2" xfId="21047"/>
    <cellStyle name="_Value Copy 11 30 05 gas 12 09 05 AURORA at 12 14 05_NIM Summary 2 2" xfId="21048"/>
    <cellStyle name="_Value Copy 11 30 05 gas 12 09 05 AURORA at 12 14 05_NIM Summary 2 2 2" xfId="21049"/>
    <cellStyle name="_Value Copy 11 30 05 gas 12 09 05 AURORA at 12 14 05_NIM Summary 2 2 2 2" xfId="21050"/>
    <cellStyle name="_Value Copy 11 30 05 gas 12 09 05 AURORA at 12 14 05_NIM Summary 2 3" xfId="21051"/>
    <cellStyle name="_Value Copy 11 30 05 gas 12 09 05 AURORA at 12 14 05_NIM Summary 2 3 2" xfId="21052"/>
    <cellStyle name="_Value Copy 11 30 05 gas 12 09 05 AURORA at 12 14 05_NIM Summary 2 4" xfId="21053"/>
    <cellStyle name="_Value Copy 11 30 05 gas 12 09 05 AURORA at 12 14 05_NIM Summary 2 4 2" xfId="21054"/>
    <cellStyle name="_Value Copy 11 30 05 gas 12 09 05 AURORA at 12 14 05_NIM Summary 2 5" xfId="21055"/>
    <cellStyle name="_Value Copy 11 30 05 gas 12 09 05 AURORA at 12 14 05_NIM Summary 20" xfId="21056"/>
    <cellStyle name="_Value Copy 11 30 05 gas 12 09 05 AURORA at 12 14 05_NIM Summary 20 2" xfId="21057"/>
    <cellStyle name="_Value Copy 11 30 05 gas 12 09 05 AURORA at 12 14 05_NIM Summary 20 3" xfId="21058"/>
    <cellStyle name="_Value Copy 11 30 05 gas 12 09 05 AURORA at 12 14 05_NIM Summary 21" xfId="21059"/>
    <cellStyle name="_Value Copy 11 30 05 gas 12 09 05 AURORA at 12 14 05_NIM Summary 21 2" xfId="21060"/>
    <cellStyle name="_Value Copy 11 30 05 gas 12 09 05 AURORA at 12 14 05_NIM Summary 21 3" xfId="21061"/>
    <cellStyle name="_Value Copy 11 30 05 gas 12 09 05 AURORA at 12 14 05_NIM Summary 22" xfId="21062"/>
    <cellStyle name="_Value Copy 11 30 05 gas 12 09 05 AURORA at 12 14 05_NIM Summary 22 2" xfId="21063"/>
    <cellStyle name="_Value Copy 11 30 05 gas 12 09 05 AURORA at 12 14 05_NIM Summary 22 3" xfId="21064"/>
    <cellStyle name="_Value Copy 11 30 05 gas 12 09 05 AURORA at 12 14 05_NIM Summary 23" xfId="21065"/>
    <cellStyle name="_Value Copy 11 30 05 gas 12 09 05 AURORA at 12 14 05_NIM Summary 23 2" xfId="21066"/>
    <cellStyle name="_Value Copy 11 30 05 gas 12 09 05 AURORA at 12 14 05_NIM Summary 23 3" xfId="21067"/>
    <cellStyle name="_Value Copy 11 30 05 gas 12 09 05 AURORA at 12 14 05_NIM Summary 24" xfId="21068"/>
    <cellStyle name="_Value Copy 11 30 05 gas 12 09 05 AURORA at 12 14 05_NIM Summary 24 2" xfId="21069"/>
    <cellStyle name="_Value Copy 11 30 05 gas 12 09 05 AURORA at 12 14 05_NIM Summary 24 3" xfId="21070"/>
    <cellStyle name="_Value Copy 11 30 05 gas 12 09 05 AURORA at 12 14 05_NIM Summary 25" xfId="21071"/>
    <cellStyle name="_Value Copy 11 30 05 gas 12 09 05 AURORA at 12 14 05_NIM Summary 25 2" xfId="21072"/>
    <cellStyle name="_Value Copy 11 30 05 gas 12 09 05 AURORA at 12 14 05_NIM Summary 25 3" xfId="21073"/>
    <cellStyle name="_Value Copy 11 30 05 gas 12 09 05 AURORA at 12 14 05_NIM Summary 26" xfId="21074"/>
    <cellStyle name="_Value Copy 11 30 05 gas 12 09 05 AURORA at 12 14 05_NIM Summary 26 2" xfId="21075"/>
    <cellStyle name="_Value Copy 11 30 05 gas 12 09 05 AURORA at 12 14 05_NIM Summary 26 3" xfId="21076"/>
    <cellStyle name="_Value Copy 11 30 05 gas 12 09 05 AURORA at 12 14 05_NIM Summary 27" xfId="21077"/>
    <cellStyle name="_Value Copy 11 30 05 gas 12 09 05 AURORA at 12 14 05_NIM Summary 27 2" xfId="21078"/>
    <cellStyle name="_Value Copy 11 30 05 gas 12 09 05 AURORA at 12 14 05_NIM Summary 27 3" xfId="21079"/>
    <cellStyle name="_Value Copy 11 30 05 gas 12 09 05 AURORA at 12 14 05_NIM Summary 28" xfId="21080"/>
    <cellStyle name="_Value Copy 11 30 05 gas 12 09 05 AURORA at 12 14 05_NIM Summary 28 2" xfId="21081"/>
    <cellStyle name="_Value Copy 11 30 05 gas 12 09 05 AURORA at 12 14 05_NIM Summary 28 3" xfId="21082"/>
    <cellStyle name="_Value Copy 11 30 05 gas 12 09 05 AURORA at 12 14 05_NIM Summary 29" xfId="21083"/>
    <cellStyle name="_Value Copy 11 30 05 gas 12 09 05 AURORA at 12 14 05_NIM Summary 29 2" xfId="21084"/>
    <cellStyle name="_Value Copy 11 30 05 gas 12 09 05 AURORA at 12 14 05_NIM Summary 29 3" xfId="21085"/>
    <cellStyle name="_Value Copy 11 30 05 gas 12 09 05 AURORA at 12 14 05_NIM Summary 3" xfId="21086"/>
    <cellStyle name="_Value Copy 11 30 05 gas 12 09 05 AURORA at 12 14 05_NIM Summary 3 2" xfId="21087"/>
    <cellStyle name="_Value Copy 11 30 05 gas 12 09 05 AURORA at 12 14 05_NIM Summary 3 2 2" xfId="21088"/>
    <cellStyle name="_Value Copy 11 30 05 gas 12 09 05 AURORA at 12 14 05_NIM Summary 3 3" xfId="21089"/>
    <cellStyle name="_Value Copy 11 30 05 gas 12 09 05 AURORA at 12 14 05_NIM Summary 3 4" xfId="21090"/>
    <cellStyle name="_Value Copy 11 30 05 gas 12 09 05 AURORA at 12 14 05_NIM Summary 30" xfId="21091"/>
    <cellStyle name="_Value Copy 11 30 05 gas 12 09 05 AURORA at 12 14 05_NIM Summary 30 2" xfId="21092"/>
    <cellStyle name="_Value Copy 11 30 05 gas 12 09 05 AURORA at 12 14 05_NIM Summary 30 3" xfId="21093"/>
    <cellStyle name="_Value Copy 11 30 05 gas 12 09 05 AURORA at 12 14 05_NIM Summary 31" xfId="21094"/>
    <cellStyle name="_Value Copy 11 30 05 gas 12 09 05 AURORA at 12 14 05_NIM Summary 31 2" xfId="21095"/>
    <cellStyle name="_Value Copy 11 30 05 gas 12 09 05 AURORA at 12 14 05_NIM Summary 31 3" xfId="21096"/>
    <cellStyle name="_Value Copy 11 30 05 gas 12 09 05 AURORA at 12 14 05_NIM Summary 32" xfId="21097"/>
    <cellStyle name="_Value Copy 11 30 05 gas 12 09 05 AURORA at 12 14 05_NIM Summary 32 2" xfId="21098"/>
    <cellStyle name="_Value Copy 11 30 05 gas 12 09 05 AURORA at 12 14 05_NIM Summary 33" xfId="21099"/>
    <cellStyle name="_Value Copy 11 30 05 gas 12 09 05 AURORA at 12 14 05_NIM Summary 33 2" xfId="21100"/>
    <cellStyle name="_Value Copy 11 30 05 gas 12 09 05 AURORA at 12 14 05_NIM Summary 34" xfId="21101"/>
    <cellStyle name="_Value Copy 11 30 05 gas 12 09 05 AURORA at 12 14 05_NIM Summary 34 2" xfId="21102"/>
    <cellStyle name="_Value Copy 11 30 05 gas 12 09 05 AURORA at 12 14 05_NIM Summary 35" xfId="21103"/>
    <cellStyle name="_Value Copy 11 30 05 gas 12 09 05 AURORA at 12 14 05_NIM Summary 35 2" xfId="21104"/>
    <cellStyle name="_Value Copy 11 30 05 gas 12 09 05 AURORA at 12 14 05_NIM Summary 36" xfId="21105"/>
    <cellStyle name="_Value Copy 11 30 05 gas 12 09 05 AURORA at 12 14 05_NIM Summary 36 2" xfId="21106"/>
    <cellStyle name="_Value Copy 11 30 05 gas 12 09 05 AURORA at 12 14 05_NIM Summary 37" xfId="21107"/>
    <cellStyle name="_Value Copy 11 30 05 gas 12 09 05 AURORA at 12 14 05_NIM Summary 37 2" xfId="21108"/>
    <cellStyle name="_Value Copy 11 30 05 gas 12 09 05 AURORA at 12 14 05_NIM Summary 38" xfId="21109"/>
    <cellStyle name="_Value Copy 11 30 05 gas 12 09 05 AURORA at 12 14 05_NIM Summary 38 2" xfId="21110"/>
    <cellStyle name="_Value Copy 11 30 05 gas 12 09 05 AURORA at 12 14 05_NIM Summary 39" xfId="21111"/>
    <cellStyle name="_Value Copy 11 30 05 gas 12 09 05 AURORA at 12 14 05_NIM Summary 39 2" xfId="21112"/>
    <cellStyle name="_Value Copy 11 30 05 gas 12 09 05 AURORA at 12 14 05_NIM Summary 4" xfId="21113"/>
    <cellStyle name="_Value Copy 11 30 05 gas 12 09 05 AURORA at 12 14 05_NIM Summary 4 2" xfId="21114"/>
    <cellStyle name="_Value Copy 11 30 05 gas 12 09 05 AURORA at 12 14 05_NIM Summary 4 2 2" xfId="21115"/>
    <cellStyle name="_Value Copy 11 30 05 gas 12 09 05 AURORA at 12 14 05_NIM Summary 4 3" xfId="21116"/>
    <cellStyle name="_Value Copy 11 30 05 gas 12 09 05 AURORA at 12 14 05_NIM Summary 4 4" xfId="21117"/>
    <cellStyle name="_Value Copy 11 30 05 gas 12 09 05 AURORA at 12 14 05_NIM Summary 40" xfId="21118"/>
    <cellStyle name="_Value Copy 11 30 05 gas 12 09 05 AURORA at 12 14 05_NIM Summary 40 2" xfId="21119"/>
    <cellStyle name="_Value Copy 11 30 05 gas 12 09 05 AURORA at 12 14 05_NIM Summary 41" xfId="21120"/>
    <cellStyle name="_Value Copy 11 30 05 gas 12 09 05 AURORA at 12 14 05_NIM Summary 41 2" xfId="21121"/>
    <cellStyle name="_Value Copy 11 30 05 gas 12 09 05 AURORA at 12 14 05_NIM Summary 42" xfId="21122"/>
    <cellStyle name="_Value Copy 11 30 05 gas 12 09 05 AURORA at 12 14 05_NIM Summary 42 2" xfId="21123"/>
    <cellStyle name="_Value Copy 11 30 05 gas 12 09 05 AURORA at 12 14 05_NIM Summary 43" xfId="21124"/>
    <cellStyle name="_Value Copy 11 30 05 gas 12 09 05 AURORA at 12 14 05_NIM Summary 43 2" xfId="21125"/>
    <cellStyle name="_Value Copy 11 30 05 gas 12 09 05 AURORA at 12 14 05_NIM Summary 44" xfId="21126"/>
    <cellStyle name="_Value Copy 11 30 05 gas 12 09 05 AURORA at 12 14 05_NIM Summary 44 2" xfId="21127"/>
    <cellStyle name="_Value Copy 11 30 05 gas 12 09 05 AURORA at 12 14 05_NIM Summary 45" xfId="21128"/>
    <cellStyle name="_Value Copy 11 30 05 gas 12 09 05 AURORA at 12 14 05_NIM Summary 45 2" xfId="21129"/>
    <cellStyle name="_Value Copy 11 30 05 gas 12 09 05 AURORA at 12 14 05_NIM Summary 46" xfId="21130"/>
    <cellStyle name="_Value Copy 11 30 05 gas 12 09 05 AURORA at 12 14 05_NIM Summary 46 2" xfId="21131"/>
    <cellStyle name="_Value Copy 11 30 05 gas 12 09 05 AURORA at 12 14 05_NIM Summary 47" xfId="21132"/>
    <cellStyle name="_Value Copy 11 30 05 gas 12 09 05 AURORA at 12 14 05_NIM Summary 47 2" xfId="21133"/>
    <cellStyle name="_Value Copy 11 30 05 gas 12 09 05 AURORA at 12 14 05_NIM Summary 48" xfId="21134"/>
    <cellStyle name="_Value Copy 11 30 05 gas 12 09 05 AURORA at 12 14 05_NIM Summary 49" xfId="21135"/>
    <cellStyle name="_Value Copy 11 30 05 gas 12 09 05 AURORA at 12 14 05_NIM Summary 5" xfId="21136"/>
    <cellStyle name="_Value Copy 11 30 05 gas 12 09 05 AURORA at 12 14 05_NIM Summary 5 2" xfId="21137"/>
    <cellStyle name="_Value Copy 11 30 05 gas 12 09 05 AURORA at 12 14 05_NIM Summary 5 2 2" xfId="21138"/>
    <cellStyle name="_Value Copy 11 30 05 gas 12 09 05 AURORA at 12 14 05_NIM Summary 5 3" xfId="21139"/>
    <cellStyle name="_Value Copy 11 30 05 gas 12 09 05 AURORA at 12 14 05_NIM Summary 5 4" xfId="21140"/>
    <cellStyle name="_Value Copy 11 30 05 gas 12 09 05 AURORA at 12 14 05_NIM Summary 50" xfId="21141"/>
    <cellStyle name="_Value Copy 11 30 05 gas 12 09 05 AURORA at 12 14 05_NIM Summary 51" xfId="21142"/>
    <cellStyle name="_Value Copy 11 30 05 gas 12 09 05 AURORA at 12 14 05_NIM Summary 52" xfId="21143"/>
    <cellStyle name="_Value Copy 11 30 05 gas 12 09 05 AURORA at 12 14 05_NIM Summary 6" xfId="21144"/>
    <cellStyle name="_Value Copy 11 30 05 gas 12 09 05 AURORA at 12 14 05_NIM Summary 6 2" xfId="21145"/>
    <cellStyle name="_Value Copy 11 30 05 gas 12 09 05 AURORA at 12 14 05_NIM Summary 6 2 2" xfId="21146"/>
    <cellStyle name="_Value Copy 11 30 05 gas 12 09 05 AURORA at 12 14 05_NIM Summary 6 3" xfId="21147"/>
    <cellStyle name="_Value Copy 11 30 05 gas 12 09 05 AURORA at 12 14 05_NIM Summary 6 4" xfId="21148"/>
    <cellStyle name="_Value Copy 11 30 05 gas 12 09 05 AURORA at 12 14 05_NIM Summary 7" xfId="21149"/>
    <cellStyle name="_Value Copy 11 30 05 gas 12 09 05 AURORA at 12 14 05_NIM Summary 7 2" xfId="21150"/>
    <cellStyle name="_Value Copy 11 30 05 gas 12 09 05 AURORA at 12 14 05_NIM Summary 7 2 2" xfId="21151"/>
    <cellStyle name="_Value Copy 11 30 05 gas 12 09 05 AURORA at 12 14 05_NIM Summary 7 3" xfId="21152"/>
    <cellStyle name="_Value Copy 11 30 05 gas 12 09 05 AURORA at 12 14 05_NIM Summary 7 4" xfId="21153"/>
    <cellStyle name="_Value Copy 11 30 05 gas 12 09 05 AURORA at 12 14 05_NIM Summary 7 5" xfId="21154"/>
    <cellStyle name="_Value Copy 11 30 05 gas 12 09 05 AURORA at 12 14 05_NIM Summary 8" xfId="21155"/>
    <cellStyle name="_Value Copy 11 30 05 gas 12 09 05 AURORA at 12 14 05_NIM Summary 8 2" xfId="21156"/>
    <cellStyle name="_Value Copy 11 30 05 gas 12 09 05 AURORA at 12 14 05_NIM Summary 8 2 2" xfId="21157"/>
    <cellStyle name="_Value Copy 11 30 05 gas 12 09 05 AURORA at 12 14 05_NIM Summary 8 3" xfId="21158"/>
    <cellStyle name="_Value Copy 11 30 05 gas 12 09 05 AURORA at 12 14 05_NIM Summary 8 4" xfId="21159"/>
    <cellStyle name="_Value Copy 11 30 05 gas 12 09 05 AURORA at 12 14 05_NIM Summary 8 5" xfId="21160"/>
    <cellStyle name="_Value Copy 11 30 05 gas 12 09 05 AURORA at 12 14 05_NIM Summary 9" xfId="21161"/>
    <cellStyle name="_Value Copy 11 30 05 gas 12 09 05 AURORA at 12 14 05_NIM Summary 9 2" xfId="21162"/>
    <cellStyle name="_Value Copy 11 30 05 gas 12 09 05 AURORA at 12 14 05_NIM Summary 9 2 2" xfId="21163"/>
    <cellStyle name="_Value Copy 11 30 05 gas 12 09 05 AURORA at 12 14 05_NIM Summary 9 3" xfId="21164"/>
    <cellStyle name="_Value Copy 11 30 05 gas 12 09 05 AURORA at 12 14 05_NIM Summary 9 4" xfId="21165"/>
    <cellStyle name="_Value Copy 11 30 05 gas 12 09 05 AURORA at 12 14 05_NIM Summary 9 5" xfId="21166"/>
    <cellStyle name="_Value Copy 11 30 05 gas 12 09 05 AURORA at 12 14 05_NIM Summary_DEM-WP(C) ENERG10C--ctn Mid-C_042010 2010GRC" xfId="21167"/>
    <cellStyle name="_Value Copy 11 30 05 gas 12 09 05 AURORA at 12 14 05_NIM Summary_DEM-WP(C) ENERG10C--ctn Mid-C_042010 2010GRC 2" xfId="21168"/>
    <cellStyle name="_Value Copy 11 30 05 gas 12 09 05 AURORA at 12 14 05_PCA 10 -  Exhibit D Dec 2011" xfId="21169"/>
    <cellStyle name="_Value Copy 11 30 05 gas 12 09 05 AURORA at 12 14 05_PCA 10 -  Exhibit D Dec 2011 2" xfId="21170"/>
    <cellStyle name="_Value Copy 11 30 05 gas 12 09 05 AURORA at 12 14 05_PCA 10 -  Exhibit D from A Kellogg Jan 2011" xfId="21171"/>
    <cellStyle name="_Value Copy 11 30 05 gas 12 09 05 AURORA at 12 14 05_PCA 10 -  Exhibit D from A Kellogg Jan 2011 2" xfId="21172"/>
    <cellStyle name="_Value Copy 11 30 05 gas 12 09 05 AURORA at 12 14 05_PCA 10 -  Exhibit D from A Kellogg July 2011" xfId="21173"/>
    <cellStyle name="_Value Copy 11 30 05 gas 12 09 05 AURORA at 12 14 05_PCA 10 -  Exhibit D from A Kellogg July 2011 2" xfId="21174"/>
    <cellStyle name="_Value Copy 11 30 05 gas 12 09 05 AURORA at 12 14 05_PCA 10 -  Exhibit D from S Free Rcv'd 12-11" xfId="21175"/>
    <cellStyle name="_Value Copy 11 30 05 gas 12 09 05 AURORA at 12 14 05_PCA 10 -  Exhibit D from S Free Rcv'd 12-11 2" xfId="21176"/>
    <cellStyle name="_Value Copy 11 30 05 gas 12 09 05 AURORA at 12 14 05_PCA 11 -  Exhibit D Jan 2012 fr A Kellogg" xfId="21177"/>
    <cellStyle name="_Value Copy 11 30 05 gas 12 09 05 AURORA at 12 14 05_PCA 11 -  Exhibit D Jan 2012 fr A Kellogg 2" xfId="21178"/>
    <cellStyle name="_Value Copy 11 30 05 gas 12 09 05 AURORA at 12 14 05_PCA 11 -  Exhibit D Jan 2012 WF" xfId="21179"/>
    <cellStyle name="_Value Copy 11 30 05 gas 12 09 05 AURORA at 12 14 05_PCA 11 -  Exhibit D Jan 2012 WF 2" xfId="21180"/>
    <cellStyle name="_Value Copy 11 30 05 gas 12 09 05 AURORA at 12 14 05_PCA 7 - Exhibit D update 11_30_08 (2)" xfId="21181"/>
    <cellStyle name="_Value Copy 11 30 05 gas 12 09 05 AURORA at 12 14 05_PCA 7 - Exhibit D update 11_30_08 (2) 2" xfId="21182"/>
    <cellStyle name="_Value Copy 11 30 05 gas 12 09 05 AURORA at 12 14 05_PCA 7 - Exhibit D update 11_30_08 (2) 2 2" xfId="21183"/>
    <cellStyle name="_Value Copy 11 30 05 gas 12 09 05 AURORA at 12 14 05_PCA 7 - Exhibit D update 11_30_08 (2) 2 2 2" xfId="21184"/>
    <cellStyle name="_Value Copy 11 30 05 gas 12 09 05 AURORA at 12 14 05_PCA 7 - Exhibit D update 11_30_08 (2) 2 2 2 2" xfId="21185"/>
    <cellStyle name="_Value Copy 11 30 05 gas 12 09 05 AURORA at 12 14 05_PCA 7 - Exhibit D update 11_30_08 (2) 2 2 2 2 2" xfId="21186"/>
    <cellStyle name="_Value Copy 11 30 05 gas 12 09 05 AURORA at 12 14 05_PCA 7 - Exhibit D update 11_30_08 (2) 2 2 3" xfId="21187"/>
    <cellStyle name="_Value Copy 11 30 05 gas 12 09 05 AURORA at 12 14 05_PCA 7 - Exhibit D update 11_30_08 (2) 2 2 3 2" xfId="21188"/>
    <cellStyle name="_Value Copy 11 30 05 gas 12 09 05 AURORA at 12 14 05_PCA 7 - Exhibit D update 11_30_08 (2) 2 2 4" xfId="21189"/>
    <cellStyle name="_Value Copy 11 30 05 gas 12 09 05 AURORA at 12 14 05_PCA 7 - Exhibit D update 11_30_08 (2) 2 2 4 2" xfId="21190"/>
    <cellStyle name="_Value Copy 11 30 05 gas 12 09 05 AURORA at 12 14 05_PCA 7 - Exhibit D update 11_30_08 (2) 2 2 5" xfId="21191"/>
    <cellStyle name="_Value Copy 11 30 05 gas 12 09 05 AURORA at 12 14 05_PCA 7 - Exhibit D update 11_30_08 (2) 2 3" xfId="21192"/>
    <cellStyle name="_Value Copy 11 30 05 gas 12 09 05 AURORA at 12 14 05_PCA 7 - Exhibit D update 11_30_08 (2) 2 3 2" xfId="21193"/>
    <cellStyle name="_Value Copy 11 30 05 gas 12 09 05 AURORA at 12 14 05_PCA 7 - Exhibit D update 11_30_08 (2) 2 3 2 2" xfId="21194"/>
    <cellStyle name="_Value Copy 11 30 05 gas 12 09 05 AURORA at 12 14 05_PCA 7 - Exhibit D update 11_30_08 (2) 2 4" xfId="21195"/>
    <cellStyle name="_Value Copy 11 30 05 gas 12 09 05 AURORA at 12 14 05_PCA 7 - Exhibit D update 11_30_08 (2) 2 4 2" xfId="21196"/>
    <cellStyle name="_Value Copy 11 30 05 gas 12 09 05 AURORA at 12 14 05_PCA 7 - Exhibit D update 11_30_08 (2) 2 4 2 2" xfId="21197"/>
    <cellStyle name="_Value Copy 11 30 05 gas 12 09 05 AURORA at 12 14 05_PCA 7 - Exhibit D update 11_30_08 (2) 2 4 3" xfId="21198"/>
    <cellStyle name="_Value Copy 11 30 05 gas 12 09 05 AURORA at 12 14 05_PCA 7 - Exhibit D update 11_30_08 (2) 2 5" xfId="21199"/>
    <cellStyle name="_Value Copy 11 30 05 gas 12 09 05 AURORA at 12 14 05_PCA 7 - Exhibit D update 11_30_08 (2) 2 5 2" xfId="21200"/>
    <cellStyle name="_Value Copy 11 30 05 gas 12 09 05 AURORA at 12 14 05_PCA 7 - Exhibit D update 11_30_08 (2) 2 6" xfId="21201"/>
    <cellStyle name="_Value Copy 11 30 05 gas 12 09 05 AURORA at 12 14 05_PCA 7 - Exhibit D update 11_30_08 (2) 2 6 2" xfId="21202"/>
    <cellStyle name="_Value Copy 11 30 05 gas 12 09 05 AURORA at 12 14 05_PCA 7 - Exhibit D update 11_30_08 (2) 2 7" xfId="21203"/>
    <cellStyle name="_Value Copy 11 30 05 gas 12 09 05 AURORA at 12 14 05_PCA 7 - Exhibit D update 11_30_08 (2) 3" xfId="21204"/>
    <cellStyle name="_Value Copy 11 30 05 gas 12 09 05 AURORA at 12 14 05_PCA 7 - Exhibit D update 11_30_08 (2) 3 2" xfId="21205"/>
    <cellStyle name="_Value Copy 11 30 05 gas 12 09 05 AURORA at 12 14 05_PCA 7 - Exhibit D update 11_30_08 (2) 3 2 2" xfId="21206"/>
    <cellStyle name="_Value Copy 11 30 05 gas 12 09 05 AURORA at 12 14 05_PCA 7 - Exhibit D update 11_30_08 (2) 3 2 2 2" xfId="21207"/>
    <cellStyle name="_Value Copy 11 30 05 gas 12 09 05 AURORA at 12 14 05_PCA 7 - Exhibit D update 11_30_08 (2) 3 3" xfId="21208"/>
    <cellStyle name="_Value Copy 11 30 05 gas 12 09 05 AURORA at 12 14 05_PCA 7 - Exhibit D update 11_30_08 (2) 3 3 2" xfId="21209"/>
    <cellStyle name="_Value Copy 11 30 05 gas 12 09 05 AURORA at 12 14 05_PCA 7 - Exhibit D update 11_30_08 (2) 3 4" xfId="21210"/>
    <cellStyle name="_Value Copy 11 30 05 gas 12 09 05 AURORA at 12 14 05_PCA 7 - Exhibit D update 11_30_08 (2) 3 4 2" xfId="21211"/>
    <cellStyle name="_Value Copy 11 30 05 gas 12 09 05 AURORA at 12 14 05_PCA 7 - Exhibit D update 11_30_08 (2) 3 5" xfId="21212"/>
    <cellStyle name="_Value Copy 11 30 05 gas 12 09 05 AURORA at 12 14 05_PCA 7 - Exhibit D update 11_30_08 (2) 4" xfId="21213"/>
    <cellStyle name="_Value Copy 11 30 05 gas 12 09 05 AURORA at 12 14 05_PCA 7 - Exhibit D update 11_30_08 (2) 4 2" xfId="21214"/>
    <cellStyle name="_Value Copy 11 30 05 gas 12 09 05 AURORA at 12 14 05_PCA 7 - Exhibit D update 11_30_08 (2) 4 2 2" xfId="21215"/>
    <cellStyle name="_Value Copy 11 30 05 gas 12 09 05 AURORA at 12 14 05_PCA 7 - Exhibit D update 11_30_08 (2) 4 3" xfId="21216"/>
    <cellStyle name="_Value Copy 11 30 05 gas 12 09 05 AURORA at 12 14 05_PCA 7 - Exhibit D update 11_30_08 (2) 5" xfId="21217"/>
    <cellStyle name="_Value Copy 11 30 05 gas 12 09 05 AURORA at 12 14 05_PCA 7 - Exhibit D update 11_30_08 (2) 5 2" xfId="21218"/>
    <cellStyle name="_Value Copy 11 30 05 gas 12 09 05 AURORA at 12 14 05_PCA 7 - Exhibit D update 11_30_08 (2) 5 2 2" xfId="21219"/>
    <cellStyle name="_Value Copy 11 30 05 gas 12 09 05 AURORA at 12 14 05_PCA 7 - Exhibit D update 11_30_08 (2) 5 3" xfId="21220"/>
    <cellStyle name="_Value Copy 11 30 05 gas 12 09 05 AURORA at 12 14 05_PCA 7 - Exhibit D update 11_30_08 (2) 6" xfId="21221"/>
    <cellStyle name="_Value Copy 11 30 05 gas 12 09 05 AURORA at 12 14 05_PCA 7 - Exhibit D update 11_30_08 (2) 6 2" xfId="21222"/>
    <cellStyle name="_Value Copy 11 30 05 gas 12 09 05 AURORA at 12 14 05_PCA 7 - Exhibit D update 11_30_08 (2) 7" xfId="21223"/>
    <cellStyle name="_Value Copy 11 30 05 gas 12 09 05 AURORA at 12 14 05_PCA 7 - Exhibit D update 11_30_08 (2) 7 2" xfId="21224"/>
    <cellStyle name="_Value Copy 11 30 05 gas 12 09 05 AURORA at 12 14 05_PCA 7 - Exhibit D update 11_30_08 (2) 8" xfId="21225"/>
    <cellStyle name="_Value Copy 11 30 05 gas 12 09 05 AURORA at 12 14 05_PCA 7 - Exhibit D update 11_30_08 (2)_DEM-WP(C) ENERG10C--ctn Mid-C_042010 2010GRC" xfId="21226"/>
    <cellStyle name="_Value Copy 11 30 05 gas 12 09 05 AURORA at 12 14 05_PCA 7 - Exhibit D update 11_30_08 (2)_DEM-WP(C) ENERG10C--ctn Mid-C_042010 2010GRC 2" xfId="21227"/>
    <cellStyle name="_Value Copy 11 30 05 gas 12 09 05 AURORA at 12 14 05_PCA 7 - Exhibit D update 11_30_08 (2)_NIM Summary" xfId="21228"/>
    <cellStyle name="_Value Copy 11 30 05 gas 12 09 05 AURORA at 12 14 05_PCA 7 - Exhibit D update 11_30_08 (2)_NIM Summary 2" xfId="21229"/>
    <cellStyle name="_Value Copy 11 30 05 gas 12 09 05 AURORA at 12 14 05_PCA 7 - Exhibit D update 11_30_08 (2)_NIM Summary 2 2" xfId="21230"/>
    <cellStyle name="_Value Copy 11 30 05 gas 12 09 05 AURORA at 12 14 05_PCA 7 - Exhibit D update 11_30_08 (2)_NIM Summary 2 2 2" xfId="21231"/>
    <cellStyle name="_Value Copy 11 30 05 gas 12 09 05 AURORA at 12 14 05_PCA 7 - Exhibit D update 11_30_08 (2)_NIM Summary 2 2 2 2" xfId="21232"/>
    <cellStyle name="_Value Copy 11 30 05 gas 12 09 05 AURORA at 12 14 05_PCA 7 - Exhibit D update 11_30_08 (2)_NIM Summary 2 3" xfId="21233"/>
    <cellStyle name="_Value Copy 11 30 05 gas 12 09 05 AURORA at 12 14 05_PCA 7 - Exhibit D update 11_30_08 (2)_NIM Summary 2 3 2" xfId="21234"/>
    <cellStyle name="_Value Copy 11 30 05 gas 12 09 05 AURORA at 12 14 05_PCA 7 - Exhibit D update 11_30_08 (2)_NIM Summary 2 4" xfId="21235"/>
    <cellStyle name="_Value Copy 11 30 05 gas 12 09 05 AURORA at 12 14 05_PCA 7 - Exhibit D update 11_30_08 (2)_NIM Summary 2 4 2" xfId="21236"/>
    <cellStyle name="_Value Copy 11 30 05 gas 12 09 05 AURORA at 12 14 05_PCA 7 - Exhibit D update 11_30_08 (2)_NIM Summary 2 5" xfId="21237"/>
    <cellStyle name="_Value Copy 11 30 05 gas 12 09 05 AURORA at 12 14 05_PCA 7 - Exhibit D update 11_30_08 (2)_NIM Summary 3" xfId="21238"/>
    <cellStyle name="_Value Copy 11 30 05 gas 12 09 05 AURORA at 12 14 05_PCA 7 - Exhibit D update 11_30_08 (2)_NIM Summary 3 2" xfId="21239"/>
    <cellStyle name="_Value Copy 11 30 05 gas 12 09 05 AURORA at 12 14 05_PCA 7 - Exhibit D update 11_30_08 (2)_NIM Summary 3 2 2" xfId="21240"/>
    <cellStyle name="_Value Copy 11 30 05 gas 12 09 05 AURORA at 12 14 05_PCA 7 - Exhibit D update 11_30_08 (2)_NIM Summary 3 3" xfId="21241"/>
    <cellStyle name="_Value Copy 11 30 05 gas 12 09 05 AURORA at 12 14 05_PCA 7 - Exhibit D update 11_30_08 (2)_NIM Summary 4" xfId="21242"/>
    <cellStyle name="_Value Copy 11 30 05 gas 12 09 05 AURORA at 12 14 05_PCA 7 - Exhibit D update 11_30_08 (2)_NIM Summary 4 2" xfId="21243"/>
    <cellStyle name="_Value Copy 11 30 05 gas 12 09 05 AURORA at 12 14 05_PCA 7 - Exhibit D update 11_30_08 (2)_NIM Summary 4 2 2" xfId="21244"/>
    <cellStyle name="_Value Copy 11 30 05 gas 12 09 05 AURORA at 12 14 05_PCA 7 - Exhibit D update 11_30_08 (2)_NIM Summary 4 3" xfId="21245"/>
    <cellStyle name="_Value Copy 11 30 05 gas 12 09 05 AURORA at 12 14 05_PCA 7 - Exhibit D update 11_30_08 (2)_NIM Summary 5" xfId="21246"/>
    <cellStyle name="_Value Copy 11 30 05 gas 12 09 05 AURORA at 12 14 05_PCA 7 - Exhibit D update 11_30_08 (2)_NIM Summary 5 2" xfId="21247"/>
    <cellStyle name="_Value Copy 11 30 05 gas 12 09 05 AURORA at 12 14 05_PCA 7 - Exhibit D update 11_30_08 (2)_NIM Summary 6" xfId="21248"/>
    <cellStyle name="_Value Copy 11 30 05 gas 12 09 05 AURORA at 12 14 05_PCA 7 - Exhibit D update 11_30_08 (2)_NIM Summary 6 2" xfId="21249"/>
    <cellStyle name="_Value Copy 11 30 05 gas 12 09 05 AURORA at 12 14 05_PCA 7 - Exhibit D update 11_30_08 (2)_NIM Summary 7" xfId="21250"/>
    <cellStyle name="_Value Copy 11 30 05 gas 12 09 05 AURORA at 12 14 05_PCA 7 - Exhibit D update 11_30_08 (2)_NIM Summary_DEM-WP(C) ENERG10C--ctn Mid-C_042010 2010GRC" xfId="21251"/>
    <cellStyle name="_Value Copy 11 30 05 gas 12 09 05 AURORA at 12 14 05_PCA 7 - Exhibit D update 11_30_08 (2)_NIM Summary_DEM-WP(C) ENERG10C--ctn Mid-C_042010 2010GRC 2" xfId="21252"/>
    <cellStyle name="_Value Copy 11 30 05 gas 12 09 05 AURORA at 12 14 05_PCA 8 - Exhibit D update 12_31_09" xfId="21253"/>
    <cellStyle name="_Value Copy 11 30 05 gas 12 09 05 AURORA at 12 14 05_PCA 8 - Exhibit D update 12_31_09 2" xfId="21254"/>
    <cellStyle name="_Value Copy 11 30 05 gas 12 09 05 AURORA at 12 14 05_PCA 8 - Exhibit D update 12_31_09 2 2" xfId="21255"/>
    <cellStyle name="_Value Copy 11 30 05 gas 12 09 05 AURORA at 12 14 05_PCA 8 - Exhibit D update 12_31_09 3" xfId="21256"/>
    <cellStyle name="_Value Copy 11 30 05 gas 12 09 05 AURORA at 12 14 05_PCA 9 -  Exhibit D April 2010" xfId="21257"/>
    <cellStyle name="_Value Copy 11 30 05 gas 12 09 05 AURORA at 12 14 05_PCA 9 -  Exhibit D April 2010 (3)" xfId="21258"/>
    <cellStyle name="_Value Copy 11 30 05 gas 12 09 05 AURORA at 12 14 05_PCA 9 -  Exhibit D April 2010 (3) 2" xfId="21259"/>
    <cellStyle name="_Value Copy 11 30 05 gas 12 09 05 AURORA at 12 14 05_PCA 9 -  Exhibit D April 2010 (3) 2 2" xfId="21260"/>
    <cellStyle name="_Value Copy 11 30 05 gas 12 09 05 AURORA at 12 14 05_PCA 9 -  Exhibit D April 2010 (3) 2 2 2" xfId="21261"/>
    <cellStyle name="_Value Copy 11 30 05 gas 12 09 05 AURORA at 12 14 05_PCA 9 -  Exhibit D April 2010 (3) 2 2 2 2" xfId="21262"/>
    <cellStyle name="_Value Copy 11 30 05 gas 12 09 05 AURORA at 12 14 05_PCA 9 -  Exhibit D April 2010 (3) 2 3" xfId="21263"/>
    <cellStyle name="_Value Copy 11 30 05 gas 12 09 05 AURORA at 12 14 05_PCA 9 -  Exhibit D April 2010 (3) 2 3 2" xfId="21264"/>
    <cellStyle name="_Value Copy 11 30 05 gas 12 09 05 AURORA at 12 14 05_PCA 9 -  Exhibit D April 2010 (3) 2 4" xfId="21265"/>
    <cellStyle name="_Value Copy 11 30 05 gas 12 09 05 AURORA at 12 14 05_PCA 9 -  Exhibit D April 2010 (3) 2 4 2" xfId="21266"/>
    <cellStyle name="_Value Copy 11 30 05 gas 12 09 05 AURORA at 12 14 05_PCA 9 -  Exhibit D April 2010 (3) 2 5" xfId="21267"/>
    <cellStyle name="_Value Copy 11 30 05 gas 12 09 05 AURORA at 12 14 05_PCA 9 -  Exhibit D April 2010 (3) 3" xfId="21268"/>
    <cellStyle name="_Value Copy 11 30 05 gas 12 09 05 AURORA at 12 14 05_PCA 9 -  Exhibit D April 2010 (3) 3 2" xfId="21269"/>
    <cellStyle name="_Value Copy 11 30 05 gas 12 09 05 AURORA at 12 14 05_PCA 9 -  Exhibit D April 2010 (3) 3 2 2" xfId="21270"/>
    <cellStyle name="_Value Copy 11 30 05 gas 12 09 05 AURORA at 12 14 05_PCA 9 -  Exhibit D April 2010 (3) 3 3" xfId="21271"/>
    <cellStyle name="_Value Copy 11 30 05 gas 12 09 05 AURORA at 12 14 05_PCA 9 -  Exhibit D April 2010 (3) 4" xfId="21272"/>
    <cellStyle name="_Value Copy 11 30 05 gas 12 09 05 AURORA at 12 14 05_PCA 9 -  Exhibit D April 2010 (3) 4 2" xfId="21273"/>
    <cellStyle name="_Value Copy 11 30 05 gas 12 09 05 AURORA at 12 14 05_PCA 9 -  Exhibit D April 2010 (3) 4 2 2" xfId="21274"/>
    <cellStyle name="_Value Copy 11 30 05 gas 12 09 05 AURORA at 12 14 05_PCA 9 -  Exhibit D April 2010 (3) 4 3" xfId="21275"/>
    <cellStyle name="_Value Copy 11 30 05 gas 12 09 05 AURORA at 12 14 05_PCA 9 -  Exhibit D April 2010 (3) 5" xfId="21276"/>
    <cellStyle name="_Value Copy 11 30 05 gas 12 09 05 AURORA at 12 14 05_PCA 9 -  Exhibit D April 2010 (3) 5 2" xfId="21277"/>
    <cellStyle name="_Value Copy 11 30 05 gas 12 09 05 AURORA at 12 14 05_PCA 9 -  Exhibit D April 2010 (3) 6" xfId="21278"/>
    <cellStyle name="_Value Copy 11 30 05 gas 12 09 05 AURORA at 12 14 05_PCA 9 -  Exhibit D April 2010 (3) 6 2" xfId="21279"/>
    <cellStyle name="_Value Copy 11 30 05 gas 12 09 05 AURORA at 12 14 05_PCA 9 -  Exhibit D April 2010 (3) 7" xfId="21280"/>
    <cellStyle name="_Value Copy 11 30 05 gas 12 09 05 AURORA at 12 14 05_PCA 9 -  Exhibit D April 2010 (3)_DEM-WP(C) ENERG10C--ctn Mid-C_042010 2010GRC" xfId="21281"/>
    <cellStyle name="_Value Copy 11 30 05 gas 12 09 05 AURORA at 12 14 05_PCA 9 -  Exhibit D April 2010 (3)_DEM-WP(C) ENERG10C--ctn Mid-C_042010 2010GRC 2" xfId="21282"/>
    <cellStyle name="_Value Copy 11 30 05 gas 12 09 05 AURORA at 12 14 05_PCA 9 -  Exhibit D April 2010 2" xfId="21283"/>
    <cellStyle name="_Value Copy 11 30 05 gas 12 09 05 AURORA at 12 14 05_PCA 9 -  Exhibit D April 2010 2 2" xfId="21284"/>
    <cellStyle name="_Value Copy 11 30 05 gas 12 09 05 AURORA at 12 14 05_PCA 9 -  Exhibit D April 2010 3" xfId="21285"/>
    <cellStyle name="_Value Copy 11 30 05 gas 12 09 05 AURORA at 12 14 05_PCA 9 -  Exhibit D April 2010 3 2" xfId="21286"/>
    <cellStyle name="_Value Copy 11 30 05 gas 12 09 05 AURORA at 12 14 05_PCA 9 -  Exhibit D April 2010 4" xfId="21287"/>
    <cellStyle name="_Value Copy 11 30 05 gas 12 09 05 AURORA at 12 14 05_PCA 9 -  Exhibit D April 2010 4 2" xfId="21288"/>
    <cellStyle name="_Value Copy 11 30 05 gas 12 09 05 AURORA at 12 14 05_PCA 9 -  Exhibit D April 2010 5" xfId="21289"/>
    <cellStyle name="_Value Copy 11 30 05 gas 12 09 05 AURORA at 12 14 05_PCA 9 -  Exhibit D April 2010 5 2" xfId="21290"/>
    <cellStyle name="_Value Copy 11 30 05 gas 12 09 05 AURORA at 12 14 05_PCA 9 -  Exhibit D April 2010 6" xfId="21291"/>
    <cellStyle name="_Value Copy 11 30 05 gas 12 09 05 AURORA at 12 14 05_PCA 9 -  Exhibit D April 2010 6 2" xfId="21292"/>
    <cellStyle name="_Value Copy 11 30 05 gas 12 09 05 AURORA at 12 14 05_PCA 9 -  Exhibit D April 2010 7" xfId="21293"/>
    <cellStyle name="_Value Copy 11 30 05 gas 12 09 05 AURORA at 12 14 05_PCA 9 -  Exhibit D Feb 2010" xfId="21294"/>
    <cellStyle name="_Value Copy 11 30 05 gas 12 09 05 AURORA at 12 14 05_PCA 9 -  Exhibit D Feb 2010 2" xfId="21295"/>
    <cellStyle name="_Value Copy 11 30 05 gas 12 09 05 AURORA at 12 14 05_PCA 9 -  Exhibit D Feb 2010 2 2" xfId="21296"/>
    <cellStyle name="_Value Copy 11 30 05 gas 12 09 05 AURORA at 12 14 05_PCA 9 -  Exhibit D Feb 2010 3" xfId="21297"/>
    <cellStyle name="_Value Copy 11 30 05 gas 12 09 05 AURORA at 12 14 05_PCA 9 -  Exhibit D Feb 2010 v2" xfId="21298"/>
    <cellStyle name="_Value Copy 11 30 05 gas 12 09 05 AURORA at 12 14 05_PCA 9 -  Exhibit D Feb 2010 v2 2" xfId="21299"/>
    <cellStyle name="_Value Copy 11 30 05 gas 12 09 05 AURORA at 12 14 05_PCA 9 -  Exhibit D Feb 2010 v2 2 2" xfId="21300"/>
    <cellStyle name="_Value Copy 11 30 05 gas 12 09 05 AURORA at 12 14 05_PCA 9 -  Exhibit D Feb 2010 v2 3" xfId="21301"/>
    <cellStyle name="_Value Copy 11 30 05 gas 12 09 05 AURORA at 12 14 05_PCA 9 -  Exhibit D Feb 2010 WF" xfId="21302"/>
    <cellStyle name="_Value Copy 11 30 05 gas 12 09 05 AURORA at 12 14 05_PCA 9 -  Exhibit D Feb 2010 WF 2" xfId="21303"/>
    <cellStyle name="_Value Copy 11 30 05 gas 12 09 05 AURORA at 12 14 05_PCA 9 -  Exhibit D Feb 2010 WF 2 2" xfId="21304"/>
    <cellStyle name="_Value Copy 11 30 05 gas 12 09 05 AURORA at 12 14 05_PCA 9 -  Exhibit D Feb 2010 WF 3" xfId="21305"/>
    <cellStyle name="_Value Copy 11 30 05 gas 12 09 05 AURORA at 12 14 05_PCA 9 -  Exhibit D Jan 2010" xfId="21306"/>
    <cellStyle name="_Value Copy 11 30 05 gas 12 09 05 AURORA at 12 14 05_PCA 9 -  Exhibit D Jan 2010 2" xfId="21307"/>
    <cellStyle name="_Value Copy 11 30 05 gas 12 09 05 AURORA at 12 14 05_PCA 9 -  Exhibit D Jan 2010 2 2" xfId="21308"/>
    <cellStyle name="_Value Copy 11 30 05 gas 12 09 05 AURORA at 12 14 05_PCA 9 -  Exhibit D Jan 2010 3" xfId="21309"/>
    <cellStyle name="_Value Copy 11 30 05 gas 12 09 05 AURORA at 12 14 05_PCA 9 -  Exhibit D March 2010 (2)" xfId="21310"/>
    <cellStyle name="_Value Copy 11 30 05 gas 12 09 05 AURORA at 12 14 05_PCA 9 -  Exhibit D March 2010 (2) 2" xfId="21311"/>
    <cellStyle name="_Value Copy 11 30 05 gas 12 09 05 AURORA at 12 14 05_PCA 9 -  Exhibit D March 2010 (2) 2 2" xfId="21312"/>
    <cellStyle name="_Value Copy 11 30 05 gas 12 09 05 AURORA at 12 14 05_PCA 9 -  Exhibit D March 2010 (2) 3" xfId="21313"/>
    <cellStyle name="_Value Copy 11 30 05 gas 12 09 05 AURORA at 12 14 05_PCA 9 -  Exhibit D Nov 2010" xfId="21314"/>
    <cellStyle name="_Value Copy 11 30 05 gas 12 09 05 AURORA at 12 14 05_PCA 9 -  Exhibit D Nov 2010 2" xfId="21315"/>
    <cellStyle name="_Value Copy 11 30 05 gas 12 09 05 AURORA at 12 14 05_PCA 9 -  Exhibit D Nov 2010 2 2" xfId="21316"/>
    <cellStyle name="_Value Copy 11 30 05 gas 12 09 05 AURORA at 12 14 05_PCA 9 -  Exhibit D Nov 2010 3" xfId="21317"/>
    <cellStyle name="_Value Copy 11 30 05 gas 12 09 05 AURORA at 12 14 05_PCA 9 - Exhibit D at August 2010" xfId="21318"/>
    <cellStyle name="_Value Copy 11 30 05 gas 12 09 05 AURORA at 12 14 05_PCA 9 - Exhibit D at August 2010 2" xfId="21319"/>
    <cellStyle name="_Value Copy 11 30 05 gas 12 09 05 AURORA at 12 14 05_PCA 9 - Exhibit D at August 2010 2 2" xfId="21320"/>
    <cellStyle name="_Value Copy 11 30 05 gas 12 09 05 AURORA at 12 14 05_PCA 9 - Exhibit D at August 2010 3" xfId="21321"/>
    <cellStyle name="_Value Copy 11 30 05 gas 12 09 05 AURORA at 12 14 05_PCA 9 - Exhibit D June 2010 GRC" xfId="21322"/>
    <cellStyle name="_Value Copy 11 30 05 gas 12 09 05 AURORA at 12 14 05_PCA 9 - Exhibit D June 2010 GRC 2" xfId="21323"/>
    <cellStyle name="_Value Copy 11 30 05 gas 12 09 05 AURORA at 12 14 05_PCA 9 - Exhibit D June 2010 GRC 2 2" xfId="21324"/>
    <cellStyle name="_Value Copy 11 30 05 gas 12 09 05 AURORA at 12 14 05_PCA 9 - Exhibit D June 2010 GRC 3" xfId="21325"/>
    <cellStyle name="_Value Copy 11 30 05 gas 12 09 05 AURORA at 12 14 05_Power Costs - Comparison bx Rbtl-Staff-Jt-PC" xfId="910"/>
    <cellStyle name="_Value Copy 11 30 05 gas 12 09 05 AURORA at 12 14 05_Power Costs - Comparison bx Rbtl-Staff-Jt-PC 2" xfId="21326"/>
    <cellStyle name="_Value Copy 11 30 05 gas 12 09 05 AURORA at 12 14 05_Power Costs - Comparison bx Rbtl-Staff-Jt-PC 2 2" xfId="21327"/>
    <cellStyle name="_Value Copy 11 30 05 gas 12 09 05 AURORA at 12 14 05_Power Costs - Comparison bx Rbtl-Staff-Jt-PC 2 2 2" xfId="21328"/>
    <cellStyle name="_Value Copy 11 30 05 gas 12 09 05 AURORA at 12 14 05_Power Costs - Comparison bx Rbtl-Staff-Jt-PC 2 2 2 2" xfId="21329"/>
    <cellStyle name="_Value Copy 11 30 05 gas 12 09 05 AURORA at 12 14 05_Power Costs - Comparison bx Rbtl-Staff-Jt-PC 2 2 3" xfId="21330"/>
    <cellStyle name="_Value Copy 11 30 05 gas 12 09 05 AURORA at 12 14 05_Power Costs - Comparison bx Rbtl-Staff-Jt-PC 2 3" xfId="21331"/>
    <cellStyle name="_Value Copy 11 30 05 gas 12 09 05 AURORA at 12 14 05_Power Costs - Comparison bx Rbtl-Staff-Jt-PC 2 3 2" xfId="21332"/>
    <cellStyle name="_Value Copy 11 30 05 gas 12 09 05 AURORA at 12 14 05_Power Costs - Comparison bx Rbtl-Staff-Jt-PC 2 4" xfId="21333"/>
    <cellStyle name="_Value Copy 11 30 05 gas 12 09 05 AURORA at 12 14 05_Power Costs - Comparison bx Rbtl-Staff-Jt-PC 2 4 2" xfId="21334"/>
    <cellStyle name="_Value Copy 11 30 05 gas 12 09 05 AURORA at 12 14 05_Power Costs - Comparison bx Rbtl-Staff-Jt-PC 2 5" xfId="21335"/>
    <cellStyle name="_Value Copy 11 30 05 gas 12 09 05 AURORA at 12 14 05_Power Costs - Comparison bx Rbtl-Staff-Jt-PC 3" xfId="21336"/>
    <cellStyle name="_Value Copy 11 30 05 gas 12 09 05 AURORA at 12 14 05_Power Costs - Comparison bx Rbtl-Staff-Jt-PC 3 2" xfId="21337"/>
    <cellStyle name="_Value Copy 11 30 05 gas 12 09 05 AURORA at 12 14 05_Power Costs - Comparison bx Rbtl-Staff-Jt-PC 3 2 2" xfId="21338"/>
    <cellStyle name="_Value Copy 11 30 05 gas 12 09 05 AURORA at 12 14 05_Power Costs - Comparison bx Rbtl-Staff-Jt-PC 3 3" xfId="21339"/>
    <cellStyle name="_Value Copy 11 30 05 gas 12 09 05 AURORA at 12 14 05_Power Costs - Comparison bx Rbtl-Staff-Jt-PC 3 4" xfId="21340"/>
    <cellStyle name="_Value Copy 11 30 05 gas 12 09 05 AURORA at 12 14 05_Power Costs - Comparison bx Rbtl-Staff-Jt-PC 4" xfId="21341"/>
    <cellStyle name="_Value Copy 11 30 05 gas 12 09 05 AURORA at 12 14 05_Power Costs - Comparison bx Rbtl-Staff-Jt-PC 4 2" xfId="21342"/>
    <cellStyle name="_Value Copy 11 30 05 gas 12 09 05 AURORA at 12 14 05_Power Costs - Comparison bx Rbtl-Staff-Jt-PC 4 2 2" xfId="21343"/>
    <cellStyle name="_Value Copy 11 30 05 gas 12 09 05 AURORA at 12 14 05_Power Costs - Comparison bx Rbtl-Staff-Jt-PC 4 3" xfId="21344"/>
    <cellStyle name="_Value Copy 11 30 05 gas 12 09 05 AURORA at 12 14 05_Power Costs - Comparison bx Rbtl-Staff-Jt-PC 5" xfId="21345"/>
    <cellStyle name="_Value Copy 11 30 05 gas 12 09 05 AURORA at 12 14 05_Power Costs - Comparison bx Rbtl-Staff-Jt-PC 5 2" xfId="21346"/>
    <cellStyle name="_Value Copy 11 30 05 gas 12 09 05 AURORA at 12 14 05_Power Costs - Comparison bx Rbtl-Staff-Jt-PC 6" xfId="21347"/>
    <cellStyle name="_Value Copy 11 30 05 gas 12 09 05 AURORA at 12 14 05_Power Costs - Comparison bx Rbtl-Staff-Jt-PC 6 2" xfId="21348"/>
    <cellStyle name="_Value Copy 11 30 05 gas 12 09 05 AURORA at 12 14 05_Power Costs - Comparison bx Rbtl-Staff-Jt-PC 7" xfId="21349"/>
    <cellStyle name="_Value Copy 11 30 05 gas 12 09 05 AURORA at 12 14 05_Power Costs - Comparison bx Rbtl-Staff-Jt-PC_Adj Bench DR 3 for Initial Briefs (Electric)" xfId="911"/>
    <cellStyle name="_Value Copy 11 30 05 gas 12 09 05 AURORA at 12 14 05_Power Costs - Comparison bx Rbtl-Staff-Jt-PC_Adj Bench DR 3 for Initial Briefs (Electric) 2" xfId="21350"/>
    <cellStyle name="_Value Copy 11 30 05 gas 12 09 05 AURORA at 12 14 05_Power Costs - Comparison bx Rbtl-Staff-Jt-PC_Adj Bench DR 3 for Initial Briefs (Electric) 2 2" xfId="21351"/>
    <cellStyle name="_Value Copy 11 30 05 gas 12 09 05 AURORA at 12 14 05_Power Costs - Comparison bx Rbtl-Staff-Jt-PC_Adj Bench DR 3 for Initial Briefs (Electric) 2 2 2" xfId="21352"/>
    <cellStyle name="_Value Copy 11 30 05 gas 12 09 05 AURORA at 12 14 05_Power Costs - Comparison bx Rbtl-Staff-Jt-PC_Adj Bench DR 3 for Initial Briefs (Electric) 2 2 2 2" xfId="21353"/>
    <cellStyle name="_Value Copy 11 30 05 gas 12 09 05 AURORA at 12 14 05_Power Costs - Comparison bx Rbtl-Staff-Jt-PC_Adj Bench DR 3 for Initial Briefs (Electric) 2 2 3" xfId="21354"/>
    <cellStyle name="_Value Copy 11 30 05 gas 12 09 05 AURORA at 12 14 05_Power Costs - Comparison bx Rbtl-Staff-Jt-PC_Adj Bench DR 3 for Initial Briefs (Electric) 2 3" xfId="21355"/>
    <cellStyle name="_Value Copy 11 30 05 gas 12 09 05 AURORA at 12 14 05_Power Costs - Comparison bx Rbtl-Staff-Jt-PC_Adj Bench DR 3 for Initial Briefs (Electric) 2 3 2" xfId="21356"/>
    <cellStyle name="_Value Copy 11 30 05 gas 12 09 05 AURORA at 12 14 05_Power Costs - Comparison bx Rbtl-Staff-Jt-PC_Adj Bench DR 3 for Initial Briefs (Electric) 2 4" xfId="21357"/>
    <cellStyle name="_Value Copy 11 30 05 gas 12 09 05 AURORA at 12 14 05_Power Costs - Comparison bx Rbtl-Staff-Jt-PC_Adj Bench DR 3 for Initial Briefs (Electric) 2 4 2" xfId="21358"/>
    <cellStyle name="_Value Copy 11 30 05 gas 12 09 05 AURORA at 12 14 05_Power Costs - Comparison bx Rbtl-Staff-Jt-PC_Adj Bench DR 3 for Initial Briefs (Electric) 2 5" xfId="21359"/>
    <cellStyle name="_Value Copy 11 30 05 gas 12 09 05 AURORA at 12 14 05_Power Costs - Comparison bx Rbtl-Staff-Jt-PC_Adj Bench DR 3 for Initial Briefs (Electric) 3" xfId="21360"/>
    <cellStyle name="_Value Copy 11 30 05 gas 12 09 05 AURORA at 12 14 05_Power Costs - Comparison bx Rbtl-Staff-Jt-PC_Adj Bench DR 3 for Initial Briefs (Electric) 3 2" xfId="21361"/>
    <cellStyle name="_Value Copy 11 30 05 gas 12 09 05 AURORA at 12 14 05_Power Costs - Comparison bx Rbtl-Staff-Jt-PC_Adj Bench DR 3 for Initial Briefs (Electric) 3 2 2" xfId="21362"/>
    <cellStyle name="_Value Copy 11 30 05 gas 12 09 05 AURORA at 12 14 05_Power Costs - Comparison bx Rbtl-Staff-Jt-PC_Adj Bench DR 3 for Initial Briefs (Electric) 3 3" xfId="21363"/>
    <cellStyle name="_Value Copy 11 30 05 gas 12 09 05 AURORA at 12 14 05_Power Costs - Comparison bx Rbtl-Staff-Jt-PC_Adj Bench DR 3 for Initial Briefs (Electric) 3 4" xfId="21364"/>
    <cellStyle name="_Value Copy 11 30 05 gas 12 09 05 AURORA at 12 14 05_Power Costs - Comparison bx Rbtl-Staff-Jt-PC_Adj Bench DR 3 for Initial Briefs (Electric) 4" xfId="21365"/>
    <cellStyle name="_Value Copy 11 30 05 gas 12 09 05 AURORA at 12 14 05_Power Costs - Comparison bx Rbtl-Staff-Jt-PC_Adj Bench DR 3 for Initial Briefs (Electric) 4 2" xfId="21366"/>
    <cellStyle name="_Value Copy 11 30 05 gas 12 09 05 AURORA at 12 14 05_Power Costs - Comparison bx Rbtl-Staff-Jt-PC_Adj Bench DR 3 for Initial Briefs (Electric) 4 2 2" xfId="21367"/>
    <cellStyle name="_Value Copy 11 30 05 gas 12 09 05 AURORA at 12 14 05_Power Costs - Comparison bx Rbtl-Staff-Jt-PC_Adj Bench DR 3 for Initial Briefs (Electric) 4 3" xfId="21368"/>
    <cellStyle name="_Value Copy 11 30 05 gas 12 09 05 AURORA at 12 14 05_Power Costs - Comparison bx Rbtl-Staff-Jt-PC_Adj Bench DR 3 for Initial Briefs (Electric) 5" xfId="21369"/>
    <cellStyle name="_Value Copy 11 30 05 gas 12 09 05 AURORA at 12 14 05_Power Costs - Comparison bx Rbtl-Staff-Jt-PC_Adj Bench DR 3 for Initial Briefs (Electric) 5 2" xfId="21370"/>
    <cellStyle name="_Value Copy 11 30 05 gas 12 09 05 AURORA at 12 14 05_Power Costs - Comparison bx Rbtl-Staff-Jt-PC_Adj Bench DR 3 for Initial Briefs (Electric) 6" xfId="21371"/>
    <cellStyle name="_Value Copy 11 30 05 gas 12 09 05 AURORA at 12 14 05_Power Costs - Comparison bx Rbtl-Staff-Jt-PC_Adj Bench DR 3 for Initial Briefs (Electric) 6 2" xfId="21372"/>
    <cellStyle name="_Value Copy 11 30 05 gas 12 09 05 AURORA at 12 14 05_Power Costs - Comparison bx Rbtl-Staff-Jt-PC_Adj Bench DR 3 for Initial Briefs (Electric) 7" xfId="21373"/>
    <cellStyle name="_Value Copy 11 30 05 gas 12 09 05 AURORA at 12 14 05_Power Costs - Comparison bx Rbtl-Staff-Jt-PC_Adj Bench DR 3 for Initial Briefs (Electric)_DEM-WP(C) ENERG10C--ctn Mid-C_042010 2010GRC" xfId="21374"/>
    <cellStyle name="_Value Copy 11 30 05 gas 12 09 05 AURORA at 12 14 05_Power Costs - Comparison bx Rbtl-Staff-Jt-PC_Adj Bench DR 3 for Initial Briefs (Electric)_DEM-WP(C) ENERG10C--ctn Mid-C_042010 2010GRC 2" xfId="21375"/>
    <cellStyle name="_Value Copy 11 30 05 gas 12 09 05 AURORA at 12 14 05_Power Costs - Comparison bx Rbtl-Staff-Jt-PC_DEM-WP(C) ENERG10C--ctn Mid-C_042010 2010GRC" xfId="21376"/>
    <cellStyle name="_Value Copy 11 30 05 gas 12 09 05 AURORA at 12 14 05_Power Costs - Comparison bx Rbtl-Staff-Jt-PC_DEM-WP(C) ENERG10C--ctn Mid-C_042010 2010GRC 2" xfId="21377"/>
    <cellStyle name="_Value Copy 11 30 05 gas 12 09 05 AURORA at 12 14 05_Power Costs - Comparison bx Rbtl-Staff-Jt-PC_Electric Rev Req Model (2009 GRC) Rebuttal" xfId="912"/>
    <cellStyle name="_Value Copy 11 30 05 gas 12 09 05 AURORA at 12 14 05_Power Costs - Comparison bx Rbtl-Staff-Jt-PC_Electric Rev Req Model (2009 GRC) Rebuttal 2" xfId="21378"/>
    <cellStyle name="_Value Copy 11 30 05 gas 12 09 05 AURORA at 12 14 05_Power Costs - Comparison bx Rbtl-Staff-Jt-PC_Electric Rev Req Model (2009 GRC) Rebuttal 2 2" xfId="21379"/>
    <cellStyle name="_Value Copy 11 30 05 gas 12 09 05 AURORA at 12 14 05_Power Costs - Comparison bx Rbtl-Staff-Jt-PC_Electric Rev Req Model (2009 GRC) Rebuttal 2 2 2" xfId="21380"/>
    <cellStyle name="_Value Copy 11 30 05 gas 12 09 05 AURORA at 12 14 05_Power Costs - Comparison bx Rbtl-Staff-Jt-PC_Electric Rev Req Model (2009 GRC) Rebuttal 2 3" xfId="21381"/>
    <cellStyle name="_Value Copy 11 30 05 gas 12 09 05 AURORA at 12 14 05_Power Costs - Comparison bx Rbtl-Staff-Jt-PC_Electric Rev Req Model (2009 GRC) Rebuttal 2 4" xfId="21382"/>
    <cellStyle name="_Value Copy 11 30 05 gas 12 09 05 AURORA at 12 14 05_Power Costs - Comparison bx Rbtl-Staff-Jt-PC_Electric Rev Req Model (2009 GRC) Rebuttal 3" xfId="21383"/>
    <cellStyle name="_Value Copy 11 30 05 gas 12 09 05 AURORA at 12 14 05_Power Costs - Comparison bx Rbtl-Staff-Jt-PC_Electric Rev Req Model (2009 GRC) Rebuttal 3 2" xfId="21384"/>
    <cellStyle name="_Value Copy 11 30 05 gas 12 09 05 AURORA at 12 14 05_Power Costs - Comparison bx Rbtl-Staff-Jt-PC_Electric Rev Req Model (2009 GRC) Rebuttal 4" xfId="21385"/>
    <cellStyle name="_Value Copy 11 30 05 gas 12 09 05 AURORA at 12 14 05_Power Costs - Comparison bx Rbtl-Staff-Jt-PC_Electric Rev Req Model (2009 GRC) Rebuttal 5" xfId="21386"/>
    <cellStyle name="_Value Copy 11 30 05 gas 12 09 05 AURORA at 12 14 05_Power Costs - Comparison bx Rbtl-Staff-Jt-PC_Electric Rev Req Model (2009 GRC) Rebuttal REmoval of New  WH Solar AdjustMI" xfId="913"/>
    <cellStyle name="_Value Copy 11 30 05 gas 12 09 05 AURORA at 12 14 05_Power Costs - Comparison bx Rbtl-Staff-Jt-PC_Electric Rev Req Model (2009 GRC) Rebuttal REmoval of New  WH Solar AdjustMI 2" xfId="21387"/>
    <cellStyle name="_Value Copy 11 30 05 gas 12 09 05 AURORA at 12 14 05_Power Costs - Comparison bx Rbtl-Staff-Jt-PC_Electric Rev Req Model (2009 GRC) Rebuttal REmoval of New  WH Solar AdjustMI 2 2" xfId="21388"/>
    <cellStyle name="_Value Copy 11 30 05 gas 12 09 05 AURORA at 12 14 05_Power Costs - Comparison bx Rbtl-Staff-Jt-PC_Electric Rev Req Model (2009 GRC) Rebuttal REmoval of New  WH Solar AdjustMI 2 2 2" xfId="21389"/>
    <cellStyle name="_Value Copy 11 30 05 gas 12 09 05 AURORA at 12 14 05_Power Costs - Comparison bx Rbtl-Staff-Jt-PC_Electric Rev Req Model (2009 GRC) Rebuttal REmoval of New  WH Solar AdjustMI 2 2 2 2" xfId="21390"/>
    <cellStyle name="_Value Copy 11 30 05 gas 12 09 05 AURORA at 12 14 05_Power Costs - Comparison bx Rbtl-Staff-Jt-PC_Electric Rev Req Model (2009 GRC) Rebuttal REmoval of New  WH Solar AdjustMI 2 2 3" xfId="21391"/>
    <cellStyle name="_Value Copy 11 30 05 gas 12 09 05 AURORA at 12 14 05_Power Costs - Comparison bx Rbtl-Staff-Jt-PC_Electric Rev Req Model (2009 GRC) Rebuttal REmoval of New  WH Solar AdjustMI 2 3" xfId="21392"/>
    <cellStyle name="_Value Copy 11 30 05 gas 12 09 05 AURORA at 12 14 05_Power Costs - Comparison bx Rbtl-Staff-Jt-PC_Electric Rev Req Model (2009 GRC) Rebuttal REmoval of New  WH Solar AdjustMI 2 3 2" xfId="21393"/>
    <cellStyle name="_Value Copy 11 30 05 gas 12 09 05 AURORA at 12 14 05_Power Costs - Comparison bx Rbtl-Staff-Jt-PC_Electric Rev Req Model (2009 GRC) Rebuttal REmoval of New  WH Solar AdjustMI 2 4" xfId="21394"/>
    <cellStyle name="_Value Copy 11 30 05 gas 12 09 05 AURORA at 12 14 05_Power Costs - Comparison bx Rbtl-Staff-Jt-PC_Electric Rev Req Model (2009 GRC) Rebuttal REmoval of New  WH Solar AdjustMI 2 4 2" xfId="21395"/>
    <cellStyle name="_Value Copy 11 30 05 gas 12 09 05 AURORA at 12 14 05_Power Costs - Comparison bx Rbtl-Staff-Jt-PC_Electric Rev Req Model (2009 GRC) Rebuttal REmoval of New  WH Solar AdjustMI 2 5" xfId="21396"/>
    <cellStyle name="_Value Copy 11 30 05 gas 12 09 05 AURORA at 12 14 05_Power Costs - Comparison bx Rbtl-Staff-Jt-PC_Electric Rev Req Model (2009 GRC) Rebuttal REmoval of New  WH Solar AdjustMI 3" xfId="21397"/>
    <cellStyle name="_Value Copy 11 30 05 gas 12 09 05 AURORA at 12 14 05_Power Costs - Comparison bx Rbtl-Staff-Jt-PC_Electric Rev Req Model (2009 GRC) Rebuttal REmoval of New  WH Solar AdjustMI 3 2" xfId="21398"/>
    <cellStyle name="_Value Copy 11 30 05 gas 12 09 05 AURORA at 12 14 05_Power Costs - Comparison bx Rbtl-Staff-Jt-PC_Electric Rev Req Model (2009 GRC) Rebuttal REmoval of New  WH Solar AdjustMI 3 2 2" xfId="21399"/>
    <cellStyle name="_Value Copy 11 30 05 gas 12 09 05 AURORA at 12 14 05_Power Costs - Comparison bx Rbtl-Staff-Jt-PC_Electric Rev Req Model (2009 GRC) Rebuttal REmoval of New  WH Solar AdjustMI 3 3" xfId="21400"/>
    <cellStyle name="_Value Copy 11 30 05 gas 12 09 05 AURORA at 12 14 05_Power Costs - Comparison bx Rbtl-Staff-Jt-PC_Electric Rev Req Model (2009 GRC) Rebuttal REmoval of New  WH Solar AdjustMI 3 4" xfId="21401"/>
    <cellStyle name="_Value Copy 11 30 05 gas 12 09 05 AURORA at 12 14 05_Power Costs - Comparison bx Rbtl-Staff-Jt-PC_Electric Rev Req Model (2009 GRC) Rebuttal REmoval of New  WH Solar AdjustMI 4" xfId="21402"/>
    <cellStyle name="_Value Copy 11 30 05 gas 12 09 05 AURORA at 12 14 05_Power Costs - Comparison bx Rbtl-Staff-Jt-PC_Electric Rev Req Model (2009 GRC) Rebuttal REmoval of New  WH Solar AdjustMI 4 2" xfId="21403"/>
    <cellStyle name="_Value Copy 11 30 05 gas 12 09 05 AURORA at 12 14 05_Power Costs - Comparison bx Rbtl-Staff-Jt-PC_Electric Rev Req Model (2009 GRC) Rebuttal REmoval of New  WH Solar AdjustMI 4 2 2" xfId="21404"/>
    <cellStyle name="_Value Copy 11 30 05 gas 12 09 05 AURORA at 12 14 05_Power Costs - Comparison bx Rbtl-Staff-Jt-PC_Electric Rev Req Model (2009 GRC) Rebuttal REmoval of New  WH Solar AdjustMI 4 3" xfId="21405"/>
    <cellStyle name="_Value Copy 11 30 05 gas 12 09 05 AURORA at 12 14 05_Power Costs - Comparison bx Rbtl-Staff-Jt-PC_Electric Rev Req Model (2009 GRC) Rebuttal REmoval of New  WH Solar AdjustMI 5" xfId="21406"/>
    <cellStyle name="_Value Copy 11 30 05 gas 12 09 05 AURORA at 12 14 05_Power Costs - Comparison bx Rbtl-Staff-Jt-PC_Electric Rev Req Model (2009 GRC) Rebuttal REmoval of New  WH Solar AdjustMI 5 2" xfId="21407"/>
    <cellStyle name="_Value Copy 11 30 05 gas 12 09 05 AURORA at 12 14 05_Power Costs - Comparison bx Rbtl-Staff-Jt-PC_Electric Rev Req Model (2009 GRC) Rebuttal REmoval of New  WH Solar AdjustMI 6" xfId="21408"/>
    <cellStyle name="_Value Copy 11 30 05 gas 12 09 05 AURORA at 12 14 05_Power Costs - Comparison bx Rbtl-Staff-Jt-PC_Electric Rev Req Model (2009 GRC) Rebuttal REmoval of New  WH Solar AdjustMI 6 2" xfId="21409"/>
    <cellStyle name="_Value Copy 11 30 05 gas 12 09 05 AURORA at 12 14 05_Power Costs - Comparison bx Rbtl-Staff-Jt-PC_Electric Rev Req Model (2009 GRC) Rebuttal REmoval of New  WH Solar AdjustMI 7" xfId="21410"/>
    <cellStyle name="_Value Copy 11 30 05 gas 12 09 05 AURORA at 12 14 05_Power Costs - Comparison bx Rbtl-Staff-Jt-PC_Electric Rev Req Model (2009 GRC) Rebuttal REmoval of New  WH Solar AdjustMI_DEM-WP(C) ENERG10C--ctn Mid-C_042010 2010GRC" xfId="21411"/>
    <cellStyle name="_Value Copy 11 30 05 gas 12 09 05 AURORA at 12 14 05_Power Costs - Comparison bx Rbtl-Staff-Jt-PC_Electric Rev Req Model (2009 GRC) Rebuttal REmoval of New  WH Solar AdjustMI_DEM-WP(C) ENERG10C--ctn Mid-C_042010 2010GRC 2" xfId="21412"/>
    <cellStyle name="_Value Copy 11 30 05 gas 12 09 05 AURORA at 12 14 05_Power Costs - Comparison bx Rbtl-Staff-Jt-PC_Electric Rev Req Model (2009 GRC) Revised 01-18-2010" xfId="914"/>
    <cellStyle name="_Value Copy 11 30 05 gas 12 09 05 AURORA at 12 14 05_Power Costs - Comparison bx Rbtl-Staff-Jt-PC_Electric Rev Req Model (2009 GRC) Revised 01-18-2010 2" xfId="21413"/>
    <cellStyle name="_Value Copy 11 30 05 gas 12 09 05 AURORA at 12 14 05_Power Costs - Comparison bx Rbtl-Staff-Jt-PC_Electric Rev Req Model (2009 GRC) Revised 01-18-2010 2 2" xfId="21414"/>
    <cellStyle name="_Value Copy 11 30 05 gas 12 09 05 AURORA at 12 14 05_Power Costs - Comparison bx Rbtl-Staff-Jt-PC_Electric Rev Req Model (2009 GRC) Revised 01-18-2010 2 2 2" xfId="21415"/>
    <cellStyle name="_Value Copy 11 30 05 gas 12 09 05 AURORA at 12 14 05_Power Costs - Comparison bx Rbtl-Staff-Jt-PC_Electric Rev Req Model (2009 GRC) Revised 01-18-2010 2 2 2 2" xfId="21416"/>
    <cellStyle name="_Value Copy 11 30 05 gas 12 09 05 AURORA at 12 14 05_Power Costs - Comparison bx Rbtl-Staff-Jt-PC_Electric Rev Req Model (2009 GRC) Revised 01-18-2010 2 2 3" xfId="21417"/>
    <cellStyle name="_Value Copy 11 30 05 gas 12 09 05 AURORA at 12 14 05_Power Costs - Comparison bx Rbtl-Staff-Jt-PC_Electric Rev Req Model (2009 GRC) Revised 01-18-2010 2 3" xfId="21418"/>
    <cellStyle name="_Value Copy 11 30 05 gas 12 09 05 AURORA at 12 14 05_Power Costs - Comparison bx Rbtl-Staff-Jt-PC_Electric Rev Req Model (2009 GRC) Revised 01-18-2010 2 3 2" xfId="21419"/>
    <cellStyle name="_Value Copy 11 30 05 gas 12 09 05 AURORA at 12 14 05_Power Costs - Comparison bx Rbtl-Staff-Jt-PC_Electric Rev Req Model (2009 GRC) Revised 01-18-2010 2 4" xfId="21420"/>
    <cellStyle name="_Value Copy 11 30 05 gas 12 09 05 AURORA at 12 14 05_Power Costs - Comparison bx Rbtl-Staff-Jt-PC_Electric Rev Req Model (2009 GRC) Revised 01-18-2010 2 4 2" xfId="21421"/>
    <cellStyle name="_Value Copy 11 30 05 gas 12 09 05 AURORA at 12 14 05_Power Costs - Comparison bx Rbtl-Staff-Jt-PC_Electric Rev Req Model (2009 GRC) Revised 01-18-2010 2 5" xfId="21422"/>
    <cellStyle name="_Value Copy 11 30 05 gas 12 09 05 AURORA at 12 14 05_Power Costs - Comparison bx Rbtl-Staff-Jt-PC_Electric Rev Req Model (2009 GRC) Revised 01-18-2010 3" xfId="21423"/>
    <cellStyle name="_Value Copy 11 30 05 gas 12 09 05 AURORA at 12 14 05_Power Costs - Comparison bx Rbtl-Staff-Jt-PC_Electric Rev Req Model (2009 GRC) Revised 01-18-2010 3 2" xfId="21424"/>
    <cellStyle name="_Value Copy 11 30 05 gas 12 09 05 AURORA at 12 14 05_Power Costs - Comparison bx Rbtl-Staff-Jt-PC_Electric Rev Req Model (2009 GRC) Revised 01-18-2010 3 2 2" xfId="21425"/>
    <cellStyle name="_Value Copy 11 30 05 gas 12 09 05 AURORA at 12 14 05_Power Costs - Comparison bx Rbtl-Staff-Jt-PC_Electric Rev Req Model (2009 GRC) Revised 01-18-2010 3 3" xfId="21426"/>
    <cellStyle name="_Value Copy 11 30 05 gas 12 09 05 AURORA at 12 14 05_Power Costs - Comparison bx Rbtl-Staff-Jt-PC_Electric Rev Req Model (2009 GRC) Revised 01-18-2010 3 4" xfId="21427"/>
    <cellStyle name="_Value Copy 11 30 05 gas 12 09 05 AURORA at 12 14 05_Power Costs - Comparison bx Rbtl-Staff-Jt-PC_Electric Rev Req Model (2009 GRC) Revised 01-18-2010 4" xfId="21428"/>
    <cellStyle name="_Value Copy 11 30 05 gas 12 09 05 AURORA at 12 14 05_Power Costs - Comparison bx Rbtl-Staff-Jt-PC_Electric Rev Req Model (2009 GRC) Revised 01-18-2010 4 2" xfId="21429"/>
    <cellStyle name="_Value Copy 11 30 05 gas 12 09 05 AURORA at 12 14 05_Power Costs - Comparison bx Rbtl-Staff-Jt-PC_Electric Rev Req Model (2009 GRC) Revised 01-18-2010 4 2 2" xfId="21430"/>
    <cellStyle name="_Value Copy 11 30 05 gas 12 09 05 AURORA at 12 14 05_Power Costs - Comparison bx Rbtl-Staff-Jt-PC_Electric Rev Req Model (2009 GRC) Revised 01-18-2010 4 3" xfId="21431"/>
    <cellStyle name="_Value Copy 11 30 05 gas 12 09 05 AURORA at 12 14 05_Power Costs - Comparison bx Rbtl-Staff-Jt-PC_Electric Rev Req Model (2009 GRC) Revised 01-18-2010 5" xfId="21432"/>
    <cellStyle name="_Value Copy 11 30 05 gas 12 09 05 AURORA at 12 14 05_Power Costs - Comparison bx Rbtl-Staff-Jt-PC_Electric Rev Req Model (2009 GRC) Revised 01-18-2010 5 2" xfId="21433"/>
    <cellStyle name="_Value Copy 11 30 05 gas 12 09 05 AURORA at 12 14 05_Power Costs - Comparison bx Rbtl-Staff-Jt-PC_Electric Rev Req Model (2009 GRC) Revised 01-18-2010 6" xfId="21434"/>
    <cellStyle name="_Value Copy 11 30 05 gas 12 09 05 AURORA at 12 14 05_Power Costs - Comparison bx Rbtl-Staff-Jt-PC_Electric Rev Req Model (2009 GRC) Revised 01-18-2010 6 2" xfId="21435"/>
    <cellStyle name="_Value Copy 11 30 05 gas 12 09 05 AURORA at 12 14 05_Power Costs - Comparison bx Rbtl-Staff-Jt-PC_Electric Rev Req Model (2009 GRC) Revised 01-18-2010 7" xfId="21436"/>
    <cellStyle name="_Value Copy 11 30 05 gas 12 09 05 AURORA at 12 14 05_Power Costs - Comparison bx Rbtl-Staff-Jt-PC_Electric Rev Req Model (2009 GRC) Revised 01-18-2010_DEM-WP(C) ENERG10C--ctn Mid-C_042010 2010GRC" xfId="21437"/>
    <cellStyle name="_Value Copy 11 30 05 gas 12 09 05 AURORA at 12 14 05_Power Costs - Comparison bx Rbtl-Staff-Jt-PC_Electric Rev Req Model (2009 GRC) Revised 01-18-2010_DEM-WP(C) ENERG10C--ctn Mid-C_042010 2010GRC 2" xfId="21438"/>
    <cellStyle name="_Value Copy 11 30 05 gas 12 09 05 AURORA at 12 14 05_Power Costs - Comparison bx Rbtl-Staff-Jt-PC_Final Order Electric EXHIBIT A-1" xfId="915"/>
    <cellStyle name="_Value Copy 11 30 05 gas 12 09 05 AURORA at 12 14 05_Power Costs - Comparison bx Rbtl-Staff-Jt-PC_Final Order Electric EXHIBIT A-1 2" xfId="21439"/>
    <cellStyle name="_Value Copy 11 30 05 gas 12 09 05 AURORA at 12 14 05_Power Costs - Comparison bx Rbtl-Staff-Jt-PC_Final Order Electric EXHIBIT A-1 2 2" xfId="21440"/>
    <cellStyle name="_Value Copy 11 30 05 gas 12 09 05 AURORA at 12 14 05_Power Costs - Comparison bx Rbtl-Staff-Jt-PC_Final Order Electric EXHIBIT A-1 2 2 2" xfId="21441"/>
    <cellStyle name="_Value Copy 11 30 05 gas 12 09 05 AURORA at 12 14 05_Power Costs - Comparison bx Rbtl-Staff-Jt-PC_Final Order Electric EXHIBIT A-1 2 3" xfId="21442"/>
    <cellStyle name="_Value Copy 11 30 05 gas 12 09 05 AURORA at 12 14 05_Power Costs - Comparison bx Rbtl-Staff-Jt-PC_Final Order Electric EXHIBIT A-1 2 4" xfId="21443"/>
    <cellStyle name="_Value Copy 11 30 05 gas 12 09 05 AURORA at 12 14 05_Power Costs - Comparison bx Rbtl-Staff-Jt-PC_Final Order Electric EXHIBIT A-1 3" xfId="21444"/>
    <cellStyle name="_Value Copy 11 30 05 gas 12 09 05 AURORA at 12 14 05_Power Costs - Comparison bx Rbtl-Staff-Jt-PC_Final Order Electric EXHIBIT A-1 3 2" xfId="21445"/>
    <cellStyle name="_Value Copy 11 30 05 gas 12 09 05 AURORA at 12 14 05_Power Costs - Comparison bx Rbtl-Staff-Jt-PC_Final Order Electric EXHIBIT A-1 3 2 2" xfId="21446"/>
    <cellStyle name="_Value Copy 11 30 05 gas 12 09 05 AURORA at 12 14 05_Power Costs - Comparison bx Rbtl-Staff-Jt-PC_Final Order Electric EXHIBIT A-1 3 3" xfId="21447"/>
    <cellStyle name="_Value Copy 11 30 05 gas 12 09 05 AURORA at 12 14 05_Power Costs - Comparison bx Rbtl-Staff-Jt-PC_Final Order Electric EXHIBIT A-1 4" xfId="21448"/>
    <cellStyle name="_Value Copy 11 30 05 gas 12 09 05 AURORA at 12 14 05_Power Costs - Comparison bx Rbtl-Staff-Jt-PC_Final Order Electric EXHIBIT A-1 4 2" xfId="21449"/>
    <cellStyle name="_Value Copy 11 30 05 gas 12 09 05 AURORA at 12 14 05_Power Costs - Comparison bx Rbtl-Staff-Jt-PC_Final Order Electric EXHIBIT A-1 5" xfId="21450"/>
    <cellStyle name="_Value Copy 11 30 05 gas 12 09 05 AURORA at 12 14 05_Power Costs - Comparison bx Rbtl-Staff-Jt-PC_Final Order Electric EXHIBIT A-1 6" xfId="21451"/>
    <cellStyle name="_Value Copy 11 30 05 gas 12 09 05 AURORA at 12 14 05_Power Costs - Comparison bx Rbtl-Staff-Jt-PC_Final Order Electric EXHIBIT A-1 7" xfId="21452"/>
    <cellStyle name="_Value Copy 11 30 05 gas 12 09 05 AURORA at 12 14 05_Production Adj 4.37" xfId="21453"/>
    <cellStyle name="_Value Copy 11 30 05 gas 12 09 05 AURORA at 12 14 05_Production Adj 4.37 2" xfId="21454"/>
    <cellStyle name="_Value Copy 11 30 05 gas 12 09 05 AURORA at 12 14 05_Production Adj 4.37 2 2" xfId="21455"/>
    <cellStyle name="_Value Copy 11 30 05 gas 12 09 05 AURORA at 12 14 05_Production Adj 4.37 2 2 2" xfId="21456"/>
    <cellStyle name="_Value Copy 11 30 05 gas 12 09 05 AURORA at 12 14 05_Production Adj 4.37 2 3" xfId="21457"/>
    <cellStyle name="_Value Copy 11 30 05 gas 12 09 05 AURORA at 12 14 05_Production Adj 4.37 3" xfId="21458"/>
    <cellStyle name="_Value Copy 11 30 05 gas 12 09 05 AURORA at 12 14 05_Production Adj 4.37 3 2" xfId="21459"/>
    <cellStyle name="_Value Copy 11 30 05 gas 12 09 05 AURORA at 12 14 05_Production Adj 4.37 4" xfId="21460"/>
    <cellStyle name="_Value Copy 11 30 05 gas 12 09 05 AURORA at 12 14 05_Purchased Power Adj 4.03" xfId="21461"/>
    <cellStyle name="_Value Copy 11 30 05 gas 12 09 05 AURORA at 12 14 05_Purchased Power Adj 4.03 2" xfId="21462"/>
    <cellStyle name="_Value Copy 11 30 05 gas 12 09 05 AURORA at 12 14 05_Purchased Power Adj 4.03 2 2" xfId="21463"/>
    <cellStyle name="_Value Copy 11 30 05 gas 12 09 05 AURORA at 12 14 05_Purchased Power Adj 4.03 2 2 2" xfId="21464"/>
    <cellStyle name="_Value Copy 11 30 05 gas 12 09 05 AURORA at 12 14 05_Purchased Power Adj 4.03 2 3" xfId="21465"/>
    <cellStyle name="_Value Copy 11 30 05 gas 12 09 05 AURORA at 12 14 05_Purchased Power Adj 4.03 3" xfId="21466"/>
    <cellStyle name="_Value Copy 11 30 05 gas 12 09 05 AURORA at 12 14 05_Purchased Power Adj 4.03 3 2" xfId="21467"/>
    <cellStyle name="_Value Copy 11 30 05 gas 12 09 05 AURORA at 12 14 05_Purchased Power Adj 4.03 4" xfId="21468"/>
    <cellStyle name="_Value Copy 11 30 05 gas 12 09 05 AURORA at 12 14 05_Rate Design Sch 24" xfId="21469"/>
    <cellStyle name="_Value Copy 11 30 05 gas 12 09 05 AURORA at 12 14 05_Rate Design Sch 24 2" xfId="21470"/>
    <cellStyle name="_Value Copy 11 30 05 gas 12 09 05 AURORA at 12 14 05_Rate Design Sch 24 2 2" xfId="21471"/>
    <cellStyle name="_Value Copy 11 30 05 gas 12 09 05 AURORA at 12 14 05_Rate Design Sch 24 3" xfId="21472"/>
    <cellStyle name="_Value Copy 11 30 05 gas 12 09 05 AURORA at 12 14 05_Rate Design Sch 25" xfId="21473"/>
    <cellStyle name="_Value Copy 11 30 05 gas 12 09 05 AURORA at 12 14 05_Rate Design Sch 25 2" xfId="21474"/>
    <cellStyle name="_Value Copy 11 30 05 gas 12 09 05 AURORA at 12 14 05_Rate Design Sch 25 2 2" xfId="21475"/>
    <cellStyle name="_Value Copy 11 30 05 gas 12 09 05 AURORA at 12 14 05_Rate Design Sch 25 2 2 2" xfId="21476"/>
    <cellStyle name="_Value Copy 11 30 05 gas 12 09 05 AURORA at 12 14 05_Rate Design Sch 25 2 3" xfId="21477"/>
    <cellStyle name="_Value Copy 11 30 05 gas 12 09 05 AURORA at 12 14 05_Rate Design Sch 25 3" xfId="21478"/>
    <cellStyle name="_Value Copy 11 30 05 gas 12 09 05 AURORA at 12 14 05_Rate Design Sch 25 3 2" xfId="21479"/>
    <cellStyle name="_Value Copy 11 30 05 gas 12 09 05 AURORA at 12 14 05_Rate Design Sch 25 4" xfId="21480"/>
    <cellStyle name="_Value Copy 11 30 05 gas 12 09 05 AURORA at 12 14 05_Rate Design Sch 26" xfId="21481"/>
    <cellStyle name="_Value Copy 11 30 05 gas 12 09 05 AURORA at 12 14 05_Rate Design Sch 26 2" xfId="21482"/>
    <cellStyle name="_Value Copy 11 30 05 gas 12 09 05 AURORA at 12 14 05_Rate Design Sch 26 2 2" xfId="21483"/>
    <cellStyle name="_Value Copy 11 30 05 gas 12 09 05 AURORA at 12 14 05_Rate Design Sch 26 2 2 2" xfId="21484"/>
    <cellStyle name="_Value Copy 11 30 05 gas 12 09 05 AURORA at 12 14 05_Rate Design Sch 26 2 3" xfId="21485"/>
    <cellStyle name="_Value Copy 11 30 05 gas 12 09 05 AURORA at 12 14 05_Rate Design Sch 26 3" xfId="21486"/>
    <cellStyle name="_Value Copy 11 30 05 gas 12 09 05 AURORA at 12 14 05_Rate Design Sch 26 3 2" xfId="21487"/>
    <cellStyle name="_Value Copy 11 30 05 gas 12 09 05 AURORA at 12 14 05_Rate Design Sch 26 4" xfId="21488"/>
    <cellStyle name="_Value Copy 11 30 05 gas 12 09 05 AURORA at 12 14 05_Rate Design Sch 31" xfId="21489"/>
    <cellStyle name="_Value Copy 11 30 05 gas 12 09 05 AURORA at 12 14 05_Rate Design Sch 31 2" xfId="21490"/>
    <cellStyle name="_Value Copy 11 30 05 gas 12 09 05 AURORA at 12 14 05_Rate Design Sch 31 2 2" xfId="21491"/>
    <cellStyle name="_Value Copy 11 30 05 gas 12 09 05 AURORA at 12 14 05_Rate Design Sch 31 2 2 2" xfId="21492"/>
    <cellStyle name="_Value Copy 11 30 05 gas 12 09 05 AURORA at 12 14 05_Rate Design Sch 31 2 3" xfId="21493"/>
    <cellStyle name="_Value Copy 11 30 05 gas 12 09 05 AURORA at 12 14 05_Rate Design Sch 31 3" xfId="21494"/>
    <cellStyle name="_Value Copy 11 30 05 gas 12 09 05 AURORA at 12 14 05_Rate Design Sch 31 3 2" xfId="21495"/>
    <cellStyle name="_Value Copy 11 30 05 gas 12 09 05 AURORA at 12 14 05_Rate Design Sch 31 4" xfId="21496"/>
    <cellStyle name="_Value Copy 11 30 05 gas 12 09 05 AURORA at 12 14 05_Rate Design Sch 43" xfId="21497"/>
    <cellStyle name="_Value Copy 11 30 05 gas 12 09 05 AURORA at 12 14 05_Rate Design Sch 43 2" xfId="21498"/>
    <cellStyle name="_Value Copy 11 30 05 gas 12 09 05 AURORA at 12 14 05_Rate Design Sch 43 2 2" xfId="21499"/>
    <cellStyle name="_Value Copy 11 30 05 gas 12 09 05 AURORA at 12 14 05_Rate Design Sch 43 2 2 2" xfId="21500"/>
    <cellStyle name="_Value Copy 11 30 05 gas 12 09 05 AURORA at 12 14 05_Rate Design Sch 43 2 3" xfId="21501"/>
    <cellStyle name="_Value Copy 11 30 05 gas 12 09 05 AURORA at 12 14 05_Rate Design Sch 43 3" xfId="21502"/>
    <cellStyle name="_Value Copy 11 30 05 gas 12 09 05 AURORA at 12 14 05_Rate Design Sch 43 3 2" xfId="21503"/>
    <cellStyle name="_Value Copy 11 30 05 gas 12 09 05 AURORA at 12 14 05_Rate Design Sch 43 4" xfId="21504"/>
    <cellStyle name="_Value Copy 11 30 05 gas 12 09 05 AURORA at 12 14 05_Rate Design Sch 448-449" xfId="21505"/>
    <cellStyle name="_Value Copy 11 30 05 gas 12 09 05 AURORA at 12 14 05_Rate Design Sch 448-449 2" xfId="21506"/>
    <cellStyle name="_Value Copy 11 30 05 gas 12 09 05 AURORA at 12 14 05_Rate Design Sch 448-449 2 2" xfId="21507"/>
    <cellStyle name="_Value Copy 11 30 05 gas 12 09 05 AURORA at 12 14 05_Rate Design Sch 448-449 3" xfId="21508"/>
    <cellStyle name="_Value Copy 11 30 05 gas 12 09 05 AURORA at 12 14 05_Rate Design Sch 46" xfId="21509"/>
    <cellStyle name="_Value Copy 11 30 05 gas 12 09 05 AURORA at 12 14 05_Rate Design Sch 46 2" xfId="21510"/>
    <cellStyle name="_Value Copy 11 30 05 gas 12 09 05 AURORA at 12 14 05_Rate Design Sch 46 2 2" xfId="21511"/>
    <cellStyle name="_Value Copy 11 30 05 gas 12 09 05 AURORA at 12 14 05_Rate Design Sch 46 2 2 2" xfId="21512"/>
    <cellStyle name="_Value Copy 11 30 05 gas 12 09 05 AURORA at 12 14 05_Rate Design Sch 46 2 3" xfId="21513"/>
    <cellStyle name="_Value Copy 11 30 05 gas 12 09 05 AURORA at 12 14 05_Rate Design Sch 46 3" xfId="21514"/>
    <cellStyle name="_Value Copy 11 30 05 gas 12 09 05 AURORA at 12 14 05_Rate Design Sch 46 3 2" xfId="21515"/>
    <cellStyle name="_Value Copy 11 30 05 gas 12 09 05 AURORA at 12 14 05_Rate Design Sch 46 4" xfId="21516"/>
    <cellStyle name="_Value Copy 11 30 05 gas 12 09 05 AURORA at 12 14 05_Rate Spread" xfId="21517"/>
    <cellStyle name="_Value Copy 11 30 05 gas 12 09 05 AURORA at 12 14 05_Rate Spread 2" xfId="21518"/>
    <cellStyle name="_Value Copy 11 30 05 gas 12 09 05 AURORA at 12 14 05_Rate Spread 2 2" xfId="21519"/>
    <cellStyle name="_Value Copy 11 30 05 gas 12 09 05 AURORA at 12 14 05_Rate Spread 2 2 2" xfId="21520"/>
    <cellStyle name="_Value Copy 11 30 05 gas 12 09 05 AURORA at 12 14 05_Rate Spread 2 3" xfId="21521"/>
    <cellStyle name="_Value Copy 11 30 05 gas 12 09 05 AURORA at 12 14 05_Rate Spread 3" xfId="21522"/>
    <cellStyle name="_Value Copy 11 30 05 gas 12 09 05 AURORA at 12 14 05_Rate Spread 3 2" xfId="21523"/>
    <cellStyle name="_Value Copy 11 30 05 gas 12 09 05 AURORA at 12 14 05_Rate Spread 4" xfId="21524"/>
    <cellStyle name="_Value Copy 11 30 05 gas 12 09 05 AURORA at 12 14 05_Rebuttal Power Costs" xfId="916"/>
    <cellStyle name="_Value Copy 11 30 05 gas 12 09 05 AURORA at 12 14 05_Rebuttal Power Costs 2" xfId="21525"/>
    <cellStyle name="_Value Copy 11 30 05 gas 12 09 05 AURORA at 12 14 05_Rebuttal Power Costs 2 2" xfId="21526"/>
    <cellStyle name="_Value Copy 11 30 05 gas 12 09 05 AURORA at 12 14 05_Rebuttal Power Costs 2 2 2" xfId="21527"/>
    <cellStyle name="_Value Copy 11 30 05 gas 12 09 05 AURORA at 12 14 05_Rebuttal Power Costs 2 2 2 2" xfId="21528"/>
    <cellStyle name="_Value Copy 11 30 05 gas 12 09 05 AURORA at 12 14 05_Rebuttal Power Costs 2 2 3" xfId="21529"/>
    <cellStyle name="_Value Copy 11 30 05 gas 12 09 05 AURORA at 12 14 05_Rebuttal Power Costs 2 3" xfId="21530"/>
    <cellStyle name="_Value Copy 11 30 05 gas 12 09 05 AURORA at 12 14 05_Rebuttal Power Costs 2 3 2" xfId="21531"/>
    <cellStyle name="_Value Copy 11 30 05 gas 12 09 05 AURORA at 12 14 05_Rebuttal Power Costs 2 4" xfId="21532"/>
    <cellStyle name="_Value Copy 11 30 05 gas 12 09 05 AURORA at 12 14 05_Rebuttal Power Costs 2 4 2" xfId="21533"/>
    <cellStyle name="_Value Copy 11 30 05 gas 12 09 05 AURORA at 12 14 05_Rebuttal Power Costs 2 5" xfId="21534"/>
    <cellStyle name="_Value Copy 11 30 05 gas 12 09 05 AURORA at 12 14 05_Rebuttal Power Costs 3" xfId="21535"/>
    <cellStyle name="_Value Copy 11 30 05 gas 12 09 05 AURORA at 12 14 05_Rebuttal Power Costs 3 2" xfId="21536"/>
    <cellStyle name="_Value Copy 11 30 05 gas 12 09 05 AURORA at 12 14 05_Rebuttal Power Costs 3 2 2" xfId="21537"/>
    <cellStyle name="_Value Copy 11 30 05 gas 12 09 05 AURORA at 12 14 05_Rebuttal Power Costs 3 3" xfId="21538"/>
    <cellStyle name="_Value Copy 11 30 05 gas 12 09 05 AURORA at 12 14 05_Rebuttal Power Costs 3 4" xfId="21539"/>
    <cellStyle name="_Value Copy 11 30 05 gas 12 09 05 AURORA at 12 14 05_Rebuttal Power Costs 4" xfId="21540"/>
    <cellStyle name="_Value Copy 11 30 05 gas 12 09 05 AURORA at 12 14 05_Rebuttal Power Costs 4 2" xfId="21541"/>
    <cellStyle name="_Value Copy 11 30 05 gas 12 09 05 AURORA at 12 14 05_Rebuttal Power Costs 4 2 2" xfId="21542"/>
    <cellStyle name="_Value Copy 11 30 05 gas 12 09 05 AURORA at 12 14 05_Rebuttal Power Costs 4 3" xfId="21543"/>
    <cellStyle name="_Value Copy 11 30 05 gas 12 09 05 AURORA at 12 14 05_Rebuttal Power Costs 5" xfId="21544"/>
    <cellStyle name="_Value Copy 11 30 05 gas 12 09 05 AURORA at 12 14 05_Rebuttal Power Costs 5 2" xfId="21545"/>
    <cellStyle name="_Value Copy 11 30 05 gas 12 09 05 AURORA at 12 14 05_Rebuttal Power Costs 6" xfId="21546"/>
    <cellStyle name="_Value Copy 11 30 05 gas 12 09 05 AURORA at 12 14 05_Rebuttal Power Costs 6 2" xfId="21547"/>
    <cellStyle name="_Value Copy 11 30 05 gas 12 09 05 AURORA at 12 14 05_Rebuttal Power Costs 7" xfId="21548"/>
    <cellStyle name="_Value Copy 11 30 05 gas 12 09 05 AURORA at 12 14 05_Rebuttal Power Costs_Adj Bench DR 3 for Initial Briefs (Electric)" xfId="917"/>
    <cellStyle name="_Value Copy 11 30 05 gas 12 09 05 AURORA at 12 14 05_Rebuttal Power Costs_Adj Bench DR 3 for Initial Briefs (Electric) 2" xfId="21549"/>
    <cellStyle name="_Value Copy 11 30 05 gas 12 09 05 AURORA at 12 14 05_Rebuttal Power Costs_Adj Bench DR 3 for Initial Briefs (Electric) 2 2" xfId="21550"/>
    <cellStyle name="_Value Copy 11 30 05 gas 12 09 05 AURORA at 12 14 05_Rebuttal Power Costs_Adj Bench DR 3 for Initial Briefs (Electric) 2 2 2" xfId="21551"/>
    <cellStyle name="_Value Copy 11 30 05 gas 12 09 05 AURORA at 12 14 05_Rebuttal Power Costs_Adj Bench DR 3 for Initial Briefs (Electric) 2 2 2 2" xfId="21552"/>
    <cellStyle name="_Value Copy 11 30 05 gas 12 09 05 AURORA at 12 14 05_Rebuttal Power Costs_Adj Bench DR 3 for Initial Briefs (Electric) 2 2 3" xfId="21553"/>
    <cellStyle name="_Value Copy 11 30 05 gas 12 09 05 AURORA at 12 14 05_Rebuttal Power Costs_Adj Bench DR 3 for Initial Briefs (Electric) 2 3" xfId="21554"/>
    <cellStyle name="_Value Copy 11 30 05 gas 12 09 05 AURORA at 12 14 05_Rebuttal Power Costs_Adj Bench DR 3 for Initial Briefs (Electric) 2 3 2" xfId="21555"/>
    <cellStyle name="_Value Copy 11 30 05 gas 12 09 05 AURORA at 12 14 05_Rebuttal Power Costs_Adj Bench DR 3 for Initial Briefs (Electric) 2 4" xfId="21556"/>
    <cellStyle name="_Value Copy 11 30 05 gas 12 09 05 AURORA at 12 14 05_Rebuttal Power Costs_Adj Bench DR 3 for Initial Briefs (Electric) 2 4 2" xfId="21557"/>
    <cellStyle name="_Value Copy 11 30 05 gas 12 09 05 AURORA at 12 14 05_Rebuttal Power Costs_Adj Bench DR 3 for Initial Briefs (Electric) 2 5" xfId="21558"/>
    <cellStyle name="_Value Copy 11 30 05 gas 12 09 05 AURORA at 12 14 05_Rebuttal Power Costs_Adj Bench DR 3 for Initial Briefs (Electric) 3" xfId="21559"/>
    <cellStyle name="_Value Copy 11 30 05 gas 12 09 05 AURORA at 12 14 05_Rebuttal Power Costs_Adj Bench DR 3 for Initial Briefs (Electric) 3 2" xfId="21560"/>
    <cellStyle name="_Value Copy 11 30 05 gas 12 09 05 AURORA at 12 14 05_Rebuttal Power Costs_Adj Bench DR 3 for Initial Briefs (Electric) 3 2 2" xfId="21561"/>
    <cellStyle name="_Value Copy 11 30 05 gas 12 09 05 AURORA at 12 14 05_Rebuttal Power Costs_Adj Bench DR 3 for Initial Briefs (Electric) 3 3" xfId="21562"/>
    <cellStyle name="_Value Copy 11 30 05 gas 12 09 05 AURORA at 12 14 05_Rebuttal Power Costs_Adj Bench DR 3 for Initial Briefs (Electric) 3 4" xfId="21563"/>
    <cellStyle name="_Value Copy 11 30 05 gas 12 09 05 AURORA at 12 14 05_Rebuttal Power Costs_Adj Bench DR 3 for Initial Briefs (Electric) 4" xfId="21564"/>
    <cellStyle name="_Value Copy 11 30 05 gas 12 09 05 AURORA at 12 14 05_Rebuttal Power Costs_Adj Bench DR 3 for Initial Briefs (Electric) 4 2" xfId="21565"/>
    <cellStyle name="_Value Copy 11 30 05 gas 12 09 05 AURORA at 12 14 05_Rebuttal Power Costs_Adj Bench DR 3 for Initial Briefs (Electric) 4 2 2" xfId="21566"/>
    <cellStyle name="_Value Copy 11 30 05 gas 12 09 05 AURORA at 12 14 05_Rebuttal Power Costs_Adj Bench DR 3 for Initial Briefs (Electric) 4 3" xfId="21567"/>
    <cellStyle name="_Value Copy 11 30 05 gas 12 09 05 AURORA at 12 14 05_Rebuttal Power Costs_Adj Bench DR 3 for Initial Briefs (Electric) 5" xfId="21568"/>
    <cellStyle name="_Value Copy 11 30 05 gas 12 09 05 AURORA at 12 14 05_Rebuttal Power Costs_Adj Bench DR 3 for Initial Briefs (Electric) 5 2" xfId="21569"/>
    <cellStyle name="_Value Copy 11 30 05 gas 12 09 05 AURORA at 12 14 05_Rebuttal Power Costs_Adj Bench DR 3 for Initial Briefs (Electric) 6" xfId="21570"/>
    <cellStyle name="_Value Copy 11 30 05 gas 12 09 05 AURORA at 12 14 05_Rebuttal Power Costs_Adj Bench DR 3 for Initial Briefs (Electric) 6 2" xfId="21571"/>
    <cellStyle name="_Value Copy 11 30 05 gas 12 09 05 AURORA at 12 14 05_Rebuttal Power Costs_Adj Bench DR 3 for Initial Briefs (Electric) 7" xfId="21572"/>
    <cellStyle name="_Value Copy 11 30 05 gas 12 09 05 AURORA at 12 14 05_Rebuttal Power Costs_Adj Bench DR 3 for Initial Briefs (Electric)_DEM-WP(C) ENERG10C--ctn Mid-C_042010 2010GRC" xfId="21573"/>
    <cellStyle name="_Value Copy 11 30 05 gas 12 09 05 AURORA at 12 14 05_Rebuttal Power Costs_Adj Bench DR 3 for Initial Briefs (Electric)_DEM-WP(C) ENERG10C--ctn Mid-C_042010 2010GRC 2" xfId="21574"/>
    <cellStyle name="_Value Copy 11 30 05 gas 12 09 05 AURORA at 12 14 05_Rebuttal Power Costs_DEM-WP(C) ENERG10C--ctn Mid-C_042010 2010GRC" xfId="21575"/>
    <cellStyle name="_Value Copy 11 30 05 gas 12 09 05 AURORA at 12 14 05_Rebuttal Power Costs_DEM-WP(C) ENERG10C--ctn Mid-C_042010 2010GRC 2" xfId="21576"/>
    <cellStyle name="_Value Copy 11 30 05 gas 12 09 05 AURORA at 12 14 05_Rebuttal Power Costs_Electric Rev Req Model (2009 GRC) Rebuttal" xfId="918"/>
    <cellStyle name="_Value Copy 11 30 05 gas 12 09 05 AURORA at 12 14 05_Rebuttal Power Costs_Electric Rev Req Model (2009 GRC) Rebuttal 2" xfId="21577"/>
    <cellStyle name="_Value Copy 11 30 05 gas 12 09 05 AURORA at 12 14 05_Rebuttal Power Costs_Electric Rev Req Model (2009 GRC) Rebuttal 2 2" xfId="21578"/>
    <cellStyle name="_Value Copy 11 30 05 gas 12 09 05 AURORA at 12 14 05_Rebuttal Power Costs_Electric Rev Req Model (2009 GRC) Rebuttal 2 2 2" xfId="21579"/>
    <cellStyle name="_Value Copy 11 30 05 gas 12 09 05 AURORA at 12 14 05_Rebuttal Power Costs_Electric Rev Req Model (2009 GRC) Rebuttal 2 3" xfId="21580"/>
    <cellStyle name="_Value Copy 11 30 05 gas 12 09 05 AURORA at 12 14 05_Rebuttal Power Costs_Electric Rev Req Model (2009 GRC) Rebuttal 2 4" xfId="21581"/>
    <cellStyle name="_Value Copy 11 30 05 gas 12 09 05 AURORA at 12 14 05_Rebuttal Power Costs_Electric Rev Req Model (2009 GRC) Rebuttal 3" xfId="21582"/>
    <cellStyle name="_Value Copy 11 30 05 gas 12 09 05 AURORA at 12 14 05_Rebuttal Power Costs_Electric Rev Req Model (2009 GRC) Rebuttal 3 2" xfId="21583"/>
    <cellStyle name="_Value Copy 11 30 05 gas 12 09 05 AURORA at 12 14 05_Rebuttal Power Costs_Electric Rev Req Model (2009 GRC) Rebuttal 4" xfId="21584"/>
    <cellStyle name="_Value Copy 11 30 05 gas 12 09 05 AURORA at 12 14 05_Rebuttal Power Costs_Electric Rev Req Model (2009 GRC) Rebuttal 5" xfId="21585"/>
    <cellStyle name="_Value Copy 11 30 05 gas 12 09 05 AURORA at 12 14 05_Rebuttal Power Costs_Electric Rev Req Model (2009 GRC) Rebuttal REmoval of New  WH Solar AdjustMI" xfId="919"/>
    <cellStyle name="_Value Copy 11 30 05 gas 12 09 05 AURORA at 12 14 05_Rebuttal Power Costs_Electric Rev Req Model (2009 GRC) Rebuttal REmoval of New  WH Solar AdjustMI 2" xfId="21586"/>
    <cellStyle name="_Value Copy 11 30 05 gas 12 09 05 AURORA at 12 14 05_Rebuttal Power Costs_Electric Rev Req Model (2009 GRC) Rebuttal REmoval of New  WH Solar AdjustMI 2 2" xfId="21587"/>
    <cellStyle name="_Value Copy 11 30 05 gas 12 09 05 AURORA at 12 14 05_Rebuttal Power Costs_Electric Rev Req Model (2009 GRC) Rebuttal REmoval of New  WH Solar AdjustMI 2 2 2" xfId="21588"/>
    <cellStyle name="_Value Copy 11 30 05 gas 12 09 05 AURORA at 12 14 05_Rebuttal Power Costs_Electric Rev Req Model (2009 GRC) Rebuttal REmoval of New  WH Solar AdjustMI 2 2 2 2" xfId="21589"/>
    <cellStyle name="_Value Copy 11 30 05 gas 12 09 05 AURORA at 12 14 05_Rebuttal Power Costs_Electric Rev Req Model (2009 GRC) Rebuttal REmoval of New  WH Solar AdjustMI 2 2 3" xfId="21590"/>
    <cellStyle name="_Value Copy 11 30 05 gas 12 09 05 AURORA at 12 14 05_Rebuttal Power Costs_Electric Rev Req Model (2009 GRC) Rebuttal REmoval of New  WH Solar AdjustMI 2 3" xfId="21591"/>
    <cellStyle name="_Value Copy 11 30 05 gas 12 09 05 AURORA at 12 14 05_Rebuttal Power Costs_Electric Rev Req Model (2009 GRC) Rebuttal REmoval of New  WH Solar AdjustMI 2 3 2" xfId="21592"/>
    <cellStyle name="_Value Copy 11 30 05 gas 12 09 05 AURORA at 12 14 05_Rebuttal Power Costs_Electric Rev Req Model (2009 GRC) Rebuttal REmoval of New  WH Solar AdjustMI 2 4" xfId="21593"/>
    <cellStyle name="_Value Copy 11 30 05 gas 12 09 05 AURORA at 12 14 05_Rebuttal Power Costs_Electric Rev Req Model (2009 GRC) Rebuttal REmoval of New  WH Solar AdjustMI 2 4 2" xfId="21594"/>
    <cellStyle name="_Value Copy 11 30 05 gas 12 09 05 AURORA at 12 14 05_Rebuttal Power Costs_Electric Rev Req Model (2009 GRC) Rebuttal REmoval of New  WH Solar AdjustMI 2 5" xfId="21595"/>
    <cellStyle name="_Value Copy 11 30 05 gas 12 09 05 AURORA at 12 14 05_Rebuttal Power Costs_Electric Rev Req Model (2009 GRC) Rebuttal REmoval of New  WH Solar AdjustMI 3" xfId="21596"/>
    <cellStyle name="_Value Copy 11 30 05 gas 12 09 05 AURORA at 12 14 05_Rebuttal Power Costs_Electric Rev Req Model (2009 GRC) Rebuttal REmoval of New  WH Solar AdjustMI 3 2" xfId="21597"/>
    <cellStyle name="_Value Copy 11 30 05 gas 12 09 05 AURORA at 12 14 05_Rebuttal Power Costs_Electric Rev Req Model (2009 GRC) Rebuttal REmoval of New  WH Solar AdjustMI 3 2 2" xfId="21598"/>
    <cellStyle name="_Value Copy 11 30 05 gas 12 09 05 AURORA at 12 14 05_Rebuttal Power Costs_Electric Rev Req Model (2009 GRC) Rebuttal REmoval of New  WH Solar AdjustMI 3 3" xfId="21599"/>
    <cellStyle name="_Value Copy 11 30 05 gas 12 09 05 AURORA at 12 14 05_Rebuttal Power Costs_Electric Rev Req Model (2009 GRC) Rebuttal REmoval of New  WH Solar AdjustMI 3 4" xfId="21600"/>
    <cellStyle name="_Value Copy 11 30 05 gas 12 09 05 AURORA at 12 14 05_Rebuttal Power Costs_Electric Rev Req Model (2009 GRC) Rebuttal REmoval of New  WH Solar AdjustMI 4" xfId="21601"/>
    <cellStyle name="_Value Copy 11 30 05 gas 12 09 05 AURORA at 12 14 05_Rebuttal Power Costs_Electric Rev Req Model (2009 GRC) Rebuttal REmoval of New  WH Solar AdjustMI 4 2" xfId="21602"/>
    <cellStyle name="_Value Copy 11 30 05 gas 12 09 05 AURORA at 12 14 05_Rebuttal Power Costs_Electric Rev Req Model (2009 GRC) Rebuttal REmoval of New  WH Solar AdjustMI 4 2 2" xfId="21603"/>
    <cellStyle name="_Value Copy 11 30 05 gas 12 09 05 AURORA at 12 14 05_Rebuttal Power Costs_Electric Rev Req Model (2009 GRC) Rebuttal REmoval of New  WH Solar AdjustMI 4 3" xfId="21604"/>
    <cellStyle name="_Value Copy 11 30 05 gas 12 09 05 AURORA at 12 14 05_Rebuttal Power Costs_Electric Rev Req Model (2009 GRC) Rebuttal REmoval of New  WH Solar AdjustMI 5" xfId="21605"/>
    <cellStyle name="_Value Copy 11 30 05 gas 12 09 05 AURORA at 12 14 05_Rebuttal Power Costs_Electric Rev Req Model (2009 GRC) Rebuttal REmoval of New  WH Solar AdjustMI 5 2" xfId="21606"/>
    <cellStyle name="_Value Copy 11 30 05 gas 12 09 05 AURORA at 12 14 05_Rebuttal Power Costs_Electric Rev Req Model (2009 GRC) Rebuttal REmoval of New  WH Solar AdjustMI 6" xfId="21607"/>
    <cellStyle name="_Value Copy 11 30 05 gas 12 09 05 AURORA at 12 14 05_Rebuttal Power Costs_Electric Rev Req Model (2009 GRC) Rebuttal REmoval of New  WH Solar AdjustMI 6 2" xfId="21608"/>
    <cellStyle name="_Value Copy 11 30 05 gas 12 09 05 AURORA at 12 14 05_Rebuttal Power Costs_Electric Rev Req Model (2009 GRC) Rebuttal REmoval of New  WH Solar AdjustMI 7" xfId="21609"/>
    <cellStyle name="_Value Copy 11 30 05 gas 12 09 05 AURORA at 12 14 05_Rebuttal Power Costs_Electric Rev Req Model (2009 GRC) Rebuttal REmoval of New  WH Solar AdjustMI_DEM-WP(C) ENERG10C--ctn Mid-C_042010 2010GRC" xfId="21610"/>
    <cellStyle name="_Value Copy 11 30 05 gas 12 09 05 AURORA at 12 14 05_Rebuttal Power Costs_Electric Rev Req Model (2009 GRC) Rebuttal REmoval of New  WH Solar AdjustMI_DEM-WP(C) ENERG10C--ctn Mid-C_042010 2010GRC 2" xfId="21611"/>
    <cellStyle name="_Value Copy 11 30 05 gas 12 09 05 AURORA at 12 14 05_Rebuttal Power Costs_Electric Rev Req Model (2009 GRC) Revised 01-18-2010" xfId="920"/>
    <cellStyle name="_Value Copy 11 30 05 gas 12 09 05 AURORA at 12 14 05_Rebuttal Power Costs_Electric Rev Req Model (2009 GRC) Revised 01-18-2010 2" xfId="21612"/>
    <cellStyle name="_Value Copy 11 30 05 gas 12 09 05 AURORA at 12 14 05_Rebuttal Power Costs_Electric Rev Req Model (2009 GRC) Revised 01-18-2010 2 2" xfId="21613"/>
    <cellStyle name="_Value Copy 11 30 05 gas 12 09 05 AURORA at 12 14 05_Rebuttal Power Costs_Electric Rev Req Model (2009 GRC) Revised 01-18-2010 2 2 2" xfId="21614"/>
    <cellStyle name="_Value Copy 11 30 05 gas 12 09 05 AURORA at 12 14 05_Rebuttal Power Costs_Electric Rev Req Model (2009 GRC) Revised 01-18-2010 2 2 2 2" xfId="21615"/>
    <cellStyle name="_Value Copy 11 30 05 gas 12 09 05 AURORA at 12 14 05_Rebuttal Power Costs_Electric Rev Req Model (2009 GRC) Revised 01-18-2010 2 2 3" xfId="21616"/>
    <cellStyle name="_Value Copy 11 30 05 gas 12 09 05 AURORA at 12 14 05_Rebuttal Power Costs_Electric Rev Req Model (2009 GRC) Revised 01-18-2010 2 3" xfId="21617"/>
    <cellStyle name="_Value Copy 11 30 05 gas 12 09 05 AURORA at 12 14 05_Rebuttal Power Costs_Electric Rev Req Model (2009 GRC) Revised 01-18-2010 2 3 2" xfId="21618"/>
    <cellStyle name="_Value Copy 11 30 05 gas 12 09 05 AURORA at 12 14 05_Rebuttal Power Costs_Electric Rev Req Model (2009 GRC) Revised 01-18-2010 2 4" xfId="21619"/>
    <cellStyle name="_Value Copy 11 30 05 gas 12 09 05 AURORA at 12 14 05_Rebuttal Power Costs_Electric Rev Req Model (2009 GRC) Revised 01-18-2010 2 4 2" xfId="21620"/>
    <cellStyle name="_Value Copy 11 30 05 gas 12 09 05 AURORA at 12 14 05_Rebuttal Power Costs_Electric Rev Req Model (2009 GRC) Revised 01-18-2010 2 5" xfId="21621"/>
    <cellStyle name="_Value Copy 11 30 05 gas 12 09 05 AURORA at 12 14 05_Rebuttal Power Costs_Electric Rev Req Model (2009 GRC) Revised 01-18-2010 3" xfId="21622"/>
    <cellStyle name="_Value Copy 11 30 05 gas 12 09 05 AURORA at 12 14 05_Rebuttal Power Costs_Electric Rev Req Model (2009 GRC) Revised 01-18-2010 3 2" xfId="21623"/>
    <cellStyle name="_Value Copy 11 30 05 gas 12 09 05 AURORA at 12 14 05_Rebuttal Power Costs_Electric Rev Req Model (2009 GRC) Revised 01-18-2010 3 2 2" xfId="21624"/>
    <cellStyle name="_Value Copy 11 30 05 gas 12 09 05 AURORA at 12 14 05_Rebuttal Power Costs_Electric Rev Req Model (2009 GRC) Revised 01-18-2010 3 3" xfId="21625"/>
    <cellStyle name="_Value Copy 11 30 05 gas 12 09 05 AURORA at 12 14 05_Rebuttal Power Costs_Electric Rev Req Model (2009 GRC) Revised 01-18-2010 3 4" xfId="21626"/>
    <cellStyle name="_Value Copy 11 30 05 gas 12 09 05 AURORA at 12 14 05_Rebuttal Power Costs_Electric Rev Req Model (2009 GRC) Revised 01-18-2010 4" xfId="21627"/>
    <cellStyle name="_Value Copy 11 30 05 gas 12 09 05 AURORA at 12 14 05_Rebuttal Power Costs_Electric Rev Req Model (2009 GRC) Revised 01-18-2010 4 2" xfId="21628"/>
    <cellStyle name="_Value Copy 11 30 05 gas 12 09 05 AURORA at 12 14 05_Rebuttal Power Costs_Electric Rev Req Model (2009 GRC) Revised 01-18-2010 4 2 2" xfId="21629"/>
    <cellStyle name="_Value Copy 11 30 05 gas 12 09 05 AURORA at 12 14 05_Rebuttal Power Costs_Electric Rev Req Model (2009 GRC) Revised 01-18-2010 4 3" xfId="21630"/>
    <cellStyle name="_Value Copy 11 30 05 gas 12 09 05 AURORA at 12 14 05_Rebuttal Power Costs_Electric Rev Req Model (2009 GRC) Revised 01-18-2010 5" xfId="21631"/>
    <cellStyle name="_Value Copy 11 30 05 gas 12 09 05 AURORA at 12 14 05_Rebuttal Power Costs_Electric Rev Req Model (2009 GRC) Revised 01-18-2010 5 2" xfId="21632"/>
    <cellStyle name="_Value Copy 11 30 05 gas 12 09 05 AURORA at 12 14 05_Rebuttal Power Costs_Electric Rev Req Model (2009 GRC) Revised 01-18-2010 6" xfId="21633"/>
    <cellStyle name="_Value Copy 11 30 05 gas 12 09 05 AURORA at 12 14 05_Rebuttal Power Costs_Electric Rev Req Model (2009 GRC) Revised 01-18-2010 6 2" xfId="21634"/>
    <cellStyle name="_Value Copy 11 30 05 gas 12 09 05 AURORA at 12 14 05_Rebuttal Power Costs_Electric Rev Req Model (2009 GRC) Revised 01-18-2010 7" xfId="21635"/>
    <cellStyle name="_Value Copy 11 30 05 gas 12 09 05 AURORA at 12 14 05_Rebuttal Power Costs_Electric Rev Req Model (2009 GRC) Revised 01-18-2010_DEM-WP(C) ENERG10C--ctn Mid-C_042010 2010GRC" xfId="21636"/>
    <cellStyle name="_Value Copy 11 30 05 gas 12 09 05 AURORA at 12 14 05_Rebuttal Power Costs_Electric Rev Req Model (2009 GRC) Revised 01-18-2010_DEM-WP(C) ENERG10C--ctn Mid-C_042010 2010GRC 2" xfId="21637"/>
    <cellStyle name="_Value Copy 11 30 05 gas 12 09 05 AURORA at 12 14 05_Rebuttal Power Costs_Final Order Electric EXHIBIT A-1" xfId="921"/>
    <cellStyle name="_Value Copy 11 30 05 gas 12 09 05 AURORA at 12 14 05_Rebuttal Power Costs_Final Order Electric EXHIBIT A-1 2" xfId="21638"/>
    <cellStyle name="_Value Copy 11 30 05 gas 12 09 05 AURORA at 12 14 05_Rebuttal Power Costs_Final Order Electric EXHIBIT A-1 2 2" xfId="21639"/>
    <cellStyle name="_Value Copy 11 30 05 gas 12 09 05 AURORA at 12 14 05_Rebuttal Power Costs_Final Order Electric EXHIBIT A-1 2 2 2" xfId="21640"/>
    <cellStyle name="_Value Copy 11 30 05 gas 12 09 05 AURORA at 12 14 05_Rebuttal Power Costs_Final Order Electric EXHIBIT A-1 2 3" xfId="21641"/>
    <cellStyle name="_Value Copy 11 30 05 gas 12 09 05 AURORA at 12 14 05_Rebuttal Power Costs_Final Order Electric EXHIBIT A-1 2 4" xfId="21642"/>
    <cellStyle name="_Value Copy 11 30 05 gas 12 09 05 AURORA at 12 14 05_Rebuttal Power Costs_Final Order Electric EXHIBIT A-1 3" xfId="21643"/>
    <cellStyle name="_Value Copy 11 30 05 gas 12 09 05 AURORA at 12 14 05_Rebuttal Power Costs_Final Order Electric EXHIBIT A-1 3 2" xfId="21644"/>
    <cellStyle name="_Value Copy 11 30 05 gas 12 09 05 AURORA at 12 14 05_Rebuttal Power Costs_Final Order Electric EXHIBIT A-1 3 2 2" xfId="21645"/>
    <cellStyle name="_Value Copy 11 30 05 gas 12 09 05 AURORA at 12 14 05_Rebuttal Power Costs_Final Order Electric EXHIBIT A-1 3 3" xfId="21646"/>
    <cellStyle name="_Value Copy 11 30 05 gas 12 09 05 AURORA at 12 14 05_Rebuttal Power Costs_Final Order Electric EXHIBIT A-1 4" xfId="21647"/>
    <cellStyle name="_Value Copy 11 30 05 gas 12 09 05 AURORA at 12 14 05_Rebuttal Power Costs_Final Order Electric EXHIBIT A-1 4 2" xfId="21648"/>
    <cellStyle name="_Value Copy 11 30 05 gas 12 09 05 AURORA at 12 14 05_Rebuttal Power Costs_Final Order Electric EXHIBIT A-1 5" xfId="21649"/>
    <cellStyle name="_Value Copy 11 30 05 gas 12 09 05 AURORA at 12 14 05_Rebuttal Power Costs_Final Order Electric EXHIBIT A-1 6" xfId="21650"/>
    <cellStyle name="_Value Copy 11 30 05 gas 12 09 05 AURORA at 12 14 05_Rebuttal Power Costs_Final Order Electric EXHIBIT A-1 7" xfId="21651"/>
    <cellStyle name="_Value Copy 11 30 05 gas 12 09 05 AURORA at 12 14 05_ROR 5.02" xfId="21652"/>
    <cellStyle name="_Value Copy 11 30 05 gas 12 09 05 AURORA at 12 14 05_ROR 5.02 2" xfId="21653"/>
    <cellStyle name="_Value Copy 11 30 05 gas 12 09 05 AURORA at 12 14 05_ROR 5.02 2 2" xfId="21654"/>
    <cellStyle name="_Value Copy 11 30 05 gas 12 09 05 AURORA at 12 14 05_ROR 5.02 2 2 2" xfId="21655"/>
    <cellStyle name="_Value Copy 11 30 05 gas 12 09 05 AURORA at 12 14 05_ROR 5.02 2 3" xfId="21656"/>
    <cellStyle name="_Value Copy 11 30 05 gas 12 09 05 AURORA at 12 14 05_ROR 5.02 3" xfId="21657"/>
    <cellStyle name="_Value Copy 11 30 05 gas 12 09 05 AURORA at 12 14 05_ROR 5.02 3 2" xfId="21658"/>
    <cellStyle name="_Value Copy 11 30 05 gas 12 09 05 AURORA at 12 14 05_ROR 5.02 4" xfId="21659"/>
    <cellStyle name="_Value Copy 11 30 05 gas 12 09 05 AURORA at 12 14 05_Sch 40 Feeder OH 2008" xfId="21660"/>
    <cellStyle name="_Value Copy 11 30 05 gas 12 09 05 AURORA at 12 14 05_Sch 40 Feeder OH 2008 2" xfId="21661"/>
    <cellStyle name="_Value Copy 11 30 05 gas 12 09 05 AURORA at 12 14 05_Sch 40 Feeder OH 2008 2 2" xfId="21662"/>
    <cellStyle name="_Value Copy 11 30 05 gas 12 09 05 AURORA at 12 14 05_Sch 40 Feeder OH 2008 2 2 2" xfId="21663"/>
    <cellStyle name="_Value Copy 11 30 05 gas 12 09 05 AURORA at 12 14 05_Sch 40 Feeder OH 2008 2 3" xfId="21664"/>
    <cellStyle name="_Value Copy 11 30 05 gas 12 09 05 AURORA at 12 14 05_Sch 40 Feeder OH 2008 3" xfId="21665"/>
    <cellStyle name="_Value Copy 11 30 05 gas 12 09 05 AURORA at 12 14 05_Sch 40 Feeder OH 2008 3 2" xfId="21666"/>
    <cellStyle name="_Value Copy 11 30 05 gas 12 09 05 AURORA at 12 14 05_Sch 40 Feeder OH 2008 4" xfId="21667"/>
    <cellStyle name="_Value Copy 11 30 05 gas 12 09 05 AURORA at 12 14 05_Sch 40 Interim Energy Rates " xfId="21668"/>
    <cellStyle name="_Value Copy 11 30 05 gas 12 09 05 AURORA at 12 14 05_Sch 40 Interim Energy Rates  2" xfId="21669"/>
    <cellStyle name="_Value Copy 11 30 05 gas 12 09 05 AURORA at 12 14 05_Sch 40 Interim Energy Rates  2 2" xfId="21670"/>
    <cellStyle name="_Value Copy 11 30 05 gas 12 09 05 AURORA at 12 14 05_Sch 40 Interim Energy Rates  2 2 2" xfId="21671"/>
    <cellStyle name="_Value Copy 11 30 05 gas 12 09 05 AURORA at 12 14 05_Sch 40 Interim Energy Rates  2 3" xfId="21672"/>
    <cellStyle name="_Value Copy 11 30 05 gas 12 09 05 AURORA at 12 14 05_Sch 40 Interim Energy Rates  3" xfId="21673"/>
    <cellStyle name="_Value Copy 11 30 05 gas 12 09 05 AURORA at 12 14 05_Sch 40 Interim Energy Rates  3 2" xfId="21674"/>
    <cellStyle name="_Value Copy 11 30 05 gas 12 09 05 AURORA at 12 14 05_Sch 40 Interim Energy Rates  4" xfId="21675"/>
    <cellStyle name="_Value Copy 11 30 05 gas 12 09 05 AURORA at 12 14 05_Sch 40 Substation A&amp;G 2008" xfId="21676"/>
    <cellStyle name="_Value Copy 11 30 05 gas 12 09 05 AURORA at 12 14 05_Sch 40 Substation A&amp;G 2008 2" xfId="21677"/>
    <cellStyle name="_Value Copy 11 30 05 gas 12 09 05 AURORA at 12 14 05_Sch 40 Substation A&amp;G 2008 2 2" xfId="21678"/>
    <cellStyle name="_Value Copy 11 30 05 gas 12 09 05 AURORA at 12 14 05_Sch 40 Substation A&amp;G 2008 2 2 2" xfId="21679"/>
    <cellStyle name="_Value Copy 11 30 05 gas 12 09 05 AURORA at 12 14 05_Sch 40 Substation A&amp;G 2008 2 3" xfId="21680"/>
    <cellStyle name="_Value Copy 11 30 05 gas 12 09 05 AURORA at 12 14 05_Sch 40 Substation A&amp;G 2008 3" xfId="21681"/>
    <cellStyle name="_Value Copy 11 30 05 gas 12 09 05 AURORA at 12 14 05_Sch 40 Substation A&amp;G 2008 3 2" xfId="21682"/>
    <cellStyle name="_Value Copy 11 30 05 gas 12 09 05 AURORA at 12 14 05_Sch 40 Substation A&amp;G 2008 4" xfId="21683"/>
    <cellStyle name="_Value Copy 11 30 05 gas 12 09 05 AURORA at 12 14 05_Sch 40 Substation O&amp;M 2008" xfId="21684"/>
    <cellStyle name="_Value Copy 11 30 05 gas 12 09 05 AURORA at 12 14 05_Sch 40 Substation O&amp;M 2008 2" xfId="21685"/>
    <cellStyle name="_Value Copy 11 30 05 gas 12 09 05 AURORA at 12 14 05_Sch 40 Substation O&amp;M 2008 2 2" xfId="21686"/>
    <cellStyle name="_Value Copy 11 30 05 gas 12 09 05 AURORA at 12 14 05_Sch 40 Substation O&amp;M 2008 2 2 2" xfId="21687"/>
    <cellStyle name="_Value Copy 11 30 05 gas 12 09 05 AURORA at 12 14 05_Sch 40 Substation O&amp;M 2008 2 3" xfId="21688"/>
    <cellStyle name="_Value Copy 11 30 05 gas 12 09 05 AURORA at 12 14 05_Sch 40 Substation O&amp;M 2008 3" xfId="21689"/>
    <cellStyle name="_Value Copy 11 30 05 gas 12 09 05 AURORA at 12 14 05_Sch 40 Substation O&amp;M 2008 3 2" xfId="21690"/>
    <cellStyle name="_Value Copy 11 30 05 gas 12 09 05 AURORA at 12 14 05_Sch 40 Substation O&amp;M 2008 4" xfId="21691"/>
    <cellStyle name="_Value Copy 11 30 05 gas 12 09 05 AURORA at 12 14 05_Subs 2008" xfId="21692"/>
    <cellStyle name="_Value Copy 11 30 05 gas 12 09 05 AURORA at 12 14 05_Subs 2008 2" xfId="21693"/>
    <cellStyle name="_Value Copy 11 30 05 gas 12 09 05 AURORA at 12 14 05_Subs 2008 2 2" xfId="21694"/>
    <cellStyle name="_Value Copy 11 30 05 gas 12 09 05 AURORA at 12 14 05_Subs 2008 2 2 2" xfId="21695"/>
    <cellStyle name="_Value Copy 11 30 05 gas 12 09 05 AURORA at 12 14 05_Subs 2008 2 3" xfId="21696"/>
    <cellStyle name="_Value Copy 11 30 05 gas 12 09 05 AURORA at 12 14 05_Subs 2008 3" xfId="21697"/>
    <cellStyle name="_Value Copy 11 30 05 gas 12 09 05 AURORA at 12 14 05_Subs 2008 3 2" xfId="21698"/>
    <cellStyle name="_Value Copy 11 30 05 gas 12 09 05 AURORA at 12 14 05_Subs 2008 4" xfId="21699"/>
    <cellStyle name="_Value Copy 11 30 05 gas 12 09 05 AURORA at 12 14 05_Transmission Workbook for May BOD" xfId="21700"/>
    <cellStyle name="_Value Copy 11 30 05 gas 12 09 05 AURORA at 12 14 05_Transmission Workbook for May BOD 2" xfId="21701"/>
    <cellStyle name="_Value Copy 11 30 05 gas 12 09 05 AURORA at 12 14 05_Transmission Workbook for May BOD 2 2" xfId="21702"/>
    <cellStyle name="_Value Copy 11 30 05 gas 12 09 05 AURORA at 12 14 05_Transmission Workbook for May BOD 2 2 2" xfId="21703"/>
    <cellStyle name="_Value Copy 11 30 05 gas 12 09 05 AURORA at 12 14 05_Transmission Workbook for May BOD 2 2 2 2" xfId="21704"/>
    <cellStyle name="_Value Copy 11 30 05 gas 12 09 05 AURORA at 12 14 05_Transmission Workbook for May BOD 2 3" xfId="21705"/>
    <cellStyle name="_Value Copy 11 30 05 gas 12 09 05 AURORA at 12 14 05_Transmission Workbook for May BOD 2 3 2" xfId="21706"/>
    <cellStyle name="_Value Copy 11 30 05 gas 12 09 05 AURORA at 12 14 05_Transmission Workbook for May BOD 2 4" xfId="21707"/>
    <cellStyle name="_Value Copy 11 30 05 gas 12 09 05 AURORA at 12 14 05_Transmission Workbook for May BOD 2 4 2" xfId="21708"/>
    <cellStyle name="_Value Copy 11 30 05 gas 12 09 05 AURORA at 12 14 05_Transmission Workbook for May BOD 2 5" xfId="21709"/>
    <cellStyle name="_Value Copy 11 30 05 gas 12 09 05 AURORA at 12 14 05_Transmission Workbook for May BOD 3" xfId="21710"/>
    <cellStyle name="_Value Copy 11 30 05 gas 12 09 05 AURORA at 12 14 05_Transmission Workbook for May BOD 3 2" xfId="21711"/>
    <cellStyle name="_Value Copy 11 30 05 gas 12 09 05 AURORA at 12 14 05_Transmission Workbook for May BOD 3 2 2" xfId="21712"/>
    <cellStyle name="_Value Copy 11 30 05 gas 12 09 05 AURORA at 12 14 05_Transmission Workbook for May BOD 3 3" xfId="21713"/>
    <cellStyle name="_Value Copy 11 30 05 gas 12 09 05 AURORA at 12 14 05_Transmission Workbook for May BOD 4" xfId="21714"/>
    <cellStyle name="_Value Copy 11 30 05 gas 12 09 05 AURORA at 12 14 05_Transmission Workbook for May BOD 4 2" xfId="21715"/>
    <cellStyle name="_Value Copy 11 30 05 gas 12 09 05 AURORA at 12 14 05_Transmission Workbook for May BOD 4 2 2" xfId="21716"/>
    <cellStyle name="_Value Copy 11 30 05 gas 12 09 05 AURORA at 12 14 05_Transmission Workbook for May BOD 4 3" xfId="21717"/>
    <cellStyle name="_Value Copy 11 30 05 gas 12 09 05 AURORA at 12 14 05_Transmission Workbook for May BOD 5" xfId="21718"/>
    <cellStyle name="_Value Copy 11 30 05 gas 12 09 05 AURORA at 12 14 05_Transmission Workbook for May BOD 5 2" xfId="21719"/>
    <cellStyle name="_Value Copy 11 30 05 gas 12 09 05 AURORA at 12 14 05_Transmission Workbook for May BOD 6" xfId="21720"/>
    <cellStyle name="_Value Copy 11 30 05 gas 12 09 05 AURORA at 12 14 05_Transmission Workbook for May BOD 6 2" xfId="21721"/>
    <cellStyle name="_Value Copy 11 30 05 gas 12 09 05 AURORA at 12 14 05_Transmission Workbook for May BOD 7" xfId="21722"/>
    <cellStyle name="_Value Copy 11 30 05 gas 12 09 05 AURORA at 12 14 05_Transmission Workbook for May BOD_DEM-WP(C) ENERG10C--ctn Mid-C_042010 2010GRC" xfId="21723"/>
    <cellStyle name="_Value Copy 11 30 05 gas 12 09 05 AURORA at 12 14 05_Transmission Workbook for May BOD_DEM-WP(C) ENERG10C--ctn Mid-C_042010 2010GRC 2" xfId="21724"/>
    <cellStyle name="_Value Copy 11 30 05 gas 12 09 05 AURORA at 12 14 05_Wind Integration 10GRC" xfId="21725"/>
    <cellStyle name="_Value Copy 11 30 05 gas 12 09 05 AURORA at 12 14 05_Wind Integration 10GRC 2" xfId="21726"/>
    <cellStyle name="_Value Copy 11 30 05 gas 12 09 05 AURORA at 12 14 05_Wind Integration 10GRC 2 2" xfId="21727"/>
    <cellStyle name="_Value Copy 11 30 05 gas 12 09 05 AURORA at 12 14 05_Wind Integration 10GRC 2 2 2" xfId="21728"/>
    <cellStyle name="_Value Copy 11 30 05 gas 12 09 05 AURORA at 12 14 05_Wind Integration 10GRC 2 2 2 2" xfId="21729"/>
    <cellStyle name="_Value Copy 11 30 05 gas 12 09 05 AURORA at 12 14 05_Wind Integration 10GRC 2 3" xfId="21730"/>
    <cellStyle name="_Value Copy 11 30 05 gas 12 09 05 AURORA at 12 14 05_Wind Integration 10GRC 2 3 2" xfId="21731"/>
    <cellStyle name="_Value Copy 11 30 05 gas 12 09 05 AURORA at 12 14 05_Wind Integration 10GRC 2 4" xfId="21732"/>
    <cellStyle name="_Value Copy 11 30 05 gas 12 09 05 AURORA at 12 14 05_Wind Integration 10GRC 2 4 2" xfId="21733"/>
    <cellStyle name="_Value Copy 11 30 05 gas 12 09 05 AURORA at 12 14 05_Wind Integration 10GRC 2 5" xfId="21734"/>
    <cellStyle name="_Value Copy 11 30 05 gas 12 09 05 AURORA at 12 14 05_Wind Integration 10GRC 3" xfId="21735"/>
    <cellStyle name="_Value Copy 11 30 05 gas 12 09 05 AURORA at 12 14 05_Wind Integration 10GRC 3 2" xfId="21736"/>
    <cellStyle name="_Value Copy 11 30 05 gas 12 09 05 AURORA at 12 14 05_Wind Integration 10GRC 3 2 2" xfId="21737"/>
    <cellStyle name="_Value Copy 11 30 05 gas 12 09 05 AURORA at 12 14 05_Wind Integration 10GRC 3 3" xfId="21738"/>
    <cellStyle name="_Value Copy 11 30 05 gas 12 09 05 AURORA at 12 14 05_Wind Integration 10GRC 4" xfId="21739"/>
    <cellStyle name="_Value Copy 11 30 05 gas 12 09 05 AURORA at 12 14 05_Wind Integration 10GRC 4 2" xfId="21740"/>
    <cellStyle name="_Value Copy 11 30 05 gas 12 09 05 AURORA at 12 14 05_Wind Integration 10GRC 4 2 2" xfId="21741"/>
    <cellStyle name="_Value Copy 11 30 05 gas 12 09 05 AURORA at 12 14 05_Wind Integration 10GRC 4 3" xfId="21742"/>
    <cellStyle name="_Value Copy 11 30 05 gas 12 09 05 AURORA at 12 14 05_Wind Integration 10GRC 5" xfId="21743"/>
    <cellStyle name="_Value Copy 11 30 05 gas 12 09 05 AURORA at 12 14 05_Wind Integration 10GRC 5 2" xfId="21744"/>
    <cellStyle name="_Value Copy 11 30 05 gas 12 09 05 AURORA at 12 14 05_Wind Integration 10GRC 6" xfId="21745"/>
    <cellStyle name="_Value Copy 11 30 05 gas 12 09 05 AURORA at 12 14 05_Wind Integration 10GRC 6 2" xfId="21746"/>
    <cellStyle name="_Value Copy 11 30 05 gas 12 09 05 AURORA at 12 14 05_Wind Integration 10GRC 7" xfId="21747"/>
    <cellStyle name="_Value Copy 11 30 05 gas 12 09 05 AURORA at 12 14 05_Wind Integration 10GRC_DEM-WP(C) ENERG10C--ctn Mid-C_042010 2010GRC" xfId="21748"/>
    <cellStyle name="_Value Copy 11 30 05 gas 12 09 05 AURORA at 12 14 05_Wind Integration 10GRC_DEM-WP(C) ENERG10C--ctn Mid-C_042010 2010GRC 2" xfId="21749"/>
    <cellStyle name="_VC 2007GRC PC 10312007" xfId="922"/>
    <cellStyle name="_VC 2007GRC PC 10312007 2" xfId="21750"/>
    <cellStyle name="_VC 2007GRC PC 10312007 2 2" xfId="21751"/>
    <cellStyle name="_VC 6.15.06 update on 06GRC power costs.xls Chart 1" xfId="923"/>
    <cellStyle name="_VC 6.15.06 update on 06GRC power costs.xls Chart 1 10" xfId="21752"/>
    <cellStyle name="_VC 6.15.06 update on 06GRC power costs.xls Chart 1 10 2" xfId="21753"/>
    <cellStyle name="_VC 6.15.06 update on 06GRC power costs.xls Chart 1 11" xfId="21754"/>
    <cellStyle name="_VC 6.15.06 update on 06GRC power costs.xls Chart 1 11 2" xfId="21755"/>
    <cellStyle name="_VC 6.15.06 update on 06GRC power costs.xls Chart 1 11 3" xfId="21756"/>
    <cellStyle name="_VC 6.15.06 update on 06GRC power costs.xls Chart 1 12" xfId="21757"/>
    <cellStyle name="_VC 6.15.06 update on 06GRC power costs.xls Chart 1 2" xfId="924"/>
    <cellStyle name="_VC 6.15.06 update on 06GRC power costs.xls Chart 1 2 2" xfId="21758"/>
    <cellStyle name="_VC 6.15.06 update on 06GRC power costs.xls Chart 1 2 2 2" xfId="21759"/>
    <cellStyle name="_VC 6.15.06 update on 06GRC power costs.xls Chart 1 2 2 2 2" xfId="21760"/>
    <cellStyle name="_VC 6.15.06 update on 06GRC power costs.xls Chart 1 2 2 2 2 2" xfId="21761"/>
    <cellStyle name="_VC 6.15.06 update on 06GRC power costs.xls Chart 1 2 2 2 3" xfId="21762"/>
    <cellStyle name="_VC 6.15.06 update on 06GRC power costs.xls Chart 1 2 2 3" xfId="21763"/>
    <cellStyle name="_VC 6.15.06 update on 06GRC power costs.xls Chart 1 2 2 3 2" xfId="21764"/>
    <cellStyle name="_VC 6.15.06 update on 06GRC power costs.xls Chart 1 2 2 4" xfId="21765"/>
    <cellStyle name="_VC 6.15.06 update on 06GRC power costs.xls Chart 1 2 2 4 2" xfId="21766"/>
    <cellStyle name="_VC 6.15.06 update on 06GRC power costs.xls Chart 1 2 2 5" xfId="21767"/>
    <cellStyle name="_VC 6.15.06 update on 06GRC power costs.xls Chart 1 2 3" xfId="21768"/>
    <cellStyle name="_VC 6.15.06 update on 06GRC power costs.xls Chart 1 2 3 2" xfId="21769"/>
    <cellStyle name="_VC 6.15.06 update on 06GRC power costs.xls Chart 1 2 3 2 2" xfId="21770"/>
    <cellStyle name="_VC 6.15.06 update on 06GRC power costs.xls Chart 1 2 3 3" xfId="21771"/>
    <cellStyle name="_VC 6.15.06 update on 06GRC power costs.xls Chart 1 2 3 4" xfId="21772"/>
    <cellStyle name="_VC 6.15.06 update on 06GRC power costs.xls Chart 1 2 4" xfId="21773"/>
    <cellStyle name="_VC 6.15.06 update on 06GRC power costs.xls Chart 1 2 4 2" xfId="21774"/>
    <cellStyle name="_VC 6.15.06 update on 06GRC power costs.xls Chart 1 2 4 2 2" xfId="21775"/>
    <cellStyle name="_VC 6.15.06 update on 06GRC power costs.xls Chart 1 2 4 3" xfId="21776"/>
    <cellStyle name="_VC 6.15.06 update on 06GRC power costs.xls Chart 1 2 5" xfId="21777"/>
    <cellStyle name="_VC 6.15.06 update on 06GRC power costs.xls Chart 1 2 5 2" xfId="21778"/>
    <cellStyle name="_VC 6.15.06 update on 06GRC power costs.xls Chart 1 2 6" xfId="21779"/>
    <cellStyle name="_VC 6.15.06 update on 06GRC power costs.xls Chart 1 2 6 2" xfId="21780"/>
    <cellStyle name="_VC 6.15.06 update on 06GRC power costs.xls Chart 1 2 7" xfId="21781"/>
    <cellStyle name="_VC 6.15.06 update on 06GRC power costs.xls Chart 1 3" xfId="21782"/>
    <cellStyle name="_VC 6.15.06 update on 06GRC power costs.xls Chart 1 3 2" xfId="21783"/>
    <cellStyle name="_VC 6.15.06 update on 06GRC power costs.xls Chart 1 3 2 2" xfId="21784"/>
    <cellStyle name="_VC 6.15.06 update on 06GRC power costs.xls Chart 1 3 2 2 2" xfId="21785"/>
    <cellStyle name="_VC 6.15.06 update on 06GRC power costs.xls Chart 1 3 2 3" xfId="21786"/>
    <cellStyle name="_VC 6.15.06 update on 06GRC power costs.xls Chart 1 3 2 4" xfId="21787"/>
    <cellStyle name="_VC 6.15.06 update on 06GRC power costs.xls Chart 1 3 3" xfId="21788"/>
    <cellStyle name="_VC 6.15.06 update on 06GRC power costs.xls Chart 1 3 3 2" xfId="21789"/>
    <cellStyle name="_VC 6.15.06 update on 06GRC power costs.xls Chart 1 3 3 2 2" xfId="21790"/>
    <cellStyle name="_VC 6.15.06 update on 06GRC power costs.xls Chart 1 3 3 3" xfId="21791"/>
    <cellStyle name="_VC 6.15.06 update on 06GRC power costs.xls Chart 1 3 4" xfId="21792"/>
    <cellStyle name="_VC 6.15.06 update on 06GRC power costs.xls Chart 1 3 4 2" xfId="21793"/>
    <cellStyle name="_VC 6.15.06 update on 06GRC power costs.xls Chart 1 3 4 2 2" xfId="21794"/>
    <cellStyle name="_VC 6.15.06 update on 06GRC power costs.xls Chart 1 3 4 3" xfId="21795"/>
    <cellStyle name="_VC 6.15.06 update on 06GRC power costs.xls Chart 1 3 5" xfId="21796"/>
    <cellStyle name="_VC 6.15.06 update on 06GRC power costs.xls Chart 1 3 5 2" xfId="21797"/>
    <cellStyle name="_VC 6.15.06 update on 06GRC power costs.xls Chart 1 3 6" xfId="21798"/>
    <cellStyle name="_VC 6.15.06 update on 06GRC power costs.xls Chart 1 4" xfId="21799"/>
    <cellStyle name="_VC 6.15.06 update on 06GRC power costs.xls Chart 1 4 2" xfId="21800"/>
    <cellStyle name="_VC 6.15.06 update on 06GRC power costs.xls Chart 1 4 2 2" xfId="21801"/>
    <cellStyle name="_VC 6.15.06 update on 06GRC power costs.xls Chart 1 4 2 2 2" xfId="21802"/>
    <cellStyle name="_VC 6.15.06 update on 06GRC power costs.xls Chart 1 4 2 2 2 2" xfId="21803"/>
    <cellStyle name="_VC 6.15.06 update on 06GRC power costs.xls Chart 1 4 2 3" xfId="21804"/>
    <cellStyle name="_VC 6.15.06 update on 06GRC power costs.xls Chart 1 4 2 3 2" xfId="21805"/>
    <cellStyle name="_VC 6.15.06 update on 06GRC power costs.xls Chart 1 4 2 4" xfId="21806"/>
    <cellStyle name="_VC 6.15.06 update on 06GRC power costs.xls Chart 1 4 2 4 2" xfId="21807"/>
    <cellStyle name="_VC 6.15.06 update on 06GRC power costs.xls Chart 1 4 2 5" xfId="21808"/>
    <cellStyle name="_VC 6.15.06 update on 06GRC power costs.xls Chart 1 4 3" xfId="21809"/>
    <cellStyle name="_VC 6.15.06 update on 06GRC power costs.xls Chart 1 4 3 2" xfId="21810"/>
    <cellStyle name="_VC 6.15.06 update on 06GRC power costs.xls Chart 1 4 3 2 2" xfId="21811"/>
    <cellStyle name="_VC 6.15.06 update on 06GRC power costs.xls Chart 1 4 3 3" xfId="21812"/>
    <cellStyle name="_VC 6.15.06 update on 06GRC power costs.xls Chart 1 4 4" xfId="21813"/>
    <cellStyle name="_VC 6.15.06 update on 06GRC power costs.xls Chart 1 4 4 2" xfId="21814"/>
    <cellStyle name="_VC 6.15.06 update on 06GRC power costs.xls Chart 1 4 4 2 2" xfId="21815"/>
    <cellStyle name="_VC 6.15.06 update on 06GRC power costs.xls Chart 1 4 4 3" xfId="21816"/>
    <cellStyle name="_VC 6.15.06 update on 06GRC power costs.xls Chart 1 4 5" xfId="21817"/>
    <cellStyle name="_VC 6.15.06 update on 06GRC power costs.xls Chart 1 4 5 2" xfId="21818"/>
    <cellStyle name="_VC 6.15.06 update on 06GRC power costs.xls Chart 1 4 6" xfId="21819"/>
    <cellStyle name="_VC 6.15.06 update on 06GRC power costs.xls Chart 1 4 6 2" xfId="21820"/>
    <cellStyle name="_VC 6.15.06 update on 06GRC power costs.xls Chart 1 4 7" xfId="21821"/>
    <cellStyle name="_VC 6.15.06 update on 06GRC power costs.xls Chart 1 5" xfId="21822"/>
    <cellStyle name="_VC 6.15.06 update on 06GRC power costs.xls Chart 1 5 2" xfId="21823"/>
    <cellStyle name="_VC 6.15.06 update on 06GRC power costs.xls Chart 1 5 2 2" xfId="21824"/>
    <cellStyle name="_VC 6.15.06 update on 06GRC power costs.xls Chart 1 5 2 2 2" xfId="21825"/>
    <cellStyle name="_VC 6.15.06 update on 06GRC power costs.xls Chart 1 5 2 2 2 2" xfId="21826"/>
    <cellStyle name="_VC 6.15.06 update on 06GRC power costs.xls Chart 1 5 2 3" xfId="21827"/>
    <cellStyle name="_VC 6.15.06 update on 06GRC power costs.xls Chart 1 5 2 3 2" xfId="21828"/>
    <cellStyle name="_VC 6.15.06 update on 06GRC power costs.xls Chart 1 5 2 4" xfId="21829"/>
    <cellStyle name="_VC 6.15.06 update on 06GRC power costs.xls Chart 1 5 2 4 2" xfId="21830"/>
    <cellStyle name="_VC 6.15.06 update on 06GRC power costs.xls Chart 1 5 2 5" xfId="21831"/>
    <cellStyle name="_VC 6.15.06 update on 06GRC power costs.xls Chart 1 5 3" xfId="21832"/>
    <cellStyle name="_VC 6.15.06 update on 06GRC power costs.xls Chart 1 5 3 2" xfId="21833"/>
    <cellStyle name="_VC 6.15.06 update on 06GRC power costs.xls Chart 1 5 3 2 2" xfId="21834"/>
    <cellStyle name="_VC 6.15.06 update on 06GRC power costs.xls Chart 1 5 4" xfId="21835"/>
    <cellStyle name="_VC 6.15.06 update on 06GRC power costs.xls Chart 1 5 4 2" xfId="21836"/>
    <cellStyle name="_VC 6.15.06 update on 06GRC power costs.xls Chart 1 5 5" xfId="21837"/>
    <cellStyle name="_VC 6.15.06 update on 06GRC power costs.xls Chart 1 5 5 2" xfId="21838"/>
    <cellStyle name="_VC 6.15.06 update on 06GRC power costs.xls Chart 1 5 6" xfId="21839"/>
    <cellStyle name="_VC 6.15.06 update on 06GRC power costs.xls Chart 1 6" xfId="21840"/>
    <cellStyle name="_VC 6.15.06 update on 06GRC power costs.xls Chart 1 6 2" xfId="21841"/>
    <cellStyle name="_VC 6.15.06 update on 06GRC power costs.xls Chart 1 6 2 2" xfId="21842"/>
    <cellStyle name="_VC 6.15.06 update on 06GRC power costs.xls Chart 1 6 2 2 2" xfId="21843"/>
    <cellStyle name="_VC 6.15.06 update on 06GRC power costs.xls Chart 1 6 3" xfId="21844"/>
    <cellStyle name="_VC 6.15.06 update on 06GRC power costs.xls Chart 1 6 3 2" xfId="21845"/>
    <cellStyle name="_VC 6.15.06 update on 06GRC power costs.xls Chart 1 6 4" xfId="21846"/>
    <cellStyle name="_VC 6.15.06 update on 06GRC power costs.xls Chart 1 6 4 2" xfId="21847"/>
    <cellStyle name="_VC 6.15.06 update on 06GRC power costs.xls Chart 1 7" xfId="21848"/>
    <cellStyle name="_VC 6.15.06 update on 06GRC power costs.xls Chart 1 7 2" xfId="21849"/>
    <cellStyle name="_VC 6.15.06 update on 06GRC power costs.xls Chart 1 7 2 2" xfId="21850"/>
    <cellStyle name="_VC 6.15.06 update on 06GRC power costs.xls Chart 1 7 3" xfId="21851"/>
    <cellStyle name="_VC 6.15.06 update on 06GRC power costs.xls Chart 1 8" xfId="21852"/>
    <cellStyle name="_VC 6.15.06 update on 06GRC power costs.xls Chart 1 8 2" xfId="21853"/>
    <cellStyle name="_VC 6.15.06 update on 06GRC power costs.xls Chart 1 8 2 2" xfId="21854"/>
    <cellStyle name="_VC 6.15.06 update on 06GRC power costs.xls Chart 1 8 3" xfId="21855"/>
    <cellStyle name="_VC 6.15.06 update on 06GRC power costs.xls Chart 1 9" xfId="21856"/>
    <cellStyle name="_VC 6.15.06 update on 06GRC power costs.xls Chart 1 9 2" xfId="21857"/>
    <cellStyle name="_VC 6.15.06 update on 06GRC power costs.xls Chart 1 9 2 2" xfId="21858"/>
    <cellStyle name="_VC 6.15.06 update on 06GRC power costs.xls Chart 1 9 2 2 2" xfId="21859"/>
    <cellStyle name="_VC 6.15.06 update on 06GRC power costs.xls Chart 1 9 2 3" xfId="21860"/>
    <cellStyle name="_VC 6.15.06 update on 06GRC power costs.xls Chart 1 9 3" xfId="21861"/>
    <cellStyle name="_VC 6.15.06 update on 06GRC power costs.xls Chart 1 9 3 2" xfId="21862"/>
    <cellStyle name="_VC 6.15.06 update on 06GRC power costs.xls Chart 1 9 4" xfId="21863"/>
    <cellStyle name="_VC 6.15.06 update on 06GRC power costs.xls Chart 1_04 07E Wild Horse Wind Expansion (C) (2)" xfId="925"/>
    <cellStyle name="_VC 6.15.06 update on 06GRC power costs.xls Chart 1_04 07E Wild Horse Wind Expansion (C) (2) 2" xfId="21864"/>
    <cellStyle name="_VC 6.15.06 update on 06GRC power costs.xls Chart 1_04 07E Wild Horse Wind Expansion (C) (2) 2 2" xfId="21865"/>
    <cellStyle name="_VC 6.15.06 update on 06GRC power costs.xls Chart 1_04 07E Wild Horse Wind Expansion (C) (2) 2 2 2" xfId="21866"/>
    <cellStyle name="_VC 6.15.06 update on 06GRC power costs.xls Chart 1_04 07E Wild Horse Wind Expansion (C) (2) 2 2 2 2" xfId="21867"/>
    <cellStyle name="_VC 6.15.06 update on 06GRC power costs.xls Chart 1_04 07E Wild Horse Wind Expansion (C) (2) 2 2 3" xfId="21868"/>
    <cellStyle name="_VC 6.15.06 update on 06GRC power costs.xls Chart 1_04 07E Wild Horse Wind Expansion (C) (2) 2 3" xfId="21869"/>
    <cellStyle name="_VC 6.15.06 update on 06GRC power costs.xls Chart 1_04 07E Wild Horse Wind Expansion (C) (2) 2 3 2" xfId="21870"/>
    <cellStyle name="_VC 6.15.06 update on 06GRC power costs.xls Chart 1_04 07E Wild Horse Wind Expansion (C) (2) 2 4" xfId="21871"/>
    <cellStyle name="_VC 6.15.06 update on 06GRC power costs.xls Chart 1_04 07E Wild Horse Wind Expansion (C) (2) 2 4 2" xfId="21872"/>
    <cellStyle name="_VC 6.15.06 update on 06GRC power costs.xls Chart 1_04 07E Wild Horse Wind Expansion (C) (2) 2 5" xfId="21873"/>
    <cellStyle name="_VC 6.15.06 update on 06GRC power costs.xls Chart 1_04 07E Wild Horse Wind Expansion (C) (2) 3" xfId="21874"/>
    <cellStyle name="_VC 6.15.06 update on 06GRC power costs.xls Chart 1_04 07E Wild Horse Wind Expansion (C) (2) 3 2" xfId="21875"/>
    <cellStyle name="_VC 6.15.06 update on 06GRC power costs.xls Chart 1_04 07E Wild Horse Wind Expansion (C) (2) 3 2 2" xfId="21876"/>
    <cellStyle name="_VC 6.15.06 update on 06GRC power costs.xls Chart 1_04 07E Wild Horse Wind Expansion (C) (2) 3 3" xfId="21877"/>
    <cellStyle name="_VC 6.15.06 update on 06GRC power costs.xls Chart 1_04 07E Wild Horse Wind Expansion (C) (2) 3 4" xfId="21878"/>
    <cellStyle name="_VC 6.15.06 update on 06GRC power costs.xls Chart 1_04 07E Wild Horse Wind Expansion (C) (2) 4" xfId="21879"/>
    <cellStyle name="_VC 6.15.06 update on 06GRC power costs.xls Chart 1_04 07E Wild Horse Wind Expansion (C) (2) 4 2" xfId="21880"/>
    <cellStyle name="_VC 6.15.06 update on 06GRC power costs.xls Chart 1_04 07E Wild Horse Wind Expansion (C) (2) 4 2 2" xfId="21881"/>
    <cellStyle name="_VC 6.15.06 update on 06GRC power costs.xls Chart 1_04 07E Wild Horse Wind Expansion (C) (2) 4 3" xfId="21882"/>
    <cellStyle name="_VC 6.15.06 update on 06GRC power costs.xls Chart 1_04 07E Wild Horse Wind Expansion (C) (2) 5" xfId="21883"/>
    <cellStyle name="_VC 6.15.06 update on 06GRC power costs.xls Chart 1_04 07E Wild Horse Wind Expansion (C) (2) 5 2" xfId="21884"/>
    <cellStyle name="_VC 6.15.06 update on 06GRC power costs.xls Chart 1_04 07E Wild Horse Wind Expansion (C) (2) 6" xfId="21885"/>
    <cellStyle name="_VC 6.15.06 update on 06GRC power costs.xls Chart 1_04 07E Wild Horse Wind Expansion (C) (2) 6 2" xfId="21886"/>
    <cellStyle name="_VC 6.15.06 update on 06GRC power costs.xls Chart 1_04 07E Wild Horse Wind Expansion (C) (2) 7" xfId="21887"/>
    <cellStyle name="_VC 6.15.06 update on 06GRC power costs.xls Chart 1_04 07E Wild Horse Wind Expansion (C) (2)_Adj Bench DR 3 for Initial Briefs (Electric)" xfId="926"/>
    <cellStyle name="_VC 6.15.06 update on 06GRC power costs.xls Chart 1_04 07E Wild Horse Wind Expansion (C) (2)_Adj Bench DR 3 for Initial Briefs (Electric) 2" xfId="21888"/>
    <cellStyle name="_VC 6.15.06 update on 06GRC power costs.xls Chart 1_04 07E Wild Horse Wind Expansion (C) (2)_Adj Bench DR 3 for Initial Briefs (Electric) 2 2" xfId="21889"/>
    <cellStyle name="_VC 6.15.06 update on 06GRC power costs.xls Chart 1_04 07E Wild Horse Wind Expansion (C) (2)_Adj Bench DR 3 for Initial Briefs (Electric) 2 2 2" xfId="21890"/>
    <cellStyle name="_VC 6.15.06 update on 06GRC power costs.xls Chart 1_04 07E Wild Horse Wind Expansion (C) (2)_Adj Bench DR 3 for Initial Briefs (Electric) 2 2 2 2" xfId="21891"/>
    <cellStyle name="_VC 6.15.06 update on 06GRC power costs.xls Chart 1_04 07E Wild Horse Wind Expansion (C) (2)_Adj Bench DR 3 for Initial Briefs (Electric) 2 2 3" xfId="21892"/>
    <cellStyle name="_VC 6.15.06 update on 06GRC power costs.xls Chart 1_04 07E Wild Horse Wind Expansion (C) (2)_Adj Bench DR 3 for Initial Briefs (Electric) 2 3" xfId="21893"/>
    <cellStyle name="_VC 6.15.06 update on 06GRC power costs.xls Chart 1_04 07E Wild Horse Wind Expansion (C) (2)_Adj Bench DR 3 for Initial Briefs (Electric) 2 3 2" xfId="21894"/>
    <cellStyle name="_VC 6.15.06 update on 06GRC power costs.xls Chart 1_04 07E Wild Horse Wind Expansion (C) (2)_Adj Bench DR 3 for Initial Briefs (Electric) 2 4" xfId="21895"/>
    <cellStyle name="_VC 6.15.06 update on 06GRC power costs.xls Chart 1_04 07E Wild Horse Wind Expansion (C) (2)_Adj Bench DR 3 for Initial Briefs (Electric) 2 4 2" xfId="21896"/>
    <cellStyle name="_VC 6.15.06 update on 06GRC power costs.xls Chart 1_04 07E Wild Horse Wind Expansion (C) (2)_Adj Bench DR 3 for Initial Briefs (Electric) 2 5" xfId="21897"/>
    <cellStyle name="_VC 6.15.06 update on 06GRC power costs.xls Chart 1_04 07E Wild Horse Wind Expansion (C) (2)_Adj Bench DR 3 for Initial Briefs (Electric) 3" xfId="21898"/>
    <cellStyle name="_VC 6.15.06 update on 06GRC power costs.xls Chart 1_04 07E Wild Horse Wind Expansion (C) (2)_Adj Bench DR 3 for Initial Briefs (Electric) 3 2" xfId="21899"/>
    <cellStyle name="_VC 6.15.06 update on 06GRC power costs.xls Chart 1_04 07E Wild Horse Wind Expansion (C) (2)_Adj Bench DR 3 for Initial Briefs (Electric) 3 2 2" xfId="21900"/>
    <cellStyle name="_VC 6.15.06 update on 06GRC power costs.xls Chart 1_04 07E Wild Horse Wind Expansion (C) (2)_Adj Bench DR 3 for Initial Briefs (Electric) 3 3" xfId="21901"/>
    <cellStyle name="_VC 6.15.06 update on 06GRC power costs.xls Chart 1_04 07E Wild Horse Wind Expansion (C) (2)_Adj Bench DR 3 for Initial Briefs (Electric) 3 4" xfId="21902"/>
    <cellStyle name="_VC 6.15.06 update on 06GRC power costs.xls Chart 1_04 07E Wild Horse Wind Expansion (C) (2)_Adj Bench DR 3 for Initial Briefs (Electric) 4" xfId="21903"/>
    <cellStyle name="_VC 6.15.06 update on 06GRC power costs.xls Chart 1_04 07E Wild Horse Wind Expansion (C) (2)_Adj Bench DR 3 for Initial Briefs (Electric) 4 2" xfId="21904"/>
    <cellStyle name="_VC 6.15.06 update on 06GRC power costs.xls Chart 1_04 07E Wild Horse Wind Expansion (C) (2)_Adj Bench DR 3 for Initial Briefs (Electric) 4 2 2" xfId="21905"/>
    <cellStyle name="_VC 6.15.06 update on 06GRC power costs.xls Chart 1_04 07E Wild Horse Wind Expansion (C) (2)_Adj Bench DR 3 for Initial Briefs (Electric) 4 3" xfId="21906"/>
    <cellStyle name="_VC 6.15.06 update on 06GRC power costs.xls Chart 1_04 07E Wild Horse Wind Expansion (C) (2)_Adj Bench DR 3 for Initial Briefs (Electric) 5" xfId="21907"/>
    <cellStyle name="_VC 6.15.06 update on 06GRC power costs.xls Chart 1_04 07E Wild Horse Wind Expansion (C) (2)_Adj Bench DR 3 for Initial Briefs (Electric) 5 2" xfId="21908"/>
    <cellStyle name="_VC 6.15.06 update on 06GRC power costs.xls Chart 1_04 07E Wild Horse Wind Expansion (C) (2)_Adj Bench DR 3 for Initial Briefs (Electric) 6" xfId="21909"/>
    <cellStyle name="_VC 6.15.06 update on 06GRC power costs.xls Chart 1_04 07E Wild Horse Wind Expansion (C) (2)_Adj Bench DR 3 for Initial Briefs (Electric) 6 2" xfId="21910"/>
    <cellStyle name="_VC 6.15.06 update on 06GRC power costs.xls Chart 1_04 07E Wild Horse Wind Expansion (C) (2)_Adj Bench DR 3 for Initial Briefs (Electric) 7" xfId="21911"/>
    <cellStyle name="_VC 6.15.06 update on 06GRC power costs.xls Chart 1_04 07E Wild Horse Wind Expansion (C) (2)_Adj Bench DR 3 for Initial Briefs (Electric)_DEM-WP(C) ENERG10C--ctn Mid-C_042010 2010GRC" xfId="21912"/>
    <cellStyle name="_VC 6.15.06 update on 06GRC power costs.xls Chart 1_04 07E Wild Horse Wind Expansion (C) (2)_Adj Bench DR 3 for Initial Briefs (Electric)_DEM-WP(C) ENERG10C--ctn Mid-C_042010 2010GRC 2" xfId="21913"/>
    <cellStyle name="_VC 6.15.06 update on 06GRC power costs.xls Chart 1_04 07E Wild Horse Wind Expansion (C) (2)_Book1" xfId="21914"/>
    <cellStyle name="_VC 6.15.06 update on 06GRC power costs.xls Chart 1_04 07E Wild Horse Wind Expansion (C) (2)_Book1 2" xfId="21915"/>
    <cellStyle name="_VC 6.15.06 update on 06GRC power costs.xls Chart 1_04 07E Wild Horse Wind Expansion (C) (2)_DEM-WP(C) ENERG10C--ctn Mid-C_042010 2010GRC" xfId="21916"/>
    <cellStyle name="_VC 6.15.06 update on 06GRC power costs.xls Chart 1_04 07E Wild Horse Wind Expansion (C) (2)_DEM-WP(C) ENERG10C--ctn Mid-C_042010 2010GRC 2" xfId="21917"/>
    <cellStyle name="_VC 6.15.06 update on 06GRC power costs.xls Chart 1_04 07E Wild Horse Wind Expansion (C) (2)_Electric Rev Req Model (2009 GRC) " xfId="927"/>
    <cellStyle name="_VC 6.15.06 update on 06GRC power costs.xls Chart 1_04 07E Wild Horse Wind Expansion (C) (2)_Electric Rev Req Model (2009 GRC)  2" xfId="21918"/>
    <cellStyle name="_VC 6.15.06 update on 06GRC power costs.xls Chart 1_04 07E Wild Horse Wind Expansion (C) (2)_Electric Rev Req Model (2009 GRC)  2 2" xfId="21919"/>
    <cellStyle name="_VC 6.15.06 update on 06GRC power costs.xls Chart 1_04 07E Wild Horse Wind Expansion (C) (2)_Electric Rev Req Model (2009 GRC)  2 2 2" xfId="21920"/>
    <cellStyle name="_VC 6.15.06 update on 06GRC power costs.xls Chart 1_04 07E Wild Horse Wind Expansion (C) (2)_Electric Rev Req Model (2009 GRC)  2 2 2 2" xfId="21921"/>
    <cellStyle name="_VC 6.15.06 update on 06GRC power costs.xls Chart 1_04 07E Wild Horse Wind Expansion (C) (2)_Electric Rev Req Model (2009 GRC)  2 2 3" xfId="21922"/>
    <cellStyle name="_VC 6.15.06 update on 06GRC power costs.xls Chart 1_04 07E Wild Horse Wind Expansion (C) (2)_Electric Rev Req Model (2009 GRC)  2 3" xfId="21923"/>
    <cellStyle name="_VC 6.15.06 update on 06GRC power costs.xls Chart 1_04 07E Wild Horse Wind Expansion (C) (2)_Electric Rev Req Model (2009 GRC)  2 3 2" xfId="21924"/>
    <cellStyle name="_VC 6.15.06 update on 06GRC power costs.xls Chart 1_04 07E Wild Horse Wind Expansion (C) (2)_Electric Rev Req Model (2009 GRC)  2 4" xfId="21925"/>
    <cellStyle name="_VC 6.15.06 update on 06GRC power costs.xls Chart 1_04 07E Wild Horse Wind Expansion (C) (2)_Electric Rev Req Model (2009 GRC)  2 4 2" xfId="21926"/>
    <cellStyle name="_VC 6.15.06 update on 06GRC power costs.xls Chart 1_04 07E Wild Horse Wind Expansion (C) (2)_Electric Rev Req Model (2009 GRC)  2 5" xfId="21927"/>
    <cellStyle name="_VC 6.15.06 update on 06GRC power costs.xls Chart 1_04 07E Wild Horse Wind Expansion (C) (2)_Electric Rev Req Model (2009 GRC)  3" xfId="21928"/>
    <cellStyle name="_VC 6.15.06 update on 06GRC power costs.xls Chart 1_04 07E Wild Horse Wind Expansion (C) (2)_Electric Rev Req Model (2009 GRC)  3 2" xfId="21929"/>
    <cellStyle name="_VC 6.15.06 update on 06GRC power costs.xls Chart 1_04 07E Wild Horse Wind Expansion (C) (2)_Electric Rev Req Model (2009 GRC)  3 2 2" xfId="21930"/>
    <cellStyle name="_VC 6.15.06 update on 06GRC power costs.xls Chart 1_04 07E Wild Horse Wind Expansion (C) (2)_Electric Rev Req Model (2009 GRC)  3 3" xfId="21931"/>
    <cellStyle name="_VC 6.15.06 update on 06GRC power costs.xls Chart 1_04 07E Wild Horse Wind Expansion (C) (2)_Electric Rev Req Model (2009 GRC)  3 4" xfId="21932"/>
    <cellStyle name="_VC 6.15.06 update on 06GRC power costs.xls Chart 1_04 07E Wild Horse Wind Expansion (C) (2)_Electric Rev Req Model (2009 GRC)  4" xfId="21933"/>
    <cellStyle name="_VC 6.15.06 update on 06GRC power costs.xls Chart 1_04 07E Wild Horse Wind Expansion (C) (2)_Electric Rev Req Model (2009 GRC)  4 2" xfId="21934"/>
    <cellStyle name="_VC 6.15.06 update on 06GRC power costs.xls Chart 1_04 07E Wild Horse Wind Expansion (C) (2)_Electric Rev Req Model (2009 GRC)  4 2 2" xfId="21935"/>
    <cellStyle name="_VC 6.15.06 update on 06GRC power costs.xls Chart 1_04 07E Wild Horse Wind Expansion (C) (2)_Electric Rev Req Model (2009 GRC)  4 3" xfId="21936"/>
    <cellStyle name="_VC 6.15.06 update on 06GRC power costs.xls Chart 1_04 07E Wild Horse Wind Expansion (C) (2)_Electric Rev Req Model (2009 GRC)  5" xfId="21937"/>
    <cellStyle name="_VC 6.15.06 update on 06GRC power costs.xls Chart 1_04 07E Wild Horse Wind Expansion (C) (2)_Electric Rev Req Model (2009 GRC)  5 2" xfId="21938"/>
    <cellStyle name="_VC 6.15.06 update on 06GRC power costs.xls Chart 1_04 07E Wild Horse Wind Expansion (C) (2)_Electric Rev Req Model (2009 GRC)  6" xfId="21939"/>
    <cellStyle name="_VC 6.15.06 update on 06GRC power costs.xls Chart 1_04 07E Wild Horse Wind Expansion (C) (2)_Electric Rev Req Model (2009 GRC)  6 2" xfId="21940"/>
    <cellStyle name="_VC 6.15.06 update on 06GRC power costs.xls Chart 1_04 07E Wild Horse Wind Expansion (C) (2)_Electric Rev Req Model (2009 GRC)  7" xfId="21941"/>
    <cellStyle name="_VC 6.15.06 update on 06GRC power costs.xls Chart 1_04 07E Wild Horse Wind Expansion (C) (2)_Electric Rev Req Model (2009 GRC) _DEM-WP(C) ENERG10C--ctn Mid-C_042010 2010GRC" xfId="21942"/>
    <cellStyle name="_VC 6.15.06 update on 06GRC power costs.xls Chart 1_04 07E Wild Horse Wind Expansion (C) (2)_Electric Rev Req Model (2009 GRC) _DEM-WP(C) ENERG10C--ctn Mid-C_042010 2010GRC 2" xfId="21943"/>
    <cellStyle name="_VC 6.15.06 update on 06GRC power costs.xls Chart 1_04 07E Wild Horse Wind Expansion (C) (2)_Electric Rev Req Model (2009 GRC) Rebuttal" xfId="928"/>
    <cellStyle name="_VC 6.15.06 update on 06GRC power costs.xls Chart 1_04 07E Wild Horse Wind Expansion (C) (2)_Electric Rev Req Model (2009 GRC) Rebuttal 2" xfId="21944"/>
    <cellStyle name="_VC 6.15.06 update on 06GRC power costs.xls Chart 1_04 07E Wild Horse Wind Expansion (C) (2)_Electric Rev Req Model (2009 GRC) Rebuttal 2 2" xfId="21945"/>
    <cellStyle name="_VC 6.15.06 update on 06GRC power costs.xls Chart 1_04 07E Wild Horse Wind Expansion (C) (2)_Electric Rev Req Model (2009 GRC) Rebuttal 2 2 2" xfId="21946"/>
    <cellStyle name="_VC 6.15.06 update on 06GRC power costs.xls Chart 1_04 07E Wild Horse Wind Expansion (C) (2)_Electric Rev Req Model (2009 GRC) Rebuttal 2 3" xfId="21947"/>
    <cellStyle name="_VC 6.15.06 update on 06GRC power costs.xls Chart 1_04 07E Wild Horse Wind Expansion (C) (2)_Electric Rev Req Model (2009 GRC) Rebuttal 2 4" xfId="21948"/>
    <cellStyle name="_VC 6.15.06 update on 06GRC power costs.xls Chart 1_04 07E Wild Horse Wind Expansion (C) (2)_Electric Rev Req Model (2009 GRC) Rebuttal 3" xfId="21949"/>
    <cellStyle name="_VC 6.15.06 update on 06GRC power costs.xls Chart 1_04 07E Wild Horse Wind Expansion (C) (2)_Electric Rev Req Model (2009 GRC) Rebuttal 3 2" xfId="21950"/>
    <cellStyle name="_VC 6.15.06 update on 06GRC power costs.xls Chart 1_04 07E Wild Horse Wind Expansion (C) (2)_Electric Rev Req Model (2009 GRC) Rebuttal 4" xfId="21951"/>
    <cellStyle name="_VC 6.15.06 update on 06GRC power costs.xls Chart 1_04 07E Wild Horse Wind Expansion (C) (2)_Electric Rev Req Model (2009 GRC) Rebuttal 5" xfId="21952"/>
    <cellStyle name="_VC 6.15.06 update on 06GRC power costs.xls Chart 1_04 07E Wild Horse Wind Expansion (C) (2)_Electric Rev Req Model (2009 GRC) Rebuttal REmoval of New  WH Solar AdjustMI" xfId="929"/>
    <cellStyle name="_VC 6.15.06 update on 06GRC power costs.xls Chart 1_04 07E Wild Horse Wind Expansion (C) (2)_Electric Rev Req Model (2009 GRC) Rebuttal REmoval of New  WH Solar AdjustMI 2" xfId="21953"/>
    <cellStyle name="_VC 6.15.06 update on 06GRC power costs.xls Chart 1_04 07E Wild Horse Wind Expansion (C) (2)_Electric Rev Req Model (2009 GRC) Rebuttal REmoval of New  WH Solar AdjustMI 2 2" xfId="21954"/>
    <cellStyle name="_VC 6.15.06 update on 06GRC power costs.xls Chart 1_04 07E Wild Horse Wind Expansion (C) (2)_Electric Rev Req Model (2009 GRC) Rebuttal REmoval of New  WH Solar AdjustMI 2 2 2" xfId="21955"/>
    <cellStyle name="_VC 6.15.06 update on 06GRC power costs.xls Chart 1_04 07E Wild Horse Wind Expansion (C) (2)_Electric Rev Req Model (2009 GRC) Rebuttal REmoval of New  WH Solar AdjustMI 2 2 2 2" xfId="21956"/>
    <cellStyle name="_VC 6.15.06 update on 06GRC power costs.xls Chart 1_04 07E Wild Horse Wind Expansion (C) (2)_Electric Rev Req Model (2009 GRC) Rebuttal REmoval of New  WH Solar AdjustMI 2 2 3" xfId="21957"/>
    <cellStyle name="_VC 6.15.06 update on 06GRC power costs.xls Chart 1_04 07E Wild Horse Wind Expansion (C) (2)_Electric Rev Req Model (2009 GRC) Rebuttal REmoval of New  WH Solar AdjustMI 2 3" xfId="21958"/>
    <cellStyle name="_VC 6.15.06 update on 06GRC power costs.xls Chart 1_04 07E Wild Horse Wind Expansion (C) (2)_Electric Rev Req Model (2009 GRC) Rebuttal REmoval of New  WH Solar AdjustMI 2 3 2" xfId="21959"/>
    <cellStyle name="_VC 6.15.06 update on 06GRC power costs.xls Chart 1_04 07E Wild Horse Wind Expansion (C) (2)_Electric Rev Req Model (2009 GRC) Rebuttal REmoval of New  WH Solar AdjustMI 2 4" xfId="21960"/>
    <cellStyle name="_VC 6.15.06 update on 06GRC power costs.xls Chart 1_04 07E Wild Horse Wind Expansion (C) (2)_Electric Rev Req Model (2009 GRC) Rebuttal REmoval of New  WH Solar AdjustMI 2 4 2" xfId="21961"/>
    <cellStyle name="_VC 6.15.06 update on 06GRC power costs.xls Chart 1_04 07E Wild Horse Wind Expansion (C) (2)_Electric Rev Req Model (2009 GRC) Rebuttal REmoval of New  WH Solar AdjustMI 2 5" xfId="21962"/>
    <cellStyle name="_VC 6.15.06 update on 06GRC power costs.xls Chart 1_04 07E Wild Horse Wind Expansion (C) (2)_Electric Rev Req Model (2009 GRC) Rebuttal REmoval of New  WH Solar AdjustMI 3" xfId="21963"/>
    <cellStyle name="_VC 6.15.06 update on 06GRC power costs.xls Chart 1_04 07E Wild Horse Wind Expansion (C) (2)_Electric Rev Req Model (2009 GRC) Rebuttal REmoval of New  WH Solar AdjustMI 3 2" xfId="21964"/>
    <cellStyle name="_VC 6.15.06 update on 06GRC power costs.xls Chart 1_04 07E Wild Horse Wind Expansion (C) (2)_Electric Rev Req Model (2009 GRC) Rebuttal REmoval of New  WH Solar AdjustMI 3 2 2" xfId="21965"/>
    <cellStyle name="_VC 6.15.06 update on 06GRC power costs.xls Chart 1_04 07E Wild Horse Wind Expansion (C) (2)_Electric Rev Req Model (2009 GRC) Rebuttal REmoval of New  WH Solar AdjustMI 3 3" xfId="21966"/>
    <cellStyle name="_VC 6.15.06 update on 06GRC power costs.xls Chart 1_04 07E Wild Horse Wind Expansion (C) (2)_Electric Rev Req Model (2009 GRC) Rebuttal REmoval of New  WH Solar AdjustMI 3 4" xfId="21967"/>
    <cellStyle name="_VC 6.15.06 update on 06GRC power costs.xls Chart 1_04 07E Wild Horse Wind Expansion (C) (2)_Electric Rev Req Model (2009 GRC) Rebuttal REmoval of New  WH Solar AdjustMI 4" xfId="21968"/>
    <cellStyle name="_VC 6.15.06 update on 06GRC power costs.xls Chart 1_04 07E Wild Horse Wind Expansion (C) (2)_Electric Rev Req Model (2009 GRC) Rebuttal REmoval of New  WH Solar AdjustMI 4 2" xfId="21969"/>
    <cellStyle name="_VC 6.15.06 update on 06GRC power costs.xls Chart 1_04 07E Wild Horse Wind Expansion (C) (2)_Electric Rev Req Model (2009 GRC) Rebuttal REmoval of New  WH Solar AdjustMI 4 2 2" xfId="21970"/>
    <cellStyle name="_VC 6.15.06 update on 06GRC power costs.xls Chart 1_04 07E Wild Horse Wind Expansion (C) (2)_Electric Rev Req Model (2009 GRC) Rebuttal REmoval of New  WH Solar AdjustMI 4 3" xfId="21971"/>
    <cellStyle name="_VC 6.15.06 update on 06GRC power costs.xls Chart 1_04 07E Wild Horse Wind Expansion (C) (2)_Electric Rev Req Model (2009 GRC) Rebuttal REmoval of New  WH Solar AdjustMI 5" xfId="21972"/>
    <cellStyle name="_VC 6.15.06 update on 06GRC power costs.xls Chart 1_04 07E Wild Horse Wind Expansion (C) (2)_Electric Rev Req Model (2009 GRC) Rebuttal REmoval of New  WH Solar AdjustMI 5 2" xfId="21973"/>
    <cellStyle name="_VC 6.15.06 update on 06GRC power costs.xls Chart 1_04 07E Wild Horse Wind Expansion (C) (2)_Electric Rev Req Model (2009 GRC) Rebuttal REmoval of New  WH Solar AdjustMI 6" xfId="21974"/>
    <cellStyle name="_VC 6.15.06 update on 06GRC power costs.xls Chart 1_04 07E Wild Horse Wind Expansion (C) (2)_Electric Rev Req Model (2009 GRC) Rebuttal REmoval of New  WH Solar AdjustMI 6 2" xfId="21975"/>
    <cellStyle name="_VC 6.15.06 update on 06GRC power costs.xls Chart 1_04 07E Wild Horse Wind Expansion (C) (2)_Electric Rev Req Model (2009 GRC) Rebuttal REmoval of New  WH Solar AdjustMI 7" xfId="21976"/>
    <cellStyle name="_VC 6.15.06 update on 06GRC power costs.xls Chart 1_04 07E Wild Horse Wind Expansion (C) (2)_Electric Rev Req Model (2009 GRC) Rebuttal REmoval of New  WH Solar AdjustMI_DEM-WP(C) ENERG10C--ctn Mid-C_042010 2010GRC" xfId="21977"/>
    <cellStyle name="_VC 6.15.06 update on 06GRC power costs.xls Chart 1_04 07E Wild Horse Wind Expansion (C) (2)_Electric Rev Req Model (2009 GRC) Rebuttal REmoval of New  WH Solar AdjustMI_DEM-WP(C) ENERG10C--ctn Mid-C_042010 2010GRC 2" xfId="21978"/>
    <cellStyle name="_VC 6.15.06 update on 06GRC power costs.xls Chart 1_04 07E Wild Horse Wind Expansion (C) (2)_Electric Rev Req Model (2009 GRC) Revised 01-18-2010" xfId="930"/>
    <cellStyle name="_VC 6.15.06 update on 06GRC power costs.xls Chart 1_04 07E Wild Horse Wind Expansion (C) (2)_Electric Rev Req Model (2009 GRC) Revised 01-18-2010 2" xfId="21979"/>
    <cellStyle name="_VC 6.15.06 update on 06GRC power costs.xls Chart 1_04 07E Wild Horse Wind Expansion (C) (2)_Electric Rev Req Model (2009 GRC) Revised 01-18-2010 2 2" xfId="21980"/>
    <cellStyle name="_VC 6.15.06 update on 06GRC power costs.xls Chart 1_04 07E Wild Horse Wind Expansion (C) (2)_Electric Rev Req Model (2009 GRC) Revised 01-18-2010 2 2 2" xfId="21981"/>
    <cellStyle name="_VC 6.15.06 update on 06GRC power costs.xls Chart 1_04 07E Wild Horse Wind Expansion (C) (2)_Electric Rev Req Model (2009 GRC) Revised 01-18-2010 2 2 2 2" xfId="21982"/>
    <cellStyle name="_VC 6.15.06 update on 06GRC power costs.xls Chart 1_04 07E Wild Horse Wind Expansion (C) (2)_Electric Rev Req Model (2009 GRC) Revised 01-18-2010 2 2 3" xfId="21983"/>
    <cellStyle name="_VC 6.15.06 update on 06GRC power costs.xls Chart 1_04 07E Wild Horse Wind Expansion (C) (2)_Electric Rev Req Model (2009 GRC) Revised 01-18-2010 2 3" xfId="21984"/>
    <cellStyle name="_VC 6.15.06 update on 06GRC power costs.xls Chart 1_04 07E Wild Horse Wind Expansion (C) (2)_Electric Rev Req Model (2009 GRC) Revised 01-18-2010 2 3 2" xfId="21985"/>
    <cellStyle name="_VC 6.15.06 update on 06GRC power costs.xls Chart 1_04 07E Wild Horse Wind Expansion (C) (2)_Electric Rev Req Model (2009 GRC) Revised 01-18-2010 2 4" xfId="21986"/>
    <cellStyle name="_VC 6.15.06 update on 06GRC power costs.xls Chart 1_04 07E Wild Horse Wind Expansion (C) (2)_Electric Rev Req Model (2009 GRC) Revised 01-18-2010 2 4 2" xfId="21987"/>
    <cellStyle name="_VC 6.15.06 update on 06GRC power costs.xls Chart 1_04 07E Wild Horse Wind Expansion (C) (2)_Electric Rev Req Model (2009 GRC) Revised 01-18-2010 2 5" xfId="21988"/>
    <cellStyle name="_VC 6.15.06 update on 06GRC power costs.xls Chart 1_04 07E Wild Horse Wind Expansion (C) (2)_Electric Rev Req Model (2009 GRC) Revised 01-18-2010 3" xfId="21989"/>
    <cellStyle name="_VC 6.15.06 update on 06GRC power costs.xls Chart 1_04 07E Wild Horse Wind Expansion (C) (2)_Electric Rev Req Model (2009 GRC) Revised 01-18-2010 3 2" xfId="21990"/>
    <cellStyle name="_VC 6.15.06 update on 06GRC power costs.xls Chart 1_04 07E Wild Horse Wind Expansion (C) (2)_Electric Rev Req Model (2009 GRC) Revised 01-18-2010 3 2 2" xfId="21991"/>
    <cellStyle name="_VC 6.15.06 update on 06GRC power costs.xls Chart 1_04 07E Wild Horse Wind Expansion (C) (2)_Electric Rev Req Model (2009 GRC) Revised 01-18-2010 3 3" xfId="21992"/>
    <cellStyle name="_VC 6.15.06 update on 06GRC power costs.xls Chart 1_04 07E Wild Horse Wind Expansion (C) (2)_Electric Rev Req Model (2009 GRC) Revised 01-18-2010 3 4" xfId="21993"/>
    <cellStyle name="_VC 6.15.06 update on 06GRC power costs.xls Chart 1_04 07E Wild Horse Wind Expansion (C) (2)_Electric Rev Req Model (2009 GRC) Revised 01-18-2010 4" xfId="21994"/>
    <cellStyle name="_VC 6.15.06 update on 06GRC power costs.xls Chart 1_04 07E Wild Horse Wind Expansion (C) (2)_Electric Rev Req Model (2009 GRC) Revised 01-18-2010 4 2" xfId="21995"/>
    <cellStyle name="_VC 6.15.06 update on 06GRC power costs.xls Chart 1_04 07E Wild Horse Wind Expansion (C) (2)_Electric Rev Req Model (2009 GRC) Revised 01-18-2010 4 2 2" xfId="21996"/>
    <cellStyle name="_VC 6.15.06 update on 06GRC power costs.xls Chart 1_04 07E Wild Horse Wind Expansion (C) (2)_Electric Rev Req Model (2009 GRC) Revised 01-18-2010 4 3" xfId="21997"/>
    <cellStyle name="_VC 6.15.06 update on 06GRC power costs.xls Chart 1_04 07E Wild Horse Wind Expansion (C) (2)_Electric Rev Req Model (2009 GRC) Revised 01-18-2010 5" xfId="21998"/>
    <cellStyle name="_VC 6.15.06 update on 06GRC power costs.xls Chart 1_04 07E Wild Horse Wind Expansion (C) (2)_Electric Rev Req Model (2009 GRC) Revised 01-18-2010 5 2" xfId="21999"/>
    <cellStyle name="_VC 6.15.06 update on 06GRC power costs.xls Chart 1_04 07E Wild Horse Wind Expansion (C) (2)_Electric Rev Req Model (2009 GRC) Revised 01-18-2010 6" xfId="22000"/>
    <cellStyle name="_VC 6.15.06 update on 06GRC power costs.xls Chart 1_04 07E Wild Horse Wind Expansion (C) (2)_Electric Rev Req Model (2009 GRC) Revised 01-18-2010 6 2" xfId="22001"/>
    <cellStyle name="_VC 6.15.06 update on 06GRC power costs.xls Chart 1_04 07E Wild Horse Wind Expansion (C) (2)_Electric Rev Req Model (2009 GRC) Revised 01-18-2010 7" xfId="22002"/>
    <cellStyle name="_VC 6.15.06 update on 06GRC power costs.xls Chart 1_04 07E Wild Horse Wind Expansion (C) (2)_Electric Rev Req Model (2009 GRC) Revised 01-18-2010_DEM-WP(C) ENERG10C--ctn Mid-C_042010 2010GRC" xfId="22003"/>
    <cellStyle name="_VC 6.15.06 update on 06GRC power costs.xls Chart 1_04 07E Wild Horse Wind Expansion (C) (2)_Electric Rev Req Model (2009 GRC) Revised 01-18-2010_DEM-WP(C) ENERG10C--ctn Mid-C_042010 2010GRC 2" xfId="22004"/>
    <cellStyle name="_VC 6.15.06 update on 06GRC power costs.xls Chart 1_04 07E Wild Horse Wind Expansion (C) (2)_Electric Rev Req Model (2010 GRC)" xfId="22005"/>
    <cellStyle name="_VC 6.15.06 update on 06GRC power costs.xls Chart 1_04 07E Wild Horse Wind Expansion (C) (2)_Electric Rev Req Model (2010 GRC) 2" xfId="22006"/>
    <cellStyle name="_VC 6.15.06 update on 06GRC power costs.xls Chart 1_04 07E Wild Horse Wind Expansion (C) (2)_Electric Rev Req Model (2010 GRC) SF" xfId="22007"/>
    <cellStyle name="_VC 6.15.06 update on 06GRC power costs.xls Chart 1_04 07E Wild Horse Wind Expansion (C) (2)_Electric Rev Req Model (2010 GRC) SF 2" xfId="22008"/>
    <cellStyle name="_VC 6.15.06 update on 06GRC power costs.xls Chart 1_04 07E Wild Horse Wind Expansion (C) (2)_Final Order Electric EXHIBIT A-1" xfId="931"/>
    <cellStyle name="_VC 6.15.06 update on 06GRC power costs.xls Chart 1_04 07E Wild Horse Wind Expansion (C) (2)_Final Order Electric EXHIBIT A-1 2" xfId="22009"/>
    <cellStyle name="_VC 6.15.06 update on 06GRC power costs.xls Chart 1_04 07E Wild Horse Wind Expansion (C) (2)_Final Order Electric EXHIBIT A-1 2 2" xfId="22010"/>
    <cellStyle name="_VC 6.15.06 update on 06GRC power costs.xls Chart 1_04 07E Wild Horse Wind Expansion (C) (2)_Final Order Electric EXHIBIT A-1 2 2 2" xfId="22011"/>
    <cellStyle name="_VC 6.15.06 update on 06GRC power costs.xls Chart 1_04 07E Wild Horse Wind Expansion (C) (2)_Final Order Electric EXHIBIT A-1 2 3" xfId="22012"/>
    <cellStyle name="_VC 6.15.06 update on 06GRC power costs.xls Chart 1_04 07E Wild Horse Wind Expansion (C) (2)_Final Order Electric EXHIBIT A-1 2 4" xfId="22013"/>
    <cellStyle name="_VC 6.15.06 update on 06GRC power costs.xls Chart 1_04 07E Wild Horse Wind Expansion (C) (2)_Final Order Electric EXHIBIT A-1 3" xfId="22014"/>
    <cellStyle name="_VC 6.15.06 update on 06GRC power costs.xls Chart 1_04 07E Wild Horse Wind Expansion (C) (2)_Final Order Electric EXHIBIT A-1 3 2" xfId="22015"/>
    <cellStyle name="_VC 6.15.06 update on 06GRC power costs.xls Chart 1_04 07E Wild Horse Wind Expansion (C) (2)_Final Order Electric EXHIBIT A-1 3 2 2" xfId="22016"/>
    <cellStyle name="_VC 6.15.06 update on 06GRC power costs.xls Chart 1_04 07E Wild Horse Wind Expansion (C) (2)_Final Order Electric EXHIBIT A-1 3 3" xfId="22017"/>
    <cellStyle name="_VC 6.15.06 update on 06GRC power costs.xls Chart 1_04 07E Wild Horse Wind Expansion (C) (2)_Final Order Electric EXHIBIT A-1 4" xfId="22018"/>
    <cellStyle name="_VC 6.15.06 update on 06GRC power costs.xls Chart 1_04 07E Wild Horse Wind Expansion (C) (2)_Final Order Electric EXHIBIT A-1 4 2" xfId="22019"/>
    <cellStyle name="_VC 6.15.06 update on 06GRC power costs.xls Chart 1_04 07E Wild Horse Wind Expansion (C) (2)_Final Order Electric EXHIBIT A-1 5" xfId="22020"/>
    <cellStyle name="_VC 6.15.06 update on 06GRC power costs.xls Chart 1_04 07E Wild Horse Wind Expansion (C) (2)_Final Order Electric EXHIBIT A-1 6" xfId="22021"/>
    <cellStyle name="_VC 6.15.06 update on 06GRC power costs.xls Chart 1_04 07E Wild Horse Wind Expansion (C) (2)_Final Order Electric EXHIBIT A-1 7" xfId="22022"/>
    <cellStyle name="_VC 6.15.06 update on 06GRC power costs.xls Chart 1_04 07E Wild Horse Wind Expansion (C) (2)_TENASKA REGULATORY ASSET" xfId="932"/>
    <cellStyle name="_VC 6.15.06 update on 06GRC power costs.xls Chart 1_04 07E Wild Horse Wind Expansion (C) (2)_TENASKA REGULATORY ASSET 2" xfId="22023"/>
    <cellStyle name="_VC 6.15.06 update on 06GRC power costs.xls Chart 1_04 07E Wild Horse Wind Expansion (C) (2)_TENASKA REGULATORY ASSET 2 2" xfId="22024"/>
    <cellStyle name="_VC 6.15.06 update on 06GRC power costs.xls Chart 1_04 07E Wild Horse Wind Expansion (C) (2)_TENASKA REGULATORY ASSET 2 2 2" xfId="22025"/>
    <cellStyle name="_VC 6.15.06 update on 06GRC power costs.xls Chart 1_04 07E Wild Horse Wind Expansion (C) (2)_TENASKA REGULATORY ASSET 2 3" xfId="22026"/>
    <cellStyle name="_VC 6.15.06 update on 06GRC power costs.xls Chart 1_04 07E Wild Horse Wind Expansion (C) (2)_TENASKA REGULATORY ASSET 2 4" xfId="22027"/>
    <cellStyle name="_VC 6.15.06 update on 06GRC power costs.xls Chart 1_04 07E Wild Horse Wind Expansion (C) (2)_TENASKA REGULATORY ASSET 3" xfId="22028"/>
    <cellStyle name="_VC 6.15.06 update on 06GRC power costs.xls Chart 1_04 07E Wild Horse Wind Expansion (C) (2)_TENASKA REGULATORY ASSET 3 2" xfId="22029"/>
    <cellStyle name="_VC 6.15.06 update on 06GRC power costs.xls Chart 1_04 07E Wild Horse Wind Expansion (C) (2)_TENASKA REGULATORY ASSET 3 2 2" xfId="22030"/>
    <cellStyle name="_VC 6.15.06 update on 06GRC power costs.xls Chart 1_04 07E Wild Horse Wind Expansion (C) (2)_TENASKA REGULATORY ASSET 3 3" xfId="22031"/>
    <cellStyle name="_VC 6.15.06 update on 06GRC power costs.xls Chart 1_04 07E Wild Horse Wind Expansion (C) (2)_TENASKA REGULATORY ASSET 4" xfId="22032"/>
    <cellStyle name="_VC 6.15.06 update on 06GRC power costs.xls Chart 1_04 07E Wild Horse Wind Expansion (C) (2)_TENASKA REGULATORY ASSET 4 2" xfId="22033"/>
    <cellStyle name="_VC 6.15.06 update on 06GRC power costs.xls Chart 1_04 07E Wild Horse Wind Expansion (C) (2)_TENASKA REGULATORY ASSET 5" xfId="22034"/>
    <cellStyle name="_VC 6.15.06 update on 06GRC power costs.xls Chart 1_04 07E Wild Horse Wind Expansion (C) (2)_TENASKA REGULATORY ASSET 6" xfId="22035"/>
    <cellStyle name="_VC 6.15.06 update on 06GRC power costs.xls Chart 1_04 07E Wild Horse Wind Expansion (C) (2)_TENASKA REGULATORY ASSET 7" xfId="22036"/>
    <cellStyle name="_VC 6.15.06 update on 06GRC power costs.xls Chart 1_16.37E Wild Horse Expansion DeferralRevwrkingfile SF" xfId="933"/>
    <cellStyle name="_VC 6.15.06 update on 06GRC power costs.xls Chart 1_16.37E Wild Horse Expansion DeferralRevwrkingfile SF 2" xfId="22037"/>
    <cellStyle name="_VC 6.15.06 update on 06GRC power costs.xls Chart 1_16.37E Wild Horse Expansion DeferralRevwrkingfile SF 2 2" xfId="22038"/>
    <cellStyle name="_VC 6.15.06 update on 06GRC power costs.xls Chart 1_16.37E Wild Horse Expansion DeferralRevwrkingfile SF 2 2 2" xfId="22039"/>
    <cellStyle name="_VC 6.15.06 update on 06GRC power costs.xls Chart 1_16.37E Wild Horse Expansion DeferralRevwrkingfile SF 2 2 2 2" xfId="22040"/>
    <cellStyle name="_VC 6.15.06 update on 06GRC power costs.xls Chart 1_16.37E Wild Horse Expansion DeferralRevwrkingfile SF 2 2 3" xfId="22041"/>
    <cellStyle name="_VC 6.15.06 update on 06GRC power costs.xls Chart 1_16.37E Wild Horse Expansion DeferralRevwrkingfile SF 2 3" xfId="22042"/>
    <cellStyle name="_VC 6.15.06 update on 06GRC power costs.xls Chart 1_16.37E Wild Horse Expansion DeferralRevwrkingfile SF 2 3 2" xfId="22043"/>
    <cellStyle name="_VC 6.15.06 update on 06GRC power costs.xls Chart 1_16.37E Wild Horse Expansion DeferralRevwrkingfile SF 2 4" xfId="22044"/>
    <cellStyle name="_VC 6.15.06 update on 06GRC power costs.xls Chart 1_16.37E Wild Horse Expansion DeferralRevwrkingfile SF 2 4 2" xfId="22045"/>
    <cellStyle name="_VC 6.15.06 update on 06GRC power costs.xls Chart 1_16.37E Wild Horse Expansion DeferralRevwrkingfile SF 2 5" xfId="22046"/>
    <cellStyle name="_VC 6.15.06 update on 06GRC power costs.xls Chart 1_16.37E Wild Horse Expansion DeferralRevwrkingfile SF 3" xfId="22047"/>
    <cellStyle name="_VC 6.15.06 update on 06GRC power costs.xls Chart 1_16.37E Wild Horse Expansion DeferralRevwrkingfile SF 3 2" xfId="22048"/>
    <cellStyle name="_VC 6.15.06 update on 06GRC power costs.xls Chart 1_16.37E Wild Horse Expansion DeferralRevwrkingfile SF 3 2 2" xfId="22049"/>
    <cellStyle name="_VC 6.15.06 update on 06GRC power costs.xls Chart 1_16.37E Wild Horse Expansion DeferralRevwrkingfile SF 3 3" xfId="22050"/>
    <cellStyle name="_VC 6.15.06 update on 06GRC power costs.xls Chart 1_16.37E Wild Horse Expansion DeferralRevwrkingfile SF 3 4" xfId="22051"/>
    <cellStyle name="_VC 6.15.06 update on 06GRC power costs.xls Chart 1_16.37E Wild Horse Expansion DeferralRevwrkingfile SF 4" xfId="22052"/>
    <cellStyle name="_VC 6.15.06 update on 06GRC power costs.xls Chart 1_16.37E Wild Horse Expansion DeferralRevwrkingfile SF 4 2" xfId="22053"/>
    <cellStyle name="_VC 6.15.06 update on 06GRC power costs.xls Chart 1_16.37E Wild Horse Expansion DeferralRevwrkingfile SF 4 2 2" xfId="22054"/>
    <cellStyle name="_VC 6.15.06 update on 06GRC power costs.xls Chart 1_16.37E Wild Horse Expansion DeferralRevwrkingfile SF 4 3" xfId="22055"/>
    <cellStyle name="_VC 6.15.06 update on 06GRC power costs.xls Chart 1_16.37E Wild Horse Expansion DeferralRevwrkingfile SF 5" xfId="22056"/>
    <cellStyle name="_VC 6.15.06 update on 06GRC power costs.xls Chart 1_16.37E Wild Horse Expansion DeferralRevwrkingfile SF 5 2" xfId="22057"/>
    <cellStyle name="_VC 6.15.06 update on 06GRC power costs.xls Chart 1_16.37E Wild Horse Expansion DeferralRevwrkingfile SF 6" xfId="22058"/>
    <cellStyle name="_VC 6.15.06 update on 06GRC power costs.xls Chart 1_16.37E Wild Horse Expansion DeferralRevwrkingfile SF 6 2" xfId="22059"/>
    <cellStyle name="_VC 6.15.06 update on 06GRC power costs.xls Chart 1_16.37E Wild Horse Expansion DeferralRevwrkingfile SF 7" xfId="22060"/>
    <cellStyle name="_VC 6.15.06 update on 06GRC power costs.xls Chart 1_16.37E Wild Horse Expansion DeferralRevwrkingfile SF_DEM-WP(C) ENERG10C--ctn Mid-C_042010 2010GRC" xfId="22061"/>
    <cellStyle name="_VC 6.15.06 update on 06GRC power costs.xls Chart 1_16.37E Wild Horse Expansion DeferralRevwrkingfile SF_DEM-WP(C) ENERG10C--ctn Mid-C_042010 2010GRC 2" xfId="22062"/>
    <cellStyle name="_VC 6.15.06 update on 06GRC power costs.xls Chart 1_2009 Compliance Filing PCA Exhibits for GRC" xfId="22063"/>
    <cellStyle name="_VC 6.15.06 update on 06GRC power costs.xls Chart 1_2009 Compliance Filing PCA Exhibits for GRC 2" xfId="22064"/>
    <cellStyle name="_VC 6.15.06 update on 06GRC power costs.xls Chart 1_2009 Compliance Filing PCA Exhibits for GRC 2 2" xfId="22065"/>
    <cellStyle name="_VC 6.15.06 update on 06GRC power costs.xls Chart 1_2009 Compliance Filing PCA Exhibits for GRC 3" xfId="22066"/>
    <cellStyle name="_VC 6.15.06 update on 06GRC power costs.xls Chart 1_2009 GRC Compl Filing - Exhibit D" xfId="934"/>
    <cellStyle name="_VC 6.15.06 update on 06GRC power costs.xls Chart 1_2009 GRC Compl Filing - Exhibit D 2" xfId="22067"/>
    <cellStyle name="_VC 6.15.06 update on 06GRC power costs.xls Chart 1_2009 GRC Compl Filing - Exhibit D 2 2" xfId="22068"/>
    <cellStyle name="_VC 6.15.06 update on 06GRC power costs.xls Chart 1_2009 GRC Compl Filing - Exhibit D 2 2 2" xfId="22069"/>
    <cellStyle name="_VC 6.15.06 update on 06GRC power costs.xls Chart 1_2009 GRC Compl Filing - Exhibit D 2 2 2 2" xfId="22070"/>
    <cellStyle name="_VC 6.15.06 update on 06GRC power costs.xls Chart 1_2009 GRC Compl Filing - Exhibit D 2 3" xfId="22071"/>
    <cellStyle name="_VC 6.15.06 update on 06GRC power costs.xls Chart 1_2009 GRC Compl Filing - Exhibit D 2 3 2" xfId="22072"/>
    <cellStyle name="_VC 6.15.06 update on 06GRC power costs.xls Chart 1_2009 GRC Compl Filing - Exhibit D 2 4" xfId="22073"/>
    <cellStyle name="_VC 6.15.06 update on 06GRC power costs.xls Chart 1_2009 GRC Compl Filing - Exhibit D 2 4 2" xfId="22074"/>
    <cellStyle name="_VC 6.15.06 update on 06GRC power costs.xls Chart 1_2009 GRC Compl Filing - Exhibit D 2 5" xfId="22075"/>
    <cellStyle name="_VC 6.15.06 update on 06GRC power costs.xls Chart 1_2009 GRC Compl Filing - Exhibit D 3" xfId="22076"/>
    <cellStyle name="_VC 6.15.06 update on 06GRC power costs.xls Chart 1_2009 GRC Compl Filing - Exhibit D 3 2" xfId="22077"/>
    <cellStyle name="_VC 6.15.06 update on 06GRC power costs.xls Chart 1_2009 GRC Compl Filing - Exhibit D 3 2 2" xfId="22078"/>
    <cellStyle name="_VC 6.15.06 update on 06GRC power costs.xls Chart 1_2009 GRC Compl Filing - Exhibit D 3 3" xfId="22079"/>
    <cellStyle name="_VC 6.15.06 update on 06GRC power costs.xls Chart 1_2009 GRC Compl Filing - Exhibit D 4" xfId="22080"/>
    <cellStyle name="_VC 6.15.06 update on 06GRC power costs.xls Chart 1_2009 GRC Compl Filing - Exhibit D 4 2" xfId="22081"/>
    <cellStyle name="_VC 6.15.06 update on 06GRC power costs.xls Chart 1_2009 GRC Compl Filing - Exhibit D 4 2 2" xfId="22082"/>
    <cellStyle name="_VC 6.15.06 update on 06GRC power costs.xls Chart 1_2009 GRC Compl Filing - Exhibit D 4 3" xfId="22083"/>
    <cellStyle name="_VC 6.15.06 update on 06GRC power costs.xls Chart 1_2009 GRC Compl Filing - Exhibit D 5" xfId="22084"/>
    <cellStyle name="_VC 6.15.06 update on 06GRC power costs.xls Chart 1_2009 GRC Compl Filing - Exhibit D 5 2" xfId="22085"/>
    <cellStyle name="_VC 6.15.06 update on 06GRC power costs.xls Chart 1_2009 GRC Compl Filing - Exhibit D 6" xfId="22086"/>
    <cellStyle name="_VC 6.15.06 update on 06GRC power costs.xls Chart 1_2009 GRC Compl Filing - Exhibit D 6 2" xfId="22087"/>
    <cellStyle name="_VC 6.15.06 update on 06GRC power costs.xls Chart 1_2009 GRC Compl Filing - Exhibit D 7" xfId="22088"/>
    <cellStyle name="_VC 6.15.06 update on 06GRC power costs.xls Chart 1_2009 GRC Compl Filing - Exhibit D_DEM-WP(C) ENERG10C--ctn Mid-C_042010 2010GRC" xfId="22089"/>
    <cellStyle name="_VC 6.15.06 update on 06GRC power costs.xls Chart 1_2009 GRC Compl Filing - Exhibit D_DEM-WP(C) ENERG10C--ctn Mid-C_042010 2010GRC 2" xfId="22090"/>
    <cellStyle name="_VC 6.15.06 update on 06GRC power costs.xls Chart 1_3.01 Income Statement" xfId="935"/>
    <cellStyle name="_VC 6.15.06 update on 06GRC power costs.xls Chart 1_4 31 Regulatory Assets and Liabilities  7 06- Exhibit D" xfId="936"/>
    <cellStyle name="_VC 6.15.06 update on 06GRC power costs.xls Chart 1_4 31 Regulatory Assets and Liabilities  7 06- Exhibit D 2" xfId="22091"/>
    <cellStyle name="_VC 6.15.06 update on 06GRC power costs.xls Chart 1_4 31 Regulatory Assets and Liabilities  7 06- Exhibit D 2 2" xfId="22092"/>
    <cellStyle name="_VC 6.15.06 update on 06GRC power costs.xls Chart 1_4 31 Regulatory Assets and Liabilities  7 06- Exhibit D 2 2 2" xfId="22093"/>
    <cellStyle name="_VC 6.15.06 update on 06GRC power costs.xls Chart 1_4 31 Regulatory Assets and Liabilities  7 06- Exhibit D 2 2 2 2" xfId="22094"/>
    <cellStyle name="_VC 6.15.06 update on 06GRC power costs.xls Chart 1_4 31 Regulatory Assets and Liabilities  7 06- Exhibit D 2 2 3" xfId="22095"/>
    <cellStyle name="_VC 6.15.06 update on 06GRC power costs.xls Chart 1_4 31 Regulatory Assets and Liabilities  7 06- Exhibit D 2 3" xfId="22096"/>
    <cellStyle name="_VC 6.15.06 update on 06GRC power costs.xls Chart 1_4 31 Regulatory Assets and Liabilities  7 06- Exhibit D 2 3 2" xfId="22097"/>
    <cellStyle name="_VC 6.15.06 update on 06GRC power costs.xls Chart 1_4 31 Regulatory Assets and Liabilities  7 06- Exhibit D 2 4" xfId="22098"/>
    <cellStyle name="_VC 6.15.06 update on 06GRC power costs.xls Chart 1_4 31 Regulatory Assets and Liabilities  7 06- Exhibit D 2 4 2" xfId="22099"/>
    <cellStyle name="_VC 6.15.06 update on 06GRC power costs.xls Chart 1_4 31 Regulatory Assets and Liabilities  7 06- Exhibit D 2 5" xfId="22100"/>
    <cellStyle name="_VC 6.15.06 update on 06GRC power costs.xls Chart 1_4 31 Regulatory Assets and Liabilities  7 06- Exhibit D 3" xfId="22101"/>
    <cellStyle name="_VC 6.15.06 update on 06GRC power costs.xls Chart 1_4 31 Regulatory Assets and Liabilities  7 06- Exhibit D 3 2" xfId="22102"/>
    <cellStyle name="_VC 6.15.06 update on 06GRC power costs.xls Chart 1_4 31 Regulatory Assets and Liabilities  7 06- Exhibit D 3 2 2" xfId="22103"/>
    <cellStyle name="_VC 6.15.06 update on 06GRC power costs.xls Chart 1_4 31 Regulatory Assets and Liabilities  7 06- Exhibit D 3 3" xfId="22104"/>
    <cellStyle name="_VC 6.15.06 update on 06GRC power costs.xls Chart 1_4 31 Regulatory Assets and Liabilities  7 06- Exhibit D 3 4" xfId="22105"/>
    <cellStyle name="_VC 6.15.06 update on 06GRC power costs.xls Chart 1_4 31 Regulatory Assets and Liabilities  7 06- Exhibit D 4" xfId="22106"/>
    <cellStyle name="_VC 6.15.06 update on 06GRC power costs.xls Chart 1_4 31 Regulatory Assets and Liabilities  7 06- Exhibit D 4 2" xfId="22107"/>
    <cellStyle name="_VC 6.15.06 update on 06GRC power costs.xls Chart 1_4 31 Regulatory Assets and Liabilities  7 06- Exhibit D 4 2 2" xfId="22108"/>
    <cellStyle name="_VC 6.15.06 update on 06GRC power costs.xls Chart 1_4 31 Regulatory Assets and Liabilities  7 06- Exhibit D 4 3" xfId="22109"/>
    <cellStyle name="_VC 6.15.06 update on 06GRC power costs.xls Chart 1_4 31 Regulatory Assets and Liabilities  7 06- Exhibit D 5" xfId="22110"/>
    <cellStyle name="_VC 6.15.06 update on 06GRC power costs.xls Chart 1_4 31 Regulatory Assets and Liabilities  7 06- Exhibit D 5 2" xfId="22111"/>
    <cellStyle name="_VC 6.15.06 update on 06GRC power costs.xls Chart 1_4 31 Regulatory Assets and Liabilities  7 06- Exhibit D 6" xfId="22112"/>
    <cellStyle name="_VC 6.15.06 update on 06GRC power costs.xls Chart 1_4 31 Regulatory Assets and Liabilities  7 06- Exhibit D 6 2" xfId="22113"/>
    <cellStyle name="_VC 6.15.06 update on 06GRC power costs.xls Chart 1_4 31 Regulatory Assets and Liabilities  7 06- Exhibit D 7" xfId="22114"/>
    <cellStyle name="_VC 6.15.06 update on 06GRC power costs.xls Chart 1_4 31 Regulatory Assets and Liabilities  7 06- Exhibit D_DEM-WP(C) ENERG10C--ctn Mid-C_042010 2010GRC" xfId="22115"/>
    <cellStyle name="_VC 6.15.06 update on 06GRC power costs.xls Chart 1_4 31 Regulatory Assets and Liabilities  7 06- Exhibit D_DEM-WP(C) ENERG10C--ctn Mid-C_042010 2010GRC 2" xfId="22116"/>
    <cellStyle name="_VC 6.15.06 update on 06GRC power costs.xls Chart 1_4 31 Regulatory Assets and Liabilities  7 06- Exhibit D_NIM Summary" xfId="22117"/>
    <cellStyle name="_VC 6.15.06 update on 06GRC power costs.xls Chart 1_4 31 Regulatory Assets and Liabilities  7 06- Exhibit D_NIM Summary 2" xfId="22118"/>
    <cellStyle name="_VC 6.15.06 update on 06GRC power costs.xls Chart 1_4 31 Regulatory Assets and Liabilities  7 06- Exhibit D_NIM Summary 2 2" xfId="22119"/>
    <cellStyle name="_VC 6.15.06 update on 06GRC power costs.xls Chart 1_4 31 Regulatory Assets and Liabilities  7 06- Exhibit D_NIM Summary 2 2 2" xfId="22120"/>
    <cellStyle name="_VC 6.15.06 update on 06GRC power costs.xls Chart 1_4 31 Regulatory Assets and Liabilities  7 06- Exhibit D_NIM Summary 2 2 2 2" xfId="22121"/>
    <cellStyle name="_VC 6.15.06 update on 06GRC power costs.xls Chart 1_4 31 Regulatory Assets and Liabilities  7 06- Exhibit D_NIM Summary 2 3" xfId="22122"/>
    <cellStyle name="_VC 6.15.06 update on 06GRC power costs.xls Chart 1_4 31 Regulatory Assets and Liabilities  7 06- Exhibit D_NIM Summary 2 3 2" xfId="22123"/>
    <cellStyle name="_VC 6.15.06 update on 06GRC power costs.xls Chart 1_4 31 Regulatory Assets and Liabilities  7 06- Exhibit D_NIM Summary 2 4" xfId="22124"/>
    <cellStyle name="_VC 6.15.06 update on 06GRC power costs.xls Chart 1_4 31 Regulatory Assets and Liabilities  7 06- Exhibit D_NIM Summary 2 4 2" xfId="22125"/>
    <cellStyle name="_VC 6.15.06 update on 06GRC power costs.xls Chart 1_4 31 Regulatory Assets and Liabilities  7 06- Exhibit D_NIM Summary 2 5" xfId="22126"/>
    <cellStyle name="_VC 6.15.06 update on 06GRC power costs.xls Chart 1_4 31 Regulatory Assets and Liabilities  7 06- Exhibit D_NIM Summary 3" xfId="22127"/>
    <cellStyle name="_VC 6.15.06 update on 06GRC power costs.xls Chart 1_4 31 Regulatory Assets and Liabilities  7 06- Exhibit D_NIM Summary 3 2" xfId="22128"/>
    <cellStyle name="_VC 6.15.06 update on 06GRC power costs.xls Chart 1_4 31 Regulatory Assets and Liabilities  7 06- Exhibit D_NIM Summary 3 2 2" xfId="22129"/>
    <cellStyle name="_VC 6.15.06 update on 06GRC power costs.xls Chart 1_4 31 Regulatory Assets and Liabilities  7 06- Exhibit D_NIM Summary 3 3" xfId="22130"/>
    <cellStyle name="_VC 6.15.06 update on 06GRC power costs.xls Chart 1_4 31 Regulatory Assets and Liabilities  7 06- Exhibit D_NIM Summary 4" xfId="22131"/>
    <cellStyle name="_VC 6.15.06 update on 06GRC power costs.xls Chart 1_4 31 Regulatory Assets and Liabilities  7 06- Exhibit D_NIM Summary 4 2" xfId="22132"/>
    <cellStyle name="_VC 6.15.06 update on 06GRC power costs.xls Chart 1_4 31 Regulatory Assets and Liabilities  7 06- Exhibit D_NIM Summary 4 2 2" xfId="22133"/>
    <cellStyle name="_VC 6.15.06 update on 06GRC power costs.xls Chart 1_4 31 Regulatory Assets and Liabilities  7 06- Exhibit D_NIM Summary 4 3" xfId="22134"/>
    <cellStyle name="_VC 6.15.06 update on 06GRC power costs.xls Chart 1_4 31 Regulatory Assets and Liabilities  7 06- Exhibit D_NIM Summary 5" xfId="22135"/>
    <cellStyle name="_VC 6.15.06 update on 06GRC power costs.xls Chart 1_4 31 Regulatory Assets and Liabilities  7 06- Exhibit D_NIM Summary 5 2" xfId="22136"/>
    <cellStyle name="_VC 6.15.06 update on 06GRC power costs.xls Chart 1_4 31 Regulatory Assets and Liabilities  7 06- Exhibit D_NIM Summary 6" xfId="22137"/>
    <cellStyle name="_VC 6.15.06 update on 06GRC power costs.xls Chart 1_4 31 Regulatory Assets and Liabilities  7 06- Exhibit D_NIM Summary 6 2" xfId="22138"/>
    <cellStyle name="_VC 6.15.06 update on 06GRC power costs.xls Chart 1_4 31 Regulatory Assets and Liabilities  7 06- Exhibit D_NIM Summary 7" xfId="22139"/>
    <cellStyle name="_VC 6.15.06 update on 06GRC power costs.xls Chart 1_4 31 Regulatory Assets and Liabilities  7 06- Exhibit D_NIM Summary_DEM-WP(C) ENERG10C--ctn Mid-C_042010 2010GRC" xfId="22140"/>
    <cellStyle name="_VC 6.15.06 update on 06GRC power costs.xls Chart 1_4 31 Regulatory Assets and Liabilities  7 06- Exhibit D_NIM Summary_DEM-WP(C) ENERG10C--ctn Mid-C_042010 2010GRC 2" xfId="22141"/>
    <cellStyle name="_VC 6.15.06 update on 06GRC power costs.xls Chart 1_4 31E Reg Asset  Liab and EXH D" xfId="22142"/>
    <cellStyle name="_VC 6.15.06 update on 06GRC power costs.xls Chart 1_4 31E Reg Asset  Liab and EXH D _ Aug 10 Filing (2)" xfId="22143"/>
    <cellStyle name="_VC 6.15.06 update on 06GRC power costs.xls Chart 1_4 31E Reg Asset  Liab and EXH D _ Aug 10 Filing (2) 2" xfId="22144"/>
    <cellStyle name="_VC 6.15.06 update on 06GRC power costs.xls Chart 1_4 31E Reg Asset  Liab and EXH D _ Aug 10 Filing (2) 2 2" xfId="22145"/>
    <cellStyle name="_VC 6.15.06 update on 06GRC power costs.xls Chart 1_4 31E Reg Asset  Liab and EXH D _ Aug 10 Filing (2) 2 2 2" xfId="22146"/>
    <cellStyle name="_VC 6.15.06 update on 06GRC power costs.xls Chart 1_4 31E Reg Asset  Liab and EXH D _ Aug 10 Filing (2) 2 3" xfId="22147"/>
    <cellStyle name="_VC 6.15.06 update on 06GRC power costs.xls Chart 1_4 31E Reg Asset  Liab and EXH D _ Aug 10 Filing (2) 3" xfId="22148"/>
    <cellStyle name="_VC 6.15.06 update on 06GRC power costs.xls Chart 1_4 31E Reg Asset  Liab and EXH D _ Aug 10 Filing (2) 3 2" xfId="22149"/>
    <cellStyle name="_VC 6.15.06 update on 06GRC power costs.xls Chart 1_4 31E Reg Asset  Liab and EXH D _ Aug 10 Filing (2) 3 2 2" xfId="22150"/>
    <cellStyle name="_VC 6.15.06 update on 06GRC power costs.xls Chart 1_4 31E Reg Asset  Liab and EXH D _ Aug 10 Filing (2) 3 3" xfId="22151"/>
    <cellStyle name="_VC 6.15.06 update on 06GRC power costs.xls Chart 1_4 31E Reg Asset  Liab and EXH D _ Aug 10 Filing (2) 4" xfId="22152"/>
    <cellStyle name="_VC 6.15.06 update on 06GRC power costs.xls Chart 1_4 31E Reg Asset  Liab and EXH D _ Aug 10 Filing (2) 4 2" xfId="22153"/>
    <cellStyle name="_VC 6.15.06 update on 06GRC power costs.xls Chart 1_4 31E Reg Asset  Liab and EXH D _ Aug 10 Filing (2) 5" xfId="22154"/>
    <cellStyle name="_VC 6.15.06 update on 06GRC power costs.xls Chart 1_4 31E Reg Asset  Liab and EXH D _ Aug 10 Filing (2) 5 2" xfId="22155"/>
    <cellStyle name="_VC 6.15.06 update on 06GRC power costs.xls Chart 1_4 31E Reg Asset  Liab and EXH D 10" xfId="22156"/>
    <cellStyle name="_VC 6.15.06 update on 06GRC power costs.xls Chart 1_4 31E Reg Asset  Liab and EXH D 10 2" xfId="22157"/>
    <cellStyle name="_VC 6.15.06 update on 06GRC power costs.xls Chart 1_4 31E Reg Asset  Liab and EXH D 10 2 2" xfId="22158"/>
    <cellStyle name="_VC 6.15.06 update on 06GRC power costs.xls Chart 1_4 31E Reg Asset  Liab and EXH D 10 3" xfId="22159"/>
    <cellStyle name="_VC 6.15.06 update on 06GRC power costs.xls Chart 1_4 31E Reg Asset  Liab and EXH D 11" xfId="22160"/>
    <cellStyle name="_VC 6.15.06 update on 06GRC power costs.xls Chart 1_4 31E Reg Asset  Liab and EXH D 11 2" xfId="22161"/>
    <cellStyle name="_VC 6.15.06 update on 06GRC power costs.xls Chart 1_4 31E Reg Asset  Liab and EXH D 11 2 2" xfId="22162"/>
    <cellStyle name="_VC 6.15.06 update on 06GRC power costs.xls Chart 1_4 31E Reg Asset  Liab and EXH D 11 3" xfId="22163"/>
    <cellStyle name="_VC 6.15.06 update on 06GRC power costs.xls Chart 1_4 31E Reg Asset  Liab and EXH D 12" xfId="22164"/>
    <cellStyle name="_VC 6.15.06 update on 06GRC power costs.xls Chart 1_4 31E Reg Asset  Liab and EXH D 12 2" xfId="22165"/>
    <cellStyle name="_VC 6.15.06 update on 06GRC power costs.xls Chart 1_4 31E Reg Asset  Liab and EXH D 12 2 2" xfId="22166"/>
    <cellStyle name="_VC 6.15.06 update on 06GRC power costs.xls Chart 1_4 31E Reg Asset  Liab and EXH D 12 3" xfId="22167"/>
    <cellStyle name="_VC 6.15.06 update on 06GRC power costs.xls Chart 1_4 31E Reg Asset  Liab and EXH D 13" xfId="22168"/>
    <cellStyle name="_VC 6.15.06 update on 06GRC power costs.xls Chart 1_4 31E Reg Asset  Liab and EXH D 13 2" xfId="22169"/>
    <cellStyle name="_VC 6.15.06 update on 06GRC power costs.xls Chart 1_4 31E Reg Asset  Liab and EXH D 13 2 2" xfId="22170"/>
    <cellStyle name="_VC 6.15.06 update on 06GRC power costs.xls Chart 1_4 31E Reg Asset  Liab and EXH D 13 3" xfId="22171"/>
    <cellStyle name="_VC 6.15.06 update on 06GRC power costs.xls Chart 1_4 31E Reg Asset  Liab and EXH D 14" xfId="22172"/>
    <cellStyle name="_VC 6.15.06 update on 06GRC power costs.xls Chart 1_4 31E Reg Asset  Liab and EXH D 14 2" xfId="22173"/>
    <cellStyle name="_VC 6.15.06 update on 06GRC power costs.xls Chart 1_4 31E Reg Asset  Liab and EXH D 14 2 2" xfId="22174"/>
    <cellStyle name="_VC 6.15.06 update on 06GRC power costs.xls Chart 1_4 31E Reg Asset  Liab and EXH D 14 3" xfId="22175"/>
    <cellStyle name="_VC 6.15.06 update on 06GRC power costs.xls Chart 1_4 31E Reg Asset  Liab and EXH D 15" xfId="22176"/>
    <cellStyle name="_VC 6.15.06 update on 06GRC power costs.xls Chart 1_4 31E Reg Asset  Liab and EXH D 15 2" xfId="22177"/>
    <cellStyle name="_VC 6.15.06 update on 06GRC power costs.xls Chart 1_4 31E Reg Asset  Liab and EXH D 15 2 2" xfId="22178"/>
    <cellStyle name="_VC 6.15.06 update on 06GRC power costs.xls Chart 1_4 31E Reg Asset  Liab and EXH D 15 3" xfId="22179"/>
    <cellStyle name="_VC 6.15.06 update on 06GRC power costs.xls Chart 1_4 31E Reg Asset  Liab and EXH D 16" xfId="22180"/>
    <cellStyle name="_VC 6.15.06 update on 06GRC power costs.xls Chart 1_4 31E Reg Asset  Liab and EXH D 16 2" xfId="22181"/>
    <cellStyle name="_VC 6.15.06 update on 06GRC power costs.xls Chart 1_4 31E Reg Asset  Liab and EXH D 16 2 2" xfId="22182"/>
    <cellStyle name="_VC 6.15.06 update on 06GRC power costs.xls Chart 1_4 31E Reg Asset  Liab and EXH D 16 3" xfId="22183"/>
    <cellStyle name="_VC 6.15.06 update on 06GRC power costs.xls Chart 1_4 31E Reg Asset  Liab and EXH D 17" xfId="22184"/>
    <cellStyle name="_VC 6.15.06 update on 06GRC power costs.xls Chart 1_4 31E Reg Asset  Liab and EXH D 17 2" xfId="22185"/>
    <cellStyle name="_VC 6.15.06 update on 06GRC power costs.xls Chart 1_4 31E Reg Asset  Liab and EXH D 18" xfId="22186"/>
    <cellStyle name="_VC 6.15.06 update on 06GRC power costs.xls Chart 1_4 31E Reg Asset  Liab and EXH D 18 2" xfId="22187"/>
    <cellStyle name="_VC 6.15.06 update on 06GRC power costs.xls Chart 1_4 31E Reg Asset  Liab and EXH D 19" xfId="22188"/>
    <cellStyle name="_VC 6.15.06 update on 06GRC power costs.xls Chart 1_4 31E Reg Asset  Liab and EXH D 19 2" xfId="22189"/>
    <cellStyle name="_VC 6.15.06 update on 06GRC power costs.xls Chart 1_4 31E Reg Asset  Liab and EXH D 2" xfId="22190"/>
    <cellStyle name="_VC 6.15.06 update on 06GRC power costs.xls Chart 1_4 31E Reg Asset  Liab and EXH D 2 2" xfId="22191"/>
    <cellStyle name="_VC 6.15.06 update on 06GRC power costs.xls Chart 1_4 31E Reg Asset  Liab and EXH D 2 2 2" xfId="22192"/>
    <cellStyle name="_VC 6.15.06 update on 06GRC power costs.xls Chart 1_4 31E Reg Asset  Liab and EXH D 2 3" xfId="22193"/>
    <cellStyle name="_VC 6.15.06 update on 06GRC power costs.xls Chart 1_4 31E Reg Asset  Liab and EXH D 20" xfId="22194"/>
    <cellStyle name="_VC 6.15.06 update on 06GRC power costs.xls Chart 1_4 31E Reg Asset  Liab and EXH D 20 2" xfId="22195"/>
    <cellStyle name="_VC 6.15.06 update on 06GRC power costs.xls Chart 1_4 31E Reg Asset  Liab and EXH D 21" xfId="22196"/>
    <cellStyle name="_VC 6.15.06 update on 06GRC power costs.xls Chart 1_4 31E Reg Asset  Liab and EXH D 21 2" xfId="22197"/>
    <cellStyle name="_VC 6.15.06 update on 06GRC power costs.xls Chart 1_4 31E Reg Asset  Liab and EXH D 22" xfId="22198"/>
    <cellStyle name="_VC 6.15.06 update on 06GRC power costs.xls Chart 1_4 31E Reg Asset  Liab and EXH D 22 2" xfId="22199"/>
    <cellStyle name="_VC 6.15.06 update on 06GRC power costs.xls Chart 1_4 31E Reg Asset  Liab and EXH D 23" xfId="22200"/>
    <cellStyle name="_VC 6.15.06 update on 06GRC power costs.xls Chart 1_4 31E Reg Asset  Liab and EXH D 23 2" xfId="22201"/>
    <cellStyle name="_VC 6.15.06 update on 06GRC power costs.xls Chart 1_4 31E Reg Asset  Liab and EXH D 24" xfId="22202"/>
    <cellStyle name="_VC 6.15.06 update on 06GRC power costs.xls Chart 1_4 31E Reg Asset  Liab and EXH D 24 2" xfId="22203"/>
    <cellStyle name="_VC 6.15.06 update on 06GRC power costs.xls Chart 1_4 31E Reg Asset  Liab and EXH D 25" xfId="22204"/>
    <cellStyle name="_VC 6.15.06 update on 06GRC power costs.xls Chart 1_4 31E Reg Asset  Liab and EXH D 25 2" xfId="22205"/>
    <cellStyle name="_VC 6.15.06 update on 06GRC power costs.xls Chart 1_4 31E Reg Asset  Liab and EXH D 26" xfId="22206"/>
    <cellStyle name="_VC 6.15.06 update on 06GRC power costs.xls Chart 1_4 31E Reg Asset  Liab and EXH D 26 2" xfId="22207"/>
    <cellStyle name="_VC 6.15.06 update on 06GRC power costs.xls Chart 1_4 31E Reg Asset  Liab and EXH D 27" xfId="22208"/>
    <cellStyle name="_VC 6.15.06 update on 06GRC power costs.xls Chart 1_4 31E Reg Asset  Liab and EXH D 27 2" xfId="22209"/>
    <cellStyle name="_VC 6.15.06 update on 06GRC power costs.xls Chart 1_4 31E Reg Asset  Liab and EXH D 28" xfId="22210"/>
    <cellStyle name="_VC 6.15.06 update on 06GRC power costs.xls Chart 1_4 31E Reg Asset  Liab and EXH D 28 2" xfId="22211"/>
    <cellStyle name="_VC 6.15.06 update on 06GRC power costs.xls Chart 1_4 31E Reg Asset  Liab and EXH D 29" xfId="22212"/>
    <cellStyle name="_VC 6.15.06 update on 06GRC power costs.xls Chart 1_4 31E Reg Asset  Liab and EXH D 29 2" xfId="22213"/>
    <cellStyle name="_VC 6.15.06 update on 06GRC power costs.xls Chart 1_4 31E Reg Asset  Liab and EXH D 3" xfId="22214"/>
    <cellStyle name="_VC 6.15.06 update on 06GRC power costs.xls Chart 1_4 31E Reg Asset  Liab and EXH D 3 2" xfId="22215"/>
    <cellStyle name="_VC 6.15.06 update on 06GRC power costs.xls Chart 1_4 31E Reg Asset  Liab and EXH D 3 2 2" xfId="22216"/>
    <cellStyle name="_VC 6.15.06 update on 06GRC power costs.xls Chart 1_4 31E Reg Asset  Liab and EXH D 3 3" xfId="22217"/>
    <cellStyle name="_VC 6.15.06 update on 06GRC power costs.xls Chart 1_4 31E Reg Asset  Liab and EXH D 30" xfId="22218"/>
    <cellStyle name="_VC 6.15.06 update on 06GRC power costs.xls Chart 1_4 31E Reg Asset  Liab and EXH D 30 2" xfId="22219"/>
    <cellStyle name="_VC 6.15.06 update on 06GRC power costs.xls Chart 1_4 31E Reg Asset  Liab and EXH D 4" xfId="22220"/>
    <cellStyle name="_VC 6.15.06 update on 06GRC power costs.xls Chart 1_4 31E Reg Asset  Liab and EXH D 4 2" xfId="22221"/>
    <cellStyle name="_VC 6.15.06 update on 06GRC power costs.xls Chart 1_4 31E Reg Asset  Liab and EXH D 4 2 2" xfId="22222"/>
    <cellStyle name="_VC 6.15.06 update on 06GRC power costs.xls Chart 1_4 31E Reg Asset  Liab and EXH D 5" xfId="22223"/>
    <cellStyle name="_VC 6.15.06 update on 06GRC power costs.xls Chart 1_4 31E Reg Asset  Liab and EXH D 5 2" xfId="22224"/>
    <cellStyle name="_VC 6.15.06 update on 06GRC power costs.xls Chart 1_4 31E Reg Asset  Liab and EXH D 5 2 2" xfId="22225"/>
    <cellStyle name="_VC 6.15.06 update on 06GRC power costs.xls Chart 1_4 31E Reg Asset  Liab and EXH D 6" xfId="22226"/>
    <cellStyle name="_VC 6.15.06 update on 06GRC power costs.xls Chart 1_4 31E Reg Asset  Liab and EXH D 6 2" xfId="22227"/>
    <cellStyle name="_VC 6.15.06 update on 06GRC power costs.xls Chart 1_4 31E Reg Asset  Liab and EXH D 6 2 2" xfId="22228"/>
    <cellStyle name="_VC 6.15.06 update on 06GRC power costs.xls Chart 1_4 31E Reg Asset  Liab and EXH D 6 3" xfId="22229"/>
    <cellStyle name="_VC 6.15.06 update on 06GRC power costs.xls Chart 1_4 31E Reg Asset  Liab and EXH D 7" xfId="22230"/>
    <cellStyle name="_VC 6.15.06 update on 06GRC power costs.xls Chart 1_4 31E Reg Asset  Liab and EXH D 7 2" xfId="22231"/>
    <cellStyle name="_VC 6.15.06 update on 06GRC power costs.xls Chart 1_4 31E Reg Asset  Liab and EXH D 7 2 2" xfId="22232"/>
    <cellStyle name="_VC 6.15.06 update on 06GRC power costs.xls Chart 1_4 31E Reg Asset  Liab and EXH D 7 3" xfId="22233"/>
    <cellStyle name="_VC 6.15.06 update on 06GRC power costs.xls Chart 1_4 31E Reg Asset  Liab and EXH D 8" xfId="22234"/>
    <cellStyle name="_VC 6.15.06 update on 06GRC power costs.xls Chart 1_4 31E Reg Asset  Liab and EXH D 8 2" xfId="22235"/>
    <cellStyle name="_VC 6.15.06 update on 06GRC power costs.xls Chart 1_4 31E Reg Asset  Liab and EXH D 8 2 2" xfId="22236"/>
    <cellStyle name="_VC 6.15.06 update on 06GRC power costs.xls Chart 1_4 31E Reg Asset  Liab and EXH D 8 3" xfId="22237"/>
    <cellStyle name="_VC 6.15.06 update on 06GRC power costs.xls Chart 1_4 31E Reg Asset  Liab and EXH D 9" xfId="22238"/>
    <cellStyle name="_VC 6.15.06 update on 06GRC power costs.xls Chart 1_4 31E Reg Asset  Liab and EXH D 9 2" xfId="22239"/>
    <cellStyle name="_VC 6.15.06 update on 06GRC power costs.xls Chart 1_4 31E Reg Asset  Liab and EXH D 9 2 2" xfId="22240"/>
    <cellStyle name="_VC 6.15.06 update on 06GRC power costs.xls Chart 1_4 31E Reg Asset  Liab and EXH D 9 3" xfId="22241"/>
    <cellStyle name="_VC 6.15.06 update on 06GRC power costs.xls Chart 1_4 32 Regulatory Assets and Liabilities  7 06- Exhibit D" xfId="937"/>
    <cellStyle name="_VC 6.15.06 update on 06GRC power costs.xls Chart 1_4 32 Regulatory Assets and Liabilities  7 06- Exhibit D 2" xfId="22242"/>
    <cellStyle name="_VC 6.15.06 update on 06GRC power costs.xls Chart 1_4 32 Regulatory Assets and Liabilities  7 06- Exhibit D 2 2" xfId="22243"/>
    <cellStyle name="_VC 6.15.06 update on 06GRC power costs.xls Chart 1_4 32 Regulatory Assets and Liabilities  7 06- Exhibit D 2 2 2" xfId="22244"/>
    <cellStyle name="_VC 6.15.06 update on 06GRC power costs.xls Chart 1_4 32 Regulatory Assets and Liabilities  7 06- Exhibit D 2 2 2 2" xfId="22245"/>
    <cellStyle name="_VC 6.15.06 update on 06GRC power costs.xls Chart 1_4 32 Regulatory Assets and Liabilities  7 06- Exhibit D 2 2 3" xfId="22246"/>
    <cellStyle name="_VC 6.15.06 update on 06GRC power costs.xls Chart 1_4 32 Regulatory Assets and Liabilities  7 06- Exhibit D 2 3" xfId="22247"/>
    <cellStyle name="_VC 6.15.06 update on 06GRC power costs.xls Chart 1_4 32 Regulatory Assets and Liabilities  7 06- Exhibit D 2 3 2" xfId="22248"/>
    <cellStyle name="_VC 6.15.06 update on 06GRC power costs.xls Chart 1_4 32 Regulatory Assets and Liabilities  7 06- Exhibit D 2 4" xfId="22249"/>
    <cellStyle name="_VC 6.15.06 update on 06GRC power costs.xls Chart 1_4 32 Regulatory Assets and Liabilities  7 06- Exhibit D 2 4 2" xfId="22250"/>
    <cellStyle name="_VC 6.15.06 update on 06GRC power costs.xls Chart 1_4 32 Regulatory Assets and Liabilities  7 06- Exhibit D 2 5" xfId="22251"/>
    <cellStyle name="_VC 6.15.06 update on 06GRC power costs.xls Chart 1_4 32 Regulatory Assets and Liabilities  7 06- Exhibit D 3" xfId="22252"/>
    <cellStyle name="_VC 6.15.06 update on 06GRC power costs.xls Chart 1_4 32 Regulatory Assets and Liabilities  7 06- Exhibit D 3 2" xfId="22253"/>
    <cellStyle name="_VC 6.15.06 update on 06GRC power costs.xls Chart 1_4 32 Regulatory Assets and Liabilities  7 06- Exhibit D 3 2 2" xfId="22254"/>
    <cellStyle name="_VC 6.15.06 update on 06GRC power costs.xls Chart 1_4 32 Regulatory Assets and Liabilities  7 06- Exhibit D 3 3" xfId="22255"/>
    <cellStyle name="_VC 6.15.06 update on 06GRC power costs.xls Chart 1_4 32 Regulatory Assets and Liabilities  7 06- Exhibit D 3 4" xfId="22256"/>
    <cellStyle name="_VC 6.15.06 update on 06GRC power costs.xls Chart 1_4 32 Regulatory Assets and Liabilities  7 06- Exhibit D 4" xfId="22257"/>
    <cellStyle name="_VC 6.15.06 update on 06GRC power costs.xls Chart 1_4 32 Regulatory Assets and Liabilities  7 06- Exhibit D 4 2" xfId="22258"/>
    <cellStyle name="_VC 6.15.06 update on 06GRC power costs.xls Chart 1_4 32 Regulatory Assets and Liabilities  7 06- Exhibit D 4 2 2" xfId="22259"/>
    <cellStyle name="_VC 6.15.06 update on 06GRC power costs.xls Chart 1_4 32 Regulatory Assets and Liabilities  7 06- Exhibit D 4 3" xfId="22260"/>
    <cellStyle name="_VC 6.15.06 update on 06GRC power costs.xls Chart 1_4 32 Regulatory Assets and Liabilities  7 06- Exhibit D 5" xfId="22261"/>
    <cellStyle name="_VC 6.15.06 update on 06GRC power costs.xls Chart 1_4 32 Regulatory Assets and Liabilities  7 06- Exhibit D 5 2" xfId="22262"/>
    <cellStyle name="_VC 6.15.06 update on 06GRC power costs.xls Chart 1_4 32 Regulatory Assets and Liabilities  7 06- Exhibit D 6" xfId="22263"/>
    <cellStyle name="_VC 6.15.06 update on 06GRC power costs.xls Chart 1_4 32 Regulatory Assets and Liabilities  7 06- Exhibit D 6 2" xfId="22264"/>
    <cellStyle name="_VC 6.15.06 update on 06GRC power costs.xls Chart 1_4 32 Regulatory Assets and Liabilities  7 06- Exhibit D 7" xfId="22265"/>
    <cellStyle name="_VC 6.15.06 update on 06GRC power costs.xls Chart 1_4 32 Regulatory Assets and Liabilities  7 06- Exhibit D_DEM-WP(C) ENERG10C--ctn Mid-C_042010 2010GRC" xfId="22266"/>
    <cellStyle name="_VC 6.15.06 update on 06GRC power costs.xls Chart 1_4 32 Regulatory Assets and Liabilities  7 06- Exhibit D_DEM-WP(C) ENERG10C--ctn Mid-C_042010 2010GRC 2" xfId="22267"/>
    <cellStyle name="_VC 6.15.06 update on 06GRC power costs.xls Chart 1_4 32 Regulatory Assets and Liabilities  7 06- Exhibit D_NIM Summary" xfId="22268"/>
    <cellStyle name="_VC 6.15.06 update on 06GRC power costs.xls Chart 1_4 32 Regulatory Assets and Liabilities  7 06- Exhibit D_NIM Summary 2" xfId="22269"/>
    <cellStyle name="_VC 6.15.06 update on 06GRC power costs.xls Chart 1_4 32 Regulatory Assets and Liabilities  7 06- Exhibit D_NIM Summary 2 2" xfId="22270"/>
    <cellStyle name="_VC 6.15.06 update on 06GRC power costs.xls Chart 1_4 32 Regulatory Assets and Liabilities  7 06- Exhibit D_NIM Summary 2 2 2" xfId="22271"/>
    <cellStyle name="_VC 6.15.06 update on 06GRC power costs.xls Chart 1_4 32 Regulatory Assets and Liabilities  7 06- Exhibit D_NIM Summary 2 2 2 2" xfId="22272"/>
    <cellStyle name="_VC 6.15.06 update on 06GRC power costs.xls Chart 1_4 32 Regulatory Assets and Liabilities  7 06- Exhibit D_NIM Summary 2 3" xfId="22273"/>
    <cellStyle name="_VC 6.15.06 update on 06GRC power costs.xls Chart 1_4 32 Regulatory Assets and Liabilities  7 06- Exhibit D_NIM Summary 2 3 2" xfId="22274"/>
    <cellStyle name="_VC 6.15.06 update on 06GRC power costs.xls Chart 1_4 32 Regulatory Assets and Liabilities  7 06- Exhibit D_NIM Summary 2 4" xfId="22275"/>
    <cellStyle name="_VC 6.15.06 update on 06GRC power costs.xls Chart 1_4 32 Regulatory Assets and Liabilities  7 06- Exhibit D_NIM Summary 2 4 2" xfId="22276"/>
    <cellStyle name="_VC 6.15.06 update on 06GRC power costs.xls Chart 1_4 32 Regulatory Assets and Liabilities  7 06- Exhibit D_NIM Summary 2 5" xfId="22277"/>
    <cellStyle name="_VC 6.15.06 update on 06GRC power costs.xls Chart 1_4 32 Regulatory Assets and Liabilities  7 06- Exhibit D_NIM Summary 3" xfId="22278"/>
    <cellStyle name="_VC 6.15.06 update on 06GRC power costs.xls Chart 1_4 32 Regulatory Assets and Liabilities  7 06- Exhibit D_NIM Summary 3 2" xfId="22279"/>
    <cellStyle name="_VC 6.15.06 update on 06GRC power costs.xls Chart 1_4 32 Regulatory Assets and Liabilities  7 06- Exhibit D_NIM Summary 3 2 2" xfId="22280"/>
    <cellStyle name="_VC 6.15.06 update on 06GRC power costs.xls Chart 1_4 32 Regulatory Assets and Liabilities  7 06- Exhibit D_NIM Summary 3 3" xfId="22281"/>
    <cellStyle name="_VC 6.15.06 update on 06GRC power costs.xls Chart 1_4 32 Regulatory Assets and Liabilities  7 06- Exhibit D_NIM Summary 4" xfId="22282"/>
    <cellStyle name="_VC 6.15.06 update on 06GRC power costs.xls Chart 1_4 32 Regulatory Assets and Liabilities  7 06- Exhibit D_NIM Summary 4 2" xfId="22283"/>
    <cellStyle name="_VC 6.15.06 update on 06GRC power costs.xls Chart 1_4 32 Regulatory Assets and Liabilities  7 06- Exhibit D_NIM Summary 4 2 2" xfId="22284"/>
    <cellStyle name="_VC 6.15.06 update on 06GRC power costs.xls Chart 1_4 32 Regulatory Assets and Liabilities  7 06- Exhibit D_NIM Summary 4 3" xfId="22285"/>
    <cellStyle name="_VC 6.15.06 update on 06GRC power costs.xls Chart 1_4 32 Regulatory Assets and Liabilities  7 06- Exhibit D_NIM Summary 5" xfId="22286"/>
    <cellStyle name="_VC 6.15.06 update on 06GRC power costs.xls Chart 1_4 32 Regulatory Assets and Liabilities  7 06- Exhibit D_NIM Summary 5 2" xfId="22287"/>
    <cellStyle name="_VC 6.15.06 update on 06GRC power costs.xls Chart 1_4 32 Regulatory Assets and Liabilities  7 06- Exhibit D_NIM Summary 6" xfId="22288"/>
    <cellStyle name="_VC 6.15.06 update on 06GRC power costs.xls Chart 1_4 32 Regulatory Assets and Liabilities  7 06- Exhibit D_NIM Summary 6 2" xfId="22289"/>
    <cellStyle name="_VC 6.15.06 update on 06GRC power costs.xls Chart 1_4 32 Regulatory Assets and Liabilities  7 06- Exhibit D_NIM Summary 7" xfId="22290"/>
    <cellStyle name="_VC 6.15.06 update on 06GRC power costs.xls Chart 1_4 32 Regulatory Assets and Liabilities  7 06- Exhibit D_NIM Summary_DEM-WP(C) ENERG10C--ctn Mid-C_042010 2010GRC" xfId="22291"/>
    <cellStyle name="_VC 6.15.06 update on 06GRC power costs.xls Chart 1_4 32 Regulatory Assets and Liabilities  7 06- Exhibit D_NIM Summary_DEM-WP(C) ENERG10C--ctn Mid-C_042010 2010GRC 2" xfId="22292"/>
    <cellStyle name="_VC 6.15.06 update on 06GRC power costs.xls Chart 1_AURORA Total New" xfId="22293"/>
    <cellStyle name="_VC 6.15.06 update on 06GRC power costs.xls Chart 1_AURORA Total New 2" xfId="22294"/>
    <cellStyle name="_VC 6.15.06 update on 06GRC power costs.xls Chart 1_AURORA Total New 2 2" xfId="22295"/>
    <cellStyle name="_VC 6.15.06 update on 06GRC power costs.xls Chart 1_AURORA Total New 2 2 2" xfId="22296"/>
    <cellStyle name="_VC 6.15.06 update on 06GRC power costs.xls Chart 1_AURORA Total New 2 2 2 2" xfId="22297"/>
    <cellStyle name="_VC 6.15.06 update on 06GRC power costs.xls Chart 1_AURORA Total New 2 3" xfId="22298"/>
    <cellStyle name="_VC 6.15.06 update on 06GRC power costs.xls Chart 1_AURORA Total New 2 3 2" xfId="22299"/>
    <cellStyle name="_VC 6.15.06 update on 06GRC power costs.xls Chart 1_AURORA Total New 2 4" xfId="22300"/>
    <cellStyle name="_VC 6.15.06 update on 06GRC power costs.xls Chart 1_AURORA Total New 2 4 2" xfId="22301"/>
    <cellStyle name="_VC 6.15.06 update on 06GRC power costs.xls Chart 1_AURORA Total New 2 5" xfId="22302"/>
    <cellStyle name="_VC 6.15.06 update on 06GRC power costs.xls Chart 1_AURORA Total New 3" xfId="22303"/>
    <cellStyle name="_VC 6.15.06 update on 06GRC power costs.xls Chart 1_AURORA Total New 3 2" xfId="22304"/>
    <cellStyle name="_VC 6.15.06 update on 06GRC power costs.xls Chart 1_AURORA Total New 3 2 2" xfId="22305"/>
    <cellStyle name="_VC 6.15.06 update on 06GRC power costs.xls Chart 1_AURORA Total New 4" xfId="22306"/>
    <cellStyle name="_VC 6.15.06 update on 06GRC power costs.xls Chart 1_AURORA Total New 4 2" xfId="22307"/>
    <cellStyle name="_VC 6.15.06 update on 06GRC power costs.xls Chart 1_AURORA Total New 5" xfId="22308"/>
    <cellStyle name="_VC 6.15.06 update on 06GRC power costs.xls Chart 1_AURORA Total New 5 2" xfId="22309"/>
    <cellStyle name="_VC 6.15.06 update on 06GRC power costs.xls Chart 1_AURORA Total New 6" xfId="22310"/>
    <cellStyle name="_VC 6.15.06 update on 06GRC power costs.xls Chart 1_Book2" xfId="938"/>
    <cellStyle name="_VC 6.15.06 update on 06GRC power costs.xls Chart 1_Book2 2" xfId="22311"/>
    <cellStyle name="_VC 6.15.06 update on 06GRC power costs.xls Chart 1_Book2 2 2" xfId="22312"/>
    <cellStyle name="_VC 6.15.06 update on 06GRC power costs.xls Chart 1_Book2 2 2 2" xfId="22313"/>
    <cellStyle name="_VC 6.15.06 update on 06GRC power costs.xls Chart 1_Book2 2 2 2 2" xfId="22314"/>
    <cellStyle name="_VC 6.15.06 update on 06GRC power costs.xls Chart 1_Book2 2 2 3" xfId="22315"/>
    <cellStyle name="_VC 6.15.06 update on 06GRC power costs.xls Chart 1_Book2 2 3" xfId="22316"/>
    <cellStyle name="_VC 6.15.06 update on 06GRC power costs.xls Chart 1_Book2 2 3 2" xfId="22317"/>
    <cellStyle name="_VC 6.15.06 update on 06GRC power costs.xls Chart 1_Book2 2 4" xfId="22318"/>
    <cellStyle name="_VC 6.15.06 update on 06GRC power costs.xls Chart 1_Book2 2 4 2" xfId="22319"/>
    <cellStyle name="_VC 6.15.06 update on 06GRC power costs.xls Chart 1_Book2 2 5" xfId="22320"/>
    <cellStyle name="_VC 6.15.06 update on 06GRC power costs.xls Chart 1_Book2 3" xfId="22321"/>
    <cellStyle name="_VC 6.15.06 update on 06GRC power costs.xls Chart 1_Book2 3 2" xfId="22322"/>
    <cellStyle name="_VC 6.15.06 update on 06GRC power costs.xls Chart 1_Book2 3 2 2" xfId="22323"/>
    <cellStyle name="_VC 6.15.06 update on 06GRC power costs.xls Chart 1_Book2 3 3" xfId="22324"/>
    <cellStyle name="_VC 6.15.06 update on 06GRC power costs.xls Chart 1_Book2 3 4" xfId="22325"/>
    <cellStyle name="_VC 6.15.06 update on 06GRC power costs.xls Chart 1_Book2 4" xfId="22326"/>
    <cellStyle name="_VC 6.15.06 update on 06GRC power costs.xls Chart 1_Book2 4 2" xfId="22327"/>
    <cellStyle name="_VC 6.15.06 update on 06GRC power costs.xls Chart 1_Book2 4 2 2" xfId="22328"/>
    <cellStyle name="_VC 6.15.06 update on 06GRC power costs.xls Chart 1_Book2 4 3" xfId="22329"/>
    <cellStyle name="_VC 6.15.06 update on 06GRC power costs.xls Chart 1_Book2 5" xfId="22330"/>
    <cellStyle name="_VC 6.15.06 update on 06GRC power costs.xls Chart 1_Book2 5 2" xfId="22331"/>
    <cellStyle name="_VC 6.15.06 update on 06GRC power costs.xls Chart 1_Book2 6" xfId="22332"/>
    <cellStyle name="_VC 6.15.06 update on 06GRC power costs.xls Chart 1_Book2 6 2" xfId="22333"/>
    <cellStyle name="_VC 6.15.06 update on 06GRC power costs.xls Chart 1_Book2 7" xfId="22334"/>
    <cellStyle name="_VC 6.15.06 update on 06GRC power costs.xls Chart 1_Book2_Adj Bench DR 3 for Initial Briefs (Electric)" xfId="939"/>
    <cellStyle name="_VC 6.15.06 update on 06GRC power costs.xls Chart 1_Book2_Adj Bench DR 3 for Initial Briefs (Electric) 2" xfId="22335"/>
    <cellStyle name="_VC 6.15.06 update on 06GRC power costs.xls Chart 1_Book2_Adj Bench DR 3 for Initial Briefs (Electric) 2 2" xfId="22336"/>
    <cellStyle name="_VC 6.15.06 update on 06GRC power costs.xls Chart 1_Book2_Adj Bench DR 3 for Initial Briefs (Electric) 2 2 2" xfId="22337"/>
    <cellStyle name="_VC 6.15.06 update on 06GRC power costs.xls Chart 1_Book2_Adj Bench DR 3 for Initial Briefs (Electric) 2 2 2 2" xfId="22338"/>
    <cellStyle name="_VC 6.15.06 update on 06GRC power costs.xls Chart 1_Book2_Adj Bench DR 3 for Initial Briefs (Electric) 2 2 3" xfId="22339"/>
    <cellStyle name="_VC 6.15.06 update on 06GRC power costs.xls Chart 1_Book2_Adj Bench DR 3 for Initial Briefs (Electric) 2 3" xfId="22340"/>
    <cellStyle name="_VC 6.15.06 update on 06GRC power costs.xls Chart 1_Book2_Adj Bench DR 3 for Initial Briefs (Electric) 2 3 2" xfId="22341"/>
    <cellStyle name="_VC 6.15.06 update on 06GRC power costs.xls Chart 1_Book2_Adj Bench DR 3 for Initial Briefs (Electric) 2 4" xfId="22342"/>
    <cellStyle name="_VC 6.15.06 update on 06GRC power costs.xls Chart 1_Book2_Adj Bench DR 3 for Initial Briefs (Electric) 2 4 2" xfId="22343"/>
    <cellStyle name="_VC 6.15.06 update on 06GRC power costs.xls Chart 1_Book2_Adj Bench DR 3 for Initial Briefs (Electric) 2 5" xfId="22344"/>
    <cellStyle name="_VC 6.15.06 update on 06GRC power costs.xls Chart 1_Book2_Adj Bench DR 3 for Initial Briefs (Electric) 3" xfId="22345"/>
    <cellStyle name="_VC 6.15.06 update on 06GRC power costs.xls Chart 1_Book2_Adj Bench DR 3 for Initial Briefs (Electric) 3 2" xfId="22346"/>
    <cellStyle name="_VC 6.15.06 update on 06GRC power costs.xls Chart 1_Book2_Adj Bench DR 3 for Initial Briefs (Electric) 3 2 2" xfId="22347"/>
    <cellStyle name="_VC 6.15.06 update on 06GRC power costs.xls Chart 1_Book2_Adj Bench DR 3 for Initial Briefs (Electric) 3 3" xfId="22348"/>
    <cellStyle name="_VC 6.15.06 update on 06GRC power costs.xls Chart 1_Book2_Adj Bench DR 3 for Initial Briefs (Electric) 3 4" xfId="22349"/>
    <cellStyle name="_VC 6.15.06 update on 06GRC power costs.xls Chart 1_Book2_Adj Bench DR 3 for Initial Briefs (Electric) 4" xfId="22350"/>
    <cellStyle name="_VC 6.15.06 update on 06GRC power costs.xls Chart 1_Book2_Adj Bench DR 3 for Initial Briefs (Electric) 4 2" xfId="22351"/>
    <cellStyle name="_VC 6.15.06 update on 06GRC power costs.xls Chart 1_Book2_Adj Bench DR 3 for Initial Briefs (Electric) 4 2 2" xfId="22352"/>
    <cellStyle name="_VC 6.15.06 update on 06GRC power costs.xls Chart 1_Book2_Adj Bench DR 3 for Initial Briefs (Electric) 4 3" xfId="22353"/>
    <cellStyle name="_VC 6.15.06 update on 06GRC power costs.xls Chart 1_Book2_Adj Bench DR 3 for Initial Briefs (Electric) 5" xfId="22354"/>
    <cellStyle name="_VC 6.15.06 update on 06GRC power costs.xls Chart 1_Book2_Adj Bench DR 3 for Initial Briefs (Electric) 5 2" xfId="22355"/>
    <cellStyle name="_VC 6.15.06 update on 06GRC power costs.xls Chart 1_Book2_Adj Bench DR 3 for Initial Briefs (Electric) 6" xfId="22356"/>
    <cellStyle name="_VC 6.15.06 update on 06GRC power costs.xls Chart 1_Book2_Adj Bench DR 3 for Initial Briefs (Electric) 6 2" xfId="22357"/>
    <cellStyle name="_VC 6.15.06 update on 06GRC power costs.xls Chart 1_Book2_Adj Bench DR 3 for Initial Briefs (Electric) 7" xfId="22358"/>
    <cellStyle name="_VC 6.15.06 update on 06GRC power costs.xls Chart 1_Book2_Adj Bench DR 3 for Initial Briefs (Electric)_DEM-WP(C) ENERG10C--ctn Mid-C_042010 2010GRC" xfId="22359"/>
    <cellStyle name="_VC 6.15.06 update on 06GRC power costs.xls Chart 1_Book2_Adj Bench DR 3 for Initial Briefs (Electric)_DEM-WP(C) ENERG10C--ctn Mid-C_042010 2010GRC 2" xfId="22360"/>
    <cellStyle name="_VC 6.15.06 update on 06GRC power costs.xls Chart 1_Book2_DEM-WP(C) ENERG10C--ctn Mid-C_042010 2010GRC" xfId="22361"/>
    <cellStyle name="_VC 6.15.06 update on 06GRC power costs.xls Chart 1_Book2_DEM-WP(C) ENERG10C--ctn Mid-C_042010 2010GRC 2" xfId="22362"/>
    <cellStyle name="_VC 6.15.06 update on 06GRC power costs.xls Chart 1_Book2_Electric Rev Req Model (2009 GRC) Rebuttal" xfId="940"/>
    <cellStyle name="_VC 6.15.06 update on 06GRC power costs.xls Chart 1_Book2_Electric Rev Req Model (2009 GRC) Rebuttal 2" xfId="22363"/>
    <cellStyle name="_VC 6.15.06 update on 06GRC power costs.xls Chart 1_Book2_Electric Rev Req Model (2009 GRC) Rebuttal 2 2" xfId="22364"/>
    <cellStyle name="_VC 6.15.06 update on 06GRC power costs.xls Chart 1_Book2_Electric Rev Req Model (2009 GRC) Rebuttal 2 2 2" xfId="22365"/>
    <cellStyle name="_VC 6.15.06 update on 06GRC power costs.xls Chart 1_Book2_Electric Rev Req Model (2009 GRC) Rebuttal 2 3" xfId="22366"/>
    <cellStyle name="_VC 6.15.06 update on 06GRC power costs.xls Chart 1_Book2_Electric Rev Req Model (2009 GRC) Rebuttal 2 4" xfId="22367"/>
    <cellStyle name="_VC 6.15.06 update on 06GRC power costs.xls Chart 1_Book2_Electric Rev Req Model (2009 GRC) Rebuttal 3" xfId="22368"/>
    <cellStyle name="_VC 6.15.06 update on 06GRC power costs.xls Chart 1_Book2_Electric Rev Req Model (2009 GRC) Rebuttal 3 2" xfId="22369"/>
    <cellStyle name="_VC 6.15.06 update on 06GRC power costs.xls Chart 1_Book2_Electric Rev Req Model (2009 GRC) Rebuttal 4" xfId="22370"/>
    <cellStyle name="_VC 6.15.06 update on 06GRC power costs.xls Chart 1_Book2_Electric Rev Req Model (2009 GRC) Rebuttal 5" xfId="22371"/>
    <cellStyle name="_VC 6.15.06 update on 06GRC power costs.xls Chart 1_Book2_Electric Rev Req Model (2009 GRC) Rebuttal REmoval of New  WH Solar AdjustMI" xfId="941"/>
    <cellStyle name="_VC 6.15.06 update on 06GRC power costs.xls Chart 1_Book2_Electric Rev Req Model (2009 GRC) Rebuttal REmoval of New  WH Solar AdjustMI 2" xfId="22372"/>
    <cellStyle name="_VC 6.15.06 update on 06GRC power costs.xls Chart 1_Book2_Electric Rev Req Model (2009 GRC) Rebuttal REmoval of New  WH Solar AdjustMI 2 2" xfId="22373"/>
    <cellStyle name="_VC 6.15.06 update on 06GRC power costs.xls Chart 1_Book2_Electric Rev Req Model (2009 GRC) Rebuttal REmoval of New  WH Solar AdjustMI 2 2 2" xfId="22374"/>
    <cellStyle name="_VC 6.15.06 update on 06GRC power costs.xls Chart 1_Book2_Electric Rev Req Model (2009 GRC) Rebuttal REmoval of New  WH Solar AdjustMI 2 2 2 2" xfId="22375"/>
    <cellStyle name="_VC 6.15.06 update on 06GRC power costs.xls Chart 1_Book2_Electric Rev Req Model (2009 GRC) Rebuttal REmoval of New  WH Solar AdjustMI 2 2 3" xfId="22376"/>
    <cellStyle name="_VC 6.15.06 update on 06GRC power costs.xls Chart 1_Book2_Electric Rev Req Model (2009 GRC) Rebuttal REmoval of New  WH Solar AdjustMI 2 3" xfId="22377"/>
    <cellStyle name="_VC 6.15.06 update on 06GRC power costs.xls Chart 1_Book2_Electric Rev Req Model (2009 GRC) Rebuttal REmoval of New  WH Solar AdjustMI 2 3 2" xfId="22378"/>
    <cellStyle name="_VC 6.15.06 update on 06GRC power costs.xls Chart 1_Book2_Electric Rev Req Model (2009 GRC) Rebuttal REmoval of New  WH Solar AdjustMI 2 4" xfId="22379"/>
    <cellStyle name="_VC 6.15.06 update on 06GRC power costs.xls Chart 1_Book2_Electric Rev Req Model (2009 GRC) Rebuttal REmoval of New  WH Solar AdjustMI 2 4 2" xfId="22380"/>
    <cellStyle name="_VC 6.15.06 update on 06GRC power costs.xls Chart 1_Book2_Electric Rev Req Model (2009 GRC) Rebuttal REmoval of New  WH Solar AdjustMI 2 5" xfId="22381"/>
    <cellStyle name="_VC 6.15.06 update on 06GRC power costs.xls Chart 1_Book2_Electric Rev Req Model (2009 GRC) Rebuttal REmoval of New  WH Solar AdjustMI 3" xfId="22382"/>
    <cellStyle name="_VC 6.15.06 update on 06GRC power costs.xls Chart 1_Book2_Electric Rev Req Model (2009 GRC) Rebuttal REmoval of New  WH Solar AdjustMI 3 2" xfId="22383"/>
    <cellStyle name="_VC 6.15.06 update on 06GRC power costs.xls Chart 1_Book2_Electric Rev Req Model (2009 GRC) Rebuttal REmoval of New  WH Solar AdjustMI 3 2 2" xfId="22384"/>
    <cellStyle name="_VC 6.15.06 update on 06GRC power costs.xls Chart 1_Book2_Electric Rev Req Model (2009 GRC) Rebuttal REmoval of New  WH Solar AdjustMI 3 3" xfId="22385"/>
    <cellStyle name="_VC 6.15.06 update on 06GRC power costs.xls Chart 1_Book2_Electric Rev Req Model (2009 GRC) Rebuttal REmoval of New  WH Solar AdjustMI 3 4" xfId="22386"/>
    <cellStyle name="_VC 6.15.06 update on 06GRC power costs.xls Chart 1_Book2_Electric Rev Req Model (2009 GRC) Rebuttal REmoval of New  WH Solar AdjustMI 4" xfId="22387"/>
    <cellStyle name="_VC 6.15.06 update on 06GRC power costs.xls Chart 1_Book2_Electric Rev Req Model (2009 GRC) Rebuttal REmoval of New  WH Solar AdjustMI 4 2" xfId="22388"/>
    <cellStyle name="_VC 6.15.06 update on 06GRC power costs.xls Chart 1_Book2_Electric Rev Req Model (2009 GRC) Rebuttal REmoval of New  WH Solar AdjustMI 4 2 2" xfId="22389"/>
    <cellStyle name="_VC 6.15.06 update on 06GRC power costs.xls Chart 1_Book2_Electric Rev Req Model (2009 GRC) Rebuttal REmoval of New  WH Solar AdjustMI 4 3" xfId="22390"/>
    <cellStyle name="_VC 6.15.06 update on 06GRC power costs.xls Chart 1_Book2_Electric Rev Req Model (2009 GRC) Rebuttal REmoval of New  WH Solar AdjustMI 5" xfId="22391"/>
    <cellStyle name="_VC 6.15.06 update on 06GRC power costs.xls Chart 1_Book2_Electric Rev Req Model (2009 GRC) Rebuttal REmoval of New  WH Solar AdjustMI 5 2" xfId="22392"/>
    <cellStyle name="_VC 6.15.06 update on 06GRC power costs.xls Chart 1_Book2_Electric Rev Req Model (2009 GRC) Rebuttal REmoval of New  WH Solar AdjustMI 6" xfId="22393"/>
    <cellStyle name="_VC 6.15.06 update on 06GRC power costs.xls Chart 1_Book2_Electric Rev Req Model (2009 GRC) Rebuttal REmoval of New  WH Solar AdjustMI 6 2" xfId="22394"/>
    <cellStyle name="_VC 6.15.06 update on 06GRC power costs.xls Chart 1_Book2_Electric Rev Req Model (2009 GRC) Rebuttal REmoval of New  WH Solar AdjustMI 7" xfId="22395"/>
    <cellStyle name="_VC 6.15.06 update on 06GRC power costs.xls Chart 1_Book2_Electric Rev Req Model (2009 GRC) Rebuttal REmoval of New  WH Solar AdjustMI_DEM-WP(C) ENERG10C--ctn Mid-C_042010 2010GRC" xfId="22396"/>
    <cellStyle name="_VC 6.15.06 update on 06GRC power costs.xls Chart 1_Book2_Electric Rev Req Model (2009 GRC) Rebuttal REmoval of New  WH Solar AdjustMI_DEM-WP(C) ENERG10C--ctn Mid-C_042010 2010GRC 2" xfId="22397"/>
    <cellStyle name="_VC 6.15.06 update on 06GRC power costs.xls Chart 1_Book2_Electric Rev Req Model (2009 GRC) Revised 01-18-2010" xfId="942"/>
    <cellStyle name="_VC 6.15.06 update on 06GRC power costs.xls Chart 1_Book2_Electric Rev Req Model (2009 GRC) Revised 01-18-2010 2" xfId="22398"/>
    <cellStyle name="_VC 6.15.06 update on 06GRC power costs.xls Chart 1_Book2_Electric Rev Req Model (2009 GRC) Revised 01-18-2010 2 2" xfId="22399"/>
    <cellStyle name="_VC 6.15.06 update on 06GRC power costs.xls Chart 1_Book2_Electric Rev Req Model (2009 GRC) Revised 01-18-2010 2 2 2" xfId="22400"/>
    <cellStyle name="_VC 6.15.06 update on 06GRC power costs.xls Chart 1_Book2_Electric Rev Req Model (2009 GRC) Revised 01-18-2010 2 2 2 2" xfId="22401"/>
    <cellStyle name="_VC 6.15.06 update on 06GRC power costs.xls Chart 1_Book2_Electric Rev Req Model (2009 GRC) Revised 01-18-2010 2 2 3" xfId="22402"/>
    <cellStyle name="_VC 6.15.06 update on 06GRC power costs.xls Chart 1_Book2_Electric Rev Req Model (2009 GRC) Revised 01-18-2010 2 3" xfId="22403"/>
    <cellStyle name="_VC 6.15.06 update on 06GRC power costs.xls Chart 1_Book2_Electric Rev Req Model (2009 GRC) Revised 01-18-2010 2 3 2" xfId="22404"/>
    <cellStyle name="_VC 6.15.06 update on 06GRC power costs.xls Chart 1_Book2_Electric Rev Req Model (2009 GRC) Revised 01-18-2010 2 4" xfId="22405"/>
    <cellStyle name="_VC 6.15.06 update on 06GRC power costs.xls Chart 1_Book2_Electric Rev Req Model (2009 GRC) Revised 01-18-2010 2 4 2" xfId="22406"/>
    <cellStyle name="_VC 6.15.06 update on 06GRC power costs.xls Chart 1_Book2_Electric Rev Req Model (2009 GRC) Revised 01-18-2010 2 5" xfId="22407"/>
    <cellStyle name="_VC 6.15.06 update on 06GRC power costs.xls Chart 1_Book2_Electric Rev Req Model (2009 GRC) Revised 01-18-2010 3" xfId="22408"/>
    <cellStyle name="_VC 6.15.06 update on 06GRC power costs.xls Chart 1_Book2_Electric Rev Req Model (2009 GRC) Revised 01-18-2010 3 2" xfId="22409"/>
    <cellStyle name="_VC 6.15.06 update on 06GRC power costs.xls Chart 1_Book2_Electric Rev Req Model (2009 GRC) Revised 01-18-2010 3 2 2" xfId="22410"/>
    <cellStyle name="_VC 6.15.06 update on 06GRC power costs.xls Chart 1_Book2_Electric Rev Req Model (2009 GRC) Revised 01-18-2010 3 3" xfId="22411"/>
    <cellStyle name="_VC 6.15.06 update on 06GRC power costs.xls Chart 1_Book2_Electric Rev Req Model (2009 GRC) Revised 01-18-2010 3 4" xfId="22412"/>
    <cellStyle name="_VC 6.15.06 update on 06GRC power costs.xls Chart 1_Book2_Electric Rev Req Model (2009 GRC) Revised 01-18-2010 4" xfId="22413"/>
    <cellStyle name="_VC 6.15.06 update on 06GRC power costs.xls Chart 1_Book2_Electric Rev Req Model (2009 GRC) Revised 01-18-2010 4 2" xfId="22414"/>
    <cellStyle name="_VC 6.15.06 update on 06GRC power costs.xls Chart 1_Book2_Electric Rev Req Model (2009 GRC) Revised 01-18-2010 4 2 2" xfId="22415"/>
    <cellStyle name="_VC 6.15.06 update on 06GRC power costs.xls Chart 1_Book2_Electric Rev Req Model (2009 GRC) Revised 01-18-2010 4 3" xfId="22416"/>
    <cellStyle name="_VC 6.15.06 update on 06GRC power costs.xls Chart 1_Book2_Electric Rev Req Model (2009 GRC) Revised 01-18-2010 5" xfId="22417"/>
    <cellStyle name="_VC 6.15.06 update on 06GRC power costs.xls Chart 1_Book2_Electric Rev Req Model (2009 GRC) Revised 01-18-2010 5 2" xfId="22418"/>
    <cellStyle name="_VC 6.15.06 update on 06GRC power costs.xls Chart 1_Book2_Electric Rev Req Model (2009 GRC) Revised 01-18-2010 6" xfId="22419"/>
    <cellStyle name="_VC 6.15.06 update on 06GRC power costs.xls Chart 1_Book2_Electric Rev Req Model (2009 GRC) Revised 01-18-2010 6 2" xfId="22420"/>
    <cellStyle name="_VC 6.15.06 update on 06GRC power costs.xls Chart 1_Book2_Electric Rev Req Model (2009 GRC) Revised 01-18-2010 7" xfId="22421"/>
    <cellStyle name="_VC 6.15.06 update on 06GRC power costs.xls Chart 1_Book2_Electric Rev Req Model (2009 GRC) Revised 01-18-2010_DEM-WP(C) ENERG10C--ctn Mid-C_042010 2010GRC" xfId="22422"/>
    <cellStyle name="_VC 6.15.06 update on 06GRC power costs.xls Chart 1_Book2_Electric Rev Req Model (2009 GRC) Revised 01-18-2010_DEM-WP(C) ENERG10C--ctn Mid-C_042010 2010GRC 2" xfId="22423"/>
    <cellStyle name="_VC 6.15.06 update on 06GRC power costs.xls Chart 1_Book2_Final Order Electric EXHIBIT A-1" xfId="943"/>
    <cellStyle name="_VC 6.15.06 update on 06GRC power costs.xls Chart 1_Book2_Final Order Electric EXHIBIT A-1 2" xfId="22424"/>
    <cellStyle name="_VC 6.15.06 update on 06GRC power costs.xls Chart 1_Book2_Final Order Electric EXHIBIT A-1 2 2" xfId="22425"/>
    <cellStyle name="_VC 6.15.06 update on 06GRC power costs.xls Chart 1_Book2_Final Order Electric EXHIBIT A-1 2 2 2" xfId="22426"/>
    <cellStyle name="_VC 6.15.06 update on 06GRC power costs.xls Chart 1_Book2_Final Order Electric EXHIBIT A-1 2 3" xfId="22427"/>
    <cellStyle name="_VC 6.15.06 update on 06GRC power costs.xls Chart 1_Book2_Final Order Electric EXHIBIT A-1 2 4" xfId="22428"/>
    <cellStyle name="_VC 6.15.06 update on 06GRC power costs.xls Chart 1_Book2_Final Order Electric EXHIBIT A-1 3" xfId="22429"/>
    <cellStyle name="_VC 6.15.06 update on 06GRC power costs.xls Chart 1_Book2_Final Order Electric EXHIBIT A-1 3 2" xfId="22430"/>
    <cellStyle name="_VC 6.15.06 update on 06GRC power costs.xls Chart 1_Book2_Final Order Electric EXHIBIT A-1 3 2 2" xfId="22431"/>
    <cellStyle name="_VC 6.15.06 update on 06GRC power costs.xls Chart 1_Book2_Final Order Electric EXHIBIT A-1 3 3" xfId="22432"/>
    <cellStyle name="_VC 6.15.06 update on 06GRC power costs.xls Chart 1_Book2_Final Order Electric EXHIBIT A-1 4" xfId="22433"/>
    <cellStyle name="_VC 6.15.06 update on 06GRC power costs.xls Chart 1_Book2_Final Order Electric EXHIBIT A-1 4 2" xfId="22434"/>
    <cellStyle name="_VC 6.15.06 update on 06GRC power costs.xls Chart 1_Book2_Final Order Electric EXHIBIT A-1 5" xfId="22435"/>
    <cellStyle name="_VC 6.15.06 update on 06GRC power costs.xls Chart 1_Book2_Final Order Electric EXHIBIT A-1 6" xfId="22436"/>
    <cellStyle name="_VC 6.15.06 update on 06GRC power costs.xls Chart 1_Book2_Final Order Electric EXHIBIT A-1 7" xfId="22437"/>
    <cellStyle name="_VC 6.15.06 update on 06GRC power costs.xls Chart 1_Book4" xfId="944"/>
    <cellStyle name="_VC 6.15.06 update on 06GRC power costs.xls Chart 1_Book4 2" xfId="22438"/>
    <cellStyle name="_VC 6.15.06 update on 06GRC power costs.xls Chart 1_Book4 2 2" xfId="22439"/>
    <cellStyle name="_VC 6.15.06 update on 06GRC power costs.xls Chart 1_Book4 2 2 2" xfId="22440"/>
    <cellStyle name="_VC 6.15.06 update on 06GRC power costs.xls Chart 1_Book4 2 2 2 2" xfId="22441"/>
    <cellStyle name="_VC 6.15.06 update on 06GRC power costs.xls Chart 1_Book4 2 2 3" xfId="22442"/>
    <cellStyle name="_VC 6.15.06 update on 06GRC power costs.xls Chart 1_Book4 2 3" xfId="22443"/>
    <cellStyle name="_VC 6.15.06 update on 06GRC power costs.xls Chart 1_Book4 2 3 2" xfId="22444"/>
    <cellStyle name="_VC 6.15.06 update on 06GRC power costs.xls Chart 1_Book4 2 4" xfId="22445"/>
    <cellStyle name="_VC 6.15.06 update on 06GRC power costs.xls Chart 1_Book4 2 4 2" xfId="22446"/>
    <cellStyle name="_VC 6.15.06 update on 06GRC power costs.xls Chart 1_Book4 2 5" xfId="22447"/>
    <cellStyle name="_VC 6.15.06 update on 06GRC power costs.xls Chart 1_Book4 3" xfId="22448"/>
    <cellStyle name="_VC 6.15.06 update on 06GRC power costs.xls Chart 1_Book4 3 2" xfId="22449"/>
    <cellStyle name="_VC 6.15.06 update on 06GRC power costs.xls Chart 1_Book4 3 2 2" xfId="22450"/>
    <cellStyle name="_VC 6.15.06 update on 06GRC power costs.xls Chart 1_Book4 3 3" xfId="22451"/>
    <cellStyle name="_VC 6.15.06 update on 06GRC power costs.xls Chart 1_Book4 3 4" xfId="22452"/>
    <cellStyle name="_VC 6.15.06 update on 06GRC power costs.xls Chart 1_Book4 4" xfId="22453"/>
    <cellStyle name="_VC 6.15.06 update on 06GRC power costs.xls Chart 1_Book4 4 2" xfId="22454"/>
    <cellStyle name="_VC 6.15.06 update on 06GRC power costs.xls Chart 1_Book4 4 2 2" xfId="22455"/>
    <cellStyle name="_VC 6.15.06 update on 06GRC power costs.xls Chart 1_Book4 4 3" xfId="22456"/>
    <cellStyle name="_VC 6.15.06 update on 06GRC power costs.xls Chart 1_Book4 5" xfId="22457"/>
    <cellStyle name="_VC 6.15.06 update on 06GRC power costs.xls Chart 1_Book4 5 2" xfId="22458"/>
    <cellStyle name="_VC 6.15.06 update on 06GRC power costs.xls Chart 1_Book4 6" xfId="22459"/>
    <cellStyle name="_VC 6.15.06 update on 06GRC power costs.xls Chart 1_Book4 6 2" xfId="22460"/>
    <cellStyle name="_VC 6.15.06 update on 06GRC power costs.xls Chart 1_Book4 7" xfId="22461"/>
    <cellStyle name="_VC 6.15.06 update on 06GRC power costs.xls Chart 1_Book4_DEM-WP(C) ENERG10C--ctn Mid-C_042010 2010GRC" xfId="22462"/>
    <cellStyle name="_VC 6.15.06 update on 06GRC power costs.xls Chart 1_Book4_DEM-WP(C) ENERG10C--ctn Mid-C_042010 2010GRC 2" xfId="22463"/>
    <cellStyle name="_VC 6.15.06 update on 06GRC power costs.xls Chart 1_Book9" xfId="945"/>
    <cellStyle name="_VC 6.15.06 update on 06GRC power costs.xls Chart 1_Book9 2" xfId="22464"/>
    <cellStyle name="_VC 6.15.06 update on 06GRC power costs.xls Chart 1_Book9 2 2" xfId="22465"/>
    <cellStyle name="_VC 6.15.06 update on 06GRC power costs.xls Chart 1_Book9 2 2 2" xfId="22466"/>
    <cellStyle name="_VC 6.15.06 update on 06GRC power costs.xls Chart 1_Book9 2 2 2 2" xfId="22467"/>
    <cellStyle name="_VC 6.15.06 update on 06GRC power costs.xls Chart 1_Book9 2 2 3" xfId="22468"/>
    <cellStyle name="_VC 6.15.06 update on 06GRC power costs.xls Chart 1_Book9 2 3" xfId="22469"/>
    <cellStyle name="_VC 6.15.06 update on 06GRC power costs.xls Chart 1_Book9 2 3 2" xfId="22470"/>
    <cellStyle name="_VC 6.15.06 update on 06GRC power costs.xls Chart 1_Book9 2 4" xfId="22471"/>
    <cellStyle name="_VC 6.15.06 update on 06GRC power costs.xls Chart 1_Book9 2 4 2" xfId="22472"/>
    <cellStyle name="_VC 6.15.06 update on 06GRC power costs.xls Chart 1_Book9 2 5" xfId="22473"/>
    <cellStyle name="_VC 6.15.06 update on 06GRC power costs.xls Chart 1_Book9 3" xfId="22474"/>
    <cellStyle name="_VC 6.15.06 update on 06GRC power costs.xls Chart 1_Book9 3 2" xfId="22475"/>
    <cellStyle name="_VC 6.15.06 update on 06GRC power costs.xls Chart 1_Book9 3 2 2" xfId="22476"/>
    <cellStyle name="_VC 6.15.06 update on 06GRC power costs.xls Chart 1_Book9 3 3" xfId="22477"/>
    <cellStyle name="_VC 6.15.06 update on 06GRC power costs.xls Chart 1_Book9 3 4" xfId="22478"/>
    <cellStyle name="_VC 6.15.06 update on 06GRC power costs.xls Chart 1_Book9 4" xfId="22479"/>
    <cellStyle name="_VC 6.15.06 update on 06GRC power costs.xls Chart 1_Book9 4 2" xfId="22480"/>
    <cellStyle name="_VC 6.15.06 update on 06GRC power costs.xls Chart 1_Book9 4 2 2" xfId="22481"/>
    <cellStyle name="_VC 6.15.06 update on 06GRC power costs.xls Chart 1_Book9 4 3" xfId="22482"/>
    <cellStyle name="_VC 6.15.06 update on 06GRC power costs.xls Chart 1_Book9 5" xfId="22483"/>
    <cellStyle name="_VC 6.15.06 update on 06GRC power costs.xls Chart 1_Book9 5 2" xfId="22484"/>
    <cellStyle name="_VC 6.15.06 update on 06GRC power costs.xls Chart 1_Book9 6" xfId="22485"/>
    <cellStyle name="_VC 6.15.06 update on 06GRC power costs.xls Chart 1_Book9 6 2" xfId="22486"/>
    <cellStyle name="_VC 6.15.06 update on 06GRC power costs.xls Chart 1_Book9 7" xfId="22487"/>
    <cellStyle name="_VC 6.15.06 update on 06GRC power costs.xls Chart 1_Book9_DEM-WP(C) ENERG10C--ctn Mid-C_042010 2010GRC" xfId="22488"/>
    <cellStyle name="_VC 6.15.06 update on 06GRC power costs.xls Chart 1_Book9_DEM-WP(C) ENERG10C--ctn Mid-C_042010 2010GRC 2" xfId="22489"/>
    <cellStyle name="_VC 6.15.06 update on 06GRC power costs.xls Chart 1_Chelan PUD Power Costs (8-10)" xfId="22490"/>
    <cellStyle name="_VC 6.15.06 update on 06GRC power costs.xls Chart 1_Chelan PUD Power Costs (8-10) 2" xfId="22491"/>
    <cellStyle name="_VC 6.15.06 update on 06GRC power costs.xls Chart 1_DEM-WP(C) Chelan Power Costs" xfId="22492"/>
    <cellStyle name="_VC 6.15.06 update on 06GRC power costs.xls Chart 1_DEM-WP(C) Chelan Power Costs 2" xfId="22493"/>
    <cellStyle name="_VC 6.15.06 update on 06GRC power costs.xls Chart 1_DEM-WP(C) Chelan Power Costs 2 2" xfId="22494"/>
    <cellStyle name="_VC 6.15.06 update on 06GRC power costs.xls Chart 1_DEM-WP(C) Chelan Power Costs 2 2 2" xfId="22495"/>
    <cellStyle name="_VC 6.15.06 update on 06GRC power costs.xls Chart 1_DEM-WP(C) Chelan Power Costs 2 3" xfId="22496"/>
    <cellStyle name="_VC 6.15.06 update on 06GRC power costs.xls Chart 1_DEM-WP(C) Chelan Power Costs 3" xfId="22497"/>
    <cellStyle name="_VC 6.15.06 update on 06GRC power costs.xls Chart 1_DEM-WP(C) Chelan Power Costs 3 2" xfId="22498"/>
    <cellStyle name="_VC 6.15.06 update on 06GRC power costs.xls Chart 1_DEM-WP(C) Chelan Power Costs 3 2 2" xfId="22499"/>
    <cellStyle name="_VC 6.15.06 update on 06GRC power costs.xls Chart 1_DEM-WP(C) Chelan Power Costs 3 3" xfId="22500"/>
    <cellStyle name="_VC 6.15.06 update on 06GRC power costs.xls Chart 1_DEM-WP(C) Chelan Power Costs 4" xfId="22501"/>
    <cellStyle name="_VC 6.15.06 update on 06GRC power costs.xls Chart 1_DEM-WP(C) Chelan Power Costs 4 2" xfId="22502"/>
    <cellStyle name="_VC 6.15.06 update on 06GRC power costs.xls Chart 1_DEM-WP(C) Chelan Power Costs 5" xfId="22503"/>
    <cellStyle name="_VC 6.15.06 update on 06GRC power costs.xls Chart 1_DEM-WP(C) Chelan Power Costs 5 2" xfId="22504"/>
    <cellStyle name="_VC 6.15.06 update on 06GRC power costs.xls Chart 1_DEM-WP(C) ENERG10C--ctn Mid-C_042010 2010GRC" xfId="22505"/>
    <cellStyle name="_VC 6.15.06 update on 06GRC power costs.xls Chart 1_DEM-WP(C) ENERG10C--ctn Mid-C_042010 2010GRC 2" xfId="22506"/>
    <cellStyle name="_VC 6.15.06 update on 06GRC power costs.xls Chart 1_DEM-WP(C) Gas Transport 2010GRC" xfId="22507"/>
    <cellStyle name="_VC 6.15.06 update on 06GRC power costs.xls Chart 1_DEM-WP(C) Gas Transport 2010GRC 2" xfId="22508"/>
    <cellStyle name="_VC 6.15.06 update on 06GRC power costs.xls Chart 1_DEM-WP(C) Gas Transport 2010GRC 2 2" xfId="22509"/>
    <cellStyle name="_VC 6.15.06 update on 06GRC power costs.xls Chart 1_DEM-WP(C) Gas Transport 2010GRC 2 2 2" xfId="22510"/>
    <cellStyle name="_VC 6.15.06 update on 06GRC power costs.xls Chart 1_DEM-WP(C) Gas Transport 2010GRC 2 3" xfId="22511"/>
    <cellStyle name="_VC 6.15.06 update on 06GRC power costs.xls Chart 1_DEM-WP(C) Gas Transport 2010GRC 3" xfId="22512"/>
    <cellStyle name="_VC 6.15.06 update on 06GRC power costs.xls Chart 1_DEM-WP(C) Gas Transport 2010GRC 3 2" xfId="22513"/>
    <cellStyle name="_VC 6.15.06 update on 06GRC power costs.xls Chart 1_DEM-WP(C) Gas Transport 2010GRC 3 2 2" xfId="22514"/>
    <cellStyle name="_VC 6.15.06 update on 06GRC power costs.xls Chart 1_DEM-WP(C) Gas Transport 2010GRC 3 3" xfId="22515"/>
    <cellStyle name="_VC 6.15.06 update on 06GRC power costs.xls Chart 1_DEM-WP(C) Gas Transport 2010GRC 4" xfId="22516"/>
    <cellStyle name="_VC 6.15.06 update on 06GRC power costs.xls Chart 1_DEM-WP(C) Gas Transport 2010GRC 4 2" xfId="22517"/>
    <cellStyle name="_VC 6.15.06 update on 06GRC power costs.xls Chart 1_DEM-WP(C) Gas Transport 2010GRC 5" xfId="22518"/>
    <cellStyle name="_VC 6.15.06 update on 06GRC power costs.xls Chart 1_DEM-WP(C) Gas Transport 2010GRC 5 2" xfId="22519"/>
    <cellStyle name="_VC 6.15.06 update on 06GRC power costs.xls Chart 1_Exh A-1 resulting from UE-112050 effective Jan 1 2012" xfId="22520"/>
    <cellStyle name="_VC 6.15.06 update on 06GRC power costs.xls Chart 1_Exh A-1 resulting from UE-112050 effective Jan 1 2012 2" xfId="22521"/>
    <cellStyle name="_VC 6.15.06 update on 06GRC power costs.xls Chart 1_Exhibit A-1 effective 4-1-11 fr S Free 12-11" xfId="22522"/>
    <cellStyle name="_VC 6.15.06 update on 06GRC power costs.xls Chart 1_Exhibit A-1 effective 4-1-11 fr S Free 12-11 2" xfId="22523"/>
    <cellStyle name="_VC 6.15.06 update on 06GRC power costs.xls Chart 1_INPUTS" xfId="22524"/>
    <cellStyle name="_VC 6.15.06 update on 06GRC power costs.xls Chart 1_INPUTS 2" xfId="22525"/>
    <cellStyle name="_VC 6.15.06 update on 06GRC power costs.xls Chart 1_INPUTS 2 2" xfId="22526"/>
    <cellStyle name="_VC 6.15.06 update on 06GRC power costs.xls Chart 1_INPUTS 2 2 2" xfId="22527"/>
    <cellStyle name="_VC 6.15.06 update on 06GRC power costs.xls Chart 1_INPUTS 2 3" xfId="22528"/>
    <cellStyle name="_VC 6.15.06 update on 06GRC power costs.xls Chart 1_INPUTS 3" xfId="22529"/>
    <cellStyle name="_VC 6.15.06 update on 06GRC power costs.xls Chart 1_INPUTS 3 2" xfId="22530"/>
    <cellStyle name="_VC 6.15.06 update on 06GRC power costs.xls Chart 1_INPUTS 4" xfId="22531"/>
    <cellStyle name="_VC 6.15.06 update on 06GRC power costs.xls Chart 1_Mint Farm Generation BPA" xfId="22532"/>
    <cellStyle name="_VC 6.15.06 update on 06GRC power costs.xls Chart 1_NIM Summary" xfId="22533"/>
    <cellStyle name="_VC 6.15.06 update on 06GRC power costs.xls Chart 1_NIM Summary 09GRC" xfId="22534"/>
    <cellStyle name="_VC 6.15.06 update on 06GRC power costs.xls Chart 1_NIM Summary 09GRC 2" xfId="22535"/>
    <cellStyle name="_VC 6.15.06 update on 06GRC power costs.xls Chart 1_NIM Summary 09GRC 2 2" xfId="22536"/>
    <cellStyle name="_VC 6.15.06 update on 06GRC power costs.xls Chart 1_NIM Summary 09GRC 2 2 2" xfId="22537"/>
    <cellStyle name="_VC 6.15.06 update on 06GRC power costs.xls Chart 1_NIM Summary 09GRC 2 2 2 2" xfId="22538"/>
    <cellStyle name="_VC 6.15.06 update on 06GRC power costs.xls Chart 1_NIM Summary 09GRC 2 3" xfId="22539"/>
    <cellStyle name="_VC 6.15.06 update on 06GRC power costs.xls Chart 1_NIM Summary 09GRC 2 3 2" xfId="22540"/>
    <cellStyle name="_VC 6.15.06 update on 06GRC power costs.xls Chart 1_NIM Summary 09GRC 2 4" xfId="22541"/>
    <cellStyle name="_VC 6.15.06 update on 06GRC power costs.xls Chart 1_NIM Summary 09GRC 2 4 2" xfId="22542"/>
    <cellStyle name="_VC 6.15.06 update on 06GRC power costs.xls Chart 1_NIM Summary 09GRC 2 5" xfId="22543"/>
    <cellStyle name="_VC 6.15.06 update on 06GRC power costs.xls Chart 1_NIM Summary 09GRC 3" xfId="22544"/>
    <cellStyle name="_VC 6.15.06 update on 06GRC power costs.xls Chart 1_NIM Summary 09GRC 3 2" xfId="22545"/>
    <cellStyle name="_VC 6.15.06 update on 06GRC power costs.xls Chart 1_NIM Summary 09GRC 3 2 2" xfId="22546"/>
    <cellStyle name="_VC 6.15.06 update on 06GRC power costs.xls Chart 1_NIM Summary 09GRC 3 3" xfId="22547"/>
    <cellStyle name="_VC 6.15.06 update on 06GRC power costs.xls Chart 1_NIM Summary 09GRC 4" xfId="22548"/>
    <cellStyle name="_VC 6.15.06 update on 06GRC power costs.xls Chart 1_NIM Summary 09GRC 4 2" xfId="22549"/>
    <cellStyle name="_VC 6.15.06 update on 06GRC power costs.xls Chart 1_NIM Summary 09GRC 4 2 2" xfId="22550"/>
    <cellStyle name="_VC 6.15.06 update on 06GRC power costs.xls Chart 1_NIM Summary 09GRC 4 3" xfId="22551"/>
    <cellStyle name="_VC 6.15.06 update on 06GRC power costs.xls Chart 1_NIM Summary 09GRC 5" xfId="22552"/>
    <cellStyle name="_VC 6.15.06 update on 06GRC power costs.xls Chart 1_NIM Summary 09GRC 5 2" xfId="22553"/>
    <cellStyle name="_VC 6.15.06 update on 06GRC power costs.xls Chart 1_NIM Summary 09GRC 6" xfId="22554"/>
    <cellStyle name="_VC 6.15.06 update on 06GRC power costs.xls Chart 1_NIM Summary 09GRC 6 2" xfId="22555"/>
    <cellStyle name="_VC 6.15.06 update on 06GRC power costs.xls Chart 1_NIM Summary 09GRC 7" xfId="22556"/>
    <cellStyle name="_VC 6.15.06 update on 06GRC power costs.xls Chart 1_NIM Summary 09GRC_DEM-WP(C) ENERG10C--ctn Mid-C_042010 2010GRC" xfId="22557"/>
    <cellStyle name="_VC 6.15.06 update on 06GRC power costs.xls Chart 1_NIM Summary 09GRC_DEM-WP(C) ENERG10C--ctn Mid-C_042010 2010GRC 2" xfId="22558"/>
    <cellStyle name="_VC 6.15.06 update on 06GRC power costs.xls Chart 1_NIM Summary 10" xfId="22559"/>
    <cellStyle name="_VC 6.15.06 update on 06GRC power costs.xls Chart 1_NIM Summary 10 2" xfId="22560"/>
    <cellStyle name="_VC 6.15.06 update on 06GRC power costs.xls Chart 1_NIM Summary 10 2 2" xfId="22561"/>
    <cellStyle name="_VC 6.15.06 update on 06GRC power costs.xls Chart 1_NIM Summary 10 3" xfId="22562"/>
    <cellStyle name="_VC 6.15.06 update on 06GRC power costs.xls Chart 1_NIM Summary 10 4" xfId="22563"/>
    <cellStyle name="_VC 6.15.06 update on 06GRC power costs.xls Chart 1_NIM Summary 11" xfId="22564"/>
    <cellStyle name="_VC 6.15.06 update on 06GRC power costs.xls Chart 1_NIM Summary 11 2" xfId="22565"/>
    <cellStyle name="_VC 6.15.06 update on 06GRC power costs.xls Chart 1_NIM Summary 11 2 2" xfId="22566"/>
    <cellStyle name="_VC 6.15.06 update on 06GRC power costs.xls Chart 1_NIM Summary 11 3" xfId="22567"/>
    <cellStyle name="_VC 6.15.06 update on 06GRC power costs.xls Chart 1_NIM Summary 11 4" xfId="22568"/>
    <cellStyle name="_VC 6.15.06 update on 06GRC power costs.xls Chart 1_NIM Summary 12" xfId="22569"/>
    <cellStyle name="_VC 6.15.06 update on 06GRC power costs.xls Chart 1_NIM Summary 12 2" xfId="22570"/>
    <cellStyle name="_VC 6.15.06 update on 06GRC power costs.xls Chart 1_NIM Summary 12 2 2" xfId="22571"/>
    <cellStyle name="_VC 6.15.06 update on 06GRC power costs.xls Chart 1_NIM Summary 12 3" xfId="22572"/>
    <cellStyle name="_VC 6.15.06 update on 06GRC power costs.xls Chart 1_NIM Summary 12 4" xfId="22573"/>
    <cellStyle name="_VC 6.15.06 update on 06GRC power costs.xls Chart 1_NIM Summary 13" xfId="22574"/>
    <cellStyle name="_VC 6.15.06 update on 06GRC power costs.xls Chart 1_NIM Summary 13 2" xfId="22575"/>
    <cellStyle name="_VC 6.15.06 update on 06GRC power costs.xls Chart 1_NIM Summary 13 2 2" xfId="22576"/>
    <cellStyle name="_VC 6.15.06 update on 06GRC power costs.xls Chart 1_NIM Summary 13 3" xfId="22577"/>
    <cellStyle name="_VC 6.15.06 update on 06GRC power costs.xls Chart 1_NIM Summary 13 4" xfId="22578"/>
    <cellStyle name="_VC 6.15.06 update on 06GRC power costs.xls Chart 1_NIM Summary 14" xfId="22579"/>
    <cellStyle name="_VC 6.15.06 update on 06GRC power costs.xls Chart 1_NIM Summary 14 2" xfId="22580"/>
    <cellStyle name="_VC 6.15.06 update on 06GRC power costs.xls Chart 1_NIM Summary 14 2 2" xfId="22581"/>
    <cellStyle name="_VC 6.15.06 update on 06GRC power costs.xls Chart 1_NIM Summary 14 3" xfId="22582"/>
    <cellStyle name="_VC 6.15.06 update on 06GRC power costs.xls Chart 1_NIM Summary 14 4" xfId="22583"/>
    <cellStyle name="_VC 6.15.06 update on 06GRC power costs.xls Chart 1_NIM Summary 15" xfId="22584"/>
    <cellStyle name="_VC 6.15.06 update on 06GRC power costs.xls Chart 1_NIM Summary 15 2" xfId="22585"/>
    <cellStyle name="_VC 6.15.06 update on 06GRC power costs.xls Chart 1_NIM Summary 15 2 2" xfId="22586"/>
    <cellStyle name="_VC 6.15.06 update on 06GRC power costs.xls Chart 1_NIM Summary 15 3" xfId="22587"/>
    <cellStyle name="_VC 6.15.06 update on 06GRC power costs.xls Chart 1_NIM Summary 15 4" xfId="22588"/>
    <cellStyle name="_VC 6.15.06 update on 06GRC power costs.xls Chart 1_NIM Summary 16" xfId="22589"/>
    <cellStyle name="_VC 6.15.06 update on 06GRC power costs.xls Chart 1_NIM Summary 16 2" xfId="22590"/>
    <cellStyle name="_VC 6.15.06 update on 06GRC power costs.xls Chart 1_NIM Summary 16 2 2" xfId="22591"/>
    <cellStyle name="_VC 6.15.06 update on 06GRC power costs.xls Chart 1_NIM Summary 16 3" xfId="22592"/>
    <cellStyle name="_VC 6.15.06 update on 06GRC power costs.xls Chart 1_NIM Summary 16 4" xfId="22593"/>
    <cellStyle name="_VC 6.15.06 update on 06GRC power costs.xls Chart 1_NIM Summary 17" xfId="22594"/>
    <cellStyle name="_VC 6.15.06 update on 06GRC power costs.xls Chart 1_NIM Summary 17 2" xfId="22595"/>
    <cellStyle name="_VC 6.15.06 update on 06GRC power costs.xls Chart 1_NIM Summary 17 2 2" xfId="22596"/>
    <cellStyle name="_VC 6.15.06 update on 06GRC power costs.xls Chart 1_NIM Summary 17 3" xfId="22597"/>
    <cellStyle name="_VC 6.15.06 update on 06GRC power costs.xls Chart 1_NIM Summary 17 4" xfId="22598"/>
    <cellStyle name="_VC 6.15.06 update on 06GRC power costs.xls Chart 1_NIM Summary 18" xfId="22599"/>
    <cellStyle name="_VC 6.15.06 update on 06GRC power costs.xls Chart 1_NIM Summary 18 2" xfId="22600"/>
    <cellStyle name="_VC 6.15.06 update on 06GRC power costs.xls Chart 1_NIM Summary 18 3" xfId="22601"/>
    <cellStyle name="_VC 6.15.06 update on 06GRC power costs.xls Chart 1_NIM Summary 19" xfId="22602"/>
    <cellStyle name="_VC 6.15.06 update on 06GRC power costs.xls Chart 1_NIM Summary 19 2" xfId="22603"/>
    <cellStyle name="_VC 6.15.06 update on 06GRC power costs.xls Chart 1_NIM Summary 19 3" xfId="22604"/>
    <cellStyle name="_VC 6.15.06 update on 06GRC power costs.xls Chart 1_NIM Summary 2" xfId="22605"/>
    <cellStyle name="_VC 6.15.06 update on 06GRC power costs.xls Chart 1_NIM Summary 2 2" xfId="22606"/>
    <cellStyle name="_VC 6.15.06 update on 06GRC power costs.xls Chart 1_NIM Summary 2 2 2" xfId="22607"/>
    <cellStyle name="_VC 6.15.06 update on 06GRC power costs.xls Chart 1_NIM Summary 2 2 2 2" xfId="22608"/>
    <cellStyle name="_VC 6.15.06 update on 06GRC power costs.xls Chart 1_NIM Summary 2 3" xfId="22609"/>
    <cellStyle name="_VC 6.15.06 update on 06GRC power costs.xls Chart 1_NIM Summary 2 3 2" xfId="22610"/>
    <cellStyle name="_VC 6.15.06 update on 06GRC power costs.xls Chart 1_NIM Summary 2 4" xfId="22611"/>
    <cellStyle name="_VC 6.15.06 update on 06GRC power costs.xls Chart 1_NIM Summary 2 4 2" xfId="22612"/>
    <cellStyle name="_VC 6.15.06 update on 06GRC power costs.xls Chart 1_NIM Summary 2 5" xfId="22613"/>
    <cellStyle name="_VC 6.15.06 update on 06GRC power costs.xls Chart 1_NIM Summary 20" xfId="22614"/>
    <cellStyle name="_VC 6.15.06 update on 06GRC power costs.xls Chart 1_NIM Summary 20 2" xfId="22615"/>
    <cellStyle name="_VC 6.15.06 update on 06GRC power costs.xls Chart 1_NIM Summary 20 3" xfId="22616"/>
    <cellStyle name="_VC 6.15.06 update on 06GRC power costs.xls Chart 1_NIM Summary 21" xfId="22617"/>
    <cellStyle name="_VC 6.15.06 update on 06GRC power costs.xls Chart 1_NIM Summary 21 2" xfId="22618"/>
    <cellStyle name="_VC 6.15.06 update on 06GRC power costs.xls Chart 1_NIM Summary 21 3" xfId="22619"/>
    <cellStyle name="_VC 6.15.06 update on 06GRC power costs.xls Chart 1_NIM Summary 22" xfId="22620"/>
    <cellStyle name="_VC 6.15.06 update on 06GRC power costs.xls Chart 1_NIM Summary 22 2" xfId="22621"/>
    <cellStyle name="_VC 6.15.06 update on 06GRC power costs.xls Chart 1_NIM Summary 22 3" xfId="22622"/>
    <cellStyle name="_VC 6.15.06 update on 06GRC power costs.xls Chart 1_NIM Summary 23" xfId="22623"/>
    <cellStyle name="_VC 6.15.06 update on 06GRC power costs.xls Chart 1_NIM Summary 23 2" xfId="22624"/>
    <cellStyle name="_VC 6.15.06 update on 06GRC power costs.xls Chart 1_NIM Summary 23 3" xfId="22625"/>
    <cellStyle name="_VC 6.15.06 update on 06GRC power costs.xls Chart 1_NIM Summary 24" xfId="22626"/>
    <cellStyle name="_VC 6.15.06 update on 06GRC power costs.xls Chart 1_NIM Summary 24 2" xfId="22627"/>
    <cellStyle name="_VC 6.15.06 update on 06GRC power costs.xls Chart 1_NIM Summary 24 3" xfId="22628"/>
    <cellStyle name="_VC 6.15.06 update on 06GRC power costs.xls Chart 1_NIM Summary 25" xfId="22629"/>
    <cellStyle name="_VC 6.15.06 update on 06GRC power costs.xls Chart 1_NIM Summary 25 2" xfId="22630"/>
    <cellStyle name="_VC 6.15.06 update on 06GRC power costs.xls Chart 1_NIM Summary 25 3" xfId="22631"/>
    <cellStyle name="_VC 6.15.06 update on 06GRC power costs.xls Chart 1_NIM Summary 26" xfId="22632"/>
    <cellStyle name="_VC 6.15.06 update on 06GRC power costs.xls Chart 1_NIM Summary 26 2" xfId="22633"/>
    <cellStyle name="_VC 6.15.06 update on 06GRC power costs.xls Chart 1_NIM Summary 26 3" xfId="22634"/>
    <cellStyle name="_VC 6.15.06 update on 06GRC power costs.xls Chart 1_NIM Summary 27" xfId="22635"/>
    <cellStyle name="_VC 6.15.06 update on 06GRC power costs.xls Chart 1_NIM Summary 27 2" xfId="22636"/>
    <cellStyle name="_VC 6.15.06 update on 06GRC power costs.xls Chart 1_NIM Summary 27 3" xfId="22637"/>
    <cellStyle name="_VC 6.15.06 update on 06GRC power costs.xls Chart 1_NIM Summary 28" xfId="22638"/>
    <cellStyle name="_VC 6.15.06 update on 06GRC power costs.xls Chart 1_NIM Summary 28 2" xfId="22639"/>
    <cellStyle name="_VC 6.15.06 update on 06GRC power costs.xls Chart 1_NIM Summary 28 3" xfId="22640"/>
    <cellStyle name="_VC 6.15.06 update on 06GRC power costs.xls Chart 1_NIM Summary 29" xfId="22641"/>
    <cellStyle name="_VC 6.15.06 update on 06GRC power costs.xls Chart 1_NIM Summary 29 2" xfId="22642"/>
    <cellStyle name="_VC 6.15.06 update on 06GRC power costs.xls Chart 1_NIM Summary 29 3" xfId="22643"/>
    <cellStyle name="_VC 6.15.06 update on 06GRC power costs.xls Chart 1_NIM Summary 3" xfId="22644"/>
    <cellStyle name="_VC 6.15.06 update on 06GRC power costs.xls Chart 1_NIM Summary 3 2" xfId="22645"/>
    <cellStyle name="_VC 6.15.06 update on 06GRC power costs.xls Chart 1_NIM Summary 3 2 2" xfId="22646"/>
    <cellStyle name="_VC 6.15.06 update on 06GRC power costs.xls Chart 1_NIM Summary 3 3" xfId="22647"/>
    <cellStyle name="_VC 6.15.06 update on 06GRC power costs.xls Chart 1_NIM Summary 3 4" xfId="22648"/>
    <cellStyle name="_VC 6.15.06 update on 06GRC power costs.xls Chart 1_NIM Summary 30" xfId="22649"/>
    <cellStyle name="_VC 6.15.06 update on 06GRC power costs.xls Chart 1_NIM Summary 30 2" xfId="22650"/>
    <cellStyle name="_VC 6.15.06 update on 06GRC power costs.xls Chart 1_NIM Summary 30 3" xfId="22651"/>
    <cellStyle name="_VC 6.15.06 update on 06GRC power costs.xls Chart 1_NIM Summary 31" xfId="22652"/>
    <cellStyle name="_VC 6.15.06 update on 06GRC power costs.xls Chart 1_NIM Summary 31 2" xfId="22653"/>
    <cellStyle name="_VC 6.15.06 update on 06GRC power costs.xls Chart 1_NIM Summary 31 3" xfId="22654"/>
    <cellStyle name="_VC 6.15.06 update on 06GRC power costs.xls Chart 1_NIM Summary 32" xfId="22655"/>
    <cellStyle name="_VC 6.15.06 update on 06GRC power costs.xls Chart 1_NIM Summary 32 2" xfId="22656"/>
    <cellStyle name="_VC 6.15.06 update on 06GRC power costs.xls Chart 1_NIM Summary 33" xfId="22657"/>
    <cellStyle name="_VC 6.15.06 update on 06GRC power costs.xls Chart 1_NIM Summary 33 2" xfId="22658"/>
    <cellStyle name="_VC 6.15.06 update on 06GRC power costs.xls Chart 1_NIM Summary 34" xfId="22659"/>
    <cellStyle name="_VC 6.15.06 update on 06GRC power costs.xls Chart 1_NIM Summary 34 2" xfId="22660"/>
    <cellStyle name="_VC 6.15.06 update on 06GRC power costs.xls Chart 1_NIM Summary 35" xfId="22661"/>
    <cellStyle name="_VC 6.15.06 update on 06GRC power costs.xls Chart 1_NIM Summary 35 2" xfId="22662"/>
    <cellStyle name="_VC 6.15.06 update on 06GRC power costs.xls Chart 1_NIM Summary 36" xfId="22663"/>
    <cellStyle name="_VC 6.15.06 update on 06GRC power costs.xls Chart 1_NIM Summary 36 2" xfId="22664"/>
    <cellStyle name="_VC 6.15.06 update on 06GRC power costs.xls Chart 1_NIM Summary 37" xfId="22665"/>
    <cellStyle name="_VC 6.15.06 update on 06GRC power costs.xls Chart 1_NIM Summary 37 2" xfId="22666"/>
    <cellStyle name="_VC 6.15.06 update on 06GRC power costs.xls Chart 1_NIM Summary 38" xfId="22667"/>
    <cellStyle name="_VC 6.15.06 update on 06GRC power costs.xls Chart 1_NIM Summary 38 2" xfId="22668"/>
    <cellStyle name="_VC 6.15.06 update on 06GRC power costs.xls Chart 1_NIM Summary 39" xfId="22669"/>
    <cellStyle name="_VC 6.15.06 update on 06GRC power costs.xls Chart 1_NIM Summary 39 2" xfId="22670"/>
    <cellStyle name="_VC 6.15.06 update on 06GRC power costs.xls Chart 1_NIM Summary 4" xfId="22671"/>
    <cellStyle name="_VC 6.15.06 update on 06GRC power costs.xls Chart 1_NIM Summary 4 2" xfId="22672"/>
    <cellStyle name="_VC 6.15.06 update on 06GRC power costs.xls Chart 1_NIM Summary 4 2 2" xfId="22673"/>
    <cellStyle name="_VC 6.15.06 update on 06GRC power costs.xls Chart 1_NIM Summary 4 3" xfId="22674"/>
    <cellStyle name="_VC 6.15.06 update on 06GRC power costs.xls Chart 1_NIM Summary 4 4" xfId="22675"/>
    <cellStyle name="_VC 6.15.06 update on 06GRC power costs.xls Chart 1_NIM Summary 40" xfId="22676"/>
    <cellStyle name="_VC 6.15.06 update on 06GRC power costs.xls Chart 1_NIM Summary 40 2" xfId="22677"/>
    <cellStyle name="_VC 6.15.06 update on 06GRC power costs.xls Chart 1_NIM Summary 41" xfId="22678"/>
    <cellStyle name="_VC 6.15.06 update on 06GRC power costs.xls Chart 1_NIM Summary 41 2" xfId="22679"/>
    <cellStyle name="_VC 6.15.06 update on 06GRC power costs.xls Chart 1_NIM Summary 42" xfId="22680"/>
    <cellStyle name="_VC 6.15.06 update on 06GRC power costs.xls Chart 1_NIM Summary 42 2" xfId="22681"/>
    <cellStyle name="_VC 6.15.06 update on 06GRC power costs.xls Chart 1_NIM Summary 43" xfId="22682"/>
    <cellStyle name="_VC 6.15.06 update on 06GRC power costs.xls Chart 1_NIM Summary 43 2" xfId="22683"/>
    <cellStyle name="_VC 6.15.06 update on 06GRC power costs.xls Chart 1_NIM Summary 44" xfId="22684"/>
    <cellStyle name="_VC 6.15.06 update on 06GRC power costs.xls Chart 1_NIM Summary 44 2" xfId="22685"/>
    <cellStyle name="_VC 6.15.06 update on 06GRC power costs.xls Chart 1_NIM Summary 45" xfId="22686"/>
    <cellStyle name="_VC 6.15.06 update on 06GRC power costs.xls Chart 1_NIM Summary 45 2" xfId="22687"/>
    <cellStyle name="_VC 6.15.06 update on 06GRC power costs.xls Chart 1_NIM Summary 46" xfId="22688"/>
    <cellStyle name="_VC 6.15.06 update on 06GRC power costs.xls Chart 1_NIM Summary 46 2" xfId="22689"/>
    <cellStyle name="_VC 6.15.06 update on 06GRC power costs.xls Chart 1_NIM Summary 47" xfId="22690"/>
    <cellStyle name="_VC 6.15.06 update on 06GRC power costs.xls Chart 1_NIM Summary 47 2" xfId="22691"/>
    <cellStyle name="_VC 6.15.06 update on 06GRC power costs.xls Chart 1_NIM Summary 48" xfId="22692"/>
    <cellStyle name="_VC 6.15.06 update on 06GRC power costs.xls Chart 1_NIM Summary 49" xfId="22693"/>
    <cellStyle name="_VC 6.15.06 update on 06GRC power costs.xls Chart 1_NIM Summary 5" xfId="22694"/>
    <cellStyle name="_VC 6.15.06 update on 06GRC power costs.xls Chart 1_NIM Summary 5 2" xfId="22695"/>
    <cellStyle name="_VC 6.15.06 update on 06GRC power costs.xls Chart 1_NIM Summary 5 2 2" xfId="22696"/>
    <cellStyle name="_VC 6.15.06 update on 06GRC power costs.xls Chart 1_NIM Summary 5 3" xfId="22697"/>
    <cellStyle name="_VC 6.15.06 update on 06GRC power costs.xls Chart 1_NIM Summary 5 4" xfId="22698"/>
    <cellStyle name="_VC 6.15.06 update on 06GRC power costs.xls Chart 1_NIM Summary 50" xfId="22699"/>
    <cellStyle name="_VC 6.15.06 update on 06GRC power costs.xls Chart 1_NIM Summary 51" xfId="22700"/>
    <cellStyle name="_VC 6.15.06 update on 06GRC power costs.xls Chart 1_NIM Summary 52" xfId="22701"/>
    <cellStyle name="_VC 6.15.06 update on 06GRC power costs.xls Chart 1_NIM Summary 6" xfId="22702"/>
    <cellStyle name="_VC 6.15.06 update on 06GRC power costs.xls Chart 1_NIM Summary 6 2" xfId="22703"/>
    <cellStyle name="_VC 6.15.06 update on 06GRC power costs.xls Chart 1_NIM Summary 6 2 2" xfId="22704"/>
    <cellStyle name="_VC 6.15.06 update on 06GRC power costs.xls Chart 1_NIM Summary 6 3" xfId="22705"/>
    <cellStyle name="_VC 6.15.06 update on 06GRC power costs.xls Chart 1_NIM Summary 6 4" xfId="22706"/>
    <cellStyle name="_VC 6.15.06 update on 06GRC power costs.xls Chart 1_NIM Summary 7" xfId="22707"/>
    <cellStyle name="_VC 6.15.06 update on 06GRC power costs.xls Chart 1_NIM Summary 7 2" xfId="22708"/>
    <cellStyle name="_VC 6.15.06 update on 06GRC power costs.xls Chart 1_NIM Summary 7 2 2" xfId="22709"/>
    <cellStyle name="_VC 6.15.06 update on 06GRC power costs.xls Chart 1_NIM Summary 7 3" xfId="22710"/>
    <cellStyle name="_VC 6.15.06 update on 06GRC power costs.xls Chart 1_NIM Summary 7 4" xfId="22711"/>
    <cellStyle name="_VC 6.15.06 update on 06GRC power costs.xls Chart 1_NIM Summary 7 5" xfId="22712"/>
    <cellStyle name="_VC 6.15.06 update on 06GRC power costs.xls Chart 1_NIM Summary 8" xfId="22713"/>
    <cellStyle name="_VC 6.15.06 update on 06GRC power costs.xls Chart 1_NIM Summary 8 2" xfId="22714"/>
    <cellStyle name="_VC 6.15.06 update on 06GRC power costs.xls Chart 1_NIM Summary 8 2 2" xfId="22715"/>
    <cellStyle name="_VC 6.15.06 update on 06GRC power costs.xls Chart 1_NIM Summary 8 3" xfId="22716"/>
    <cellStyle name="_VC 6.15.06 update on 06GRC power costs.xls Chart 1_NIM Summary 8 4" xfId="22717"/>
    <cellStyle name="_VC 6.15.06 update on 06GRC power costs.xls Chart 1_NIM Summary 8 5" xfId="22718"/>
    <cellStyle name="_VC 6.15.06 update on 06GRC power costs.xls Chart 1_NIM Summary 9" xfId="22719"/>
    <cellStyle name="_VC 6.15.06 update on 06GRC power costs.xls Chart 1_NIM Summary 9 2" xfId="22720"/>
    <cellStyle name="_VC 6.15.06 update on 06GRC power costs.xls Chart 1_NIM Summary 9 2 2" xfId="22721"/>
    <cellStyle name="_VC 6.15.06 update on 06GRC power costs.xls Chart 1_NIM Summary 9 3" xfId="22722"/>
    <cellStyle name="_VC 6.15.06 update on 06GRC power costs.xls Chart 1_NIM Summary 9 4" xfId="22723"/>
    <cellStyle name="_VC 6.15.06 update on 06GRC power costs.xls Chart 1_NIM Summary 9 5" xfId="22724"/>
    <cellStyle name="_VC 6.15.06 update on 06GRC power costs.xls Chart 1_NIM Summary_DEM-WP(C) ENERG10C--ctn Mid-C_042010 2010GRC" xfId="22725"/>
    <cellStyle name="_VC 6.15.06 update on 06GRC power costs.xls Chart 1_NIM Summary_DEM-WP(C) ENERG10C--ctn Mid-C_042010 2010GRC 2" xfId="22726"/>
    <cellStyle name="_VC 6.15.06 update on 06GRC power costs.xls Chart 1_PCA 10 -  Exhibit D Dec 2011" xfId="22727"/>
    <cellStyle name="_VC 6.15.06 update on 06GRC power costs.xls Chart 1_PCA 10 -  Exhibit D Dec 2011 2" xfId="22728"/>
    <cellStyle name="_VC 6.15.06 update on 06GRC power costs.xls Chart 1_PCA 10 -  Exhibit D from A Kellogg Jan 2011" xfId="22729"/>
    <cellStyle name="_VC 6.15.06 update on 06GRC power costs.xls Chart 1_PCA 10 -  Exhibit D from A Kellogg Jan 2011 2" xfId="22730"/>
    <cellStyle name="_VC 6.15.06 update on 06GRC power costs.xls Chart 1_PCA 10 -  Exhibit D from A Kellogg July 2011" xfId="22731"/>
    <cellStyle name="_VC 6.15.06 update on 06GRC power costs.xls Chart 1_PCA 10 -  Exhibit D from A Kellogg July 2011 2" xfId="22732"/>
    <cellStyle name="_VC 6.15.06 update on 06GRC power costs.xls Chart 1_PCA 10 -  Exhibit D from S Free Rcv'd 12-11" xfId="22733"/>
    <cellStyle name="_VC 6.15.06 update on 06GRC power costs.xls Chart 1_PCA 10 -  Exhibit D from S Free Rcv'd 12-11 2" xfId="22734"/>
    <cellStyle name="_VC 6.15.06 update on 06GRC power costs.xls Chart 1_PCA 11 -  Exhibit D Jan 2012 fr A Kellogg" xfId="22735"/>
    <cellStyle name="_VC 6.15.06 update on 06GRC power costs.xls Chart 1_PCA 11 -  Exhibit D Jan 2012 fr A Kellogg 2" xfId="22736"/>
    <cellStyle name="_VC 6.15.06 update on 06GRC power costs.xls Chart 1_PCA 11 -  Exhibit D Jan 2012 WF" xfId="22737"/>
    <cellStyle name="_VC 6.15.06 update on 06GRC power costs.xls Chart 1_PCA 11 -  Exhibit D Jan 2012 WF 2" xfId="22738"/>
    <cellStyle name="_VC 6.15.06 update on 06GRC power costs.xls Chart 1_PCA 9 -  Exhibit D April 2010" xfId="22739"/>
    <cellStyle name="_VC 6.15.06 update on 06GRC power costs.xls Chart 1_PCA 9 -  Exhibit D April 2010 (3)" xfId="22740"/>
    <cellStyle name="_VC 6.15.06 update on 06GRC power costs.xls Chart 1_PCA 9 -  Exhibit D April 2010 (3) 2" xfId="22741"/>
    <cellStyle name="_VC 6.15.06 update on 06GRC power costs.xls Chart 1_PCA 9 -  Exhibit D April 2010 (3) 2 2" xfId="22742"/>
    <cellStyle name="_VC 6.15.06 update on 06GRC power costs.xls Chart 1_PCA 9 -  Exhibit D April 2010 (3) 2 2 2" xfId="22743"/>
    <cellStyle name="_VC 6.15.06 update on 06GRC power costs.xls Chart 1_PCA 9 -  Exhibit D April 2010 (3) 2 2 2 2" xfId="22744"/>
    <cellStyle name="_VC 6.15.06 update on 06GRC power costs.xls Chart 1_PCA 9 -  Exhibit D April 2010 (3) 2 3" xfId="22745"/>
    <cellStyle name="_VC 6.15.06 update on 06GRC power costs.xls Chart 1_PCA 9 -  Exhibit D April 2010 (3) 2 3 2" xfId="22746"/>
    <cellStyle name="_VC 6.15.06 update on 06GRC power costs.xls Chart 1_PCA 9 -  Exhibit D April 2010 (3) 2 4" xfId="22747"/>
    <cellStyle name="_VC 6.15.06 update on 06GRC power costs.xls Chart 1_PCA 9 -  Exhibit D April 2010 (3) 2 4 2" xfId="22748"/>
    <cellStyle name="_VC 6.15.06 update on 06GRC power costs.xls Chart 1_PCA 9 -  Exhibit D April 2010 (3) 2 5" xfId="22749"/>
    <cellStyle name="_VC 6.15.06 update on 06GRC power costs.xls Chart 1_PCA 9 -  Exhibit D April 2010 (3) 3" xfId="22750"/>
    <cellStyle name="_VC 6.15.06 update on 06GRC power costs.xls Chart 1_PCA 9 -  Exhibit D April 2010 (3) 3 2" xfId="22751"/>
    <cellStyle name="_VC 6.15.06 update on 06GRC power costs.xls Chart 1_PCA 9 -  Exhibit D April 2010 (3) 3 2 2" xfId="22752"/>
    <cellStyle name="_VC 6.15.06 update on 06GRC power costs.xls Chart 1_PCA 9 -  Exhibit D April 2010 (3) 3 3" xfId="22753"/>
    <cellStyle name="_VC 6.15.06 update on 06GRC power costs.xls Chart 1_PCA 9 -  Exhibit D April 2010 (3) 4" xfId="22754"/>
    <cellStyle name="_VC 6.15.06 update on 06GRC power costs.xls Chart 1_PCA 9 -  Exhibit D April 2010 (3) 4 2" xfId="22755"/>
    <cellStyle name="_VC 6.15.06 update on 06GRC power costs.xls Chart 1_PCA 9 -  Exhibit D April 2010 (3) 4 2 2" xfId="22756"/>
    <cellStyle name="_VC 6.15.06 update on 06GRC power costs.xls Chart 1_PCA 9 -  Exhibit D April 2010 (3) 4 3" xfId="22757"/>
    <cellStyle name="_VC 6.15.06 update on 06GRC power costs.xls Chart 1_PCA 9 -  Exhibit D April 2010 (3) 5" xfId="22758"/>
    <cellStyle name="_VC 6.15.06 update on 06GRC power costs.xls Chart 1_PCA 9 -  Exhibit D April 2010 (3) 5 2" xfId="22759"/>
    <cellStyle name="_VC 6.15.06 update on 06GRC power costs.xls Chart 1_PCA 9 -  Exhibit D April 2010 (3) 6" xfId="22760"/>
    <cellStyle name="_VC 6.15.06 update on 06GRC power costs.xls Chart 1_PCA 9 -  Exhibit D April 2010 (3) 6 2" xfId="22761"/>
    <cellStyle name="_VC 6.15.06 update on 06GRC power costs.xls Chart 1_PCA 9 -  Exhibit D April 2010 (3) 7" xfId="22762"/>
    <cellStyle name="_VC 6.15.06 update on 06GRC power costs.xls Chart 1_PCA 9 -  Exhibit D April 2010 (3)_DEM-WP(C) ENERG10C--ctn Mid-C_042010 2010GRC" xfId="22763"/>
    <cellStyle name="_VC 6.15.06 update on 06GRC power costs.xls Chart 1_PCA 9 -  Exhibit D April 2010 (3)_DEM-WP(C) ENERG10C--ctn Mid-C_042010 2010GRC 2" xfId="22764"/>
    <cellStyle name="_VC 6.15.06 update on 06GRC power costs.xls Chart 1_PCA 9 -  Exhibit D April 2010 2" xfId="22765"/>
    <cellStyle name="_VC 6.15.06 update on 06GRC power costs.xls Chart 1_PCA 9 -  Exhibit D April 2010 2 2" xfId="22766"/>
    <cellStyle name="_VC 6.15.06 update on 06GRC power costs.xls Chart 1_PCA 9 -  Exhibit D April 2010 3" xfId="22767"/>
    <cellStyle name="_VC 6.15.06 update on 06GRC power costs.xls Chart 1_PCA 9 -  Exhibit D April 2010 3 2" xfId="22768"/>
    <cellStyle name="_VC 6.15.06 update on 06GRC power costs.xls Chart 1_PCA 9 -  Exhibit D April 2010 4" xfId="22769"/>
    <cellStyle name="_VC 6.15.06 update on 06GRC power costs.xls Chart 1_PCA 9 -  Exhibit D April 2010 4 2" xfId="22770"/>
    <cellStyle name="_VC 6.15.06 update on 06GRC power costs.xls Chart 1_PCA 9 -  Exhibit D April 2010 5" xfId="22771"/>
    <cellStyle name="_VC 6.15.06 update on 06GRC power costs.xls Chart 1_PCA 9 -  Exhibit D April 2010 5 2" xfId="22772"/>
    <cellStyle name="_VC 6.15.06 update on 06GRC power costs.xls Chart 1_PCA 9 -  Exhibit D April 2010 6" xfId="22773"/>
    <cellStyle name="_VC 6.15.06 update on 06GRC power costs.xls Chart 1_PCA 9 -  Exhibit D April 2010 6 2" xfId="22774"/>
    <cellStyle name="_VC 6.15.06 update on 06GRC power costs.xls Chart 1_PCA 9 -  Exhibit D April 2010 7" xfId="22775"/>
    <cellStyle name="_VC 6.15.06 update on 06GRC power costs.xls Chart 1_PCA 9 -  Exhibit D Nov 2010" xfId="22776"/>
    <cellStyle name="_VC 6.15.06 update on 06GRC power costs.xls Chart 1_PCA 9 -  Exhibit D Nov 2010 2" xfId="22777"/>
    <cellStyle name="_VC 6.15.06 update on 06GRC power costs.xls Chart 1_PCA 9 -  Exhibit D Nov 2010 2 2" xfId="22778"/>
    <cellStyle name="_VC 6.15.06 update on 06GRC power costs.xls Chart 1_PCA 9 -  Exhibit D Nov 2010 3" xfId="22779"/>
    <cellStyle name="_VC 6.15.06 update on 06GRC power costs.xls Chart 1_PCA 9 - Exhibit D at August 2010" xfId="22780"/>
    <cellStyle name="_VC 6.15.06 update on 06GRC power costs.xls Chart 1_PCA 9 - Exhibit D at August 2010 2" xfId="22781"/>
    <cellStyle name="_VC 6.15.06 update on 06GRC power costs.xls Chart 1_PCA 9 - Exhibit D at August 2010 2 2" xfId="22782"/>
    <cellStyle name="_VC 6.15.06 update on 06GRC power costs.xls Chart 1_PCA 9 - Exhibit D at August 2010 3" xfId="22783"/>
    <cellStyle name="_VC 6.15.06 update on 06GRC power costs.xls Chart 1_PCA 9 - Exhibit D June 2010 GRC" xfId="22784"/>
    <cellStyle name="_VC 6.15.06 update on 06GRC power costs.xls Chart 1_PCA 9 - Exhibit D June 2010 GRC 2" xfId="22785"/>
    <cellStyle name="_VC 6.15.06 update on 06GRC power costs.xls Chart 1_PCA 9 - Exhibit D June 2010 GRC 2 2" xfId="22786"/>
    <cellStyle name="_VC 6.15.06 update on 06GRC power costs.xls Chart 1_PCA 9 - Exhibit D June 2010 GRC 3" xfId="22787"/>
    <cellStyle name="_VC 6.15.06 update on 06GRC power costs.xls Chart 1_Power Costs - Comparison bx Rbtl-Staff-Jt-PC" xfId="946"/>
    <cellStyle name="_VC 6.15.06 update on 06GRC power costs.xls Chart 1_Power Costs - Comparison bx Rbtl-Staff-Jt-PC 2" xfId="22788"/>
    <cellStyle name="_VC 6.15.06 update on 06GRC power costs.xls Chart 1_Power Costs - Comparison bx Rbtl-Staff-Jt-PC 2 2" xfId="22789"/>
    <cellStyle name="_VC 6.15.06 update on 06GRC power costs.xls Chart 1_Power Costs - Comparison bx Rbtl-Staff-Jt-PC 2 2 2" xfId="22790"/>
    <cellStyle name="_VC 6.15.06 update on 06GRC power costs.xls Chart 1_Power Costs - Comparison bx Rbtl-Staff-Jt-PC 2 2 2 2" xfId="22791"/>
    <cellStyle name="_VC 6.15.06 update on 06GRC power costs.xls Chart 1_Power Costs - Comparison bx Rbtl-Staff-Jt-PC 2 2 3" xfId="22792"/>
    <cellStyle name="_VC 6.15.06 update on 06GRC power costs.xls Chart 1_Power Costs - Comparison bx Rbtl-Staff-Jt-PC 2 3" xfId="22793"/>
    <cellStyle name="_VC 6.15.06 update on 06GRC power costs.xls Chart 1_Power Costs - Comparison bx Rbtl-Staff-Jt-PC 2 3 2" xfId="22794"/>
    <cellStyle name="_VC 6.15.06 update on 06GRC power costs.xls Chart 1_Power Costs - Comparison bx Rbtl-Staff-Jt-PC 2 4" xfId="22795"/>
    <cellStyle name="_VC 6.15.06 update on 06GRC power costs.xls Chart 1_Power Costs - Comparison bx Rbtl-Staff-Jt-PC 2 4 2" xfId="22796"/>
    <cellStyle name="_VC 6.15.06 update on 06GRC power costs.xls Chart 1_Power Costs - Comparison bx Rbtl-Staff-Jt-PC 2 5" xfId="22797"/>
    <cellStyle name="_VC 6.15.06 update on 06GRC power costs.xls Chart 1_Power Costs - Comparison bx Rbtl-Staff-Jt-PC 3" xfId="22798"/>
    <cellStyle name="_VC 6.15.06 update on 06GRC power costs.xls Chart 1_Power Costs - Comparison bx Rbtl-Staff-Jt-PC 3 2" xfId="22799"/>
    <cellStyle name="_VC 6.15.06 update on 06GRC power costs.xls Chart 1_Power Costs - Comparison bx Rbtl-Staff-Jt-PC 3 2 2" xfId="22800"/>
    <cellStyle name="_VC 6.15.06 update on 06GRC power costs.xls Chart 1_Power Costs - Comparison bx Rbtl-Staff-Jt-PC 3 3" xfId="22801"/>
    <cellStyle name="_VC 6.15.06 update on 06GRC power costs.xls Chart 1_Power Costs - Comparison bx Rbtl-Staff-Jt-PC 3 4" xfId="22802"/>
    <cellStyle name="_VC 6.15.06 update on 06GRC power costs.xls Chart 1_Power Costs - Comparison bx Rbtl-Staff-Jt-PC 4" xfId="22803"/>
    <cellStyle name="_VC 6.15.06 update on 06GRC power costs.xls Chart 1_Power Costs - Comparison bx Rbtl-Staff-Jt-PC 4 2" xfId="22804"/>
    <cellStyle name="_VC 6.15.06 update on 06GRC power costs.xls Chart 1_Power Costs - Comparison bx Rbtl-Staff-Jt-PC 4 2 2" xfId="22805"/>
    <cellStyle name="_VC 6.15.06 update on 06GRC power costs.xls Chart 1_Power Costs - Comparison bx Rbtl-Staff-Jt-PC 4 3" xfId="22806"/>
    <cellStyle name="_VC 6.15.06 update on 06GRC power costs.xls Chart 1_Power Costs - Comparison bx Rbtl-Staff-Jt-PC 5" xfId="22807"/>
    <cellStyle name="_VC 6.15.06 update on 06GRC power costs.xls Chart 1_Power Costs - Comparison bx Rbtl-Staff-Jt-PC 5 2" xfId="22808"/>
    <cellStyle name="_VC 6.15.06 update on 06GRC power costs.xls Chart 1_Power Costs - Comparison bx Rbtl-Staff-Jt-PC 6" xfId="22809"/>
    <cellStyle name="_VC 6.15.06 update on 06GRC power costs.xls Chart 1_Power Costs - Comparison bx Rbtl-Staff-Jt-PC 6 2" xfId="22810"/>
    <cellStyle name="_VC 6.15.06 update on 06GRC power costs.xls Chart 1_Power Costs - Comparison bx Rbtl-Staff-Jt-PC 7" xfId="22811"/>
    <cellStyle name="_VC 6.15.06 update on 06GRC power costs.xls Chart 1_Power Costs - Comparison bx Rbtl-Staff-Jt-PC_Adj Bench DR 3 for Initial Briefs (Electric)" xfId="947"/>
    <cellStyle name="_VC 6.15.06 update on 06GRC power costs.xls Chart 1_Power Costs - Comparison bx Rbtl-Staff-Jt-PC_Adj Bench DR 3 for Initial Briefs (Electric) 2" xfId="22812"/>
    <cellStyle name="_VC 6.15.06 update on 06GRC power costs.xls Chart 1_Power Costs - Comparison bx Rbtl-Staff-Jt-PC_Adj Bench DR 3 for Initial Briefs (Electric) 2 2" xfId="22813"/>
    <cellStyle name="_VC 6.15.06 update on 06GRC power costs.xls Chart 1_Power Costs - Comparison bx Rbtl-Staff-Jt-PC_Adj Bench DR 3 for Initial Briefs (Electric) 2 2 2" xfId="22814"/>
    <cellStyle name="_VC 6.15.06 update on 06GRC power costs.xls Chart 1_Power Costs - Comparison bx Rbtl-Staff-Jt-PC_Adj Bench DR 3 for Initial Briefs (Electric) 2 2 2 2" xfId="22815"/>
    <cellStyle name="_VC 6.15.06 update on 06GRC power costs.xls Chart 1_Power Costs - Comparison bx Rbtl-Staff-Jt-PC_Adj Bench DR 3 for Initial Briefs (Electric) 2 2 3" xfId="22816"/>
    <cellStyle name="_VC 6.15.06 update on 06GRC power costs.xls Chart 1_Power Costs - Comparison bx Rbtl-Staff-Jt-PC_Adj Bench DR 3 for Initial Briefs (Electric) 2 3" xfId="22817"/>
    <cellStyle name="_VC 6.15.06 update on 06GRC power costs.xls Chart 1_Power Costs - Comparison bx Rbtl-Staff-Jt-PC_Adj Bench DR 3 for Initial Briefs (Electric) 2 3 2" xfId="22818"/>
    <cellStyle name="_VC 6.15.06 update on 06GRC power costs.xls Chart 1_Power Costs - Comparison bx Rbtl-Staff-Jt-PC_Adj Bench DR 3 for Initial Briefs (Electric) 2 4" xfId="22819"/>
    <cellStyle name="_VC 6.15.06 update on 06GRC power costs.xls Chart 1_Power Costs - Comparison bx Rbtl-Staff-Jt-PC_Adj Bench DR 3 for Initial Briefs (Electric) 2 4 2" xfId="22820"/>
    <cellStyle name="_VC 6.15.06 update on 06GRC power costs.xls Chart 1_Power Costs - Comparison bx Rbtl-Staff-Jt-PC_Adj Bench DR 3 for Initial Briefs (Electric) 2 5" xfId="22821"/>
    <cellStyle name="_VC 6.15.06 update on 06GRC power costs.xls Chart 1_Power Costs - Comparison bx Rbtl-Staff-Jt-PC_Adj Bench DR 3 for Initial Briefs (Electric) 3" xfId="22822"/>
    <cellStyle name="_VC 6.15.06 update on 06GRC power costs.xls Chart 1_Power Costs - Comparison bx Rbtl-Staff-Jt-PC_Adj Bench DR 3 for Initial Briefs (Electric) 3 2" xfId="22823"/>
    <cellStyle name="_VC 6.15.06 update on 06GRC power costs.xls Chart 1_Power Costs - Comparison bx Rbtl-Staff-Jt-PC_Adj Bench DR 3 for Initial Briefs (Electric) 3 2 2" xfId="22824"/>
    <cellStyle name="_VC 6.15.06 update on 06GRC power costs.xls Chart 1_Power Costs - Comparison bx Rbtl-Staff-Jt-PC_Adj Bench DR 3 for Initial Briefs (Electric) 3 3" xfId="22825"/>
    <cellStyle name="_VC 6.15.06 update on 06GRC power costs.xls Chart 1_Power Costs - Comparison bx Rbtl-Staff-Jt-PC_Adj Bench DR 3 for Initial Briefs (Electric) 3 4" xfId="22826"/>
    <cellStyle name="_VC 6.15.06 update on 06GRC power costs.xls Chart 1_Power Costs - Comparison bx Rbtl-Staff-Jt-PC_Adj Bench DR 3 for Initial Briefs (Electric) 4" xfId="22827"/>
    <cellStyle name="_VC 6.15.06 update on 06GRC power costs.xls Chart 1_Power Costs - Comparison bx Rbtl-Staff-Jt-PC_Adj Bench DR 3 for Initial Briefs (Electric) 4 2" xfId="22828"/>
    <cellStyle name="_VC 6.15.06 update on 06GRC power costs.xls Chart 1_Power Costs - Comparison bx Rbtl-Staff-Jt-PC_Adj Bench DR 3 for Initial Briefs (Electric) 4 2 2" xfId="22829"/>
    <cellStyle name="_VC 6.15.06 update on 06GRC power costs.xls Chart 1_Power Costs - Comparison bx Rbtl-Staff-Jt-PC_Adj Bench DR 3 for Initial Briefs (Electric) 4 3" xfId="22830"/>
    <cellStyle name="_VC 6.15.06 update on 06GRC power costs.xls Chart 1_Power Costs - Comparison bx Rbtl-Staff-Jt-PC_Adj Bench DR 3 for Initial Briefs (Electric) 5" xfId="22831"/>
    <cellStyle name="_VC 6.15.06 update on 06GRC power costs.xls Chart 1_Power Costs - Comparison bx Rbtl-Staff-Jt-PC_Adj Bench DR 3 for Initial Briefs (Electric) 5 2" xfId="22832"/>
    <cellStyle name="_VC 6.15.06 update on 06GRC power costs.xls Chart 1_Power Costs - Comparison bx Rbtl-Staff-Jt-PC_Adj Bench DR 3 for Initial Briefs (Electric) 6" xfId="22833"/>
    <cellStyle name="_VC 6.15.06 update on 06GRC power costs.xls Chart 1_Power Costs - Comparison bx Rbtl-Staff-Jt-PC_Adj Bench DR 3 for Initial Briefs (Electric) 6 2" xfId="22834"/>
    <cellStyle name="_VC 6.15.06 update on 06GRC power costs.xls Chart 1_Power Costs - Comparison bx Rbtl-Staff-Jt-PC_Adj Bench DR 3 for Initial Briefs (Electric) 7" xfId="22835"/>
    <cellStyle name="_VC 6.15.06 update on 06GRC power costs.xls Chart 1_Power Costs - Comparison bx Rbtl-Staff-Jt-PC_Adj Bench DR 3 for Initial Briefs (Electric)_DEM-WP(C) ENERG10C--ctn Mid-C_042010 2010GRC" xfId="22836"/>
    <cellStyle name="_VC 6.15.06 update on 06GRC power costs.xls Chart 1_Power Costs - Comparison bx Rbtl-Staff-Jt-PC_Adj Bench DR 3 for Initial Briefs (Electric)_DEM-WP(C) ENERG10C--ctn Mid-C_042010 2010GRC 2" xfId="22837"/>
    <cellStyle name="_VC 6.15.06 update on 06GRC power costs.xls Chart 1_Power Costs - Comparison bx Rbtl-Staff-Jt-PC_DEM-WP(C) ENERG10C--ctn Mid-C_042010 2010GRC" xfId="22838"/>
    <cellStyle name="_VC 6.15.06 update on 06GRC power costs.xls Chart 1_Power Costs - Comparison bx Rbtl-Staff-Jt-PC_DEM-WP(C) ENERG10C--ctn Mid-C_042010 2010GRC 2" xfId="22839"/>
    <cellStyle name="_VC 6.15.06 update on 06GRC power costs.xls Chart 1_Power Costs - Comparison bx Rbtl-Staff-Jt-PC_Electric Rev Req Model (2009 GRC) Rebuttal" xfId="948"/>
    <cellStyle name="_VC 6.15.06 update on 06GRC power costs.xls Chart 1_Power Costs - Comparison bx Rbtl-Staff-Jt-PC_Electric Rev Req Model (2009 GRC) Rebuttal 2" xfId="22840"/>
    <cellStyle name="_VC 6.15.06 update on 06GRC power costs.xls Chart 1_Power Costs - Comparison bx Rbtl-Staff-Jt-PC_Electric Rev Req Model (2009 GRC) Rebuttal 2 2" xfId="22841"/>
    <cellStyle name="_VC 6.15.06 update on 06GRC power costs.xls Chart 1_Power Costs - Comparison bx Rbtl-Staff-Jt-PC_Electric Rev Req Model (2009 GRC) Rebuttal 2 2 2" xfId="22842"/>
    <cellStyle name="_VC 6.15.06 update on 06GRC power costs.xls Chart 1_Power Costs - Comparison bx Rbtl-Staff-Jt-PC_Electric Rev Req Model (2009 GRC) Rebuttal 2 3" xfId="22843"/>
    <cellStyle name="_VC 6.15.06 update on 06GRC power costs.xls Chart 1_Power Costs - Comparison bx Rbtl-Staff-Jt-PC_Electric Rev Req Model (2009 GRC) Rebuttal 2 4" xfId="22844"/>
    <cellStyle name="_VC 6.15.06 update on 06GRC power costs.xls Chart 1_Power Costs - Comparison bx Rbtl-Staff-Jt-PC_Electric Rev Req Model (2009 GRC) Rebuttal 3" xfId="22845"/>
    <cellStyle name="_VC 6.15.06 update on 06GRC power costs.xls Chart 1_Power Costs - Comparison bx Rbtl-Staff-Jt-PC_Electric Rev Req Model (2009 GRC) Rebuttal 3 2" xfId="22846"/>
    <cellStyle name="_VC 6.15.06 update on 06GRC power costs.xls Chart 1_Power Costs - Comparison bx Rbtl-Staff-Jt-PC_Electric Rev Req Model (2009 GRC) Rebuttal 4" xfId="22847"/>
    <cellStyle name="_VC 6.15.06 update on 06GRC power costs.xls Chart 1_Power Costs - Comparison bx Rbtl-Staff-Jt-PC_Electric Rev Req Model (2009 GRC) Rebuttal 5" xfId="22848"/>
    <cellStyle name="_VC 6.15.06 update on 06GRC power costs.xls Chart 1_Power Costs - Comparison bx Rbtl-Staff-Jt-PC_Electric Rev Req Model (2009 GRC) Rebuttal REmoval of New  WH Solar AdjustMI" xfId="949"/>
    <cellStyle name="_VC 6.15.06 update on 06GRC power costs.xls Chart 1_Power Costs - Comparison bx Rbtl-Staff-Jt-PC_Electric Rev Req Model (2009 GRC) Rebuttal REmoval of New  WH Solar AdjustMI 2" xfId="22849"/>
    <cellStyle name="_VC 6.15.06 update on 06GRC power costs.xls Chart 1_Power Costs - Comparison bx Rbtl-Staff-Jt-PC_Electric Rev Req Model (2009 GRC) Rebuttal REmoval of New  WH Solar AdjustMI 2 2" xfId="22850"/>
    <cellStyle name="_VC 6.15.06 update on 06GRC power costs.xls Chart 1_Power Costs - Comparison bx Rbtl-Staff-Jt-PC_Electric Rev Req Model (2009 GRC) Rebuttal REmoval of New  WH Solar AdjustMI 2 2 2" xfId="22851"/>
    <cellStyle name="_VC 6.15.06 update on 06GRC power costs.xls Chart 1_Power Costs - Comparison bx Rbtl-Staff-Jt-PC_Electric Rev Req Model (2009 GRC) Rebuttal REmoval of New  WH Solar AdjustMI 2 2 2 2" xfId="22852"/>
    <cellStyle name="_VC 6.15.06 update on 06GRC power costs.xls Chart 1_Power Costs - Comparison bx Rbtl-Staff-Jt-PC_Electric Rev Req Model (2009 GRC) Rebuttal REmoval of New  WH Solar AdjustMI 2 2 3" xfId="22853"/>
    <cellStyle name="_VC 6.15.06 update on 06GRC power costs.xls Chart 1_Power Costs - Comparison bx Rbtl-Staff-Jt-PC_Electric Rev Req Model (2009 GRC) Rebuttal REmoval of New  WH Solar AdjustMI 2 3" xfId="22854"/>
    <cellStyle name="_VC 6.15.06 update on 06GRC power costs.xls Chart 1_Power Costs - Comparison bx Rbtl-Staff-Jt-PC_Electric Rev Req Model (2009 GRC) Rebuttal REmoval of New  WH Solar AdjustMI 2 3 2" xfId="22855"/>
    <cellStyle name="_VC 6.15.06 update on 06GRC power costs.xls Chart 1_Power Costs - Comparison bx Rbtl-Staff-Jt-PC_Electric Rev Req Model (2009 GRC) Rebuttal REmoval of New  WH Solar AdjustMI 2 4" xfId="22856"/>
    <cellStyle name="_VC 6.15.06 update on 06GRC power costs.xls Chart 1_Power Costs - Comparison bx Rbtl-Staff-Jt-PC_Electric Rev Req Model (2009 GRC) Rebuttal REmoval of New  WH Solar AdjustMI 2 4 2" xfId="22857"/>
    <cellStyle name="_VC 6.15.06 update on 06GRC power costs.xls Chart 1_Power Costs - Comparison bx Rbtl-Staff-Jt-PC_Electric Rev Req Model (2009 GRC) Rebuttal REmoval of New  WH Solar AdjustMI 2 5" xfId="22858"/>
    <cellStyle name="_VC 6.15.06 update on 06GRC power costs.xls Chart 1_Power Costs - Comparison bx Rbtl-Staff-Jt-PC_Electric Rev Req Model (2009 GRC) Rebuttal REmoval of New  WH Solar AdjustMI 3" xfId="22859"/>
    <cellStyle name="_VC 6.15.06 update on 06GRC power costs.xls Chart 1_Power Costs - Comparison bx Rbtl-Staff-Jt-PC_Electric Rev Req Model (2009 GRC) Rebuttal REmoval of New  WH Solar AdjustMI 3 2" xfId="22860"/>
    <cellStyle name="_VC 6.15.06 update on 06GRC power costs.xls Chart 1_Power Costs - Comparison bx Rbtl-Staff-Jt-PC_Electric Rev Req Model (2009 GRC) Rebuttal REmoval of New  WH Solar AdjustMI 3 2 2" xfId="22861"/>
    <cellStyle name="_VC 6.15.06 update on 06GRC power costs.xls Chart 1_Power Costs - Comparison bx Rbtl-Staff-Jt-PC_Electric Rev Req Model (2009 GRC) Rebuttal REmoval of New  WH Solar AdjustMI 3 3" xfId="22862"/>
    <cellStyle name="_VC 6.15.06 update on 06GRC power costs.xls Chart 1_Power Costs - Comparison bx Rbtl-Staff-Jt-PC_Electric Rev Req Model (2009 GRC) Rebuttal REmoval of New  WH Solar AdjustMI 3 4" xfId="22863"/>
    <cellStyle name="_VC 6.15.06 update on 06GRC power costs.xls Chart 1_Power Costs - Comparison bx Rbtl-Staff-Jt-PC_Electric Rev Req Model (2009 GRC) Rebuttal REmoval of New  WH Solar AdjustMI 4" xfId="22864"/>
    <cellStyle name="_VC 6.15.06 update on 06GRC power costs.xls Chart 1_Power Costs - Comparison bx Rbtl-Staff-Jt-PC_Electric Rev Req Model (2009 GRC) Rebuttal REmoval of New  WH Solar AdjustMI 4 2" xfId="22865"/>
    <cellStyle name="_VC 6.15.06 update on 06GRC power costs.xls Chart 1_Power Costs - Comparison bx Rbtl-Staff-Jt-PC_Electric Rev Req Model (2009 GRC) Rebuttal REmoval of New  WH Solar AdjustMI 4 2 2" xfId="22866"/>
    <cellStyle name="_VC 6.15.06 update on 06GRC power costs.xls Chart 1_Power Costs - Comparison bx Rbtl-Staff-Jt-PC_Electric Rev Req Model (2009 GRC) Rebuttal REmoval of New  WH Solar AdjustMI 4 3" xfId="22867"/>
    <cellStyle name="_VC 6.15.06 update on 06GRC power costs.xls Chart 1_Power Costs - Comparison bx Rbtl-Staff-Jt-PC_Electric Rev Req Model (2009 GRC) Rebuttal REmoval of New  WH Solar AdjustMI 5" xfId="22868"/>
    <cellStyle name="_VC 6.15.06 update on 06GRC power costs.xls Chart 1_Power Costs - Comparison bx Rbtl-Staff-Jt-PC_Electric Rev Req Model (2009 GRC) Rebuttal REmoval of New  WH Solar AdjustMI 5 2" xfId="22869"/>
    <cellStyle name="_VC 6.15.06 update on 06GRC power costs.xls Chart 1_Power Costs - Comparison bx Rbtl-Staff-Jt-PC_Electric Rev Req Model (2009 GRC) Rebuttal REmoval of New  WH Solar AdjustMI 6" xfId="22870"/>
    <cellStyle name="_VC 6.15.06 update on 06GRC power costs.xls Chart 1_Power Costs - Comparison bx Rbtl-Staff-Jt-PC_Electric Rev Req Model (2009 GRC) Rebuttal REmoval of New  WH Solar AdjustMI 6 2" xfId="22871"/>
    <cellStyle name="_VC 6.15.06 update on 06GRC power costs.xls Chart 1_Power Costs - Comparison bx Rbtl-Staff-Jt-PC_Electric Rev Req Model (2009 GRC) Rebuttal REmoval of New  WH Solar AdjustMI 7" xfId="22872"/>
    <cellStyle name="_VC 6.15.06 update on 06GRC power costs.xls Chart 1_Power Costs - Comparison bx Rbtl-Staff-Jt-PC_Electric Rev Req Model (2009 GRC) Rebuttal REmoval of New  WH Solar AdjustMI_DEM-WP(C) ENERG10C--ctn Mid-C_042010 2010GRC" xfId="22873"/>
    <cellStyle name="_VC 6.15.06 update on 06GRC power costs.xls Chart 1_Power Costs - Comparison bx Rbtl-Staff-Jt-PC_Electric Rev Req Model (2009 GRC) Rebuttal REmoval of New  WH Solar AdjustMI_DEM-WP(C) ENERG10C--ctn Mid-C_042010 2010GRC 2" xfId="22874"/>
    <cellStyle name="_VC 6.15.06 update on 06GRC power costs.xls Chart 1_Power Costs - Comparison bx Rbtl-Staff-Jt-PC_Electric Rev Req Model (2009 GRC) Revised 01-18-2010" xfId="950"/>
    <cellStyle name="_VC 6.15.06 update on 06GRC power costs.xls Chart 1_Power Costs - Comparison bx Rbtl-Staff-Jt-PC_Electric Rev Req Model (2009 GRC) Revised 01-18-2010 2" xfId="22875"/>
    <cellStyle name="_VC 6.15.06 update on 06GRC power costs.xls Chart 1_Power Costs - Comparison bx Rbtl-Staff-Jt-PC_Electric Rev Req Model (2009 GRC) Revised 01-18-2010 2 2" xfId="22876"/>
    <cellStyle name="_VC 6.15.06 update on 06GRC power costs.xls Chart 1_Power Costs - Comparison bx Rbtl-Staff-Jt-PC_Electric Rev Req Model (2009 GRC) Revised 01-18-2010 2 2 2" xfId="22877"/>
    <cellStyle name="_VC 6.15.06 update on 06GRC power costs.xls Chart 1_Power Costs - Comparison bx Rbtl-Staff-Jt-PC_Electric Rev Req Model (2009 GRC) Revised 01-18-2010 2 2 2 2" xfId="22878"/>
    <cellStyle name="_VC 6.15.06 update on 06GRC power costs.xls Chart 1_Power Costs - Comparison bx Rbtl-Staff-Jt-PC_Electric Rev Req Model (2009 GRC) Revised 01-18-2010 2 2 3" xfId="22879"/>
    <cellStyle name="_VC 6.15.06 update on 06GRC power costs.xls Chart 1_Power Costs - Comparison bx Rbtl-Staff-Jt-PC_Electric Rev Req Model (2009 GRC) Revised 01-18-2010 2 3" xfId="22880"/>
    <cellStyle name="_VC 6.15.06 update on 06GRC power costs.xls Chart 1_Power Costs - Comparison bx Rbtl-Staff-Jt-PC_Electric Rev Req Model (2009 GRC) Revised 01-18-2010 2 3 2" xfId="22881"/>
    <cellStyle name="_VC 6.15.06 update on 06GRC power costs.xls Chart 1_Power Costs - Comparison bx Rbtl-Staff-Jt-PC_Electric Rev Req Model (2009 GRC) Revised 01-18-2010 2 4" xfId="22882"/>
    <cellStyle name="_VC 6.15.06 update on 06GRC power costs.xls Chart 1_Power Costs - Comparison bx Rbtl-Staff-Jt-PC_Electric Rev Req Model (2009 GRC) Revised 01-18-2010 2 4 2" xfId="22883"/>
    <cellStyle name="_VC 6.15.06 update on 06GRC power costs.xls Chart 1_Power Costs - Comparison bx Rbtl-Staff-Jt-PC_Electric Rev Req Model (2009 GRC) Revised 01-18-2010 2 5" xfId="22884"/>
    <cellStyle name="_VC 6.15.06 update on 06GRC power costs.xls Chart 1_Power Costs - Comparison bx Rbtl-Staff-Jt-PC_Electric Rev Req Model (2009 GRC) Revised 01-18-2010 3" xfId="22885"/>
    <cellStyle name="_VC 6.15.06 update on 06GRC power costs.xls Chart 1_Power Costs - Comparison bx Rbtl-Staff-Jt-PC_Electric Rev Req Model (2009 GRC) Revised 01-18-2010 3 2" xfId="22886"/>
    <cellStyle name="_VC 6.15.06 update on 06GRC power costs.xls Chart 1_Power Costs - Comparison bx Rbtl-Staff-Jt-PC_Electric Rev Req Model (2009 GRC) Revised 01-18-2010 3 2 2" xfId="22887"/>
    <cellStyle name="_VC 6.15.06 update on 06GRC power costs.xls Chart 1_Power Costs - Comparison bx Rbtl-Staff-Jt-PC_Electric Rev Req Model (2009 GRC) Revised 01-18-2010 3 3" xfId="22888"/>
    <cellStyle name="_VC 6.15.06 update on 06GRC power costs.xls Chart 1_Power Costs - Comparison bx Rbtl-Staff-Jt-PC_Electric Rev Req Model (2009 GRC) Revised 01-18-2010 3 4" xfId="22889"/>
    <cellStyle name="_VC 6.15.06 update on 06GRC power costs.xls Chart 1_Power Costs - Comparison bx Rbtl-Staff-Jt-PC_Electric Rev Req Model (2009 GRC) Revised 01-18-2010 4" xfId="22890"/>
    <cellStyle name="_VC 6.15.06 update on 06GRC power costs.xls Chart 1_Power Costs - Comparison bx Rbtl-Staff-Jt-PC_Electric Rev Req Model (2009 GRC) Revised 01-18-2010 4 2" xfId="22891"/>
    <cellStyle name="_VC 6.15.06 update on 06GRC power costs.xls Chart 1_Power Costs - Comparison bx Rbtl-Staff-Jt-PC_Electric Rev Req Model (2009 GRC) Revised 01-18-2010 4 2 2" xfId="22892"/>
    <cellStyle name="_VC 6.15.06 update on 06GRC power costs.xls Chart 1_Power Costs - Comparison bx Rbtl-Staff-Jt-PC_Electric Rev Req Model (2009 GRC) Revised 01-18-2010 4 3" xfId="22893"/>
    <cellStyle name="_VC 6.15.06 update on 06GRC power costs.xls Chart 1_Power Costs - Comparison bx Rbtl-Staff-Jt-PC_Electric Rev Req Model (2009 GRC) Revised 01-18-2010 5" xfId="22894"/>
    <cellStyle name="_VC 6.15.06 update on 06GRC power costs.xls Chart 1_Power Costs - Comparison bx Rbtl-Staff-Jt-PC_Electric Rev Req Model (2009 GRC) Revised 01-18-2010 5 2" xfId="22895"/>
    <cellStyle name="_VC 6.15.06 update on 06GRC power costs.xls Chart 1_Power Costs - Comparison bx Rbtl-Staff-Jt-PC_Electric Rev Req Model (2009 GRC) Revised 01-18-2010 6" xfId="22896"/>
    <cellStyle name="_VC 6.15.06 update on 06GRC power costs.xls Chart 1_Power Costs - Comparison bx Rbtl-Staff-Jt-PC_Electric Rev Req Model (2009 GRC) Revised 01-18-2010 6 2" xfId="22897"/>
    <cellStyle name="_VC 6.15.06 update on 06GRC power costs.xls Chart 1_Power Costs - Comparison bx Rbtl-Staff-Jt-PC_Electric Rev Req Model (2009 GRC) Revised 01-18-2010 7" xfId="22898"/>
    <cellStyle name="_VC 6.15.06 update on 06GRC power costs.xls Chart 1_Power Costs - Comparison bx Rbtl-Staff-Jt-PC_Electric Rev Req Model (2009 GRC) Revised 01-18-2010_DEM-WP(C) ENERG10C--ctn Mid-C_042010 2010GRC" xfId="22899"/>
    <cellStyle name="_VC 6.15.06 update on 06GRC power costs.xls Chart 1_Power Costs - Comparison bx Rbtl-Staff-Jt-PC_Electric Rev Req Model (2009 GRC) Revised 01-18-2010_DEM-WP(C) ENERG10C--ctn Mid-C_042010 2010GRC 2" xfId="22900"/>
    <cellStyle name="_VC 6.15.06 update on 06GRC power costs.xls Chart 1_Power Costs - Comparison bx Rbtl-Staff-Jt-PC_Final Order Electric EXHIBIT A-1" xfId="951"/>
    <cellStyle name="_VC 6.15.06 update on 06GRC power costs.xls Chart 1_Power Costs - Comparison bx Rbtl-Staff-Jt-PC_Final Order Electric EXHIBIT A-1 2" xfId="22901"/>
    <cellStyle name="_VC 6.15.06 update on 06GRC power costs.xls Chart 1_Power Costs - Comparison bx Rbtl-Staff-Jt-PC_Final Order Electric EXHIBIT A-1 2 2" xfId="22902"/>
    <cellStyle name="_VC 6.15.06 update on 06GRC power costs.xls Chart 1_Power Costs - Comparison bx Rbtl-Staff-Jt-PC_Final Order Electric EXHIBIT A-1 2 2 2" xfId="22903"/>
    <cellStyle name="_VC 6.15.06 update on 06GRC power costs.xls Chart 1_Power Costs - Comparison bx Rbtl-Staff-Jt-PC_Final Order Electric EXHIBIT A-1 2 3" xfId="22904"/>
    <cellStyle name="_VC 6.15.06 update on 06GRC power costs.xls Chart 1_Power Costs - Comparison bx Rbtl-Staff-Jt-PC_Final Order Electric EXHIBIT A-1 2 4" xfId="22905"/>
    <cellStyle name="_VC 6.15.06 update on 06GRC power costs.xls Chart 1_Power Costs - Comparison bx Rbtl-Staff-Jt-PC_Final Order Electric EXHIBIT A-1 3" xfId="22906"/>
    <cellStyle name="_VC 6.15.06 update on 06GRC power costs.xls Chart 1_Power Costs - Comparison bx Rbtl-Staff-Jt-PC_Final Order Electric EXHIBIT A-1 3 2" xfId="22907"/>
    <cellStyle name="_VC 6.15.06 update on 06GRC power costs.xls Chart 1_Power Costs - Comparison bx Rbtl-Staff-Jt-PC_Final Order Electric EXHIBIT A-1 3 2 2" xfId="22908"/>
    <cellStyle name="_VC 6.15.06 update on 06GRC power costs.xls Chart 1_Power Costs - Comparison bx Rbtl-Staff-Jt-PC_Final Order Electric EXHIBIT A-1 3 3" xfId="22909"/>
    <cellStyle name="_VC 6.15.06 update on 06GRC power costs.xls Chart 1_Power Costs - Comparison bx Rbtl-Staff-Jt-PC_Final Order Electric EXHIBIT A-1 4" xfId="22910"/>
    <cellStyle name="_VC 6.15.06 update on 06GRC power costs.xls Chart 1_Power Costs - Comparison bx Rbtl-Staff-Jt-PC_Final Order Electric EXHIBIT A-1 4 2" xfId="22911"/>
    <cellStyle name="_VC 6.15.06 update on 06GRC power costs.xls Chart 1_Power Costs - Comparison bx Rbtl-Staff-Jt-PC_Final Order Electric EXHIBIT A-1 5" xfId="22912"/>
    <cellStyle name="_VC 6.15.06 update on 06GRC power costs.xls Chart 1_Power Costs - Comparison bx Rbtl-Staff-Jt-PC_Final Order Electric EXHIBIT A-1 6" xfId="22913"/>
    <cellStyle name="_VC 6.15.06 update on 06GRC power costs.xls Chart 1_Power Costs - Comparison bx Rbtl-Staff-Jt-PC_Final Order Electric EXHIBIT A-1 7" xfId="22914"/>
    <cellStyle name="_VC 6.15.06 update on 06GRC power costs.xls Chart 1_Production Adj 4.37" xfId="22915"/>
    <cellStyle name="_VC 6.15.06 update on 06GRC power costs.xls Chart 1_Production Adj 4.37 2" xfId="22916"/>
    <cellStyle name="_VC 6.15.06 update on 06GRC power costs.xls Chart 1_Production Adj 4.37 2 2" xfId="22917"/>
    <cellStyle name="_VC 6.15.06 update on 06GRC power costs.xls Chart 1_Production Adj 4.37 2 2 2" xfId="22918"/>
    <cellStyle name="_VC 6.15.06 update on 06GRC power costs.xls Chart 1_Production Adj 4.37 2 3" xfId="22919"/>
    <cellStyle name="_VC 6.15.06 update on 06GRC power costs.xls Chart 1_Production Adj 4.37 3" xfId="22920"/>
    <cellStyle name="_VC 6.15.06 update on 06GRC power costs.xls Chart 1_Production Adj 4.37 3 2" xfId="22921"/>
    <cellStyle name="_VC 6.15.06 update on 06GRC power costs.xls Chart 1_Production Adj 4.37 4" xfId="22922"/>
    <cellStyle name="_VC 6.15.06 update on 06GRC power costs.xls Chart 1_Purchased Power Adj 4.03" xfId="22923"/>
    <cellStyle name="_VC 6.15.06 update on 06GRC power costs.xls Chart 1_Purchased Power Adj 4.03 2" xfId="22924"/>
    <cellStyle name="_VC 6.15.06 update on 06GRC power costs.xls Chart 1_Purchased Power Adj 4.03 2 2" xfId="22925"/>
    <cellStyle name="_VC 6.15.06 update on 06GRC power costs.xls Chart 1_Purchased Power Adj 4.03 2 2 2" xfId="22926"/>
    <cellStyle name="_VC 6.15.06 update on 06GRC power costs.xls Chart 1_Purchased Power Adj 4.03 2 3" xfId="22927"/>
    <cellStyle name="_VC 6.15.06 update on 06GRC power costs.xls Chart 1_Purchased Power Adj 4.03 3" xfId="22928"/>
    <cellStyle name="_VC 6.15.06 update on 06GRC power costs.xls Chart 1_Purchased Power Adj 4.03 3 2" xfId="22929"/>
    <cellStyle name="_VC 6.15.06 update on 06GRC power costs.xls Chart 1_Purchased Power Adj 4.03 4" xfId="22930"/>
    <cellStyle name="_VC 6.15.06 update on 06GRC power costs.xls Chart 1_Rebuttal Power Costs" xfId="952"/>
    <cellStyle name="_VC 6.15.06 update on 06GRC power costs.xls Chart 1_Rebuttal Power Costs 2" xfId="22931"/>
    <cellStyle name="_VC 6.15.06 update on 06GRC power costs.xls Chart 1_Rebuttal Power Costs 2 2" xfId="22932"/>
    <cellStyle name="_VC 6.15.06 update on 06GRC power costs.xls Chart 1_Rebuttal Power Costs 2 2 2" xfId="22933"/>
    <cellStyle name="_VC 6.15.06 update on 06GRC power costs.xls Chart 1_Rebuttal Power Costs 2 2 2 2" xfId="22934"/>
    <cellStyle name="_VC 6.15.06 update on 06GRC power costs.xls Chart 1_Rebuttal Power Costs 2 2 3" xfId="22935"/>
    <cellStyle name="_VC 6.15.06 update on 06GRC power costs.xls Chart 1_Rebuttal Power Costs 2 3" xfId="22936"/>
    <cellStyle name="_VC 6.15.06 update on 06GRC power costs.xls Chart 1_Rebuttal Power Costs 2 3 2" xfId="22937"/>
    <cellStyle name="_VC 6.15.06 update on 06GRC power costs.xls Chart 1_Rebuttal Power Costs 2 4" xfId="22938"/>
    <cellStyle name="_VC 6.15.06 update on 06GRC power costs.xls Chart 1_Rebuttal Power Costs 2 4 2" xfId="22939"/>
    <cellStyle name="_VC 6.15.06 update on 06GRC power costs.xls Chart 1_Rebuttal Power Costs 2 5" xfId="22940"/>
    <cellStyle name="_VC 6.15.06 update on 06GRC power costs.xls Chart 1_Rebuttal Power Costs 3" xfId="22941"/>
    <cellStyle name="_VC 6.15.06 update on 06GRC power costs.xls Chart 1_Rebuttal Power Costs 3 2" xfId="22942"/>
    <cellStyle name="_VC 6.15.06 update on 06GRC power costs.xls Chart 1_Rebuttal Power Costs 3 2 2" xfId="22943"/>
    <cellStyle name="_VC 6.15.06 update on 06GRC power costs.xls Chart 1_Rebuttal Power Costs 3 3" xfId="22944"/>
    <cellStyle name="_VC 6.15.06 update on 06GRC power costs.xls Chart 1_Rebuttal Power Costs 3 4" xfId="22945"/>
    <cellStyle name="_VC 6.15.06 update on 06GRC power costs.xls Chart 1_Rebuttal Power Costs 4" xfId="22946"/>
    <cellStyle name="_VC 6.15.06 update on 06GRC power costs.xls Chart 1_Rebuttal Power Costs 4 2" xfId="22947"/>
    <cellStyle name="_VC 6.15.06 update on 06GRC power costs.xls Chart 1_Rebuttal Power Costs 4 2 2" xfId="22948"/>
    <cellStyle name="_VC 6.15.06 update on 06GRC power costs.xls Chart 1_Rebuttal Power Costs 4 3" xfId="22949"/>
    <cellStyle name="_VC 6.15.06 update on 06GRC power costs.xls Chart 1_Rebuttal Power Costs 5" xfId="22950"/>
    <cellStyle name="_VC 6.15.06 update on 06GRC power costs.xls Chart 1_Rebuttal Power Costs 5 2" xfId="22951"/>
    <cellStyle name="_VC 6.15.06 update on 06GRC power costs.xls Chart 1_Rebuttal Power Costs 6" xfId="22952"/>
    <cellStyle name="_VC 6.15.06 update on 06GRC power costs.xls Chart 1_Rebuttal Power Costs 6 2" xfId="22953"/>
    <cellStyle name="_VC 6.15.06 update on 06GRC power costs.xls Chart 1_Rebuttal Power Costs 7" xfId="22954"/>
    <cellStyle name="_VC 6.15.06 update on 06GRC power costs.xls Chart 1_Rebuttal Power Costs_Adj Bench DR 3 for Initial Briefs (Electric)" xfId="953"/>
    <cellStyle name="_VC 6.15.06 update on 06GRC power costs.xls Chart 1_Rebuttal Power Costs_Adj Bench DR 3 for Initial Briefs (Electric) 2" xfId="22955"/>
    <cellStyle name="_VC 6.15.06 update on 06GRC power costs.xls Chart 1_Rebuttal Power Costs_Adj Bench DR 3 for Initial Briefs (Electric) 2 2" xfId="22956"/>
    <cellStyle name="_VC 6.15.06 update on 06GRC power costs.xls Chart 1_Rebuttal Power Costs_Adj Bench DR 3 for Initial Briefs (Electric) 2 2 2" xfId="22957"/>
    <cellStyle name="_VC 6.15.06 update on 06GRC power costs.xls Chart 1_Rebuttal Power Costs_Adj Bench DR 3 for Initial Briefs (Electric) 2 2 2 2" xfId="22958"/>
    <cellStyle name="_VC 6.15.06 update on 06GRC power costs.xls Chart 1_Rebuttal Power Costs_Adj Bench DR 3 for Initial Briefs (Electric) 2 2 3" xfId="22959"/>
    <cellStyle name="_VC 6.15.06 update on 06GRC power costs.xls Chart 1_Rebuttal Power Costs_Adj Bench DR 3 for Initial Briefs (Electric) 2 3" xfId="22960"/>
    <cellStyle name="_VC 6.15.06 update on 06GRC power costs.xls Chart 1_Rebuttal Power Costs_Adj Bench DR 3 for Initial Briefs (Electric) 2 3 2" xfId="22961"/>
    <cellStyle name="_VC 6.15.06 update on 06GRC power costs.xls Chart 1_Rebuttal Power Costs_Adj Bench DR 3 for Initial Briefs (Electric) 2 4" xfId="22962"/>
    <cellStyle name="_VC 6.15.06 update on 06GRC power costs.xls Chart 1_Rebuttal Power Costs_Adj Bench DR 3 for Initial Briefs (Electric) 2 4 2" xfId="22963"/>
    <cellStyle name="_VC 6.15.06 update on 06GRC power costs.xls Chart 1_Rebuttal Power Costs_Adj Bench DR 3 for Initial Briefs (Electric) 2 5" xfId="22964"/>
    <cellStyle name="_VC 6.15.06 update on 06GRC power costs.xls Chart 1_Rebuttal Power Costs_Adj Bench DR 3 for Initial Briefs (Electric) 3" xfId="22965"/>
    <cellStyle name="_VC 6.15.06 update on 06GRC power costs.xls Chart 1_Rebuttal Power Costs_Adj Bench DR 3 for Initial Briefs (Electric) 3 2" xfId="22966"/>
    <cellStyle name="_VC 6.15.06 update on 06GRC power costs.xls Chart 1_Rebuttal Power Costs_Adj Bench DR 3 for Initial Briefs (Electric) 3 2 2" xfId="22967"/>
    <cellStyle name="_VC 6.15.06 update on 06GRC power costs.xls Chart 1_Rebuttal Power Costs_Adj Bench DR 3 for Initial Briefs (Electric) 3 3" xfId="22968"/>
    <cellStyle name="_VC 6.15.06 update on 06GRC power costs.xls Chart 1_Rebuttal Power Costs_Adj Bench DR 3 for Initial Briefs (Electric) 3 4" xfId="22969"/>
    <cellStyle name="_VC 6.15.06 update on 06GRC power costs.xls Chart 1_Rebuttal Power Costs_Adj Bench DR 3 for Initial Briefs (Electric) 4" xfId="22970"/>
    <cellStyle name="_VC 6.15.06 update on 06GRC power costs.xls Chart 1_Rebuttal Power Costs_Adj Bench DR 3 for Initial Briefs (Electric) 4 2" xfId="22971"/>
    <cellStyle name="_VC 6.15.06 update on 06GRC power costs.xls Chart 1_Rebuttal Power Costs_Adj Bench DR 3 for Initial Briefs (Electric) 4 2 2" xfId="22972"/>
    <cellStyle name="_VC 6.15.06 update on 06GRC power costs.xls Chart 1_Rebuttal Power Costs_Adj Bench DR 3 for Initial Briefs (Electric) 4 3" xfId="22973"/>
    <cellStyle name="_VC 6.15.06 update on 06GRC power costs.xls Chart 1_Rebuttal Power Costs_Adj Bench DR 3 for Initial Briefs (Electric) 5" xfId="22974"/>
    <cellStyle name="_VC 6.15.06 update on 06GRC power costs.xls Chart 1_Rebuttal Power Costs_Adj Bench DR 3 for Initial Briefs (Electric) 5 2" xfId="22975"/>
    <cellStyle name="_VC 6.15.06 update on 06GRC power costs.xls Chart 1_Rebuttal Power Costs_Adj Bench DR 3 for Initial Briefs (Electric) 6" xfId="22976"/>
    <cellStyle name="_VC 6.15.06 update on 06GRC power costs.xls Chart 1_Rebuttal Power Costs_Adj Bench DR 3 for Initial Briefs (Electric) 6 2" xfId="22977"/>
    <cellStyle name="_VC 6.15.06 update on 06GRC power costs.xls Chart 1_Rebuttal Power Costs_Adj Bench DR 3 for Initial Briefs (Electric) 7" xfId="22978"/>
    <cellStyle name="_VC 6.15.06 update on 06GRC power costs.xls Chart 1_Rebuttal Power Costs_Adj Bench DR 3 for Initial Briefs (Electric)_DEM-WP(C) ENERG10C--ctn Mid-C_042010 2010GRC" xfId="22979"/>
    <cellStyle name="_VC 6.15.06 update on 06GRC power costs.xls Chart 1_Rebuttal Power Costs_Adj Bench DR 3 for Initial Briefs (Electric)_DEM-WP(C) ENERG10C--ctn Mid-C_042010 2010GRC 2" xfId="22980"/>
    <cellStyle name="_VC 6.15.06 update on 06GRC power costs.xls Chart 1_Rebuttal Power Costs_DEM-WP(C) ENERG10C--ctn Mid-C_042010 2010GRC" xfId="22981"/>
    <cellStyle name="_VC 6.15.06 update on 06GRC power costs.xls Chart 1_Rebuttal Power Costs_DEM-WP(C) ENERG10C--ctn Mid-C_042010 2010GRC 2" xfId="22982"/>
    <cellStyle name="_VC 6.15.06 update on 06GRC power costs.xls Chart 1_Rebuttal Power Costs_Electric Rev Req Model (2009 GRC) Rebuttal" xfId="954"/>
    <cellStyle name="_VC 6.15.06 update on 06GRC power costs.xls Chart 1_Rebuttal Power Costs_Electric Rev Req Model (2009 GRC) Rebuttal 2" xfId="22983"/>
    <cellStyle name="_VC 6.15.06 update on 06GRC power costs.xls Chart 1_Rebuttal Power Costs_Electric Rev Req Model (2009 GRC) Rebuttal 2 2" xfId="22984"/>
    <cellStyle name="_VC 6.15.06 update on 06GRC power costs.xls Chart 1_Rebuttal Power Costs_Electric Rev Req Model (2009 GRC) Rebuttal 2 2 2" xfId="22985"/>
    <cellStyle name="_VC 6.15.06 update on 06GRC power costs.xls Chart 1_Rebuttal Power Costs_Electric Rev Req Model (2009 GRC) Rebuttal 2 3" xfId="22986"/>
    <cellStyle name="_VC 6.15.06 update on 06GRC power costs.xls Chart 1_Rebuttal Power Costs_Electric Rev Req Model (2009 GRC) Rebuttal 2 4" xfId="22987"/>
    <cellStyle name="_VC 6.15.06 update on 06GRC power costs.xls Chart 1_Rebuttal Power Costs_Electric Rev Req Model (2009 GRC) Rebuttal 3" xfId="22988"/>
    <cellStyle name="_VC 6.15.06 update on 06GRC power costs.xls Chart 1_Rebuttal Power Costs_Electric Rev Req Model (2009 GRC) Rebuttal 3 2" xfId="22989"/>
    <cellStyle name="_VC 6.15.06 update on 06GRC power costs.xls Chart 1_Rebuttal Power Costs_Electric Rev Req Model (2009 GRC) Rebuttal 4" xfId="22990"/>
    <cellStyle name="_VC 6.15.06 update on 06GRC power costs.xls Chart 1_Rebuttal Power Costs_Electric Rev Req Model (2009 GRC) Rebuttal 5" xfId="22991"/>
    <cellStyle name="_VC 6.15.06 update on 06GRC power costs.xls Chart 1_Rebuttal Power Costs_Electric Rev Req Model (2009 GRC) Rebuttal REmoval of New  WH Solar AdjustMI" xfId="955"/>
    <cellStyle name="_VC 6.15.06 update on 06GRC power costs.xls Chart 1_Rebuttal Power Costs_Electric Rev Req Model (2009 GRC) Rebuttal REmoval of New  WH Solar AdjustMI 2" xfId="22992"/>
    <cellStyle name="_VC 6.15.06 update on 06GRC power costs.xls Chart 1_Rebuttal Power Costs_Electric Rev Req Model (2009 GRC) Rebuttal REmoval of New  WH Solar AdjustMI 2 2" xfId="22993"/>
    <cellStyle name="_VC 6.15.06 update on 06GRC power costs.xls Chart 1_Rebuttal Power Costs_Electric Rev Req Model (2009 GRC) Rebuttal REmoval of New  WH Solar AdjustMI 2 2 2" xfId="22994"/>
    <cellStyle name="_VC 6.15.06 update on 06GRC power costs.xls Chart 1_Rebuttal Power Costs_Electric Rev Req Model (2009 GRC) Rebuttal REmoval of New  WH Solar AdjustMI 2 2 2 2" xfId="22995"/>
    <cellStyle name="_VC 6.15.06 update on 06GRC power costs.xls Chart 1_Rebuttal Power Costs_Electric Rev Req Model (2009 GRC) Rebuttal REmoval of New  WH Solar AdjustMI 2 2 3" xfId="22996"/>
    <cellStyle name="_VC 6.15.06 update on 06GRC power costs.xls Chart 1_Rebuttal Power Costs_Electric Rev Req Model (2009 GRC) Rebuttal REmoval of New  WH Solar AdjustMI 2 3" xfId="22997"/>
    <cellStyle name="_VC 6.15.06 update on 06GRC power costs.xls Chart 1_Rebuttal Power Costs_Electric Rev Req Model (2009 GRC) Rebuttal REmoval of New  WH Solar AdjustMI 2 3 2" xfId="22998"/>
    <cellStyle name="_VC 6.15.06 update on 06GRC power costs.xls Chart 1_Rebuttal Power Costs_Electric Rev Req Model (2009 GRC) Rebuttal REmoval of New  WH Solar AdjustMI 2 4" xfId="22999"/>
    <cellStyle name="_VC 6.15.06 update on 06GRC power costs.xls Chart 1_Rebuttal Power Costs_Electric Rev Req Model (2009 GRC) Rebuttal REmoval of New  WH Solar AdjustMI 2 4 2" xfId="23000"/>
    <cellStyle name="_VC 6.15.06 update on 06GRC power costs.xls Chart 1_Rebuttal Power Costs_Electric Rev Req Model (2009 GRC) Rebuttal REmoval of New  WH Solar AdjustMI 2 5" xfId="23001"/>
    <cellStyle name="_VC 6.15.06 update on 06GRC power costs.xls Chart 1_Rebuttal Power Costs_Electric Rev Req Model (2009 GRC) Rebuttal REmoval of New  WH Solar AdjustMI 3" xfId="23002"/>
    <cellStyle name="_VC 6.15.06 update on 06GRC power costs.xls Chart 1_Rebuttal Power Costs_Electric Rev Req Model (2009 GRC) Rebuttal REmoval of New  WH Solar AdjustMI 3 2" xfId="23003"/>
    <cellStyle name="_VC 6.15.06 update on 06GRC power costs.xls Chart 1_Rebuttal Power Costs_Electric Rev Req Model (2009 GRC) Rebuttal REmoval of New  WH Solar AdjustMI 3 2 2" xfId="23004"/>
    <cellStyle name="_VC 6.15.06 update on 06GRC power costs.xls Chart 1_Rebuttal Power Costs_Electric Rev Req Model (2009 GRC) Rebuttal REmoval of New  WH Solar AdjustMI 3 3" xfId="23005"/>
    <cellStyle name="_VC 6.15.06 update on 06GRC power costs.xls Chart 1_Rebuttal Power Costs_Electric Rev Req Model (2009 GRC) Rebuttal REmoval of New  WH Solar AdjustMI 3 4" xfId="23006"/>
    <cellStyle name="_VC 6.15.06 update on 06GRC power costs.xls Chart 1_Rebuttal Power Costs_Electric Rev Req Model (2009 GRC) Rebuttal REmoval of New  WH Solar AdjustMI 4" xfId="23007"/>
    <cellStyle name="_VC 6.15.06 update on 06GRC power costs.xls Chart 1_Rebuttal Power Costs_Electric Rev Req Model (2009 GRC) Rebuttal REmoval of New  WH Solar AdjustMI 4 2" xfId="23008"/>
    <cellStyle name="_VC 6.15.06 update on 06GRC power costs.xls Chart 1_Rebuttal Power Costs_Electric Rev Req Model (2009 GRC) Rebuttal REmoval of New  WH Solar AdjustMI 4 2 2" xfId="23009"/>
    <cellStyle name="_VC 6.15.06 update on 06GRC power costs.xls Chart 1_Rebuttal Power Costs_Electric Rev Req Model (2009 GRC) Rebuttal REmoval of New  WH Solar AdjustMI 4 3" xfId="23010"/>
    <cellStyle name="_VC 6.15.06 update on 06GRC power costs.xls Chart 1_Rebuttal Power Costs_Electric Rev Req Model (2009 GRC) Rebuttal REmoval of New  WH Solar AdjustMI 5" xfId="23011"/>
    <cellStyle name="_VC 6.15.06 update on 06GRC power costs.xls Chart 1_Rebuttal Power Costs_Electric Rev Req Model (2009 GRC) Rebuttal REmoval of New  WH Solar AdjustMI 5 2" xfId="23012"/>
    <cellStyle name="_VC 6.15.06 update on 06GRC power costs.xls Chart 1_Rebuttal Power Costs_Electric Rev Req Model (2009 GRC) Rebuttal REmoval of New  WH Solar AdjustMI 6" xfId="23013"/>
    <cellStyle name="_VC 6.15.06 update on 06GRC power costs.xls Chart 1_Rebuttal Power Costs_Electric Rev Req Model (2009 GRC) Rebuttal REmoval of New  WH Solar AdjustMI 6 2" xfId="23014"/>
    <cellStyle name="_VC 6.15.06 update on 06GRC power costs.xls Chart 1_Rebuttal Power Costs_Electric Rev Req Model (2009 GRC) Rebuttal REmoval of New  WH Solar AdjustMI 7" xfId="23015"/>
    <cellStyle name="_VC 6.15.06 update on 06GRC power costs.xls Chart 1_Rebuttal Power Costs_Electric Rev Req Model (2009 GRC) Rebuttal REmoval of New  WH Solar AdjustMI_DEM-WP(C) ENERG10C--ctn Mid-C_042010 2010GRC" xfId="23016"/>
    <cellStyle name="_VC 6.15.06 update on 06GRC power costs.xls Chart 1_Rebuttal Power Costs_Electric Rev Req Model (2009 GRC) Rebuttal REmoval of New  WH Solar AdjustMI_DEM-WP(C) ENERG10C--ctn Mid-C_042010 2010GRC 2" xfId="23017"/>
    <cellStyle name="_VC 6.15.06 update on 06GRC power costs.xls Chart 1_Rebuttal Power Costs_Electric Rev Req Model (2009 GRC) Revised 01-18-2010" xfId="956"/>
    <cellStyle name="_VC 6.15.06 update on 06GRC power costs.xls Chart 1_Rebuttal Power Costs_Electric Rev Req Model (2009 GRC) Revised 01-18-2010 2" xfId="23018"/>
    <cellStyle name="_VC 6.15.06 update on 06GRC power costs.xls Chart 1_Rebuttal Power Costs_Electric Rev Req Model (2009 GRC) Revised 01-18-2010 2 2" xfId="23019"/>
    <cellStyle name="_VC 6.15.06 update on 06GRC power costs.xls Chart 1_Rebuttal Power Costs_Electric Rev Req Model (2009 GRC) Revised 01-18-2010 2 2 2" xfId="23020"/>
    <cellStyle name="_VC 6.15.06 update on 06GRC power costs.xls Chart 1_Rebuttal Power Costs_Electric Rev Req Model (2009 GRC) Revised 01-18-2010 2 2 2 2" xfId="23021"/>
    <cellStyle name="_VC 6.15.06 update on 06GRC power costs.xls Chart 1_Rebuttal Power Costs_Electric Rev Req Model (2009 GRC) Revised 01-18-2010 2 2 3" xfId="23022"/>
    <cellStyle name="_VC 6.15.06 update on 06GRC power costs.xls Chart 1_Rebuttal Power Costs_Electric Rev Req Model (2009 GRC) Revised 01-18-2010 2 3" xfId="23023"/>
    <cellStyle name="_VC 6.15.06 update on 06GRC power costs.xls Chart 1_Rebuttal Power Costs_Electric Rev Req Model (2009 GRC) Revised 01-18-2010 2 3 2" xfId="23024"/>
    <cellStyle name="_VC 6.15.06 update on 06GRC power costs.xls Chart 1_Rebuttal Power Costs_Electric Rev Req Model (2009 GRC) Revised 01-18-2010 2 4" xfId="23025"/>
    <cellStyle name="_VC 6.15.06 update on 06GRC power costs.xls Chart 1_Rebuttal Power Costs_Electric Rev Req Model (2009 GRC) Revised 01-18-2010 2 4 2" xfId="23026"/>
    <cellStyle name="_VC 6.15.06 update on 06GRC power costs.xls Chart 1_Rebuttal Power Costs_Electric Rev Req Model (2009 GRC) Revised 01-18-2010 2 5" xfId="23027"/>
    <cellStyle name="_VC 6.15.06 update on 06GRC power costs.xls Chart 1_Rebuttal Power Costs_Electric Rev Req Model (2009 GRC) Revised 01-18-2010 3" xfId="23028"/>
    <cellStyle name="_VC 6.15.06 update on 06GRC power costs.xls Chart 1_Rebuttal Power Costs_Electric Rev Req Model (2009 GRC) Revised 01-18-2010 3 2" xfId="23029"/>
    <cellStyle name="_VC 6.15.06 update on 06GRC power costs.xls Chart 1_Rebuttal Power Costs_Electric Rev Req Model (2009 GRC) Revised 01-18-2010 3 2 2" xfId="23030"/>
    <cellStyle name="_VC 6.15.06 update on 06GRC power costs.xls Chart 1_Rebuttal Power Costs_Electric Rev Req Model (2009 GRC) Revised 01-18-2010 3 3" xfId="23031"/>
    <cellStyle name="_VC 6.15.06 update on 06GRC power costs.xls Chart 1_Rebuttal Power Costs_Electric Rev Req Model (2009 GRC) Revised 01-18-2010 3 4" xfId="23032"/>
    <cellStyle name="_VC 6.15.06 update on 06GRC power costs.xls Chart 1_Rebuttal Power Costs_Electric Rev Req Model (2009 GRC) Revised 01-18-2010 4" xfId="23033"/>
    <cellStyle name="_VC 6.15.06 update on 06GRC power costs.xls Chart 1_Rebuttal Power Costs_Electric Rev Req Model (2009 GRC) Revised 01-18-2010 4 2" xfId="23034"/>
    <cellStyle name="_VC 6.15.06 update on 06GRC power costs.xls Chart 1_Rebuttal Power Costs_Electric Rev Req Model (2009 GRC) Revised 01-18-2010 4 2 2" xfId="23035"/>
    <cellStyle name="_VC 6.15.06 update on 06GRC power costs.xls Chart 1_Rebuttal Power Costs_Electric Rev Req Model (2009 GRC) Revised 01-18-2010 4 3" xfId="23036"/>
    <cellStyle name="_VC 6.15.06 update on 06GRC power costs.xls Chart 1_Rebuttal Power Costs_Electric Rev Req Model (2009 GRC) Revised 01-18-2010 5" xfId="23037"/>
    <cellStyle name="_VC 6.15.06 update on 06GRC power costs.xls Chart 1_Rebuttal Power Costs_Electric Rev Req Model (2009 GRC) Revised 01-18-2010 5 2" xfId="23038"/>
    <cellStyle name="_VC 6.15.06 update on 06GRC power costs.xls Chart 1_Rebuttal Power Costs_Electric Rev Req Model (2009 GRC) Revised 01-18-2010 6" xfId="23039"/>
    <cellStyle name="_VC 6.15.06 update on 06GRC power costs.xls Chart 1_Rebuttal Power Costs_Electric Rev Req Model (2009 GRC) Revised 01-18-2010 6 2" xfId="23040"/>
    <cellStyle name="_VC 6.15.06 update on 06GRC power costs.xls Chart 1_Rebuttal Power Costs_Electric Rev Req Model (2009 GRC) Revised 01-18-2010 7" xfId="23041"/>
    <cellStyle name="_VC 6.15.06 update on 06GRC power costs.xls Chart 1_Rebuttal Power Costs_Electric Rev Req Model (2009 GRC) Revised 01-18-2010_DEM-WP(C) ENERG10C--ctn Mid-C_042010 2010GRC" xfId="23042"/>
    <cellStyle name="_VC 6.15.06 update on 06GRC power costs.xls Chart 1_Rebuttal Power Costs_Electric Rev Req Model (2009 GRC) Revised 01-18-2010_DEM-WP(C) ENERG10C--ctn Mid-C_042010 2010GRC 2" xfId="23043"/>
    <cellStyle name="_VC 6.15.06 update on 06GRC power costs.xls Chart 1_Rebuttal Power Costs_Final Order Electric EXHIBIT A-1" xfId="957"/>
    <cellStyle name="_VC 6.15.06 update on 06GRC power costs.xls Chart 1_Rebuttal Power Costs_Final Order Electric EXHIBIT A-1 2" xfId="23044"/>
    <cellStyle name="_VC 6.15.06 update on 06GRC power costs.xls Chart 1_Rebuttal Power Costs_Final Order Electric EXHIBIT A-1 2 2" xfId="23045"/>
    <cellStyle name="_VC 6.15.06 update on 06GRC power costs.xls Chart 1_Rebuttal Power Costs_Final Order Electric EXHIBIT A-1 2 2 2" xfId="23046"/>
    <cellStyle name="_VC 6.15.06 update on 06GRC power costs.xls Chart 1_Rebuttal Power Costs_Final Order Electric EXHIBIT A-1 2 3" xfId="23047"/>
    <cellStyle name="_VC 6.15.06 update on 06GRC power costs.xls Chart 1_Rebuttal Power Costs_Final Order Electric EXHIBIT A-1 2 4" xfId="23048"/>
    <cellStyle name="_VC 6.15.06 update on 06GRC power costs.xls Chart 1_Rebuttal Power Costs_Final Order Electric EXHIBIT A-1 3" xfId="23049"/>
    <cellStyle name="_VC 6.15.06 update on 06GRC power costs.xls Chart 1_Rebuttal Power Costs_Final Order Electric EXHIBIT A-1 3 2" xfId="23050"/>
    <cellStyle name="_VC 6.15.06 update on 06GRC power costs.xls Chart 1_Rebuttal Power Costs_Final Order Electric EXHIBIT A-1 3 2 2" xfId="23051"/>
    <cellStyle name="_VC 6.15.06 update on 06GRC power costs.xls Chart 1_Rebuttal Power Costs_Final Order Electric EXHIBIT A-1 3 3" xfId="23052"/>
    <cellStyle name="_VC 6.15.06 update on 06GRC power costs.xls Chart 1_Rebuttal Power Costs_Final Order Electric EXHIBIT A-1 4" xfId="23053"/>
    <cellStyle name="_VC 6.15.06 update on 06GRC power costs.xls Chart 1_Rebuttal Power Costs_Final Order Electric EXHIBIT A-1 4 2" xfId="23054"/>
    <cellStyle name="_VC 6.15.06 update on 06GRC power costs.xls Chart 1_Rebuttal Power Costs_Final Order Electric EXHIBIT A-1 5" xfId="23055"/>
    <cellStyle name="_VC 6.15.06 update on 06GRC power costs.xls Chart 1_Rebuttal Power Costs_Final Order Electric EXHIBIT A-1 6" xfId="23056"/>
    <cellStyle name="_VC 6.15.06 update on 06GRC power costs.xls Chart 1_Rebuttal Power Costs_Final Order Electric EXHIBIT A-1 7" xfId="23057"/>
    <cellStyle name="_VC 6.15.06 update on 06GRC power costs.xls Chart 1_ROR &amp; CONV FACTOR" xfId="23058"/>
    <cellStyle name="_VC 6.15.06 update on 06GRC power costs.xls Chart 1_ROR &amp; CONV FACTOR 2" xfId="23059"/>
    <cellStyle name="_VC 6.15.06 update on 06GRC power costs.xls Chart 1_ROR &amp; CONV FACTOR 2 2" xfId="23060"/>
    <cellStyle name="_VC 6.15.06 update on 06GRC power costs.xls Chart 1_ROR &amp; CONV FACTOR 2 2 2" xfId="23061"/>
    <cellStyle name="_VC 6.15.06 update on 06GRC power costs.xls Chart 1_ROR &amp; CONV FACTOR 2 3" xfId="23062"/>
    <cellStyle name="_VC 6.15.06 update on 06GRC power costs.xls Chart 1_ROR &amp; CONV FACTOR 3" xfId="23063"/>
    <cellStyle name="_VC 6.15.06 update on 06GRC power costs.xls Chart 1_ROR &amp; CONV FACTOR 3 2" xfId="23064"/>
    <cellStyle name="_VC 6.15.06 update on 06GRC power costs.xls Chart 1_ROR &amp; CONV FACTOR 4" xfId="23065"/>
    <cellStyle name="_VC 6.15.06 update on 06GRC power costs.xls Chart 1_ROR 5.02" xfId="23066"/>
    <cellStyle name="_VC 6.15.06 update on 06GRC power costs.xls Chart 1_ROR 5.02 2" xfId="23067"/>
    <cellStyle name="_VC 6.15.06 update on 06GRC power costs.xls Chart 1_ROR 5.02 2 2" xfId="23068"/>
    <cellStyle name="_VC 6.15.06 update on 06GRC power costs.xls Chart 1_ROR 5.02 2 2 2" xfId="23069"/>
    <cellStyle name="_VC 6.15.06 update on 06GRC power costs.xls Chart 1_ROR 5.02 2 3" xfId="23070"/>
    <cellStyle name="_VC 6.15.06 update on 06GRC power costs.xls Chart 1_ROR 5.02 3" xfId="23071"/>
    <cellStyle name="_VC 6.15.06 update on 06GRC power costs.xls Chart 1_ROR 5.02 3 2" xfId="23072"/>
    <cellStyle name="_VC 6.15.06 update on 06GRC power costs.xls Chart 1_ROR 5.02 4" xfId="23073"/>
    <cellStyle name="_VC 6.15.06 update on 06GRC power costs.xls Chart 1_Wind Integration 10GRC" xfId="23074"/>
    <cellStyle name="_VC 6.15.06 update on 06GRC power costs.xls Chart 1_Wind Integration 10GRC 2" xfId="23075"/>
    <cellStyle name="_VC 6.15.06 update on 06GRC power costs.xls Chart 1_Wind Integration 10GRC 2 2" xfId="23076"/>
    <cellStyle name="_VC 6.15.06 update on 06GRC power costs.xls Chart 1_Wind Integration 10GRC 2 2 2" xfId="23077"/>
    <cellStyle name="_VC 6.15.06 update on 06GRC power costs.xls Chart 1_Wind Integration 10GRC 2 2 2 2" xfId="23078"/>
    <cellStyle name="_VC 6.15.06 update on 06GRC power costs.xls Chart 1_Wind Integration 10GRC 2 3" xfId="23079"/>
    <cellStyle name="_VC 6.15.06 update on 06GRC power costs.xls Chart 1_Wind Integration 10GRC 2 3 2" xfId="23080"/>
    <cellStyle name="_VC 6.15.06 update on 06GRC power costs.xls Chart 1_Wind Integration 10GRC 2 4" xfId="23081"/>
    <cellStyle name="_VC 6.15.06 update on 06GRC power costs.xls Chart 1_Wind Integration 10GRC 2 4 2" xfId="23082"/>
    <cellStyle name="_VC 6.15.06 update on 06GRC power costs.xls Chart 1_Wind Integration 10GRC 2 5" xfId="23083"/>
    <cellStyle name="_VC 6.15.06 update on 06GRC power costs.xls Chart 1_Wind Integration 10GRC 3" xfId="23084"/>
    <cellStyle name="_VC 6.15.06 update on 06GRC power costs.xls Chart 1_Wind Integration 10GRC 3 2" xfId="23085"/>
    <cellStyle name="_VC 6.15.06 update on 06GRC power costs.xls Chart 1_Wind Integration 10GRC 3 2 2" xfId="23086"/>
    <cellStyle name="_VC 6.15.06 update on 06GRC power costs.xls Chart 1_Wind Integration 10GRC 3 3" xfId="23087"/>
    <cellStyle name="_VC 6.15.06 update on 06GRC power costs.xls Chart 1_Wind Integration 10GRC 4" xfId="23088"/>
    <cellStyle name="_VC 6.15.06 update on 06GRC power costs.xls Chart 1_Wind Integration 10GRC 4 2" xfId="23089"/>
    <cellStyle name="_VC 6.15.06 update on 06GRC power costs.xls Chart 1_Wind Integration 10GRC 4 2 2" xfId="23090"/>
    <cellStyle name="_VC 6.15.06 update on 06GRC power costs.xls Chart 1_Wind Integration 10GRC 4 3" xfId="23091"/>
    <cellStyle name="_VC 6.15.06 update on 06GRC power costs.xls Chart 1_Wind Integration 10GRC 5" xfId="23092"/>
    <cellStyle name="_VC 6.15.06 update on 06GRC power costs.xls Chart 1_Wind Integration 10GRC 5 2" xfId="23093"/>
    <cellStyle name="_VC 6.15.06 update on 06GRC power costs.xls Chart 1_Wind Integration 10GRC 6" xfId="23094"/>
    <cellStyle name="_VC 6.15.06 update on 06GRC power costs.xls Chart 1_Wind Integration 10GRC 6 2" xfId="23095"/>
    <cellStyle name="_VC 6.15.06 update on 06GRC power costs.xls Chart 1_Wind Integration 10GRC 7" xfId="23096"/>
    <cellStyle name="_VC 6.15.06 update on 06GRC power costs.xls Chart 1_Wind Integration 10GRC_DEM-WP(C) ENERG10C--ctn Mid-C_042010 2010GRC" xfId="23097"/>
    <cellStyle name="_VC 6.15.06 update on 06GRC power costs.xls Chart 1_Wind Integration 10GRC_DEM-WP(C) ENERG10C--ctn Mid-C_042010 2010GRC 2" xfId="23098"/>
    <cellStyle name="_VC 6.15.06 update on 06GRC power costs.xls Chart 2" xfId="958"/>
    <cellStyle name="_VC 6.15.06 update on 06GRC power costs.xls Chart 2 10" xfId="23099"/>
    <cellStyle name="_VC 6.15.06 update on 06GRC power costs.xls Chart 2 10 2" xfId="23100"/>
    <cellStyle name="_VC 6.15.06 update on 06GRC power costs.xls Chart 2 11" xfId="23101"/>
    <cellStyle name="_VC 6.15.06 update on 06GRC power costs.xls Chart 2 11 2" xfId="23102"/>
    <cellStyle name="_VC 6.15.06 update on 06GRC power costs.xls Chart 2 11 3" xfId="23103"/>
    <cellStyle name="_VC 6.15.06 update on 06GRC power costs.xls Chart 2 12" xfId="23104"/>
    <cellStyle name="_VC 6.15.06 update on 06GRC power costs.xls Chart 2 2" xfId="959"/>
    <cellStyle name="_VC 6.15.06 update on 06GRC power costs.xls Chart 2 2 2" xfId="23105"/>
    <cellStyle name="_VC 6.15.06 update on 06GRC power costs.xls Chart 2 2 2 2" xfId="23106"/>
    <cellStyle name="_VC 6.15.06 update on 06GRC power costs.xls Chart 2 2 2 2 2" xfId="23107"/>
    <cellStyle name="_VC 6.15.06 update on 06GRC power costs.xls Chart 2 2 2 2 2 2" xfId="23108"/>
    <cellStyle name="_VC 6.15.06 update on 06GRC power costs.xls Chart 2 2 2 2 3" xfId="23109"/>
    <cellStyle name="_VC 6.15.06 update on 06GRC power costs.xls Chart 2 2 2 3" xfId="23110"/>
    <cellStyle name="_VC 6.15.06 update on 06GRC power costs.xls Chart 2 2 2 3 2" xfId="23111"/>
    <cellStyle name="_VC 6.15.06 update on 06GRC power costs.xls Chart 2 2 2 4" xfId="23112"/>
    <cellStyle name="_VC 6.15.06 update on 06GRC power costs.xls Chart 2 2 2 4 2" xfId="23113"/>
    <cellStyle name="_VC 6.15.06 update on 06GRC power costs.xls Chart 2 2 2 5" xfId="23114"/>
    <cellStyle name="_VC 6.15.06 update on 06GRC power costs.xls Chart 2 2 3" xfId="23115"/>
    <cellStyle name="_VC 6.15.06 update on 06GRC power costs.xls Chart 2 2 3 2" xfId="23116"/>
    <cellStyle name="_VC 6.15.06 update on 06GRC power costs.xls Chart 2 2 3 2 2" xfId="23117"/>
    <cellStyle name="_VC 6.15.06 update on 06GRC power costs.xls Chart 2 2 3 3" xfId="23118"/>
    <cellStyle name="_VC 6.15.06 update on 06GRC power costs.xls Chart 2 2 3 4" xfId="23119"/>
    <cellStyle name="_VC 6.15.06 update on 06GRC power costs.xls Chart 2 2 4" xfId="23120"/>
    <cellStyle name="_VC 6.15.06 update on 06GRC power costs.xls Chart 2 2 4 2" xfId="23121"/>
    <cellStyle name="_VC 6.15.06 update on 06GRC power costs.xls Chart 2 2 4 2 2" xfId="23122"/>
    <cellStyle name="_VC 6.15.06 update on 06GRC power costs.xls Chart 2 2 4 3" xfId="23123"/>
    <cellStyle name="_VC 6.15.06 update on 06GRC power costs.xls Chart 2 2 5" xfId="23124"/>
    <cellStyle name="_VC 6.15.06 update on 06GRC power costs.xls Chart 2 2 5 2" xfId="23125"/>
    <cellStyle name="_VC 6.15.06 update on 06GRC power costs.xls Chart 2 2 6" xfId="23126"/>
    <cellStyle name="_VC 6.15.06 update on 06GRC power costs.xls Chart 2 2 6 2" xfId="23127"/>
    <cellStyle name="_VC 6.15.06 update on 06GRC power costs.xls Chart 2 2 7" xfId="23128"/>
    <cellStyle name="_VC 6.15.06 update on 06GRC power costs.xls Chart 2 3" xfId="23129"/>
    <cellStyle name="_VC 6.15.06 update on 06GRC power costs.xls Chart 2 3 2" xfId="23130"/>
    <cellStyle name="_VC 6.15.06 update on 06GRC power costs.xls Chart 2 3 2 2" xfId="23131"/>
    <cellStyle name="_VC 6.15.06 update on 06GRC power costs.xls Chart 2 3 2 2 2" xfId="23132"/>
    <cellStyle name="_VC 6.15.06 update on 06GRC power costs.xls Chart 2 3 2 3" xfId="23133"/>
    <cellStyle name="_VC 6.15.06 update on 06GRC power costs.xls Chart 2 3 2 4" xfId="23134"/>
    <cellStyle name="_VC 6.15.06 update on 06GRC power costs.xls Chart 2 3 3" xfId="23135"/>
    <cellStyle name="_VC 6.15.06 update on 06GRC power costs.xls Chart 2 3 3 2" xfId="23136"/>
    <cellStyle name="_VC 6.15.06 update on 06GRC power costs.xls Chart 2 3 3 2 2" xfId="23137"/>
    <cellStyle name="_VC 6.15.06 update on 06GRC power costs.xls Chart 2 3 3 3" xfId="23138"/>
    <cellStyle name="_VC 6.15.06 update on 06GRC power costs.xls Chart 2 3 4" xfId="23139"/>
    <cellStyle name="_VC 6.15.06 update on 06GRC power costs.xls Chart 2 3 4 2" xfId="23140"/>
    <cellStyle name="_VC 6.15.06 update on 06GRC power costs.xls Chart 2 3 4 2 2" xfId="23141"/>
    <cellStyle name="_VC 6.15.06 update on 06GRC power costs.xls Chart 2 3 4 3" xfId="23142"/>
    <cellStyle name="_VC 6.15.06 update on 06GRC power costs.xls Chart 2 3 5" xfId="23143"/>
    <cellStyle name="_VC 6.15.06 update on 06GRC power costs.xls Chart 2 3 5 2" xfId="23144"/>
    <cellStyle name="_VC 6.15.06 update on 06GRC power costs.xls Chart 2 3 6" xfId="23145"/>
    <cellStyle name="_VC 6.15.06 update on 06GRC power costs.xls Chart 2 4" xfId="23146"/>
    <cellStyle name="_VC 6.15.06 update on 06GRC power costs.xls Chart 2 4 2" xfId="23147"/>
    <cellStyle name="_VC 6.15.06 update on 06GRC power costs.xls Chart 2 4 2 2" xfId="23148"/>
    <cellStyle name="_VC 6.15.06 update on 06GRC power costs.xls Chart 2 4 2 2 2" xfId="23149"/>
    <cellStyle name="_VC 6.15.06 update on 06GRC power costs.xls Chart 2 4 2 2 2 2" xfId="23150"/>
    <cellStyle name="_VC 6.15.06 update on 06GRC power costs.xls Chart 2 4 2 3" xfId="23151"/>
    <cellStyle name="_VC 6.15.06 update on 06GRC power costs.xls Chart 2 4 2 3 2" xfId="23152"/>
    <cellStyle name="_VC 6.15.06 update on 06GRC power costs.xls Chart 2 4 2 4" xfId="23153"/>
    <cellStyle name="_VC 6.15.06 update on 06GRC power costs.xls Chart 2 4 2 4 2" xfId="23154"/>
    <cellStyle name="_VC 6.15.06 update on 06GRC power costs.xls Chart 2 4 2 5" xfId="23155"/>
    <cellStyle name="_VC 6.15.06 update on 06GRC power costs.xls Chart 2 4 3" xfId="23156"/>
    <cellStyle name="_VC 6.15.06 update on 06GRC power costs.xls Chart 2 4 3 2" xfId="23157"/>
    <cellStyle name="_VC 6.15.06 update on 06GRC power costs.xls Chart 2 4 3 2 2" xfId="23158"/>
    <cellStyle name="_VC 6.15.06 update on 06GRC power costs.xls Chart 2 4 3 3" xfId="23159"/>
    <cellStyle name="_VC 6.15.06 update on 06GRC power costs.xls Chart 2 4 4" xfId="23160"/>
    <cellStyle name="_VC 6.15.06 update on 06GRC power costs.xls Chart 2 4 4 2" xfId="23161"/>
    <cellStyle name="_VC 6.15.06 update on 06GRC power costs.xls Chart 2 4 4 2 2" xfId="23162"/>
    <cellStyle name="_VC 6.15.06 update on 06GRC power costs.xls Chart 2 4 4 3" xfId="23163"/>
    <cellStyle name="_VC 6.15.06 update on 06GRC power costs.xls Chart 2 4 5" xfId="23164"/>
    <cellStyle name="_VC 6.15.06 update on 06GRC power costs.xls Chart 2 4 5 2" xfId="23165"/>
    <cellStyle name="_VC 6.15.06 update on 06GRC power costs.xls Chart 2 4 6" xfId="23166"/>
    <cellStyle name="_VC 6.15.06 update on 06GRC power costs.xls Chart 2 4 6 2" xfId="23167"/>
    <cellStyle name="_VC 6.15.06 update on 06GRC power costs.xls Chart 2 4 7" xfId="23168"/>
    <cellStyle name="_VC 6.15.06 update on 06GRC power costs.xls Chart 2 5" xfId="23169"/>
    <cellStyle name="_VC 6.15.06 update on 06GRC power costs.xls Chart 2 5 2" xfId="23170"/>
    <cellStyle name="_VC 6.15.06 update on 06GRC power costs.xls Chart 2 5 2 2" xfId="23171"/>
    <cellStyle name="_VC 6.15.06 update on 06GRC power costs.xls Chart 2 5 2 2 2" xfId="23172"/>
    <cellStyle name="_VC 6.15.06 update on 06GRC power costs.xls Chart 2 5 2 2 2 2" xfId="23173"/>
    <cellStyle name="_VC 6.15.06 update on 06GRC power costs.xls Chart 2 5 2 3" xfId="23174"/>
    <cellStyle name="_VC 6.15.06 update on 06GRC power costs.xls Chart 2 5 2 3 2" xfId="23175"/>
    <cellStyle name="_VC 6.15.06 update on 06GRC power costs.xls Chart 2 5 2 4" xfId="23176"/>
    <cellStyle name="_VC 6.15.06 update on 06GRC power costs.xls Chart 2 5 2 4 2" xfId="23177"/>
    <cellStyle name="_VC 6.15.06 update on 06GRC power costs.xls Chart 2 5 2 5" xfId="23178"/>
    <cellStyle name="_VC 6.15.06 update on 06GRC power costs.xls Chart 2 5 3" xfId="23179"/>
    <cellStyle name="_VC 6.15.06 update on 06GRC power costs.xls Chart 2 5 3 2" xfId="23180"/>
    <cellStyle name="_VC 6.15.06 update on 06GRC power costs.xls Chart 2 5 3 2 2" xfId="23181"/>
    <cellStyle name="_VC 6.15.06 update on 06GRC power costs.xls Chart 2 5 4" xfId="23182"/>
    <cellStyle name="_VC 6.15.06 update on 06GRC power costs.xls Chart 2 5 4 2" xfId="23183"/>
    <cellStyle name="_VC 6.15.06 update on 06GRC power costs.xls Chart 2 5 5" xfId="23184"/>
    <cellStyle name="_VC 6.15.06 update on 06GRC power costs.xls Chart 2 5 5 2" xfId="23185"/>
    <cellStyle name="_VC 6.15.06 update on 06GRC power costs.xls Chart 2 5 6" xfId="23186"/>
    <cellStyle name="_VC 6.15.06 update on 06GRC power costs.xls Chart 2 6" xfId="23187"/>
    <cellStyle name="_VC 6.15.06 update on 06GRC power costs.xls Chart 2 6 2" xfId="23188"/>
    <cellStyle name="_VC 6.15.06 update on 06GRC power costs.xls Chart 2 6 2 2" xfId="23189"/>
    <cellStyle name="_VC 6.15.06 update on 06GRC power costs.xls Chart 2 6 2 2 2" xfId="23190"/>
    <cellStyle name="_VC 6.15.06 update on 06GRC power costs.xls Chart 2 6 3" xfId="23191"/>
    <cellStyle name="_VC 6.15.06 update on 06GRC power costs.xls Chart 2 6 3 2" xfId="23192"/>
    <cellStyle name="_VC 6.15.06 update on 06GRC power costs.xls Chart 2 6 4" xfId="23193"/>
    <cellStyle name="_VC 6.15.06 update on 06GRC power costs.xls Chart 2 6 4 2" xfId="23194"/>
    <cellStyle name="_VC 6.15.06 update on 06GRC power costs.xls Chart 2 7" xfId="23195"/>
    <cellStyle name="_VC 6.15.06 update on 06GRC power costs.xls Chart 2 7 2" xfId="23196"/>
    <cellStyle name="_VC 6.15.06 update on 06GRC power costs.xls Chart 2 7 2 2" xfId="23197"/>
    <cellStyle name="_VC 6.15.06 update on 06GRC power costs.xls Chart 2 7 3" xfId="23198"/>
    <cellStyle name="_VC 6.15.06 update on 06GRC power costs.xls Chart 2 8" xfId="23199"/>
    <cellStyle name="_VC 6.15.06 update on 06GRC power costs.xls Chart 2 8 2" xfId="23200"/>
    <cellStyle name="_VC 6.15.06 update on 06GRC power costs.xls Chart 2 8 2 2" xfId="23201"/>
    <cellStyle name="_VC 6.15.06 update on 06GRC power costs.xls Chart 2 8 3" xfId="23202"/>
    <cellStyle name="_VC 6.15.06 update on 06GRC power costs.xls Chart 2 9" xfId="23203"/>
    <cellStyle name="_VC 6.15.06 update on 06GRC power costs.xls Chart 2 9 2" xfId="23204"/>
    <cellStyle name="_VC 6.15.06 update on 06GRC power costs.xls Chart 2 9 2 2" xfId="23205"/>
    <cellStyle name="_VC 6.15.06 update on 06GRC power costs.xls Chart 2 9 2 2 2" xfId="23206"/>
    <cellStyle name="_VC 6.15.06 update on 06GRC power costs.xls Chart 2 9 2 3" xfId="23207"/>
    <cellStyle name="_VC 6.15.06 update on 06GRC power costs.xls Chart 2 9 3" xfId="23208"/>
    <cellStyle name="_VC 6.15.06 update on 06GRC power costs.xls Chart 2 9 3 2" xfId="23209"/>
    <cellStyle name="_VC 6.15.06 update on 06GRC power costs.xls Chart 2 9 4" xfId="23210"/>
    <cellStyle name="_VC 6.15.06 update on 06GRC power costs.xls Chart 2_04 07E Wild Horse Wind Expansion (C) (2)" xfId="960"/>
    <cellStyle name="_VC 6.15.06 update on 06GRC power costs.xls Chart 2_04 07E Wild Horse Wind Expansion (C) (2) 2" xfId="23211"/>
    <cellStyle name="_VC 6.15.06 update on 06GRC power costs.xls Chart 2_04 07E Wild Horse Wind Expansion (C) (2) 2 2" xfId="23212"/>
    <cellStyle name="_VC 6.15.06 update on 06GRC power costs.xls Chart 2_04 07E Wild Horse Wind Expansion (C) (2) 2 2 2" xfId="23213"/>
    <cellStyle name="_VC 6.15.06 update on 06GRC power costs.xls Chart 2_04 07E Wild Horse Wind Expansion (C) (2) 2 2 2 2" xfId="23214"/>
    <cellStyle name="_VC 6.15.06 update on 06GRC power costs.xls Chart 2_04 07E Wild Horse Wind Expansion (C) (2) 2 2 3" xfId="23215"/>
    <cellStyle name="_VC 6.15.06 update on 06GRC power costs.xls Chart 2_04 07E Wild Horse Wind Expansion (C) (2) 2 3" xfId="23216"/>
    <cellStyle name="_VC 6.15.06 update on 06GRC power costs.xls Chart 2_04 07E Wild Horse Wind Expansion (C) (2) 2 3 2" xfId="23217"/>
    <cellStyle name="_VC 6.15.06 update on 06GRC power costs.xls Chart 2_04 07E Wild Horse Wind Expansion (C) (2) 2 4" xfId="23218"/>
    <cellStyle name="_VC 6.15.06 update on 06GRC power costs.xls Chart 2_04 07E Wild Horse Wind Expansion (C) (2) 2 4 2" xfId="23219"/>
    <cellStyle name="_VC 6.15.06 update on 06GRC power costs.xls Chart 2_04 07E Wild Horse Wind Expansion (C) (2) 2 5" xfId="23220"/>
    <cellStyle name="_VC 6.15.06 update on 06GRC power costs.xls Chart 2_04 07E Wild Horse Wind Expansion (C) (2) 3" xfId="23221"/>
    <cellStyle name="_VC 6.15.06 update on 06GRC power costs.xls Chart 2_04 07E Wild Horse Wind Expansion (C) (2) 3 2" xfId="23222"/>
    <cellStyle name="_VC 6.15.06 update on 06GRC power costs.xls Chart 2_04 07E Wild Horse Wind Expansion (C) (2) 3 2 2" xfId="23223"/>
    <cellStyle name="_VC 6.15.06 update on 06GRC power costs.xls Chart 2_04 07E Wild Horse Wind Expansion (C) (2) 3 3" xfId="23224"/>
    <cellStyle name="_VC 6.15.06 update on 06GRC power costs.xls Chart 2_04 07E Wild Horse Wind Expansion (C) (2) 3 4" xfId="23225"/>
    <cellStyle name="_VC 6.15.06 update on 06GRC power costs.xls Chart 2_04 07E Wild Horse Wind Expansion (C) (2) 4" xfId="23226"/>
    <cellStyle name="_VC 6.15.06 update on 06GRC power costs.xls Chart 2_04 07E Wild Horse Wind Expansion (C) (2) 4 2" xfId="23227"/>
    <cellStyle name="_VC 6.15.06 update on 06GRC power costs.xls Chart 2_04 07E Wild Horse Wind Expansion (C) (2) 4 2 2" xfId="23228"/>
    <cellStyle name="_VC 6.15.06 update on 06GRC power costs.xls Chart 2_04 07E Wild Horse Wind Expansion (C) (2) 4 3" xfId="23229"/>
    <cellStyle name="_VC 6.15.06 update on 06GRC power costs.xls Chart 2_04 07E Wild Horse Wind Expansion (C) (2) 5" xfId="23230"/>
    <cellStyle name="_VC 6.15.06 update on 06GRC power costs.xls Chart 2_04 07E Wild Horse Wind Expansion (C) (2) 5 2" xfId="23231"/>
    <cellStyle name="_VC 6.15.06 update on 06GRC power costs.xls Chart 2_04 07E Wild Horse Wind Expansion (C) (2) 6" xfId="23232"/>
    <cellStyle name="_VC 6.15.06 update on 06GRC power costs.xls Chart 2_04 07E Wild Horse Wind Expansion (C) (2) 6 2" xfId="23233"/>
    <cellStyle name="_VC 6.15.06 update on 06GRC power costs.xls Chart 2_04 07E Wild Horse Wind Expansion (C) (2) 7" xfId="23234"/>
    <cellStyle name="_VC 6.15.06 update on 06GRC power costs.xls Chart 2_04 07E Wild Horse Wind Expansion (C) (2)_Adj Bench DR 3 for Initial Briefs (Electric)" xfId="961"/>
    <cellStyle name="_VC 6.15.06 update on 06GRC power costs.xls Chart 2_04 07E Wild Horse Wind Expansion (C) (2)_Adj Bench DR 3 for Initial Briefs (Electric) 2" xfId="23235"/>
    <cellStyle name="_VC 6.15.06 update on 06GRC power costs.xls Chart 2_04 07E Wild Horse Wind Expansion (C) (2)_Adj Bench DR 3 for Initial Briefs (Electric) 2 2" xfId="23236"/>
    <cellStyle name="_VC 6.15.06 update on 06GRC power costs.xls Chart 2_04 07E Wild Horse Wind Expansion (C) (2)_Adj Bench DR 3 for Initial Briefs (Electric) 2 2 2" xfId="23237"/>
    <cellStyle name="_VC 6.15.06 update on 06GRC power costs.xls Chart 2_04 07E Wild Horse Wind Expansion (C) (2)_Adj Bench DR 3 for Initial Briefs (Electric) 2 2 2 2" xfId="23238"/>
    <cellStyle name="_VC 6.15.06 update on 06GRC power costs.xls Chart 2_04 07E Wild Horse Wind Expansion (C) (2)_Adj Bench DR 3 for Initial Briefs (Electric) 2 2 3" xfId="23239"/>
    <cellStyle name="_VC 6.15.06 update on 06GRC power costs.xls Chart 2_04 07E Wild Horse Wind Expansion (C) (2)_Adj Bench DR 3 for Initial Briefs (Electric) 2 3" xfId="23240"/>
    <cellStyle name="_VC 6.15.06 update on 06GRC power costs.xls Chart 2_04 07E Wild Horse Wind Expansion (C) (2)_Adj Bench DR 3 for Initial Briefs (Electric) 2 3 2" xfId="23241"/>
    <cellStyle name="_VC 6.15.06 update on 06GRC power costs.xls Chart 2_04 07E Wild Horse Wind Expansion (C) (2)_Adj Bench DR 3 for Initial Briefs (Electric) 2 4" xfId="23242"/>
    <cellStyle name="_VC 6.15.06 update on 06GRC power costs.xls Chart 2_04 07E Wild Horse Wind Expansion (C) (2)_Adj Bench DR 3 for Initial Briefs (Electric) 2 4 2" xfId="23243"/>
    <cellStyle name="_VC 6.15.06 update on 06GRC power costs.xls Chart 2_04 07E Wild Horse Wind Expansion (C) (2)_Adj Bench DR 3 for Initial Briefs (Electric) 2 5" xfId="23244"/>
    <cellStyle name="_VC 6.15.06 update on 06GRC power costs.xls Chart 2_04 07E Wild Horse Wind Expansion (C) (2)_Adj Bench DR 3 for Initial Briefs (Electric) 3" xfId="23245"/>
    <cellStyle name="_VC 6.15.06 update on 06GRC power costs.xls Chart 2_04 07E Wild Horse Wind Expansion (C) (2)_Adj Bench DR 3 for Initial Briefs (Electric) 3 2" xfId="23246"/>
    <cellStyle name="_VC 6.15.06 update on 06GRC power costs.xls Chart 2_04 07E Wild Horse Wind Expansion (C) (2)_Adj Bench DR 3 for Initial Briefs (Electric) 3 2 2" xfId="23247"/>
    <cellStyle name="_VC 6.15.06 update on 06GRC power costs.xls Chart 2_04 07E Wild Horse Wind Expansion (C) (2)_Adj Bench DR 3 for Initial Briefs (Electric) 3 3" xfId="23248"/>
    <cellStyle name="_VC 6.15.06 update on 06GRC power costs.xls Chart 2_04 07E Wild Horse Wind Expansion (C) (2)_Adj Bench DR 3 for Initial Briefs (Electric) 3 4" xfId="23249"/>
    <cellStyle name="_VC 6.15.06 update on 06GRC power costs.xls Chart 2_04 07E Wild Horse Wind Expansion (C) (2)_Adj Bench DR 3 for Initial Briefs (Electric) 4" xfId="23250"/>
    <cellStyle name="_VC 6.15.06 update on 06GRC power costs.xls Chart 2_04 07E Wild Horse Wind Expansion (C) (2)_Adj Bench DR 3 for Initial Briefs (Electric) 4 2" xfId="23251"/>
    <cellStyle name="_VC 6.15.06 update on 06GRC power costs.xls Chart 2_04 07E Wild Horse Wind Expansion (C) (2)_Adj Bench DR 3 for Initial Briefs (Electric) 4 2 2" xfId="23252"/>
    <cellStyle name="_VC 6.15.06 update on 06GRC power costs.xls Chart 2_04 07E Wild Horse Wind Expansion (C) (2)_Adj Bench DR 3 for Initial Briefs (Electric) 4 3" xfId="23253"/>
    <cellStyle name="_VC 6.15.06 update on 06GRC power costs.xls Chart 2_04 07E Wild Horse Wind Expansion (C) (2)_Adj Bench DR 3 for Initial Briefs (Electric) 5" xfId="23254"/>
    <cellStyle name="_VC 6.15.06 update on 06GRC power costs.xls Chart 2_04 07E Wild Horse Wind Expansion (C) (2)_Adj Bench DR 3 for Initial Briefs (Electric) 5 2" xfId="23255"/>
    <cellStyle name="_VC 6.15.06 update on 06GRC power costs.xls Chart 2_04 07E Wild Horse Wind Expansion (C) (2)_Adj Bench DR 3 for Initial Briefs (Electric) 6" xfId="23256"/>
    <cellStyle name="_VC 6.15.06 update on 06GRC power costs.xls Chart 2_04 07E Wild Horse Wind Expansion (C) (2)_Adj Bench DR 3 for Initial Briefs (Electric) 6 2" xfId="23257"/>
    <cellStyle name="_VC 6.15.06 update on 06GRC power costs.xls Chart 2_04 07E Wild Horse Wind Expansion (C) (2)_Adj Bench DR 3 for Initial Briefs (Electric) 7" xfId="23258"/>
    <cellStyle name="_VC 6.15.06 update on 06GRC power costs.xls Chart 2_04 07E Wild Horse Wind Expansion (C) (2)_Adj Bench DR 3 for Initial Briefs (Electric)_DEM-WP(C) ENERG10C--ctn Mid-C_042010 2010GRC" xfId="23259"/>
    <cellStyle name="_VC 6.15.06 update on 06GRC power costs.xls Chart 2_04 07E Wild Horse Wind Expansion (C) (2)_Adj Bench DR 3 for Initial Briefs (Electric)_DEM-WP(C) ENERG10C--ctn Mid-C_042010 2010GRC 2" xfId="23260"/>
    <cellStyle name="_VC 6.15.06 update on 06GRC power costs.xls Chart 2_04 07E Wild Horse Wind Expansion (C) (2)_Book1" xfId="23261"/>
    <cellStyle name="_VC 6.15.06 update on 06GRC power costs.xls Chart 2_04 07E Wild Horse Wind Expansion (C) (2)_Book1 2" xfId="23262"/>
    <cellStyle name="_VC 6.15.06 update on 06GRC power costs.xls Chart 2_04 07E Wild Horse Wind Expansion (C) (2)_DEM-WP(C) ENERG10C--ctn Mid-C_042010 2010GRC" xfId="23263"/>
    <cellStyle name="_VC 6.15.06 update on 06GRC power costs.xls Chart 2_04 07E Wild Horse Wind Expansion (C) (2)_DEM-WP(C) ENERG10C--ctn Mid-C_042010 2010GRC 2" xfId="23264"/>
    <cellStyle name="_VC 6.15.06 update on 06GRC power costs.xls Chart 2_04 07E Wild Horse Wind Expansion (C) (2)_Electric Rev Req Model (2009 GRC) " xfId="962"/>
    <cellStyle name="_VC 6.15.06 update on 06GRC power costs.xls Chart 2_04 07E Wild Horse Wind Expansion (C) (2)_Electric Rev Req Model (2009 GRC)  2" xfId="23265"/>
    <cellStyle name="_VC 6.15.06 update on 06GRC power costs.xls Chart 2_04 07E Wild Horse Wind Expansion (C) (2)_Electric Rev Req Model (2009 GRC)  2 2" xfId="23266"/>
    <cellStyle name="_VC 6.15.06 update on 06GRC power costs.xls Chart 2_04 07E Wild Horse Wind Expansion (C) (2)_Electric Rev Req Model (2009 GRC)  2 2 2" xfId="23267"/>
    <cellStyle name="_VC 6.15.06 update on 06GRC power costs.xls Chart 2_04 07E Wild Horse Wind Expansion (C) (2)_Electric Rev Req Model (2009 GRC)  2 2 2 2" xfId="23268"/>
    <cellStyle name="_VC 6.15.06 update on 06GRC power costs.xls Chart 2_04 07E Wild Horse Wind Expansion (C) (2)_Electric Rev Req Model (2009 GRC)  2 2 3" xfId="23269"/>
    <cellStyle name="_VC 6.15.06 update on 06GRC power costs.xls Chart 2_04 07E Wild Horse Wind Expansion (C) (2)_Electric Rev Req Model (2009 GRC)  2 3" xfId="23270"/>
    <cellStyle name="_VC 6.15.06 update on 06GRC power costs.xls Chart 2_04 07E Wild Horse Wind Expansion (C) (2)_Electric Rev Req Model (2009 GRC)  2 3 2" xfId="23271"/>
    <cellStyle name="_VC 6.15.06 update on 06GRC power costs.xls Chart 2_04 07E Wild Horse Wind Expansion (C) (2)_Electric Rev Req Model (2009 GRC)  2 4" xfId="23272"/>
    <cellStyle name="_VC 6.15.06 update on 06GRC power costs.xls Chart 2_04 07E Wild Horse Wind Expansion (C) (2)_Electric Rev Req Model (2009 GRC)  2 4 2" xfId="23273"/>
    <cellStyle name="_VC 6.15.06 update on 06GRC power costs.xls Chart 2_04 07E Wild Horse Wind Expansion (C) (2)_Electric Rev Req Model (2009 GRC)  2 5" xfId="23274"/>
    <cellStyle name="_VC 6.15.06 update on 06GRC power costs.xls Chart 2_04 07E Wild Horse Wind Expansion (C) (2)_Electric Rev Req Model (2009 GRC)  3" xfId="23275"/>
    <cellStyle name="_VC 6.15.06 update on 06GRC power costs.xls Chart 2_04 07E Wild Horse Wind Expansion (C) (2)_Electric Rev Req Model (2009 GRC)  3 2" xfId="23276"/>
    <cellStyle name="_VC 6.15.06 update on 06GRC power costs.xls Chart 2_04 07E Wild Horse Wind Expansion (C) (2)_Electric Rev Req Model (2009 GRC)  3 2 2" xfId="23277"/>
    <cellStyle name="_VC 6.15.06 update on 06GRC power costs.xls Chart 2_04 07E Wild Horse Wind Expansion (C) (2)_Electric Rev Req Model (2009 GRC)  3 3" xfId="23278"/>
    <cellStyle name="_VC 6.15.06 update on 06GRC power costs.xls Chart 2_04 07E Wild Horse Wind Expansion (C) (2)_Electric Rev Req Model (2009 GRC)  3 4" xfId="23279"/>
    <cellStyle name="_VC 6.15.06 update on 06GRC power costs.xls Chart 2_04 07E Wild Horse Wind Expansion (C) (2)_Electric Rev Req Model (2009 GRC)  4" xfId="23280"/>
    <cellStyle name="_VC 6.15.06 update on 06GRC power costs.xls Chart 2_04 07E Wild Horse Wind Expansion (C) (2)_Electric Rev Req Model (2009 GRC)  4 2" xfId="23281"/>
    <cellStyle name="_VC 6.15.06 update on 06GRC power costs.xls Chart 2_04 07E Wild Horse Wind Expansion (C) (2)_Electric Rev Req Model (2009 GRC)  4 2 2" xfId="23282"/>
    <cellStyle name="_VC 6.15.06 update on 06GRC power costs.xls Chart 2_04 07E Wild Horse Wind Expansion (C) (2)_Electric Rev Req Model (2009 GRC)  4 3" xfId="23283"/>
    <cellStyle name="_VC 6.15.06 update on 06GRC power costs.xls Chart 2_04 07E Wild Horse Wind Expansion (C) (2)_Electric Rev Req Model (2009 GRC)  5" xfId="23284"/>
    <cellStyle name="_VC 6.15.06 update on 06GRC power costs.xls Chart 2_04 07E Wild Horse Wind Expansion (C) (2)_Electric Rev Req Model (2009 GRC)  5 2" xfId="23285"/>
    <cellStyle name="_VC 6.15.06 update on 06GRC power costs.xls Chart 2_04 07E Wild Horse Wind Expansion (C) (2)_Electric Rev Req Model (2009 GRC)  6" xfId="23286"/>
    <cellStyle name="_VC 6.15.06 update on 06GRC power costs.xls Chart 2_04 07E Wild Horse Wind Expansion (C) (2)_Electric Rev Req Model (2009 GRC)  6 2" xfId="23287"/>
    <cellStyle name="_VC 6.15.06 update on 06GRC power costs.xls Chart 2_04 07E Wild Horse Wind Expansion (C) (2)_Electric Rev Req Model (2009 GRC)  7" xfId="23288"/>
    <cellStyle name="_VC 6.15.06 update on 06GRC power costs.xls Chart 2_04 07E Wild Horse Wind Expansion (C) (2)_Electric Rev Req Model (2009 GRC) _DEM-WP(C) ENERG10C--ctn Mid-C_042010 2010GRC" xfId="23289"/>
    <cellStyle name="_VC 6.15.06 update on 06GRC power costs.xls Chart 2_04 07E Wild Horse Wind Expansion (C) (2)_Electric Rev Req Model (2009 GRC) _DEM-WP(C) ENERG10C--ctn Mid-C_042010 2010GRC 2" xfId="23290"/>
    <cellStyle name="_VC 6.15.06 update on 06GRC power costs.xls Chart 2_04 07E Wild Horse Wind Expansion (C) (2)_Electric Rev Req Model (2009 GRC) Rebuttal" xfId="963"/>
    <cellStyle name="_VC 6.15.06 update on 06GRC power costs.xls Chart 2_04 07E Wild Horse Wind Expansion (C) (2)_Electric Rev Req Model (2009 GRC) Rebuttal 2" xfId="23291"/>
    <cellStyle name="_VC 6.15.06 update on 06GRC power costs.xls Chart 2_04 07E Wild Horse Wind Expansion (C) (2)_Electric Rev Req Model (2009 GRC) Rebuttal 2 2" xfId="23292"/>
    <cellStyle name="_VC 6.15.06 update on 06GRC power costs.xls Chart 2_04 07E Wild Horse Wind Expansion (C) (2)_Electric Rev Req Model (2009 GRC) Rebuttal 2 2 2" xfId="23293"/>
    <cellStyle name="_VC 6.15.06 update on 06GRC power costs.xls Chart 2_04 07E Wild Horse Wind Expansion (C) (2)_Electric Rev Req Model (2009 GRC) Rebuttal 2 3" xfId="23294"/>
    <cellStyle name="_VC 6.15.06 update on 06GRC power costs.xls Chart 2_04 07E Wild Horse Wind Expansion (C) (2)_Electric Rev Req Model (2009 GRC) Rebuttal 2 4" xfId="23295"/>
    <cellStyle name="_VC 6.15.06 update on 06GRC power costs.xls Chart 2_04 07E Wild Horse Wind Expansion (C) (2)_Electric Rev Req Model (2009 GRC) Rebuttal 3" xfId="23296"/>
    <cellStyle name="_VC 6.15.06 update on 06GRC power costs.xls Chart 2_04 07E Wild Horse Wind Expansion (C) (2)_Electric Rev Req Model (2009 GRC) Rebuttal 3 2" xfId="23297"/>
    <cellStyle name="_VC 6.15.06 update on 06GRC power costs.xls Chart 2_04 07E Wild Horse Wind Expansion (C) (2)_Electric Rev Req Model (2009 GRC) Rebuttal 4" xfId="23298"/>
    <cellStyle name="_VC 6.15.06 update on 06GRC power costs.xls Chart 2_04 07E Wild Horse Wind Expansion (C) (2)_Electric Rev Req Model (2009 GRC) Rebuttal 5" xfId="23299"/>
    <cellStyle name="_VC 6.15.06 update on 06GRC power costs.xls Chart 2_04 07E Wild Horse Wind Expansion (C) (2)_Electric Rev Req Model (2009 GRC) Rebuttal REmoval of New  WH Solar AdjustMI" xfId="964"/>
    <cellStyle name="_VC 6.15.06 update on 06GRC power costs.xls Chart 2_04 07E Wild Horse Wind Expansion (C) (2)_Electric Rev Req Model (2009 GRC) Rebuttal REmoval of New  WH Solar AdjustMI 2" xfId="23300"/>
    <cellStyle name="_VC 6.15.06 update on 06GRC power costs.xls Chart 2_04 07E Wild Horse Wind Expansion (C) (2)_Electric Rev Req Model (2009 GRC) Rebuttal REmoval of New  WH Solar AdjustMI 2 2" xfId="23301"/>
    <cellStyle name="_VC 6.15.06 update on 06GRC power costs.xls Chart 2_04 07E Wild Horse Wind Expansion (C) (2)_Electric Rev Req Model (2009 GRC) Rebuttal REmoval of New  WH Solar AdjustMI 2 2 2" xfId="23302"/>
    <cellStyle name="_VC 6.15.06 update on 06GRC power costs.xls Chart 2_04 07E Wild Horse Wind Expansion (C) (2)_Electric Rev Req Model (2009 GRC) Rebuttal REmoval of New  WH Solar AdjustMI 2 2 2 2" xfId="23303"/>
    <cellStyle name="_VC 6.15.06 update on 06GRC power costs.xls Chart 2_04 07E Wild Horse Wind Expansion (C) (2)_Electric Rev Req Model (2009 GRC) Rebuttal REmoval of New  WH Solar AdjustMI 2 2 3" xfId="23304"/>
    <cellStyle name="_VC 6.15.06 update on 06GRC power costs.xls Chart 2_04 07E Wild Horse Wind Expansion (C) (2)_Electric Rev Req Model (2009 GRC) Rebuttal REmoval of New  WH Solar AdjustMI 2 3" xfId="23305"/>
    <cellStyle name="_VC 6.15.06 update on 06GRC power costs.xls Chart 2_04 07E Wild Horse Wind Expansion (C) (2)_Electric Rev Req Model (2009 GRC) Rebuttal REmoval of New  WH Solar AdjustMI 2 3 2" xfId="23306"/>
    <cellStyle name="_VC 6.15.06 update on 06GRC power costs.xls Chart 2_04 07E Wild Horse Wind Expansion (C) (2)_Electric Rev Req Model (2009 GRC) Rebuttal REmoval of New  WH Solar AdjustMI 2 4" xfId="23307"/>
    <cellStyle name="_VC 6.15.06 update on 06GRC power costs.xls Chart 2_04 07E Wild Horse Wind Expansion (C) (2)_Electric Rev Req Model (2009 GRC) Rebuttal REmoval of New  WH Solar AdjustMI 2 4 2" xfId="23308"/>
    <cellStyle name="_VC 6.15.06 update on 06GRC power costs.xls Chart 2_04 07E Wild Horse Wind Expansion (C) (2)_Electric Rev Req Model (2009 GRC) Rebuttal REmoval of New  WH Solar AdjustMI 2 5" xfId="23309"/>
    <cellStyle name="_VC 6.15.06 update on 06GRC power costs.xls Chart 2_04 07E Wild Horse Wind Expansion (C) (2)_Electric Rev Req Model (2009 GRC) Rebuttal REmoval of New  WH Solar AdjustMI 3" xfId="23310"/>
    <cellStyle name="_VC 6.15.06 update on 06GRC power costs.xls Chart 2_04 07E Wild Horse Wind Expansion (C) (2)_Electric Rev Req Model (2009 GRC) Rebuttal REmoval of New  WH Solar AdjustMI 3 2" xfId="23311"/>
    <cellStyle name="_VC 6.15.06 update on 06GRC power costs.xls Chart 2_04 07E Wild Horse Wind Expansion (C) (2)_Electric Rev Req Model (2009 GRC) Rebuttal REmoval of New  WH Solar AdjustMI 3 2 2" xfId="23312"/>
    <cellStyle name="_VC 6.15.06 update on 06GRC power costs.xls Chart 2_04 07E Wild Horse Wind Expansion (C) (2)_Electric Rev Req Model (2009 GRC) Rebuttal REmoval of New  WH Solar AdjustMI 3 3" xfId="23313"/>
    <cellStyle name="_VC 6.15.06 update on 06GRC power costs.xls Chart 2_04 07E Wild Horse Wind Expansion (C) (2)_Electric Rev Req Model (2009 GRC) Rebuttal REmoval of New  WH Solar AdjustMI 3 4" xfId="23314"/>
    <cellStyle name="_VC 6.15.06 update on 06GRC power costs.xls Chart 2_04 07E Wild Horse Wind Expansion (C) (2)_Electric Rev Req Model (2009 GRC) Rebuttal REmoval of New  WH Solar AdjustMI 4" xfId="23315"/>
    <cellStyle name="_VC 6.15.06 update on 06GRC power costs.xls Chart 2_04 07E Wild Horse Wind Expansion (C) (2)_Electric Rev Req Model (2009 GRC) Rebuttal REmoval of New  WH Solar AdjustMI 4 2" xfId="23316"/>
    <cellStyle name="_VC 6.15.06 update on 06GRC power costs.xls Chart 2_04 07E Wild Horse Wind Expansion (C) (2)_Electric Rev Req Model (2009 GRC) Rebuttal REmoval of New  WH Solar AdjustMI 4 2 2" xfId="23317"/>
    <cellStyle name="_VC 6.15.06 update on 06GRC power costs.xls Chart 2_04 07E Wild Horse Wind Expansion (C) (2)_Electric Rev Req Model (2009 GRC) Rebuttal REmoval of New  WH Solar AdjustMI 4 3" xfId="23318"/>
    <cellStyle name="_VC 6.15.06 update on 06GRC power costs.xls Chart 2_04 07E Wild Horse Wind Expansion (C) (2)_Electric Rev Req Model (2009 GRC) Rebuttal REmoval of New  WH Solar AdjustMI 5" xfId="23319"/>
    <cellStyle name="_VC 6.15.06 update on 06GRC power costs.xls Chart 2_04 07E Wild Horse Wind Expansion (C) (2)_Electric Rev Req Model (2009 GRC) Rebuttal REmoval of New  WH Solar AdjustMI 5 2" xfId="23320"/>
    <cellStyle name="_VC 6.15.06 update on 06GRC power costs.xls Chart 2_04 07E Wild Horse Wind Expansion (C) (2)_Electric Rev Req Model (2009 GRC) Rebuttal REmoval of New  WH Solar AdjustMI 6" xfId="23321"/>
    <cellStyle name="_VC 6.15.06 update on 06GRC power costs.xls Chart 2_04 07E Wild Horse Wind Expansion (C) (2)_Electric Rev Req Model (2009 GRC) Rebuttal REmoval of New  WH Solar AdjustMI 6 2" xfId="23322"/>
    <cellStyle name="_VC 6.15.06 update on 06GRC power costs.xls Chart 2_04 07E Wild Horse Wind Expansion (C) (2)_Electric Rev Req Model (2009 GRC) Rebuttal REmoval of New  WH Solar AdjustMI 7" xfId="23323"/>
    <cellStyle name="_VC 6.15.06 update on 06GRC power costs.xls Chart 2_04 07E Wild Horse Wind Expansion (C) (2)_Electric Rev Req Model (2009 GRC) Rebuttal REmoval of New  WH Solar AdjustMI_DEM-WP(C) ENERG10C--ctn Mid-C_042010 2010GRC" xfId="23324"/>
    <cellStyle name="_VC 6.15.06 update on 06GRC power costs.xls Chart 2_04 07E Wild Horse Wind Expansion (C) (2)_Electric Rev Req Model (2009 GRC) Rebuttal REmoval of New  WH Solar AdjustMI_DEM-WP(C) ENERG10C--ctn Mid-C_042010 2010GRC 2" xfId="23325"/>
    <cellStyle name="_VC 6.15.06 update on 06GRC power costs.xls Chart 2_04 07E Wild Horse Wind Expansion (C) (2)_Electric Rev Req Model (2009 GRC) Revised 01-18-2010" xfId="965"/>
    <cellStyle name="_VC 6.15.06 update on 06GRC power costs.xls Chart 2_04 07E Wild Horse Wind Expansion (C) (2)_Electric Rev Req Model (2009 GRC) Revised 01-18-2010 2" xfId="23326"/>
    <cellStyle name="_VC 6.15.06 update on 06GRC power costs.xls Chart 2_04 07E Wild Horse Wind Expansion (C) (2)_Electric Rev Req Model (2009 GRC) Revised 01-18-2010 2 2" xfId="23327"/>
    <cellStyle name="_VC 6.15.06 update on 06GRC power costs.xls Chart 2_04 07E Wild Horse Wind Expansion (C) (2)_Electric Rev Req Model (2009 GRC) Revised 01-18-2010 2 2 2" xfId="23328"/>
    <cellStyle name="_VC 6.15.06 update on 06GRC power costs.xls Chart 2_04 07E Wild Horse Wind Expansion (C) (2)_Electric Rev Req Model (2009 GRC) Revised 01-18-2010 2 2 2 2" xfId="23329"/>
    <cellStyle name="_VC 6.15.06 update on 06GRC power costs.xls Chart 2_04 07E Wild Horse Wind Expansion (C) (2)_Electric Rev Req Model (2009 GRC) Revised 01-18-2010 2 2 3" xfId="23330"/>
    <cellStyle name="_VC 6.15.06 update on 06GRC power costs.xls Chart 2_04 07E Wild Horse Wind Expansion (C) (2)_Electric Rev Req Model (2009 GRC) Revised 01-18-2010 2 3" xfId="23331"/>
    <cellStyle name="_VC 6.15.06 update on 06GRC power costs.xls Chart 2_04 07E Wild Horse Wind Expansion (C) (2)_Electric Rev Req Model (2009 GRC) Revised 01-18-2010 2 3 2" xfId="23332"/>
    <cellStyle name="_VC 6.15.06 update on 06GRC power costs.xls Chart 2_04 07E Wild Horse Wind Expansion (C) (2)_Electric Rev Req Model (2009 GRC) Revised 01-18-2010 2 4" xfId="23333"/>
    <cellStyle name="_VC 6.15.06 update on 06GRC power costs.xls Chart 2_04 07E Wild Horse Wind Expansion (C) (2)_Electric Rev Req Model (2009 GRC) Revised 01-18-2010 2 4 2" xfId="23334"/>
    <cellStyle name="_VC 6.15.06 update on 06GRC power costs.xls Chart 2_04 07E Wild Horse Wind Expansion (C) (2)_Electric Rev Req Model (2009 GRC) Revised 01-18-2010 2 5" xfId="23335"/>
    <cellStyle name="_VC 6.15.06 update on 06GRC power costs.xls Chart 2_04 07E Wild Horse Wind Expansion (C) (2)_Electric Rev Req Model (2009 GRC) Revised 01-18-2010 3" xfId="23336"/>
    <cellStyle name="_VC 6.15.06 update on 06GRC power costs.xls Chart 2_04 07E Wild Horse Wind Expansion (C) (2)_Electric Rev Req Model (2009 GRC) Revised 01-18-2010 3 2" xfId="23337"/>
    <cellStyle name="_VC 6.15.06 update on 06GRC power costs.xls Chart 2_04 07E Wild Horse Wind Expansion (C) (2)_Electric Rev Req Model (2009 GRC) Revised 01-18-2010 3 2 2" xfId="23338"/>
    <cellStyle name="_VC 6.15.06 update on 06GRC power costs.xls Chart 2_04 07E Wild Horse Wind Expansion (C) (2)_Electric Rev Req Model (2009 GRC) Revised 01-18-2010 3 3" xfId="23339"/>
    <cellStyle name="_VC 6.15.06 update on 06GRC power costs.xls Chart 2_04 07E Wild Horse Wind Expansion (C) (2)_Electric Rev Req Model (2009 GRC) Revised 01-18-2010 3 4" xfId="23340"/>
    <cellStyle name="_VC 6.15.06 update on 06GRC power costs.xls Chart 2_04 07E Wild Horse Wind Expansion (C) (2)_Electric Rev Req Model (2009 GRC) Revised 01-18-2010 4" xfId="23341"/>
    <cellStyle name="_VC 6.15.06 update on 06GRC power costs.xls Chart 2_04 07E Wild Horse Wind Expansion (C) (2)_Electric Rev Req Model (2009 GRC) Revised 01-18-2010 4 2" xfId="23342"/>
    <cellStyle name="_VC 6.15.06 update on 06GRC power costs.xls Chart 2_04 07E Wild Horse Wind Expansion (C) (2)_Electric Rev Req Model (2009 GRC) Revised 01-18-2010 4 2 2" xfId="23343"/>
    <cellStyle name="_VC 6.15.06 update on 06GRC power costs.xls Chart 2_04 07E Wild Horse Wind Expansion (C) (2)_Electric Rev Req Model (2009 GRC) Revised 01-18-2010 4 3" xfId="23344"/>
    <cellStyle name="_VC 6.15.06 update on 06GRC power costs.xls Chart 2_04 07E Wild Horse Wind Expansion (C) (2)_Electric Rev Req Model (2009 GRC) Revised 01-18-2010 5" xfId="23345"/>
    <cellStyle name="_VC 6.15.06 update on 06GRC power costs.xls Chart 2_04 07E Wild Horse Wind Expansion (C) (2)_Electric Rev Req Model (2009 GRC) Revised 01-18-2010 5 2" xfId="23346"/>
    <cellStyle name="_VC 6.15.06 update on 06GRC power costs.xls Chart 2_04 07E Wild Horse Wind Expansion (C) (2)_Electric Rev Req Model (2009 GRC) Revised 01-18-2010 6" xfId="23347"/>
    <cellStyle name="_VC 6.15.06 update on 06GRC power costs.xls Chart 2_04 07E Wild Horse Wind Expansion (C) (2)_Electric Rev Req Model (2009 GRC) Revised 01-18-2010 6 2" xfId="23348"/>
    <cellStyle name="_VC 6.15.06 update on 06GRC power costs.xls Chart 2_04 07E Wild Horse Wind Expansion (C) (2)_Electric Rev Req Model (2009 GRC) Revised 01-18-2010 7" xfId="23349"/>
    <cellStyle name="_VC 6.15.06 update on 06GRC power costs.xls Chart 2_04 07E Wild Horse Wind Expansion (C) (2)_Electric Rev Req Model (2009 GRC) Revised 01-18-2010_DEM-WP(C) ENERG10C--ctn Mid-C_042010 2010GRC" xfId="23350"/>
    <cellStyle name="_VC 6.15.06 update on 06GRC power costs.xls Chart 2_04 07E Wild Horse Wind Expansion (C) (2)_Electric Rev Req Model (2009 GRC) Revised 01-18-2010_DEM-WP(C) ENERG10C--ctn Mid-C_042010 2010GRC 2" xfId="23351"/>
    <cellStyle name="_VC 6.15.06 update on 06GRC power costs.xls Chart 2_04 07E Wild Horse Wind Expansion (C) (2)_Electric Rev Req Model (2010 GRC)" xfId="23352"/>
    <cellStyle name="_VC 6.15.06 update on 06GRC power costs.xls Chart 2_04 07E Wild Horse Wind Expansion (C) (2)_Electric Rev Req Model (2010 GRC) 2" xfId="23353"/>
    <cellStyle name="_VC 6.15.06 update on 06GRC power costs.xls Chart 2_04 07E Wild Horse Wind Expansion (C) (2)_Electric Rev Req Model (2010 GRC) SF" xfId="23354"/>
    <cellStyle name="_VC 6.15.06 update on 06GRC power costs.xls Chart 2_04 07E Wild Horse Wind Expansion (C) (2)_Electric Rev Req Model (2010 GRC) SF 2" xfId="23355"/>
    <cellStyle name="_VC 6.15.06 update on 06GRC power costs.xls Chart 2_04 07E Wild Horse Wind Expansion (C) (2)_Final Order Electric EXHIBIT A-1" xfId="966"/>
    <cellStyle name="_VC 6.15.06 update on 06GRC power costs.xls Chart 2_04 07E Wild Horse Wind Expansion (C) (2)_Final Order Electric EXHIBIT A-1 2" xfId="23356"/>
    <cellStyle name="_VC 6.15.06 update on 06GRC power costs.xls Chart 2_04 07E Wild Horse Wind Expansion (C) (2)_Final Order Electric EXHIBIT A-1 2 2" xfId="23357"/>
    <cellStyle name="_VC 6.15.06 update on 06GRC power costs.xls Chart 2_04 07E Wild Horse Wind Expansion (C) (2)_Final Order Electric EXHIBIT A-1 2 2 2" xfId="23358"/>
    <cellStyle name="_VC 6.15.06 update on 06GRC power costs.xls Chart 2_04 07E Wild Horse Wind Expansion (C) (2)_Final Order Electric EXHIBIT A-1 2 3" xfId="23359"/>
    <cellStyle name="_VC 6.15.06 update on 06GRC power costs.xls Chart 2_04 07E Wild Horse Wind Expansion (C) (2)_Final Order Electric EXHIBIT A-1 2 4" xfId="23360"/>
    <cellStyle name="_VC 6.15.06 update on 06GRC power costs.xls Chart 2_04 07E Wild Horse Wind Expansion (C) (2)_Final Order Electric EXHIBIT A-1 3" xfId="23361"/>
    <cellStyle name="_VC 6.15.06 update on 06GRC power costs.xls Chart 2_04 07E Wild Horse Wind Expansion (C) (2)_Final Order Electric EXHIBIT A-1 3 2" xfId="23362"/>
    <cellStyle name="_VC 6.15.06 update on 06GRC power costs.xls Chart 2_04 07E Wild Horse Wind Expansion (C) (2)_Final Order Electric EXHIBIT A-1 3 2 2" xfId="23363"/>
    <cellStyle name="_VC 6.15.06 update on 06GRC power costs.xls Chart 2_04 07E Wild Horse Wind Expansion (C) (2)_Final Order Electric EXHIBIT A-1 3 3" xfId="23364"/>
    <cellStyle name="_VC 6.15.06 update on 06GRC power costs.xls Chart 2_04 07E Wild Horse Wind Expansion (C) (2)_Final Order Electric EXHIBIT A-1 4" xfId="23365"/>
    <cellStyle name="_VC 6.15.06 update on 06GRC power costs.xls Chart 2_04 07E Wild Horse Wind Expansion (C) (2)_Final Order Electric EXHIBIT A-1 4 2" xfId="23366"/>
    <cellStyle name="_VC 6.15.06 update on 06GRC power costs.xls Chart 2_04 07E Wild Horse Wind Expansion (C) (2)_Final Order Electric EXHIBIT A-1 5" xfId="23367"/>
    <cellStyle name="_VC 6.15.06 update on 06GRC power costs.xls Chart 2_04 07E Wild Horse Wind Expansion (C) (2)_Final Order Electric EXHIBIT A-1 6" xfId="23368"/>
    <cellStyle name="_VC 6.15.06 update on 06GRC power costs.xls Chart 2_04 07E Wild Horse Wind Expansion (C) (2)_Final Order Electric EXHIBIT A-1 7" xfId="23369"/>
    <cellStyle name="_VC 6.15.06 update on 06GRC power costs.xls Chart 2_04 07E Wild Horse Wind Expansion (C) (2)_TENASKA REGULATORY ASSET" xfId="967"/>
    <cellStyle name="_VC 6.15.06 update on 06GRC power costs.xls Chart 2_04 07E Wild Horse Wind Expansion (C) (2)_TENASKA REGULATORY ASSET 2" xfId="23370"/>
    <cellStyle name="_VC 6.15.06 update on 06GRC power costs.xls Chart 2_04 07E Wild Horse Wind Expansion (C) (2)_TENASKA REGULATORY ASSET 2 2" xfId="23371"/>
    <cellStyle name="_VC 6.15.06 update on 06GRC power costs.xls Chart 2_04 07E Wild Horse Wind Expansion (C) (2)_TENASKA REGULATORY ASSET 2 2 2" xfId="23372"/>
    <cellStyle name="_VC 6.15.06 update on 06GRC power costs.xls Chart 2_04 07E Wild Horse Wind Expansion (C) (2)_TENASKA REGULATORY ASSET 2 3" xfId="23373"/>
    <cellStyle name="_VC 6.15.06 update on 06GRC power costs.xls Chart 2_04 07E Wild Horse Wind Expansion (C) (2)_TENASKA REGULATORY ASSET 2 4" xfId="23374"/>
    <cellStyle name="_VC 6.15.06 update on 06GRC power costs.xls Chart 2_04 07E Wild Horse Wind Expansion (C) (2)_TENASKA REGULATORY ASSET 3" xfId="23375"/>
    <cellStyle name="_VC 6.15.06 update on 06GRC power costs.xls Chart 2_04 07E Wild Horse Wind Expansion (C) (2)_TENASKA REGULATORY ASSET 3 2" xfId="23376"/>
    <cellStyle name="_VC 6.15.06 update on 06GRC power costs.xls Chart 2_04 07E Wild Horse Wind Expansion (C) (2)_TENASKA REGULATORY ASSET 3 2 2" xfId="23377"/>
    <cellStyle name="_VC 6.15.06 update on 06GRC power costs.xls Chart 2_04 07E Wild Horse Wind Expansion (C) (2)_TENASKA REGULATORY ASSET 3 3" xfId="23378"/>
    <cellStyle name="_VC 6.15.06 update on 06GRC power costs.xls Chart 2_04 07E Wild Horse Wind Expansion (C) (2)_TENASKA REGULATORY ASSET 4" xfId="23379"/>
    <cellStyle name="_VC 6.15.06 update on 06GRC power costs.xls Chart 2_04 07E Wild Horse Wind Expansion (C) (2)_TENASKA REGULATORY ASSET 4 2" xfId="23380"/>
    <cellStyle name="_VC 6.15.06 update on 06GRC power costs.xls Chart 2_04 07E Wild Horse Wind Expansion (C) (2)_TENASKA REGULATORY ASSET 5" xfId="23381"/>
    <cellStyle name="_VC 6.15.06 update on 06GRC power costs.xls Chart 2_04 07E Wild Horse Wind Expansion (C) (2)_TENASKA REGULATORY ASSET 6" xfId="23382"/>
    <cellStyle name="_VC 6.15.06 update on 06GRC power costs.xls Chart 2_04 07E Wild Horse Wind Expansion (C) (2)_TENASKA REGULATORY ASSET 7" xfId="23383"/>
    <cellStyle name="_VC 6.15.06 update on 06GRC power costs.xls Chart 2_16.37E Wild Horse Expansion DeferralRevwrkingfile SF" xfId="968"/>
    <cellStyle name="_VC 6.15.06 update on 06GRC power costs.xls Chart 2_16.37E Wild Horse Expansion DeferralRevwrkingfile SF 2" xfId="23384"/>
    <cellStyle name="_VC 6.15.06 update on 06GRC power costs.xls Chart 2_16.37E Wild Horse Expansion DeferralRevwrkingfile SF 2 2" xfId="23385"/>
    <cellStyle name="_VC 6.15.06 update on 06GRC power costs.xls Chart 2_16.37E Wild Horse Expansion DeferralRevwrkingfile SF 2 2 2" xfId="23386"/>
    <cellStyle name="_VC 6.15.06 update on 06GRC power costs.xls Chart 2_16.37E Wild Horse Expansion DeferralRevwrkingfile SF 2 2 2 2" xfId="23387"/>
    <cellStyle name="_VC 6.15.06 update on 06GRC power costs.xls Chart 2_16.37E Wild Horse Expansion DeferralRevwrkingfile SF 2 2 3" xfId="23388"/>
    <cellStyle name="_VC 6.15.06 update on 06GRC power costs.xls Chart 2_16.37E Wild Horse Expansion DeferralRevwrkingfile SF 2 3" xfId="23389"/>
    <cellStyle name="_VC 6.15.06 update on 06GRC power costs.xls Chart 2_16.37E Wild Horse Expansion DeferralRevwrkingfile SF 2 3 2" xfId="23390"/>
    <cellStyle name="_VC 6.15.06 update on 06GRC power costs.xls Chart 2_16.37E Wild Horse Expansion DeferralRevwrkingfile SF 2 4" xfId="23391"/>
    <cellStyle name="_VC 6.15.06 update on 06GRC power costs.xls Chart 2_16.37E Wild Horse Expansion DeferralRevwrkingfile SF 2 4 2" xfId="23392"/>
    <cellStyle name="_VC 6.15.06 update on 06GRC power costs.xls Chart 2_16.37E Wild Horse Expansion DeferralRevwrkingfile SF 2 5" xfId="23393"/>
    <cellStyle name="_VC 6.15.06 update on 06GRC power costs.xls Chart 2_16.37E Wild Horse Expansion DeferralRevwrkingfile SF 3" xfId="23394"/>
    <cellStyle name="_VC 6.15.06 update on 06GRC power costs.xls Chart 2_16.37E Wild Horse Expansion DeferralRevwrkingfile SF 3 2" xfId="23395"/>
    <cellStyle name="_VC 6.15.06 update on 06GRC power costs.xls Chart 2_16.37E Wild Horse Expansion DeferralRevwrkingfile SF 3 2 2" xfId="23396"/>
    <cellStyle name="_VC 6.15.06 update on 06GRC power costs.xls Chart 2_16.37E Wild Horse Expansion DeferralRevwrkingfile SF 3 3" xfId="23397"/>
    <cellStyle name="_VC 6.15.06 update on 06GRC power costs.xls Chart 2_16.37E Wild Horse Expansion DeferralRevwrkingfile SF 3 4" xfId="23398"/>
    <cellStyle name="_VC 6.15.06 update on 06GRC power costs.xls Chart 2_16.37E Wild Horse Expansion DeferralRevwrkingfile SF 4" xfId="23399"/>
    <cellStyle name="_VC 6.15.06 update on 06GRC power costs.xls Chart 2_16.37E Wild Horse Expansion DeferralRevwrkingfile SF 4 2" xfId="23400"/>
    <cellStyle name="_VC 6.15.06 update on 06GRC power costs.xls Chart 2_16.37E Wild Horse Expansion DeferralRevwrkingfile SF 4 2 2" xfId="23401"/>
    <cellStyle name="_VC 6.15.06 update on 06GRC power costs.xls Chart 2_16.37E Wild Horse Expansion DeferralRevwrkingfile SF 4 3" xfId="23402"/>
    <cellStyle name="_VC 6.15.06 update on 06GRC power costs.xls Chart 2_16.37E Wild Horse Expansion DeferralRevwrkingfile SF 5" xfId="23403"/>
    <cellStyle name="_VC 6.15.06 update on 06GRC power costs.xls Chart 2_16.37E Wild Horse Expansion DeferralRevwrkingfile SF 5 2" xfId="23404"/>
    <cellStyle name="_VC 6.15.06 update on 06GRC power costs.xls Chart 2_16.37E Wild Horse Expansion DeferralRevwrkingfile SF 6" xfId="23405"/>
    <cellStyle name="_VC 6.15.06 update on 06GRC power costs.xls Chart 2_16.37E Wild Horse Expansion DeferralRevwrkingfile SF 6 2" xfId="23406"/>
    <cellStyle name="_VC 6.15.06 update on 06GRC power costs.xls Chart 2_16.37E Wild Horse Expansion DeferralRevwrkingfile SF 7" xfId="23407"/>
    <cellStyle name="_VC 6.15.06 update on 06GRC power costs.xls Chart 2_16.37E Wild Horse Expansion DeferralRevwrkingfile SF_DEM-WP(C) ENERG10C--ctn Mid-C_042010 2010GRC" xfId="23408"/>
    <cellStyle name="_VC 6.15.06 update on 06GRC power costs.xls Chart 2_16.37E Wild Horse Expansion DeferralRevwrkingfile SF_DEM-WP(C) ENERG10C--ctn Mid-C_042010 2010GRC 2" xfId="23409"/>
    <cellStyle name="_VC 6.15.06 update on 06GRC power costs.xls Chart 2_2009 Compliance Filing PCA Exhibits for GRC" xfId="23410"/>
    <cellStyle name="_VC 6.15.06 update on 06GRC power costs.xls Chart 2_2009 Compliance Filing PCA Exhibits for GRC 2" xfId="23411"/>
    <cellStyle name="_VC 6.15.06 update on 06GRC power costs.xls Chart 2_2009 Compliance Filing PCA Exhibits for GRC 2 2" xfId="23412"/>
    <cellStyle name="_VC 6.15.06 update on 06GRC power costs.xls Chart 2_2009 Compliance Filing PCA Exhibits for GRC 3" xfId="23413"/>
    <cellStyle name="_VC 6.15.06 update on 06GRC power costs.xls Chart 2_2009 GRC Compl Filing - Exhibit D" xfId="969"/>
    <cellStyle name="_VC 6.15.06 update on 06GRC power costs.xls Chart 2_2009 GRC Compl Filing - Exhibit D 2" xfId="23414"/>
    <cellStyle name="_VC 6.15.06 update on 06GRC power costs.xls Chart 2_2009 GRC Compl Filing - Exhibit D 2 2" xfId="23415"/>
    <cellStyle name="_VC 6.15.06 update on 06GRC power costs.xls Chart 2_2009 GRC Compl Filing - Exhibit D 2 2 2" xfId="23416"/>
    <cellStyle name="_VC 6.15.06 update on 06GRC power costs.xls Chart 2_2009 GRC Compl Filing - Exhibit D 2 2 2 2" xfId="23417"/>
    <cellStyle name="_VC 6.15.06 update on 06GRC power costs.xls Chart 2_2009 GRC Compl Filing - Exhibit D 2 3" xfId="23418"/>
    <cellStyle name="_VC 6.15.06 update on 06GRC power costs.xls Chart 2_2009 GRC Compl Filing - Exhibit D 2 3 2" xfId="23419"/>
    <cellStyle name="_VC 6.15.06 update on 06GRC power costs.xls Chart 2_2009 GRC Compl Filing - Exhibit D 2 4" xfId="23420"/>
    <cellStyle name="_VC 6.15.06 update on 06GRC power costs.xls Chart 2_2009 GRC Compl Filing - Exhibit D 2 4 2" xfId="23421"/>
    <cellStyle name="_VC 6.15.06 update on 06GRC power costs.xls Chart 2_2009 GRC Compl Filing - Exhibit D 2 5" xfId="23422"/>
    <cellStyle name="_VC 6.15.06 update on 06GRC power costs.xls Chart 2_2009 GRC Compl Filing - Exhibit D 3" xfId="23423"/>
    <cellStyle name="_VC 6.15.06 update on 06GRC power costs.xls Chart 2_2009 GRC Compl Filing - Exhibit D 3 2" xfId="23424"/>
    <cellStyle name="_VC 6.15.06 update on 06GRC power costs.xls Chart 2_2009 GRC Compl Filing - Exhibit D 3 2 2" xfId="23425"/>
    <cellStyle name="_VC 6.15.06 update on 06GRC power costs.xls Chart 2_2009 GRC Compl Filing - Exhibit D 3 3" xfId="23426"/>
    <cellStyle name="_VC 6.15.06 update on 06GRC power costs.xls Chart 2_2009 GRC Compl Filing - Exhibit D 4" xfId="23427"/>
    <cellStyle name="_VC 6.15.06 update on 06GRC power costs.xls Chart 2_2009 GRC Compl Filing - Exhibit D 4 2" xfId="23428"/>
    <cellStyle name="_VC 6.15.06 update on 06GRC power costs.xls Chart 2_2009 GRC Compl Filing - Exhibit D 4 2 2" xfId="23429"/>
    <cellStyle name="_VC 6.15.06 update on 06GRC power costs.xls Chart 2_2009 GRC Compl Filing - Exhibit D 4 3" xfId="23430"/>
    <cellStyle name="_VC 6.15.06 update on 06GRC power costs.xls Chart 2_2009 GRC Compl Filing - Exhibit D 5" xfId="23431"/>
    <cellStyle name="_VC 6.15.06 update on 06GRC power costs.xls Chart 2_2009 GRC Compl Filing - Exhibit D 5 2" xfId="23432"/>
    <cellStyle name="_VC 6.15.06 update on 06GRC power costs.xls Chart 2_2009 GRC Compl Filing - Exhibit D 6" xfId="23433"/>
    <cellStyle name="_VC 6.15.06 update on 06GRC power costs.xls Chart 2_2009 GRC Compl Filing - Exhibit D 6 2" xfId="23434"/>
    <cellStyle name="_VC 6.15.06 update on 06GRC power costs.xls Chart 2_2009 GRC Compl Filing - Exhibit D 7" xfId="23435"/>
    <cellStyle name="_VC 6.15.06 update on 06GRC power costs.xls Chart 2_2009 GRC Compl Filing - Exhibit D_DEM-WP(C) ENERG10C--ctn Mid-C_042010 2010GRC" xfId="23436"/>
    <cellStyle name="_VC 6.15.06 update on 06GRC power costs.xls Chart 2_2009 GRC Compl Filing - Exhibit D_DEM-WP(C) ENERG10C--ctn Mid-C_042010 2010GRC 2" xfId="23437"/>
    <cellStyle name="_VC 6.15.06 update on 06GRC power costs.xls Chart 2_3.01 Income Statement" xfId="970"/>
    <cellStyle name="_VC 6.15.06 update on 06GRC power costs.xls Chart 2_4 31 Regulatory Assets and Liabilities  7 06- Exhibit D" xfId="971"/>
    <cellStyle name="_VC 6.15.06 update on 06GRC power costs.xls Chart 2_4 31 Regulatory Assets and Liabilities  7 06- Exhibit D 2" xfId="23438"/>
    <cellStyle name="_VC 6.15.06 update on 06GRC power costs.xls Chart 2_4 31 Regulatory Assets and Liabilities  7 06- Exhibit D 2 2" xfId="23439"/>
    <cellStyle name="_VC 6.15.06 update on 06GRC power costs.xls Chart 2_4 31 Regulatory Assets and Liabilities  7 06- Exhibit D 2 2 2" xfId="23440"/>
    <cellStyle name="_VC 6.15.06 update on 06GRC power costs.xls Chart 2_4 31 Regulatory Assets and Liabilities  7 06- Exhibit D 2 2 2 2" xfId="23441"/>
    <cellStyle name="_VC 6.15.06 update on 06GRC power costs.xls Chart 2_4 31 Regulatory Assets and Liabilities  7 06- Exhibit D 2 2 3" xfId="23442"/>
    <cellStyle name="_VC 6.15.06 update on 06GRC power costs.xls Chart 2_4 31 Regulatory Assets and Liabilities  7 06- Exhibit D 2 3" xfId="23443"/>
    <cellStyle name="_VC 6.15.06 update on 06GRC power costs.xls Chart 2_4 31 Regulatory Assets and Liabilities  7 06- Exhibit D 2 3 2" xfId="23444"/>
    <cellStyle name="_VC 6.15.06 update on 06GRC power costs.xls Chart 2_4 31 Regulatory Assets and Liabilities  7 06- Exhibit D 2 4" xfId="23445"/>
    <cellStyle name="_VC 6.15.06 update on 06GRC power costs.xls Chart 2_4 31 Regulatory Assets and Liabilities  7 06- Exhibit D 2 4 2" xfId="23446"/>
    <cellStyle name="_VC 6.15.06 update on 06GRC power costs.xls Chart 2_4 31 Regulatory Assets and Liabilities  7 06- Exhibit D 2 5" xfId="23447"/>
    <cellStyle name="_VC 6.15.06 update on 06GRC power costs.xls Chart 2_4 31 Regulatory Assets and Liabilities  7 06- Exhibit D 3" xfId="23448"/>
    <cellStyle name="_VC 6.15.06 update on 06GRC power costs.xls Chart 2_4 31 Regulatory Assets and Liabilities  7 06- Exhibit D 3 2" xfId="23449"/>
    <cellStyle name="_VC 6.15.06 update on 06GRC power costs.xls Chart 2_4 31 Regulatory Assets and Liabilities  7 06- Exhibit D 3 2 2" xfId="23450"/>
    <cellStyle name="_VC 6.15.06 update on 06GRC power costs.xls Chart 2_4 31 Regulatory Assets and Liabilities  7 06- Exhibit D 3 3" xfId="23451"/>
    <cellStyle name="_VC 6.15.06 update on 06GRC power costs.xls Chart 2_4 31 Regulatory Assets and Liabilities  7 06- Exhibit D 3 4" xfId="23452"/>
    <cellStyle name="_VC 6.15.06 update on 06GRC power costs.xls Chart 2_4 31 Regulatory Assets and Liabilities  7 06- Exhibit D 4" xfId="23453"/>
    <cellStyle name="_VC 6.15.06 update on 06GRC power costs.xls Chart 2_4 31 Regulatory Assets and Liabilities  7 06- Exhibit D 4 2" xfId="23454"/>
    <cellStyle name="_VC 6.15.06 update on 06GRC power costs.xls Chart 2_4 31 Regulatory Assets and Liabilities  7 06- Exhibit D 4 2 2" xfId="23455"/>
    <cellStyle name="_VC 6.15.06 update on 06GRC power costs.xls Chart 2_4 31 Regulatory Assets and Liabilities  7 06- Exhibit D 4 3" xfId="23456"/>
    <cellStyle name="_VC 6.15.06 update on 06GRC power costs.xls Chart 2_4 31 Regulatory Assets and Liabilities  7 06- Exhibit D 5" xfId="23457"/>
    <cellStyle name="_VC 6.15.06 update on 06GRC power costs.xls Chart 2_4 31 Regulatory Assets and Liabilities  7 06- Exhibit D 5 2" xfId="23458"/>
    <cellStyle name="_VC 6.15.06 update on 06GRC power costs.xls Chart 2_4 31 Regulatory Assets and Liabilities  7 06- Exhibit D 6" xfId="23459"/>
    <cellStyle name="_VC 6.15.06 update on 06GRC power costs.xls Chart 2_4 31 Regulatory Assets and Liabilities  7 06- Exhibit D 6 2" xfId="23460"/>
    <cellStyle name="_VC 6.15.06 update on 06GRC power costs.xls Chart 2_4 31 Regulatory Assets and Liabilities  7 06- Exhibit D 7" xfId="23461"/>
    <cellStyle name="_VC 6.15.06 update on 06GRC power costs.xls Chart 2_4 31 Regulatory Assets and Liabilities  7 06- Exhibit D_DEM-WP(C) ENERG10C--ctn Mid-C_042010 2010GRC" xfId="23462"/>
    <cellStyle name="_VC 6.15.06 update on 06GRC power costs.xls Chart 2_4 31 Regulatory Assets and Liabilities  7 06- Exhibit D_DEM-WP(C) ENERG10C--ctn Mid-C_042010 2010GRC 2" xfId="23463"/>
    <cellStyle name="_VC 6.15.06 update on 06GRC power costs.xls Chart 2_4 31 Regulatory Assets and Liabilities  7 06- Exhibit D_NIM Summary" xfId="23464"/>
    <cellStyle name="_VC 6.15.06 update on 06GRC power costs.xls Chart 2_4 31 Regulatory Assets and Liabilities  7 06- Exhibit D_NIM Summary 2" xfId="23465"/>
    <cellStyle name="_VC 6.15.06 update on 06GRC power costs.xls Chart 2_4 31 Regulatory Assets and Liabilities  7 06- Exhibit D_NIM Summary 2 2" xfId="23466"/>
    <cellStyle name="_VC 6.15.06 update on 06GRC power costs.xls Chart 2_4 31 Regulatory Assets and Liabilities  7 06- Exhibit D_NIM Summary 2 2 2" xfId="23467"/>
    <cellStyle name="_VC 6.15.06 update on 06GRC power costs.xls Chart 2_4 31 Regulatory Assets and Liabilities  7 06- Exhibit D_NIM Summary 2 2 2 2" xfId="23468"/>
    <cellStyle name="_VC 6.15.06 update on 06GRC power costs.xls Chart 2_4 31 Regulatory Assets and Liabilities  7 06- Exhibit D_NIM Summary 2 3" xfId="23469"/>
    <cellStyle name="_VC 6.15.06 update on 06GRC power costs.xls Chart 2_4 31 Regulatory Assets and Liabilities  7 06- Exhibit D_NIM Summary 2 3 2" xfId="23470"/>
    <cellStyle name="_VC 6.15.06 update on 06GRC power costs.xls Chart 2_4 31 Regulatory Assets and Liabilities  7 06- Exhibit D_NIM Summary 2 4" xfId="23471"/>
    <cellStyle name="_VC 6.15.06 update on 06GRC power costs.xls Chart 2_4 31 Regulatory Assets and Liabilities  7 06- Exhibit D_NIM Summary 2 4 2" xfId="23472"/>
    <cellStyle name="_VC 6.15.06 update on 06GRC power costs.xls Chart 2_4 31 Regulatory Assets and Liabilities  7 06- Exhibit D_NIM Summary 2 5" xfId="23473"/>
    <cellStyle name="_VC 6.15.06 update on 06GRC power costs.xls Chart 2_4 31 Regulatory Assets and Liabilities  7 06- Exhibit D_NIM Summary 3" xfId="23474"/>
    <cellStyle name="_VC 6.15.06 update on 06GRC power costs.xls Chart 2_4 31 Regulatory Assets and Liabilities  7 06- Exhibit D_NIM Summary 3 2" xfId="23475"/>
    <cellStyle name="_VC 6.15.06 update on 06GRC power costs.xls Chart 2_4 31 Regulatory Assets and Liabilities  7 06- Exhibit D_NIM Summary 3 2 2" xfId="23476"/>
    <cellStyle name="_VC 6.15.06 update on 06GRC power costs.xls Chart 2_4 31 Regulatory Assets and Liabilities  7 06- Exhibit D_NIM Summary 3 3" xfId="23477"/>
    <cellStyle name="_VC 6.15.06 update on 06GRC power costs.xls Chart 2_4 31 Regulatory Assets and Liabilities  7 06- Exhibit D_NIM Summary 4" xfId="23478"/>
    <cellStyle name="_VC 6.15.06 update on 06GRC power costs.xls Chart 2_4 31 Regulatory Assets and Liabilities  7 06- Exhibit D_NIM Summary 4 2" xfId="23479"/>
    <cellStyle name="_VC 6.15.06 update on 06GRC power costs.xls Chart 2_4 31 Regulatory Assets and Liabilities  7 06- Exhibit D_NIM Summary 4 2 2" xfId="23480"/>
    <cellStyle name="_VC 6.15.06 update on 06GRC power costs.xls Chart 2_4 31 Regulatory Assets and Liabilities  7 06- Exhibit D_NIM Summary 4 3" xfId="23481"/>
    <cellStyle name="_VC 6.15.06 update on 06GRC power costs.xls Chart 2_4 31 Regulatory Assets and Liabilities  7 06- Exhibit D_NIM Summary 5" xfId="23482"/>
    <cellStyle name="_VC 6.15.06 update on 06GRC power costs.xls Chart 2_4 31 Regulatory Assets and Liabilities  7 06- Exhibit D_NIM Summary 5 2" xfId="23483"/>
    <cellStyle name="_VC 6.15.06 update on 06GRC power costs.xls Chart 2_4 31 Regulatory Assets and Liabilities  7 06- Exhibit D_NIM Summary 6" xfId="23484"/>
    <cellStyle name="_VC 6.15.06 update on 06GRC power costs.xls Chart 2_4 31 Regulatory Assets and Liabilities  7 06- Exhibit D_NIM Summary 6 2" xfId="23485"/>
    <cellStyle name="_VC 6.15.06 update on 06GRC power costs.xls Chart 2_4 31 Regulatory Assets and Liabilities  7 06- Exhibit D_NIM Summary 7" xfId="23486"/>
    <cellStyle name="_VC 6.15.06 update on 06GRC power costs.xls Chart 2_4 31 Regulatory Assets and Liabilities  7 06- Exhibit D_NIM Summary_DEM-WP(C) ENERG10C--ctn Mid-C_042010 2010GRC" xfId="23487"/>
    <cellStyle name="_VC 6.15.06 update on 06GRC power costs.xls Chart 2_4 31 Regulatory Assets and Liabilities  7 06- Exhibit D_NIM Summary_DEM-WP(C) ENERG10C--ctn Mid-C_042010 2010GRC 2" xfId="23488"/>
    <cellStyle name="_VC 6.15.06 update on 06GRC power costs.xls Chart 2_4 31E Reg Asset  Liab and EXH D" xfId="23489"/>
    <cellStyle name="_VC 6.15.06 update on 06GRC power costs.xls Chart 2_4 31E Reg Asset  Liab and EXH D _ Aug 10 Filing (2)" xfId="23490"/>
    <cellStyle name="_VC 6.15.06 update on 06GRC power costs.xls Chart 2_4 31E Reg Asset  Liab and EXH D _ Aug 10 Filing (2) 2" xfId="23491"/>
    <cellStyle name="_VC 6.15.06 update on 06GRC power costs.xls Chart 2_4 31E Reg Asset  Liab and EXH D _ Aug 10 Filing (2) 2 2" xfId="23492"/>
    <cellStyle name="_VC 6.15.06 update on 06GRC power costs.xls Chart 2_4 31E Reg Asset  Liab and EXH D _ Aug 10 Filing (2) 2 2 2" xfId="23493"/>
    <cellStyle name="_VC 6.15.06 update on 06GRC power costs.xls Chart 2_4 31E Reg Asset  Liab and EXH D _ Aug 10 Filing (2) 2 3" xfId="23494"/>
    <cellStyle name="_VC 6.15.06 update on 06GRC power costs.xls Chart 2_4 31E Reg Asset  Liab and EXH D _ Aug 10 Filing (2) 3" xfId="23495"/>
    <cellStyle name="_VC 6.15.06 update on 06GRC power costs.xls Chart 2_4 31E Reg Asset  Liab and EXH D _ Aug 10 Filing (2) 3 2" xfId="23496"/>
    <cellStyle name="_VC 6.15.06 update on 06GRC power costs.xls Chart 2_4 31E Reg Asset  Liab and EXH D _ Aug 10 Filing (2) 3 2 2" xfId="23497"/>
    <cellStyle name="_VC 6.15.06 update on 06GRC power costs.xls Chart 2_4 31E Reg Asset  Liab and EXH D _ Aug 10 Filing (2) 3 3" xfId="23498"/>
    <cellStyle name="_VC 6.15.06 update on 06GRC power costs.xls Chart 2_4 31E Reg Asset  Liab and EXH D _ Aug 10 Filing (2) 4" xfId="23499"/>
    <cellStyle name="_VC 6.15.06 update on 06GRC power costs.xls Chart 2_4 31E Reg Asset  Liab and EXH D _ Aug 10 Filing (2) 4 2" xfId="23500"/>
    <cellStyle name="_VC 6.15.06 update on 06GRC power costs.xls Chart 2_4 31E Reg Asset  Liab and EXH D _ Aug 10 Filing (2) 5" xfId="23501"/>
    <cellStyle name="_VC 6.15.06 update on 06GRC power costs.xls Chart 2_4 31E Reg Asset  Liab and EXH D _ Aug 10 Filing (2) 5 2" xfId="23502"/>
    <cellStyle name="_VC 6.15.06 update on 06GRC power costs.xls Chart 2_4 31E Reg Asset  Liab and EXH D 10" xfId="23503"/>
    <cellStyle name="_VC 6.15.06 update on 06GRC power costs.xls Chart 2_4 31E Reg Asset  Liab and EXH D 10 2" xfId="23504"/>
    <cellStyle name="_VC 6.15.06 update on 06GRC power costs.xls Chart 2_4 31E Reg Asset  Liab and EXH D 10 2 2" xfId="23505"/>
    <cellStyle name="_VC 6.15.06 update on 06GRC power costs.xls Chart 2_4 31E Reg Asset  Liab and EXH D 10 3" xfId="23506"/>
    <cellStyle name="_VC 6.15.06 update on 06GRC power costs.xls Chart 2_4 31E Reg Asset  Liab and EXH D 11" xfId="23507"/>
    <cellStyle name="_VC 6.15.06 update on 06GRC power costs.xls Chart 2_4 31E Reg Asset  Liab and EXH D 11 2" xfId="23508"/>
    <cellStyle name="_VC 6.15.06 update on 06GRC power costs.xls Chart 2_4 31E Reg Asset  Liab and EXH D 11 2 2" xfId="23509"/>
    <cellStyle name="_VC 6.15.06 update on 06GRC power costs.xls Chart 2_4 31E Reg Asset  Liab and EXH D 11 3" xfId="23510"/>
    <cellStyle name="_VC 6.15.06 update on 06GRC power costs.xls Chart 2_4 31E Reg Asset  Liab and EXH D 12" xfId="23511"/>
    <cellStyle name="_VC 6.15.06 update on 06GRC power costs.xls Chart 2_4 31E Reg Asset  Liab and EXH D 12 2" xfId="23512"/>
    <cellStyle name="_VC 6.15.06 update on 06GRC power costs.xls Chart 2_4 31E Reg Asset  Liab and EXH D 12 2 2" xfId="23513"/>
    <cellStyle name="_VC 6.15.06 update on 06GRC power costs.xls Chart 2_4 31E Reg Asset  Liab and EXH D 12 3" xfId="23514"/>
    <cellStyle name="_VC 6.15.06 update on 06GRC power costs.xls Chart 2_4 31E Reg Asset  Liab and EXH D 13" xfId="23515"/>
    <cellStyle name="_VC 6.15.06 update on 06GRC power costs.xls Chart 2_4 31E Reg Asset  Liab and EXH D 13 2" xfId="23516"/>
    <cellStyle name="_VC 6.15.06 update on 06GRC power costs.xls Chart 2_4 31E Reg Asset  Liab and EXH D 13 2 2" xfId="23517"/>
    <cellStyle name="_VC 6.15.06 update on 06GRC power costs.xls Chart 2_4 31E Reg Asset  Liab and EXH D 13 3" xfId="23518"/>
    <cellStyle name="_VC 6.15.06 update on 06GRC power costs.xls Chart 2_4 31E Reg Asset  Liab and EXH D 14" xfId="23519"/>
    <cellStyle name="_VC 6.15.06 update on 06GRC power costs.xls Chart 2_4 31E Reg Asset  Liab and EXH D 14 2" xfId="23520"/>
    <cellStyle name="_VC 6.15.06 update on 06GRC power costs.xls Chart 2_4 31E Reg Asset  Liab and EXH D 14 2 2" xfId="23521"/>
    <cellStyle name="_VC 6.15.06 update on 06GRC power costs.xls Chart 2_4 31E Reg Asset  Liab and EXH D 14 3" xfId="23522"/>
    <cellStyle name="_VC 6.15.06 update on 06GRC power costs.xls Chart 2_4 31E Reg Asset  Liab and EXH D 15" xfId="23523"/>
    <cellStyle name="_VC 6.15.06 update on 06GRC power costs.xls Chart 2_4 31E Reg Asset  Liab and EXH D 15 2" xfId="23524"/>
    <cellStyle name="_VC 6.15.06 update on 06GRC power costs.xls Chart 2_4 31E Reg Asset  Liab and EXH D 15 2 2" xfId="23525"/>
    <cellStyle name="_VC 6.15.06 update on 06GRC power costs.xls Chart 2_4 31E Reg Asset  Liab and EXH D 15 3" xfId="23526"/>
    <cellStyle name="_VC 6.15.06 update on 06GRC power costs.xls Chart 2_4 31E Reg Asset  Liab and EXH D 16" xfId="23527"/>
    <cellStyle name="_VC 6.15.06 update on 06GRC power costs.xls Chart 2_4 31E Reg Asset  Liab and EXH D 16 2" xfId="23528"/>
    <cellStyle name="_VC 6.15.06 update on 06GRC power costs.xls Chart 2_4 31E Reg Asset  Liab and EXH D 16 2 2" xfId="23529"/>
    <cellStyle name="_VC 6.15.06 update on 06GRC power costs.xls Chart 2_4 31E Reg Asset  Liab and EXH D 16 3" xfId="23530"/>
    <cellStyle name="_VC 6.15.06 update on 06GRC power costs.xls Chart 2_4 31E Reg Asset  Liab and EXH D 17" xfId="23531"/>
    <cellStyle name="_VC 6.15.06 update on 06GRC power costs.xls Chart 2_4 31E Reg Asset  Liab and EXH D 17 2" xfId="23532"/>
    <cellStyle name="_VC 6.15.06 update on 06GRC power costs.xls Chart 2_4 31E Reg Asset  Liab and EXH D 18" xfId="23533"/>
    <cellStyle name="_VC 6.15.06 update on 06GRC power costs.xls Chart 2_4 31E Reg Asset  Liab and EXH D 18 2" xfId="23534"/>
    <cellStyle name="_VC 6.15.06 update on 06GRC power costs.xls Chart 2_4 31E Reg Asset  Liab and EXH D 19" xfId="23535"/>
    <cellStyle name="_VC 6.15.06 update on 06GRC power costs.xls Chart 2_4 31E Reg Asset  Liab and EXH D 19 2" xfId="23536"/>
    <cellStyle name="_VC 6.15.06 update on 06GRC power costs.xls Chart 2_4 31E Reg Asset  Liab and EXH D 2" xfId="23537"/>
    <cellStyle name="_VC 6.15.06 update on 06GRC power costs.xls Chart 2_4 31E Reg Asset  Liab and EXH D 2 2" xfId="23538"/>
    <cellStyle name="_VC 6.15.06 update on 06GRC power costs.xls Chart 2_4 31E Reg Asset  Liab and EXH D 2 2 2" xfId="23539"/>
    <cellStyle name="_VC 6.15.06 update on 06GRC power costs.xls Chart 2_4 31E Reg Asset  Liab and EXH D 2 3" xfId="23540"/>
    <cellStyle name="_VC 6.15.06 update on 06GRC power costs.xls Chart 2_4 31E Reg Asset  Liab and EXH D 20" xfId="23541"/>
    <cellStyle name="_VC 6.15.06 update on 06GRC power costs.xls Chart 2_4 31E Reg Asset  Liab and EXH D 20 2" xfId="23542"/>
    <cellStyle name="_VC 6.15.06 update on 06GRC power costs.xls Chart 2_4 31E Reg Asset  Liab and EXH D 21" xfId="23543"/>
    <cellStyle name="_VC 6.15.06 update on 06GRC power costs.xls Chart 2_4 31E Reg Asset  Liab and EXH D 21 2" xfId="23544"/>
    <cellStyle name="_VC 6.15.06 update on 06GRC power costs.xls Chart 2_4 31E Reg Asset  Liab and EXH D 22" xfId="23545"/>
    <cellStyle name="_VC 6.15.06 update on 06GRC power costs.xls Chart 2_4 31E Reg Asset  Liab and EXH D 22 2" xfId="23546"/>
    <cellStyle name="_VC 6.15.06 update on 06GRC power costs.xls Chart 2_4 31E Reg Asset  Liab and EXH D 23" xfId="23547"/>
    <cellStyle name="_VC 6.15.06 update on 06GRC power costs.xls Chart 2_4 31E Reg Asset  Liab and EXH D 23 2" xfId="23548"/>
    <cellStyle name="_VC 6.15.06 update on 06GRC power costs.xls Chart 2_4 31E Reg Asset  Liab and EXH D 24" xfId="23549"/>
    <cellStyle name="_VC 6.15.06 update on 06GRC power costs.xls Chart 2_4 31E Reg Asset  Liab and EXH D 24 2" xfId="23550"/>
    <cellStyle name="_VC 6.15.06 update on 06GRC power costs.xls Chart 2_4 31E Reg Asset  Liab and EXH D 25" xfId="23551"/>
    <cellStyle name="_VC 6.15.06 update on 06GRC power costs.xls Chart 2_4 31E Reg Asset  Liab and EXH D 25 2" xfId="23552"/>
    <cellStyle name="_VC 6.15.06 update on 06GRC power costs.xls Chart 2_4 31E Reg Asset  Liab and EXH D 26" xfId="23553"/>
    <cellStyle name="_VC 6.15.06 update on 06GRC power costs.xls Chart 2_4 31E Reg Asset  Liab and EXH D 26 2" xfId="23554"/>
    <cellStyle name="_VC 6.15.06 update on 06GRC power costs.xls Chart 2_4 31E Reg Asset  Liab and EXH D 27" xfId="23555"/>
    <cellStyle name="_VC 6.15.06 update on 06GRC power costs.xls Chart 2_4 31E Reg Asset  Liab and EXH D 27 2" xfId="23556"/>
    <cellStyle name="_VC 6.15.06 update on 06GRC power costs.xls Chart 2_4 31E Reg Asset  Liab and EXH D 28" xfId="23557"/>
    <cellStyle name="_VC 6.15.06 update on 06GRC power costs.xls Chart 2_4 31E Reg Asset  Liab and EXH D 28 2" xfId="23558"/>
    <cellStyle name="_VC 6.15.06 update on 06GRC power costs.xls Chart 2_4 31E Reg Asset  Liab and EXH D 29" xfId="23559"/>
    <cellStyle name="_VC 6.15.06 update on 06GRC power costs.xls Chart 2_4 31E Reg Asset  Liab and EXH D 29 2" xfId="23560"/>
    <cellStyle name="_VC 6.15.06 update on 06GRC power costs.xls Chart 2_4 31E Reg Asset  Liab and EXH D 3" xfId="23561"/>
    <cellStyle name="_VC 6.15.06 update on 06GRC power costs.xls Chart 2_4 31E Reg Asset  Liab and EXH D 3 2" xfId="23562"/>
    <cellStyle name="_VC 6.15.06 update on 06GRC power costs.xls Chart 2_4 31E Reg Asset  Liab and EXH D 3 2 2" xfId="23563"/>
    <cellStyle name="_VC 6.15.06 update on 06GRC power costs.xls Chart 2_4 31E Reg Asset  Liab and EXH D 3 3" xfId="23564"/>
    <cellStyle name="_VC 6.15.06 update on 06GRC power costs.xls Chart 2_4 31E Reg Asset  Liab and EXH D 30" xfId="23565"/>
    <cellStyle name="_VC 6.15.06 update on 06GRC power costs.xls Chart 2_4 31E Reg Asset  Liab and EXH D 30 2" xfId="23566"/>
    <cellStyle name="_VC 6.15.06 update on 06GRC power costs.xls Chart 2_4 31E Reg Asset  Liab and EXH D 4" xfId="23567"/>
    <cellStyle name="_VC 6.15.06 update on 06GRC power costs.xls Chart 2_4 31E Reg Asset  Liab and EXH D 4 2" xfId="23568"/>
    <cellStyle name="_VC 6.15.06 update on 06GRC power costs.xls Chart 2_4 31E Reg Asset  Liab and EXH D 4 2 2" xfId="23569"/>
    <cellStyle name="_VC 6.15.06 update on 06GRC power costs.xls Chart 2_4 31E Reg Asset  Liab and EXH D 5" xfId="23570"/>
    <cellStyle name="_VC 6.15.06 update on 06GRC power costs.xls Chart 2_4 31E Reg Asset  Liab and EXH D 5 2" xfId="23571"/>
    <cellStyle name="_VC 6.15.06 update on 06GRC power costs.xls Chart 2_4 31E Reg Asset  Liab and EXH D 5 2 2" xfId="23572"/>
    <cellStyle name="_VC 6.15.06 update on 06GRC power costs.xls Chart 2_4 31E Reg Asset  Liab and EXH D 6" xfId="23573"/>
    <cellStyle name="_VC 6.15.06 update on 06GRC power costs.xls Chart 2_4 31E Reg Asset  Liab and EXH D 6 2" xfId="23574"/>
    <cellStyle name="_VC 6.15.06 update on 06GRC power costs.xls Chart 2_4 31E Reg Asset  Liab and EXH D 6 2 2" xfId="23575"/>
    <cellStyle name="_VC 6.15.06 update on 06GRC power costs.xls Chart 2_4 31E Reg Asset  Liab and EXH D 6 3" xfId="23576"/>
    <cellStyle name="_VC 6.15.06 update on 06GRC power costs.xls Chart 2_4 31E Reg Asset  Liab and EXH D 7" xfId="23577"/>
    <cellStyle name="_VC 6.15.06 update on 06GRC power costs.xls Chart 2_4 31E Reg Asset  Liab and EXH D 7 2" xfId="23578"/>
    <cellStyle name="_VC 6.15.06 update on 06GRC power costs.xls Chart 2_4 31E Reg Asset  Liab and EXH D 7 2 2" xfId="23579"/>
    <cellStyle name="_VC 6.15.06 update on 06GRC power costs.xls Chart 2_4 31E Reg Asset  Liab and EXH D 7 3" xfId="23580"/>
    <cellStyle name="_VC 6.15.06 update on 06GRC power costs.xls Chart 2_4 31E Reg Asset  Liab and EXH D 8" xfId="23581"/>
    <cellStyle name="_VC 6.15.06 update on 06GRC power costs.xls Chart 2_4 31E Reg Asset  Liab and EXH D 8 2" xfId="23582"/>
    <cellStyle name="_VC 6.15.06 update on 06GRC power costs.xls Chart 2_4 31E Reg Asset  Liab and EXH D 8 2 2" xfId="23583"/>
    <cellStyle name="_VC 6.15.06 update on 06GRC power costs.xls Chart 2_4 31E Reg Asset  Liab and EXH D 8 3" xfId="23584"/>
    <cellStyle name="_VC 6.15.06 update on 06GRC power costs.xls Chart 2_4 31E Reg Asset  Liab and EXH D 9" xfId="23585"/>
    <cellStyle name="_VC 6.15.06 update on 06GRC power costs.xls Chart 2_4 31E Reg Asset  Liab and EXH D 9 2" xfId="23586"/>
    <cellStyle name="_VC 6.15.06 update on 06GRC power costs.xls Chart 2_4 31E Reg Asset  Liab and EXH D 9 2 2" xfId="23587"/>
    <cellStyle name="_VC 6.15.06 update on 06GRC power costs.xls Chart 2_4 31E Reg Asset  Liab and EXH D 9 3" xfId="23588"/>
    <cellStyle name="_VC 6.15.06 update on 06GRC power costs.xls Chart 2_4 32 Regulatory Assets and Liabilities  7 06- Exhibit D" xfId="972"/>
    <cellStyle name="_VC 6.15.06 update on 06GRC power costs.xls Chart 2_4 32 Regulatory Assets and Liabilities  7 06- Exhibit D 2" xfId="23589"/>
    <cellStyle name="_VC 6.15.06 update on 06GRC power costs.xls Chart 2_4 32 Regulatory Assets and Liabilities  7 06- Exhibit D 2 2" xfId="23590"/>
    <cellStyle name="_VC 6.15.06 update on 06GRC power costs.xls Chart 2_4 32 Regulatory Assets and Liabilities  7 06- Exhibit D 2 2 2" xfId="23591"/>
    <cellStyle name="_VC 6.15.06 update on 06GRC power costs.xls Chart 2_4 32 Regulatory Assets and Liabilities  7 06- Exhibit D 2 2 2 2" xfId="23592"/>
    <cellStyle name="_VC 6.15.06 update on 06GRC power costs.xls Chart 2_4 32 Regulatory Assets and Liabilities  7 06- Exhibit D 2 2 3" xfId="23593"/>
    <cellStyle name="_VC 6.15.06 update on 06GRC power costs.xls Chart 2_4 32 Regulatory Assets and Liabilities  7 06- Exhibit D 2 3" xfId="23594"/>
    <cellStyle name="_VC 6.15.06 update on 06GRC power costs.xls Chart 2_4 32 Regulatory Assets and Liabilities  7 06- Exhibit D 2 3 2" xfId="23595"/>
    <cellStyle name="_VC 6.15.06 update on 06GRC power costs.xls Chart 2_4 32 Regulatory Assets and Liabilities  7 06- Exhibit D 2 4" xfId="23596"/>
    <cellStyle name="_VC 6.15.06 update on 06GRC power costs.xls Chart 2_4 32 Regulatory Assets and Liabilities  7 06- Exhibit D 2 4 2" xfId="23597"/>
    <cellStyle name="_VC 6.15.06 update on 06GRC power costs.xls Chart 2_4 32 Regulatory Assets and Liabilities  7 06- Exhibit D 2 5" xfId="23598"/>
    <cellStyle name="_VC 6.15.06 update on 06GRC power costs.xls Chart 2_4 32 Regulatory Assets and Liabilities  7 06- Exhibit D 3" xfId="23599"/>
    <cellStyle name="_VC 6.15.06 update on 06GRC power costs.xls Chart 2_4 32 Regulatory Assets and Liabilities  7 06- Exhibit D 3 2" xfId="23600"/>
    <cellStyle name="_VC 6.15.06 update on 06GRC power costs.xls Chart 2_4 32 Regulatory Assets and Liabilities  7 06- Exhibit D 3 2 2" xfId="23601"/>
    <cellStyle name="_VC 6.15.06 update on 06GRC power costs.xls Chart 2_4 32 Regulatory Assets and Liabilities  7 06- Exhibit D 3 3" xfId="23602"/>
    <cellStyle name="_VC 6.15.06 update on 06GRC power costs.xls Chart 2_4 32 Regulatory Assets and Liabilities  7 06- Exhibit D 3 4" xfId="23603"/>
    <cellStyle name="_VC 6.15.06 update on 06GRC power costs.xls Chart 2_4 32 Regulatory Assets and Liabilities  7 06- Exhibit D 4" xfId="23604"/>
    <cellStyle name="_VC 6.15.06 update on 06GRC power costs.xls Chart 2_4 32 Regulatory Assets and Liabilities  7 06- Exhibit D 4 2" xfId="23605"/>
    <cellStyle name="_VC 6.15.06 update on 06GRC power costs.xls Chart 2_4 32 Regulatory Assets and Liabilities  7 06- Exhibit D 4 2 2" xfId="23606"/>
    <cellStyle name="_VC 6.15.06 update on 06GRC power costs.xls Chart 2_4 32 Regulatory Assets and Liabilities  7 06- Exhibit D 4 3" xfId="23607"/>
    <cellStyle name="_VC 6.15.06 update on 06GRC power costs.xls Chart 2_4 32 Regulatory Assets and Liabilities  7 06- Exhibit D 5" xfId="23608"/>
    <cellStyle name="_VC 6.15.06 update on 06GRC power costs.xls Chart 2_4 32 Regulatory Assets and Liabilities  7 06- Exhibit D 5 2" xfId="23609"/>
    <cellStyle name="_VC 6.15.06 update on 06GRC power costs.xls Chart 2_4 32 Regulatory Assets and Liabilities  7 06- Exhibit D 6" xfId="23610"/>
    <cellStyle name="_VC 6.15.06 update on 06GRC power costs.xls Chart 2_4 32 Regulatory Assets and Liabilities  7 06- Exhibit D 6 2" xfId="23611"/>
    <cellStyle name="_VC 6.15.06 update on 06GRC power costs.xls Chart 2_4 32 Regulatory Assets and Liabilities  7 06- Exhibit D 7" xfId="23612"/>
    <cellStyle name="_VC 6.15.06 update on 06GRC power costs.xls Chart 2_4 32 Regulatory Assets and Liabilities  7 06- Exhibit D_DEM-WP(C) ENERG10C--ctn Mid-C_042010 2010GRC" xfId="23613"/>
    <cellStyle name="_VC 6.15.06 update on 06GRC power costs.xls Chart 2_4 32 Regulatory Assets and Liabilities  7 06- Exhibit D_DEM-WP(C) ENERG10C--ctn Mid-C_042010 2010GRC 2" xfId="23614"/>
    <cellStyle name="_VC 6.15.06 update on 06GRC power costs.xls Chart 2_4 32 Regulatory Assets and Liabilities  7 06- Exhibit D_NIM Summary" xfId="23615"/>
    <cellStyle name="_VC 6.15.06 update on 06GRC power costs.xls Chart 2_4 32 Regulatory Assets and Liabilities  7 06- Exhibit D_NIM Summary 2" xfId="23616"/>
    <cellStyle name="_VC 6.15.06 update on 06GRC power costs.xls Chart 2_4 32 Regulatory Assets and Liabilities  7 06- Exhibit D_NIM Summary 2 2" xfId="23617"/>
    <cellStyle name="_VC 6.15.06 update on 06GRC power costs.xls Chart 2_4 32 Regulatory Assets and Liabilities  7 06- Exhibit D_NIM Summary 2 2 2" xfId="23618"/>
    <cellStyle name="_VC 6.15.06 update on 06GRC power costs.xls Chart 2_4 32 Regulatory Assets and Liabilities  7 06- Exhibit D_NIM Summary 2 2 2 2" xfId="23619"/>
    <cellStyle name="_VC 6.15.06 update on 06GRC power costs.xls Chart 2_4 32 Regulatory Assets and Liabilities  7 06- Exhibit D_NIM Summary 2 3" xfId="23620"/>
    <cellStyle name="_VC 6.15.06 update on 06GRC power costs.xls Chart 2_4 32 Regulatory Assets and Liabilities  7 06- Exhibit D_NIM Summary 2 3 2" xfId="23621"/>
    <cellStyle name="_VC 6.15.06 update on 06GRC power costs.xls Chart 2_4 32 Regulatory Assets and Liabilities  7 06- Exhibit D_NIM Summary 2 4" xfId="23622"/>
    <cellStyle name="_VC 6.15.06 update on 06GRC power costs.xls Chart 2_4 32 Regulatory Assets and Liabilities  7 06- Exhibit D_NIM Summary 2 4 2" xfId="23623"/>
    <cellStyle name="_VC 6.15.06 update on 06GRC power costs.xls Chart 2_4 32 Regulatory Assets and Liabilities  7 06- Exhibit D_NIM Summary 2 5" xfId="23624"/>
    <cellStyle name="_VC 6.15.06 update on 06GRC power costs.xls Chart 2_4 32 Regulatory Assets and Liabilities  7 06- Exhibit D_NIM Summary 3" xfId="23625"/>
    <cellStyle name="_VC 6.15.06 update on 06GRC power costs.xls Chart 2_4 32 Regulatory Assets and Liabilities  7 06- Exhibit D_NIM Summary 3 2" xfId="23626"/>
    <cellStyle name="_VC 6.15.06 update on 06GRC power costs.xls Chart 2_4 32 Regulatory Assets and Liabilities  7 06- Exhibit D_NIM Summary 3 2 2" xfId="23627"/>
    <cellStyle name="_VC 6.15.06 update on 06GRC power costs.xls Chart 2_4 32 Regulatory Assets and Liabilities  7 06- Exhibit D_NIM Summary 3 3" xfId="23628"/>
    <cellStyle name="_VC 6.15.06 update on 06GRC power costs.xls Chart 2_4 32 Regulatory Assets and Liabilities  7 06- Exhibit D_NIM Summary 4" xfId="23629"/>
    <cellStyle name="_VC 6.15.06 update on 06GRC power costs.xls Chart 2_4 32 Regulatory Assets and Liabilities  7 06- Exhibit D_NIM Summary 4 2" xfId="23630"/>
    <cellStyle name="_VC 6.15.06 update on 06GRC power costs.xls Chart 2_4 32 Regulatory Assets and Liabilities  7 06- Exhibit D_NIM Summary 4 2 2" xfId="23631"/>
    <cellStyle name="_VC 6.15.06 update on 06GRC power costs.xls Chart 2_4 32 Regulatory Assets and Liabilities  7 06- Exhibit D_NIM Summary 4 3" xfId="23632"/>
    <cellStyle name="_VC 6.15.06 update on 06GRC power costs.xls Chart 2_4 32 Regulatory Assets and Liabilities  7 06- Exhibit D_NIM Summary 5" xfId="23633"/>
    <cellStyle name="_VC 6.15.06 update on 06GRC power costs.xls Chart 2_4 32 Regulatory Assets and Liabilities  7 06- Exhibit D_NIM Summary 5 2" xfId="23634"/>
    <cellStyle name="_VC 6.15.06 update on 06GRC power costs.xls Chart 2_4 32 Regulatory Assets and Liabilities  7 06- Exhibit D_NIM Summary 6" xfId="23635"/>
    <cellStyle name="_VC 6.15.06 update on 06GRC power costs.xls Chart 2_4 32 Regulatory Assets and Liabilities  7 06- Exhibit D_NIM Summary 6 2" xfId="23636"/>
    <cellStyle name="_VC 6.15.06 update on 06GRC power costs.xls Chart 2_4 32 Regulatory Assets and Liabilities  7 06- Exhibit D_NIM Summary 7" xfId="23637"/>
    <cellStyle name="_VC 6.15.06 update on 06GRC power costs.xls Chart 2_4 32 Regulatory Assets and Liabilities  7 06- Exhibit D_NIM Summary_DEM-WP(C) ENERG10C--ctn Mid-C_042010 2010GRC" xfId="23638"/>
    <cellStyle name="_VC 6.15.06 update on 06GRC power costs.xls Chart 2_4 32 Regulatory Assets and Liabilities  7 06- Exhibit D_NIM Summary_DEM-WP(C) ENERG10C--ctn Mid-C_042010 2010GRC 2" xfId="23639"/>
    <cellStyle name="_VC 6.15.06 update on 06GRC power costs.xls Chart 2_AURORA Total New" xfId="23640"/>
    <cellStyle name="_VC 6.15.06 update on 06GRC power costs.xls Chart 2_AURORA Total New 2" xfId="23641"/>
    <cellStyle name="_VC 6.15.06 update on 06GRC power costs.xls Chart 2_AURORA Total New 2 2" xfId="23642"/>
    <cellStyle name="_VC 6.15.06 update on 06GRC power costs.xls Chart 2_AURORA Total New 2 2 2" xfId="23643"/>
    <cellStyle name="_VC 6.15.06 update on 06GRC power costs.xls Chart 2_AURORA Total New 2 2 2 2" xfId="23644"/>
    <cellStyle name="_VC 6.15.06 update on 06GRC power costs.xls Chart 2_AURORA Total New 2 3" xfId="23645"/>
    <cellStyle name="_VC 6.15.06 update on 06GRC power costs.xls Chart 2_AURORA Total New 2 3 2" xfId="23646"/>
    <cellStyle name="_VC 6.15.06 update on 06GRC power costs.xls Chart 2_AURORA Total New 2 4" xfId="23647"/>
    <cellStyle name="_VC 6.15.06 update on 06GRC power costs.xls Chart 2_AURORA Total New 2 4 2" xfId="23648"/>
    <cellStyle name="_VC 6.15.06 update on 06GRC power costs.xls Chart 2_AURORA Total New 2 5" xfId="23649"/>
    <cellStyle name="_VC 6.15.06 update on 06GRC power costs.xls Chart 2_AURORA Total New 3" xfId="23650"/>
    <cellStyle name="_VC 6.15.06 update on 06GRC power costs.xls Chart 2_AURORA Total New 3 2" xfId="23651"/>
    <cellStyle name="_VC 6.15.06 update on 06GRC power costs.xls Chart 2_AURORA Total New 3 2 2" xfId="23652"/>
    <cellStyle name="_VC 6.15.06 update on 06GRC power costs.xls Chart 2_AURORA Total New 4" xfId="23653"/>
    <cellStyle name="_VC 6.15.06 update on 06GRC power costs.xls Chart 2_AURORA Total New 4 2" xfId="23654"/>
    <cellStyle name="_VC 6.15.06 update on 06GRC power costs.xls Chart 2_AURORA Total New 5" xfId="23655"/>
    <cellStyle name="_VC 6.15.06 update on 06GRC power costs.xls Chart 2_AURORA Total New 5 2" xfId="23656"/>
    <cellStyle name="_VC 6.15.06 update on 06GRC power costs.xls Chart 2_AURORA Total New 6" xfId="23657"/>
    <cellStyle name="_VC 6.15.06 update on 06GRC power costs.xls Chart 2_Book2" xfId="973"/>
    <cellStyle name="_VC 6.15.06 update on 06GRC power costs.xls Chart 2_Book2 2" xfId="23658"/>
    <cellStyle name="_VC 6.15.06 update on 06GRC power costs.xls Chart 2_Book2 2 2" xfId="23659"/>
    <cellStyle name="_VC 6.15.06 update on 06GRC power costs.xls Chart 2_Book2 2 2 2" xfId="23660"/>
    <cellStyle name="_VC 6.15.06 update on 06GRC power costs.xls Chart 2_Book2 2 2 2 2" xfId="23661"/>
    <cellStyle name="_VC 6.15.06 update on 06GRC power costs.xls Chart 2_Book2 2 2 3" xfId="23662"/>
    <cellStyle name="_VC 6.15.06 update on 06GRC power costs.xls Chart 2_Book2 2 3" xfId="23663"/>
    <cellStyle name="_VC 6.15.06 update on 06GRC power costs.xls Chart 2_Book2 2 3 2" xfId="23664"/>
    <cellStyle name="_VC 6.15.06 update on 06GRC power costs.xls Chart 2_Book2 2 4" xfId="23665"/>
    <cellStyle name="_VC 6.15.06 update on 06GRC power costs.xls Chart 2_Book2 2 4 2" xfId="23666"/>
    <cellStyle name="_VC 6.15.06 update on 06GRC power costs.xls Chart 2_Book2 2 5" xfId="23667"/>
    <cellStyle name="_VC 6.15.06 update on 06GRC power costs.xls Chart 2_Book2 3" xfId="23668"/>
    <cellStyle name="_VC 6.15.06 update on 06GRC power costs.xls Chart 2_Book2 3 2" xfId="23669"/>
    <cellStyle name="_VC 6.15.06 update on 06GRC power costs.xls Chart 2_Book2 3 2 2" xfId="23670"/>
    <cellStyle name="_VC 6.15.06 update on 06GRC power costs.xls Chart 2_Book2 3 3" xfId="23671"/>
    <cellStyle name="_VC 6.15.06 update on 06GRC power costs.xls Chart 2_Book2 3 4" xfId="23672"/>
    <cellStyle name="_VC 6.15.06 update on 06GRC power costs.xls Chart 2_Book2 4" xfId="23673"/>
    <cellStyle name="_VC 6.15.06 update on 06GRC power costs.xls Chart 2_Book2 4 2" xfId="23674"/>
    <cellStyle name="_VC 6.15.06 update on 06GRC power costs.xls Chart 2_Book2 4 2 2" xfId="23675"/>
    <cellStyle name="_VC 6.15.06 update on 06GRC power costs.xls Chart 2_Book2 4 3" xfId="23676"/>
    <cellStyle name="_VC 6.15.06 update on 06GRC power costs.xls Chart 2_Book2 5" xfId="23677"/>
    <cellStyle name="_VC 6.15.06 update on 06GRC power costs.xls Chart 2_Book2 5 2" xfId="23678"/>
    <cellStyle name="_VC 6.15.06 update on 06GRC power costs.xls Chart 2_Book2 6" xfId="23679"/>
    <cellStyle name="_VC 6.15.06 update on 06GRC power costs.xls Chart 2_Book2 6 2" xfId="23680"/>
    <cellStyle name="_VC 6.15.06 update on 06GRC power costs.xls Chart 2_Book2 7" xfId="23681"/>
    <cellStyle name="_VC 6.15.06 update on 06GRC power costs.xls Chart 2_Book2_Adj Bench DR 3 for Initial Briefs (Electric)" xfId="974"/>
    <cellStyle name="_VC 6.15.06 update on 06GRC power costs.xls Chart 2_Book2_Adj Bench DR 3 for Initial Briefs (Electric) 2" xfId="23682"/>
    <cellStyle name="_VC 6.15.06 update on 06GRC power costs.xls Chart 2_Book2_Adj Bench DR 3 for Initial Briefs (Electric) 2 2" xfId="23683"/>
    <cellStyle name="_VC 6.15.06 update on 06GRC power costs.xls Chart 2_Book2_Adj Bench DR 3 for Initial Briefs (Electric) 2 2 2" xfId="23684"/>
    <cellStyle name="_VC 6.15.06 update on 06GRC power costs.xls Chart 2_Book2_Adj Bench DR 3 for Initial Briefs (Electric) 2 2 2 2" xfId="23685"/>
    <cellStyle name="_VC 6.15.06 update on 06GRC power costs.xls Chart 2_Book2_Adj Bench DR 3 for Initial Briefs (Electric) 2 2 3" xfId="23686"/>
    <cellStyle name="_VC 6.15.06 update on 06GRC power costs.xls Chart 2_Book2_Adj Bench DR 3 for Initial Briefs (Electric) 2 3" xfId="23687"/>
    <cellStyle name="_VC 6.15.06 update on 06GRC power costs.xls Chart 2_Book2_Adj Bench DR 3 for Initial Briefs (Electric) 2 3 2" xfId="23688"/>
    <cellStyle name="_VC 6.15.06 update on 06GRC power costs.xls Chart 2_Book2_Adj Bench DR 3 for Initial Briefs (Electric) 2 4" xfId="23689"/>
    <cellStyle name="_VC 6.15.06 update on 06GRC power costs.xls Chart 2_Book2_Adj Bench DR 3 for Initial Briefs (Electric) 2 4 2" xfId="23690"/>
    <cellStyle name="_VC 6.15.06 update on 06GRC power costs.xls Chart 2_Book2_Adj Bench DR 3 for Initial Briefs (Electric) 2 5" xfId="23691"/>
    <cellStyle name="_VC 6.15.06 update on 06GRC power costs.xls Chart 2_Book2_Adj Bench DR 3 for Initial Briefs (Electric) 3" xfId="23692"/>
    <cellStyle name="_VC 6.15.06 update on 06GRC power costs.xls Chart 2_Book2_Adj Bench DR 3 for Initial Briefs (Electric) 3 2" xfId="23693"/>
    <cellStyle name="_VC 6.15.06 update on 06GRC power costs.xls Chart 2_Book2_Adj Bench DR 3 for Initial Briefs (Electric) 3 2 2" xfId="23694"/>
    <cellStyle name="_VC 6.15.06 update on 06GRC power costs.xls Chart 2_Book2_Adj Bench DR 3 for Initial Briefs (Electric) 3 3" xfId="23695"/>
    <cellStyle name="_VC 6.15.06 update on 06GRC power costs.xls Chart 2_Book2_Adj Bench DR 3 for Initial Briefs (Electric) 3 4" xfId="23696"/>
    <cellStyle name="_VC 6.15.06 update on 06GRC power costs.xls Chart 2_Book2_Adj Bench DR 3 for Initial Briefs (Electric) 4" xfId="23697"/>
    <cellStyle name="_VC 6.15.06 update on 06GRC power costs.xls Chart 2_Book2_Adj Bench DR 3 for Initial Briefs (Electric) 4 2" xfId="23698"/>
    <cellStyle name="_VC 6.15.06 update on 06GRC power costs.xls Chart 2_Book2_Adj Bench DR 3 for Initial Briefs (Electric) 4 2 2" xfId="23699"/>
    <cellStyle name="_VC 6.15.06 update on 06GRC power costs.xls Chart 2_Book2_Adj Bench DR 3 for Initial Briefs (Electric) 4 3" xfId="23700"/>
    <cellStyle name="_VC 6.15.06 update on 06GRC power costs.xls Chart 2_Book2_Adj Bench DR 3 for Initial Briefs (Electric) 5" xfId="23701"/>
    <cellStyle name="_VC 6.15.06 update on 06GRC power costs.xls Chart 2_Book2_Adj Bench DR 3 for Initial Briefs (Electric) 5 2" xfId="23702"/>
    <cellStyle name="_VC 6.15.06 update on 06GRC power costs.xls Chart 2_Book2_Adj Bench DR 3 for Initial Briefs (Electric) 6" xfId="23703"/>
    <cellStyle name="_VC 6.15.06 update on 06GRC power costs.xls Chart 2_Book2_Adj Bench DR 3 for Initial Briefs (Electric) 6 2" xfId="23704"/>
    <cellStyle name="_VC 6.15.06 update on 06GRC power costs.xls Chart 2_Book2_Adj Bench DR 3 for Initial Briefs (Electric) 7" xfId="23705"/>
    <cellStyle name="_VC 6.15.06 update on 06GRC power costs.xls Chart 2_Book2_Adj Bench DR 3 for Initial Briefs (Electric)_DEM-WP(C) ENERG10C--ctn Mid-C_042010 2010GRC" xfId="23706"/>
    <cellStyle name="_VC 6.15.06 update on 06GRC power costs.xls Chart 2_Book2_Adj Bench DR 3 for Initial Briefs (Electric)_DEM-WP(C) ENERG10C--ctn Mid-C_042010 2010GRC 2" xfId="23707"/>
    <cellStyle name="_VC 6.15.06 update on 06GRC power costs.xls Chart 2_Book2_DEM-WP(C) ENERG10C--ctn Mid-C_042010 2010GRC" xfId="23708"/>
    <cellStyle name="_VC 6.15.06 update on 06GRC power costs.xls Chart 2_Book2_DEM-WP(C) ENERG10C--ctn Mid-C_042010 2010GRC 2" xfId="23709"/>
    <cellStyle name="_VC 6.15.06 update on 06GRC power costs.xls Chart 2_Book2_Electric Rev Req Model (2009 GRC) Rebuttal" xfId="975"/>
    <cellStyle name="_VC 6.15.06 update on 06GRC power costs.xls Chart 2_Book2_Electric Rev Req Model (2009 GRC) Rebuttal 2" xfId="23710"/>
    <cellStyle name="_VC 6.15.06 update on 06GRC power costs.xls Chart 2_Book2_Electric Rev Req Model (2009 GRC) Rebuttal 2 2" xfId="23711"/>
    <cellStyle name="_VC 6.15.06 update on 06GRC power costs.xls Chart 2_Book2_Electric Rev Req Model (2009 GRC) Rebuttal 2 2 2" xfId="23712"/>
    <cellStyle name="_VC 6.15.06 update on 06GRC power costs.xls Chart 2_Book2_Electric Rev Req Model (2009 GRC) Rebuttal 2 3" xfId="23713"/>
    <cellStyle name="_VC 6.15.06 update on 06GRC power costs.xls Chart 2_Book2_Electric Rev Req Model (2009 GRC) Rebuttal 2 4" xfId="23714"/>
    <cellStyle name="_VC 6.15.06 update on 06GRC power costs.xls Chart 2_Book2_Electric Rev Req Model (2009 GRC) Rebuttal 3" xfId="23715"/>
    <cellStyle name="_VC 6.15.06 update on 06GRC power costs.xls Chart 2_Book2_Electric Rev Req Model (2009 GRC) Rebuttal 3 2" xfId="23716"/>
    <cellStyle name="_VC 6.15.06 update on 06GRC power costs.xls Chart 2_Book2_Electric Rev Req Model (2009 GRC) Rebuttal 4" xfId="23717"/>
    <cellStyle name="_VC 6.15.06 update on 06GRC power costs.xls Chart 2_Book2_Electric Rev Req Model (2009 GRC) Rebuttal 5" xfId="23718"/>
    <cellStyle name="_VC 6.15.06 update on 06GRC power costs.xls Chart 2_Book2_Electric Rev Req Model (2009 GRC) Rebuttal REmoval of New  WH Solar AdjustMI" xfId="976"/>
    <cellStyle name="_VC 6.15.06 update on 06GRC power costs.xls Chart 2_Book2_Electric Rev Req Model (2009 GRC) Rebuttal REmoval of New  WH Solar AdjustMI 2" xfId="23719"/>
    <cellStyle name="_VC 6.15.06 update on 06GRC power costs.xls Chart 2_Book2_Electric Rev Req Model (2009 GRC) Rebuttal REmoval of New  WH Solar AdjustMI 2 2" xfId="23720"/>
    <cellStyle name="_VC 6.15.06 update on 06GRC power costs.xls Chart 2_Book2_Electric Rev Req Model (2009 GRC) Rebuttal REmoval of New  WH Solar AdjustMI 2 2 2" xfId="23721"/>
    <cellStyle name="_VC 6.15.06 update on 06GRC power costs.xls Chart 2_Book2_Electric Rev Req Model (2009 GRC) Rebuttal REmoval of New  WH Solar AdjustMI 2 2 2 2" xfId="23722"/>
    <cellStyle name="_VC 6.15.06 update on 06GRC power costs.xls Chart 2_Book2_Electric Rev Req Model (2009 GRC) Rebuttal REmoval of New  WH Solar AdjustMI 2 2 3" xfId="23723"/>
    <cellStyle name="_VC 6.15.06 update on 06GRC power costs.xls Chart 2_Book2_Electric Rev Req Model (2009 GRC) Rebuttal REmoval of New  WH Solar AdjustMI 2 3" xfId="23724"/>
    <cellStyle name="_VC 6.15.06 update on 06GRC power costs.xls Chart 2_Book2_Electric Rev Req Model (2009 GRC) Rebuttal REmoval of New  WH Solar AdjustMI 2 3 2" xfId="23725"/>
    <cellStyle name="_VC 6.15.06 update on 06GRC power costs.xls Chart 2_Book2_Electric Rev Req Model (2009 GRC) Rebuttal REmoval of New  WH Solar AdjustMI 2 4" xfId="23726"/>
    <cellStyle name="_VC 6.15.06 update on 06GRC power costs.xls Chart 2_Book2_Electric Rev Req Model (2009 GRC) Rebuttal REmoval of New  WH Solar AdjustMI 2 4 2" xfId="23727"/>
    <cellStyle name="_VC 6.15.06 update on 06GRC power costs.xls Chart 2_Book2_Electric Rev Req Model (2009 GRC) Rebuttal REmoval of New  WH Solar AdjustMI 2 5" xfId="23728"/>
    <cellStyle name="_VC 6.15.06 update on 06GRC power costs.xls Chart 2_Book2_Electric Rev Req Model (2009 GRC) Rebuttal REmoval of New  WH Solar AdjustMI 3" xfId="23729"/>
    <cellStyle name="_VC 6.15.06 update on 06GRC power costs.xls Chart 2_Book2_Electric Rev Req Model (2009 GRC) Rebuttal REmoval of New  WH Solar AdjustMI 3 2" xfId="23730"/>
    <cellStyle name="_VC 6.15.06 update on 06GRC power costs.xls Chart 2_Book2_Electric Rev Req Model (2009 GRC) Rebuttal REmoval of New  WH Solar AdjustMI 3 2 2" xfId="23731"/>
    <cellStyle name="_VC 6.15.06 update on 06GRC power costs.xls Chart 2_Book2_Electric Rev Req Model (2009 GRC) Rebuttal REmoval of New  WH Solar AdjustMI 3 3" xfId="23732"/>
    <cellStyle name="_VC 6.15.06 update on 06GRC power costs.xls Chart 2_Book2_Electric Rev Req Model (2009 GRC) Rebuttal REmoval of New  WH Solar AdjustMI 3 4" xfId="23733"/>
    <cellStyle name="_VC 6.15.06 update on 06GRC power costs.xls Chart 2_Book2_Electric Rev Req Model (2009 GRC) Rebuttal REmoval of New  WH Solar AdjustMI 4" xfId="23734"/>
    <cellStyle name="_VC 6.15.06 update on 06GRC power costs.xls Chart 2_Book2_Electric Rev Req Model (2009 GRC) Rebuttal REmoval of New  WH Solar AdjustMI 4 2" xfId="23735"/>
    <cellStyle name="_VC 6.15.06 update on 06GRC power costs.xls Chart 2_Book2_Electric Rev Req Model (2009 GRC) Rebuttal REmoval of New  WH Solar AdjustMI 4 2 2" xfId="23736"/>
    <cellStyle name="_VC 6.15.06 update on 06GRC power costs.xls Chart 2_Book2_Electric Rev Req Model (2009 GRC) Rebuttal REmoval of New  WH Solar AdjustMI 4 3" xfId="23737"/>
    <cellStyle name="_VC 6.15.06 update on 06GRC power costs.xls Chart 2_Book2_Electric Rev Req Model (2009 GRC) Rebuttal REmoval of New  WH Solar AdjustMI 5" xfId="23738"/>
    <cellStyle name="_VC 6.15.06 update on 06GRC power costs.xls Chart 2_Book2_Electric Rev Req Model (2009 GRC) Rebuttal REmoval of New  WH Solar AdjustMI 5 2" xfId="23739"/>
    <cellStyle name="_VC 6.15.06 update on 06GRC power costs.xls Chart 2_Book2_Electric Rev Req Model (2009 GRC) Rebuttal REmoval of New  WH Solar AdjustMI 6" xfId="23740"/>
    <cellStyle name="_VC 6.15.06 update on 06GRC power costs.xls Chart 2_Book2_Electric Rev Req Model (2009 GRC) Rebuttal REmoval of New  WH Solar AdjustMI 6 2" xfId="23741"/>
    <cellStyle name="_VC 6.15.06 update on 06GRC power costs.xls Chart 2_Book2_Electric Rev Req Model (2009 GRC) Rebuttal REmoval of New  WH Solar AdjustMI 7" xfId="23742"/>
    <cellStyle name="_VC 6.15.06 update on 06GRC power costs.xls Chart 2_Book2_Electric Rev Req Model (2009 GRC) Rebuttal REmoval of New  WH Solar AdjustMI_DEM-WP(C) ENERG10C--ctn Mid-C_042010 2010GRC" xfId="23743"/>
    <cellStyle name="_VC 6.15.06 update on 06GRC power costs.xls Chart 2_Book2_Electric Rev Req Model (2009 GRC) Rebuttal REmoval of New  WH Solar AdjustMI_DEM-WP(C) ENERG10C--ctn Mid-C_042010 2010GRC 2" xfId="23744"/>
    <cellStyle name="_VC 6.15.06 update on 06GRC power costs.xls Chart 2_Book2_Electric Rev Req Model (2009 GRC) Revised 01-18-2010" xfId="977"/>
    <cellStyle name="_VC 6.15.06 update on 06GRC power costs.xls Chart 2_Book2_Electric Rev Req Model (2009 GRC) Revised 01-18-2010 2" xfId="23745"/>
    <cellStyle name="_VC 6.15.06 update on 06GRC power costs.xls Chart 2_Book2_Electric Rev Req Model (2009 GRC) Revised 01-18-2010 2 2" xfId="23746"/>
    <cellStyle name="_VC 6.15.06 update on 06GRC power costs.xls Chart 2_Book2_Electric Rev Req Model (2009 GRC) Revised 01-18-2010 2 2 2" xfId="23747"/>
    <cellStyle name="_VC 6.15.06 update on 06GRC power costs.xls Chart 2_Book2_Electric Rev Req Model (2009 GRC) Revised 01-18-2010 2 2 2 2" xfId="23748"/>
    <cellStyle name="_VC 6.15.06 update on 06GRC power costs.xls Chart 2_Book2_Electric Rev Req Model (2009 GRC) Revised 01-18-2010 2 2 3" xfId="23749"/>
    <cellStyle name="_VC 6.15.06 update on 06GRC power costs.xls Chart 2_Book2_Electric Rev Req Model (2009 GRC) Revised 01-18-2010 2 3" xfId="23750"/>
    <cellStyle name="_VC 6.15.06 update on 06GRC power costs.xls Chart 2_Book2_Electric Rev Req Model (2009 GRC) Revised 01-18-2010 2 3 2" xfId="23751"/>
    <cellStyle name="_VC 6.15.06 update on 06GRC power costs.xls Chart 2_Book2_Electric Rev Req Model (2009 GRC) Revised 01-18-2010 2 4" xfId="23752"/>
    <cellStyle name="_VC 6.15.06 update on 06GRC power costs.xls Chart 2_Book2_Electric Rev Req Model (2009 GRC) Revised 01-18-2010 2 4 2" xfId="23753"/>
    <cellStyle name="_VC 6.15.06 update on 06GRC power costs.xls Chart 2_Book2_Electric Rev Req Model (2009 GRC) Revised 01-18-2010 2 5" xfId="23754"/>
    <cellStyle name="_VC 6.15.06 update on 06GRC power costs.xls Chart 2_Book2_Electric Rev Req Model (2009 GRC) Revised 01-18-2010 3" xfId="23755"/>
    <cellStyle name="_VC 6.15.06 update on 06GRC power costs.xls Chart 2_Book2_Electric Rev Req Model (2009 GRC) Revised 01-18-2010 3 2" xfId="23756"/>
    <cellStyle name="_VC 6.15.06 update on 06GRC power costs.xls Chart 2_Book2_Electric Rev Req Model (2009 GRC) Revised 01-18-2010 3 2 2" xfId="23757"/>
    <cellStyle name="_VC 6.15.06 update on 06GRC power costs.xls Chart 2_Book2_Electric Rev Req Model (2009 GRC) Revised 01-18-2010 3 3" xfId="23758"/>
    <cellStyle name="_VC 6.15.06 update on 06GRC power costs.xls Chart 2_Book2_Electric Rev Req Model (2009 GRC) Revised 01-18-2010 3 4" xfId="23759"/>
    <cellStyle name="_VC 6.15.06 update on 06GRC power costs.xls Chart 2_Book2_Electric Rev Req Model (2009 GRC) Revised 01-18-2010 4" xfId="23760"/>
    <cellStyle name="_VC 6.15.06 update on 06GRC power costs.xls Chart 2_Book2_Electric Rev Req Model (2009 GRC) Revised 01-18-2010 4 2" xfId="23761"/>
    <cellStyle name="_VC 6.15.06 update on 06GRC power costs.xls Chart 2_Book2_Electric Rev Req Model (2009 GRC) Revised 01-18-2010 4 2 2" xfId="23762"/>
    <cellStyle name="_VC 6.15.06 update on 06GRC power costs.xls Chart 2_Book2_Electric Rev Req Model (2009 GRC) Revised 01-18-2010 4 3" xfId="23763"/>
    <cellStyle name="_VC 6.15.06 update on 06GRC power costs.xls Chart 2_Book2_Electric Rev Req Model (2009 GRC) Revised 01-18-2010 5" xfId="23764"/>
    <cellStyle name="_VC 6.15.06 update on 06GRC power costs.xls Chart 2_Book2_Electric Rev Req Model (2009 GRC) Revised 01-18-2010 5 2" xfId="23765"/>
    <cellStyle name="_VC 6.15.06 update on 06GRC power costs.xls Chart 2_Book2_Electric Rev Req Model (2009 GRC) Revised 01-18-2010 6" xfId="23766"/>
    <cellStyle name="_VC 6.15.06 update on 06GRC power costs.xls Chart 2_Book2_Electric Rev Req Model (2009 GRC) Revised 01-18-2010 6 2" xfId="23767"/>
    <cellStyle name="_VC 6.15.06 update on 06GRC power costs.xls Chart 2_Book2_Electric Rev Req Model (2009 GRC) Revised 01-18-2010 7" xfId="23768"/>
    <cellStyle name="_VC 6.15.06 update on 06GRC power costs.xls Chart 2_Book2_Electric Rev Req Model (2009 GRC) Revised 01-18-2010_DEM-WP(C) ENERG10C--ctn Mid-C_042010 2010GRC" xfId="23769"/>
    <cellStyle name="_VC 6.15.06 update on 06GRC power costs.xls Chart 2_Book2_Electric Rev Req Model (2009 GRC) Revised 01-18-2010_DEM-WP(C) ENERG10C--ctn Mid-C_042010 2010GRC 2" xfId="23770"/>
    <cellStyle name="_VC 6.15.06 update on 06GRC power costs.xls Chart 2_Book2_Final Order Electric EXHIBIT A-1" xfId="978"/>
    <cellStyle name="_VC 6.15.06 update on 06GRC power costs.xls Chart 2_Book2_Final Order Electric EXHIBIT A-1 2" xfId="23771"/>
    <cellStyle name="_VC 6.15.06 update on 06GRC power costs.xls Chart 2_Book2_Final Order Electric EXHIBIT A-1 2 2" xfId="23772"/>
    <cellStyle name="_VC 6.15.06 update on 06GRC power costs.xls Chart 2_Book2_Final Order Electric EXHIBIT A-1 2 2 2" xfId="23773"/>
    <cellStyle name="_VC 6.15.06 update on 06GRC power costs.xls Chart 2_Book2_Final Order Electric EXHIBIT A-1 2 3" xfId="23774"/>
    <cellStyle name="_VC 6.15.06 update on 06GRC power costs.xls Chart 2_Book2_Final Order Electric EXHIBIT A-1 2 4" xfId="23775"/>
    <cellStyle name="_VC 6.15.06 update on 06GRC power costs.xls Chart 2_Book2_Final Order Electric EXHIBIT A-1 3" xfId="23776"/>
    <cellStyle name="_VC 6.15.06 update on 06GRC power costs.xls Chart 2_Book2_Final Order Electric EXHIBIT A-1 3 2" xfId="23777"/>
    <cellStyle name="_VC 6.15.06 update on 06GRC power costs.xls Chart 2_Book2_Final Order Electric EXHIBIT A-1 3 2 2" xfId="23778"/>
    <cellStyle name="_VC 6.15.06 update on 06GRC power costs.xls Chart 2_Book2_Final Order Electric EXHIBIT A-1 3 3" xfId="23779"/>
    <cellStyle name="_VC 6.15.06 update on 06GRC power costs.xls Chart 2_Book2_Final Order Electric EXHIBIT A-1 4" xfId="23780"/>
    <cellStyle name="_VC 6.15.06 update on 06GRC power costs.xls Chart 2_Book2_Final Order Electric EXHIBIT A-1 4 2" xfId="23781"/>
    <cellStyle name="_VC 6.15.06 update on 06GRC power costs.xls Chart 2_Book2_Final Order Electric EXHIBIT A-1 5" xfId="23782"/>
    <cellStyle name="_VC 6.15.06 update on 06GRC power costs.xls Chart 2_Book2_Final Order Electric EXHIBIT A-1 6" xfId="23783"/>
    <cellStyle name="_VC 6.15.06 update on 06GRC power costs.xls Chart 2_Book2_Final Order Electric EXHIBIT A-1 7" xfId="23784"/>
    <cellStyle name="_VC 6.15.06 update on 06GRC power costs.xls Chart 2_Book4" xfId="979"/>
    <cellStyle name="_VC 6.15.06 update on 06GRC power costs.xls Chart 2_Book4 2" xfId="23785"/>
    <cellStyle name="_VC 6.15.06 update on 06GRC power costs.xls Chart 2_Book4 2 2" xfId="23786"/>
    <cellStyle name="_VC 6.15.06 update on 06GRC power costs.xls Chart 2_Book4 2 2 2" xfId="23787"/>
    <cellStyle name="_VC 6.15.06 update on 06GRC power costs.xls Chart 2_Book4 2 2 2 2" xfId="23788"/>
    <cellStyle name="_VC 6.15.06 update on 06GRC power costs.xls Chart 2_Book4 2 2 3" xfId="23789"/>
    <cellStyle name="_VC 6.15.06 update on 06GRC power costs.xls Chart 2_Book4 2 3" xfId="23790"/>
    <cellStyle name="_VC 6.15.06 update on 06GRC power costs.xls Chart 2_Book4 2 3 2" xfId="23791"/>
    <cellStyle name="_VC 6.15.06 update on 06GRC power costs.xls Chart 2_Book4 2 4" xfId="23792"/>
    <cellStyle name="_VC 6.15.06 update on 06GRC power costs.xls Chart 2_Book4 2 4 2" xfId="23793"/>
    <cellStyle name="_VC 6.15.06 update on 06GRC power costs.xls Chart 2_Book4 2 5" xfId="23794"/>
    <cellStyle name="_VC 6.15.06 update on 06GRC power costs.xls Chart 2_Book4 3" xfId="23795"/>
    <cellStyle name="_VC 6.15.06 update on 06GRC power costs.xls Chart 2_Book4 3 2" xfId="23796"/>
    <cellStyle name="_VC 6.15.06 update on 06GRC power costs.xls Chart 2_Book4 3 2 2" xfId="23797"/>
    <cellStyle name="_VC 6.15.06 update on 06GRC power costs.xls Chart 2_Book4 3 3" xfId="23798"/>
    <cellStyle name="_VC 6.15.06 update on 06GRC power costs.xls Chart 2_Book4 3 4" xfId="23799"/>
    <cellStyle name="_VC 6.15.06 update on 06GRC power costs.xls Chart 2_Book4 4" xfId="23800"/>
    <cellStyle name="_VC 6.15.06 update on 06GRC power costs.xls Chart 2_Book4 4 2" xfId="23801"/>
    <cellStyle name="_VC 6.15.06 update on 06GRC power costs.xls Chart 2_Book4 4 2 2" xfId="23802"/>
    <cellStyle name="_VC 6.15.06 update on 06GRC power costs.xls Chart 2_Book4 4 3" xfId="23803"/>
    <cellStyle name="_VC 6.15.06 update on 06GRC power costs.xls Chart 2_Book4 5" xfId="23804"/>
    <cellStyle name="_VC 6.15.06 update on 06GRC power costs.xls Chart 2_Book4 5 2" xfId="23805"/>
    <cellStyle name="_VC 6.15.06 update on 06GRC power costs.xls Chart 2_Book4 6" xfId="23806"/>
    <cellStyle name="_VC 6.15.06 update on 06GRC power costs.xls Chart 2_Book4 6 2" xfId="23807"/>
    <cellStyle name="_VC 6.15.06 update on 06GRC power costs.xls Chart 2_Book4 7" xfId="23808"/>
    <cellStyle name="_VC 6.15.06 update on 06GRC power costs.xls Chart 2_Book4_DEM-WP(C) ENERG10C--ctn Mid-C_042010 2010GRC" xfId="23809"/>
    <cellStyle name="_VC 6.15.06 update on 06GRC power costs.xls Chart 2_Book4_DEM-WP(C) ENERG10C--ctn Mid-C_042010 2010GRC 2" xfId="23810"/>
    <cellStyle name="_VC 6.15.06 update on 06GRC power costs.xls Chart 2_Book9" xfId="980"/>
    <cellStyle name="_VC 6.15.06 update on 06GRC power costs.xls Chart 2_Book9 2" xfId="23811"/>
    <cellStyle name="_VC 6.15.06 update on 06GRC power costs.xls Chart 2_Book9 2 2" xfId="23812"/>
    <cellStyle name="_VC 6.15.06 update on 06GRC power costs.xls Chart 2_Book9 2 2 2" xfId="23813"/>
    <cellStyle name="_VC 6.15.06 update on 06GRC power costs.xls Chart 2_Book9 2 2 2 2" xfId="23814"/>
    <cellStyle name="_VC 6.15.06 update on 06GRC power costs.xls Chart 2_Book9 2 2 3" xfId="23815"/>
    <cellStyle name="_VC 6.15.06 update on 06GRC power costs.xls Chart 2_Book9 2 3" xfId="23816"/>
    <cellStyle name="_VC 6.15.06 update on 06GRC power costs.xls Chart 2_Book9 2 3 2" xfId="23817"/>
    <cellStyle name="_VC 6.15.06 update on 06GRC power costs.xls Chart 2_Book9 2 4" xfId="23818"/>
    <cellStyle name="_VC 6.15.06 update on 06GRC power costs.xls Chart 2_Book9 2 4 2" xfId="23819"/>
    <cellStyle name="_VC 6.15.06 update on 06GRC power costs.xls Chart 2_Book9 2 5" xfId="23820"/>
    <cellStyle name="_VC 6.15.06 update on 06GRC power costs.xls Chart 2_Book9 3" xfId="23821"/>
    <cellStyle name="_VC 6.15.06 update on 06GRC power costs.xls Chart 2_Book9 3 2" xfId="23822"/>
    <cellStyle name="_VC 6.15.06 update on 06GRC power costs.xls Chart 2_Book9 3 2 2" xfId="23823"/>
    <cellStyle name="_VC 6.15.06 update on 06GRC power costs.xls Chart 2_Book9 3 3" xfId="23824"/>
    <cellStyle name="_VC 6.15.06 update on 06GRC power costs.xls Chart 2_Book9 3 4" xfId="23825"/>
    <cellStyle name="_VC 6.15.06 update on 06GRC power costs.xls Chart 2_Book9 4" xfId="23826"/>
    <cellStyle name="_VC 6.15.06 update on 06GRC power costs.xls Chart 2_Book9 4 2" xfId="23827"/>
    <cellStyle name="_VC 6.15.06 update on 06GRC power costs.xls Chart 2_Book9 4 2 2" xfId="23828"/>
    <cellStyle name="_VC 6.15.06 update on 06GRC power costs.xls Chart 2_Book9 4 3" xfId="23829"/>
    <cellStyle name="_VC 6.15.06 update on 06GRC power costs.xls Chart 2_Book9 5" xfId="23830"/>
    <cellStyle name="_VC 6.15.06 update on 06GRC power costs.xls Chart 2_Book9 5 2" xfId="23831"/>
    <cellStyle name="_VC 6.15.06 update on 06GRC power costs.xls Chart 2_Book9 6" xfId="23832"/>
    <cellStyle name="_VC 6.15.06 update on 06GRC power costs.xls Chart 2_Book9 6 2" xfId="23833"/>
    <cellStyle name="_VC 6.15.06 update on 06GRC power costs.xls Chart 2_Book9 7" xfId="23834"/>
    <cellStyle name="_VC 6.15.06 update on 06GRC power costs.xls Chart 2_Book9_DEM-WP(C) ENERG10C--ctn Mid-C_042010 2010GRC" xfId="23835"/>
    <cellStyle name="_VC 6.15.06 update on 06GRC power costs.xls Chart 2_Book9_DEM-WP(C) ENERG10C--ctn Mid-C_042010 2010GRC 2" xfId="23836"/>
    <cellStyle name="_VC 6.15.06 update on 06GRC power costs.xls Chart 2_Chelan PUD Power Costs (8-10)" xfId="23837"/>
    <cellStyle name="_VC 6.15.06 update on 06GRC power costs.xls Chart 2_Chelan PUD Power Costs (8-10) 2" xfId="23838"/>
    <cellStyle name="_VC 6.15.06 update on 06GRC power costs.xls Chart 2_DEM-WP(C) Chelan Power Costs" xfId="23839"/>
    <cellStyle name="_VC 6.15.06 update on 06GRC power costs.xls Chart 2_DEM-WP(C) Chelan Power Costs 2" xfId="23840"/>
    <cellStyle name="_VC 6.15.06 update on 06GRC power costs.xls Chart 2_DEM-WP(C) Chelan Power Costs 2 2" xfId="23841"/>
    <cellStyle name="_VC 6.15.06 update on 06GRC power costs.xls Chart 2_DEM-WP(C) Chelan Power Costs 2 2 2" xfId="23842"/>
    <cellStyle name="_VC 6.15.06 update on 06GRC power costs.xls Chart 2_DEM-WP(C) Chelan Power Costs 2 3" xfId="23843"/>
    <cellStyle name="_VC 6.15.06 update on 06GRC power costs.xls Chart 2_DEM-WP(C) Chelan Power Costs 3" xfId="23844"/>
    <cellStyle name="_VC 6.15.06 update on 06GRC power costs.xls Chart 2_DEM-WP(C) Chelan Power Costs 3 2" xfId="23845"/>
    <cellStyle name="_VC 6.15.06 update on 06GRC power costs.xls Chart 2_DEM-WP(C) Chelan Power Costs 3 2 2" xfId="23846"/>
    <cellStyle name="_VC 6.15.06 update on 06GRC power costs.xls Chart 2_DEM-WP(C) Chelan Power Costs 3 3" xfId="23847"/>
    <cellStyle name="_VC 6.15.06 update on 06GRC power costs.xls Chart 2_DEM-WP(C) Chelan Power Costs 4" xfId="23848"/>
    <cellStyle name="_VC 6.15.06 update on 06GRC power costs.xls Chart 2_DEM-WP(C) Chelan Power Costs 4 2" xfId="23849"/>
    <cellStyle name="_VC 6.15.06 update on 06GRC power costs.xls Chart 2_DEM-WP(C) Chelan Power Costs 5" xfId="23850"/>
    <cellStyle name="_VC 6.15.06 update on 06GRC power costs.xls Chart 2_DEM-WP(C) Chelan Power Costs 5 2" xfId="23851"/>
    <cellStyle name="_VC 6.15.06 update on 06GRC power costs.xls Chart 2_DEM-WP(C) ENERG10C--ctn Mid-C_042010 2010GRC" xfId="23852"/>
    <cellStyle name="_VC 6.15.06 update on 06GRC power costs.xls Chart 2_DEM-WP(C) ENERG10C--ctn Mid-C_042010 2010GRC 2" xfId="23853"/>
    <cellStyle name="_VC 6.15.06 update on 06GRC power costs.xls Chart 2_DEM-WP(C) Gas Transport 2010GRC" xfId="23854"/>
    <cellStyle name="_VC 6.15.06 update on 06GRC power costs.xls Chart 2_DEM-WP(C) Gas Transport 2010GRC 2" xfId="23855"/>
    <cellStyle name="_VC 6.15.06 update on 06GRC power costs.xls Chart 2_DEM-WP(C) Gas Transport 2010GRC 2 2" xfId="23856"/>
    <cellStyle name="_VC 6.15.06 update on 06GRC power costs.xls Chart 2_DEM-WP(C) Gas Transport 2010GRC 2 2 2" xfId="23857"/>
    <cellStyle name="_VC 6.15.06 update on 06GRC power costs.xls Chart 2_DEM-WP(C) Gas Transport 2010GRC 2 3" xfId="23858"/>
    <cellStyle name="_VC 6.15.06 update on 06GRC power costs.xls Chart 2_DEM-WP(C) Gas Transport 2010GRC 3" xfId="23859"/>
    <cellStyle name="_VC 6.15.06 update on 06GRC power costs.xls Chart 2_DEM-WP(C) Gas Transport 2010GRC 3 2" xfId="23860"/>
    <cellStyle name="_VC 6.15.06 update on 06GRC power costs.xls Chart 2_DEM-WP(C) Gas Transport 2010GRC 3 2 2" xfId="23861"/>
    <cellStyle name="_VC 6.15.06 update on 06GRC power costs.xls Chart 2_DEM-WP(C) Gas Transport 2010GRC 3 3" xfId="23862"/>
    <cellStyle name="_VC 6.15.06 update on 06GRC power costs.xls Chart 2_DEM-WP(C) Gas Transport 2010GRC 4" xfId="23863"/>
    <cellStyle name="_VC 6.15.06 update on 06GRC power costs.xls Chart 2_DEM-WP(C) Gas Transport 2010GRC 4 2" xfId="23864"/>
    <cellStyle name="_VC 6.15.06 update on 06GRC power costs.xls Chart 2_DEM-WP(C) Gas Transport 2010GRC 5" xfId="23865"/>
    <cellStyle name="_VC 6.15.06 update on 06GRC power costs.xls Chart 2_DEM-WP(C) Gas Transport 2010GRC 5 2" xfId="23866"/>
    <cellStyle name="_VC 6.15.06 update on 06GRC power costs.xls Chart 2_Exh A-1 resulting from UE-112050 effective Jan 1 2012" xfId="23867"/>
    <cellStyle name="_VC 6.15.06 update on 06GRC power costs.xls Chart 2_Exh A-1 resulting from UE-112050 effective Jan 1 2012 2" xfId="23868"/>
    <cellStyle name="_VC 6.15.06 update on 06GRC power costs.xls Chart 2_Exhibit A-1 effective 4-1-11 fr S Free 12-11" xfId="23869"/>
    <cellStyle name="_VC 6.15.06 update on 06GRC power costs.xls Chart 2_Exhibit A-1 effective 4-1-11 fr S Free 12-11 2" xfId="23870"/>
    <cellStyle name="_VC 6.15.06 update on 06GRC power costs.xls Chart 2_INPUTS" xfId="23871"/>
    <cellStyle name="_VC 6.15.06 update on 06GRC power costs.xls Chart 2_INPUTS 2" xfId="23872"/>
    <cellStyle name="_VC 6.15.06 update on 06GRC power costs.xls Chart 2_INPUTS 2 2" xfId="23873"/>
    <cellStyle name="_VC 6.15.06 update on 06GRC power costs.xls Chart 2_INPUTS 2 2 2" xfId="23874"/>
    <cellStyle name="_VC 6.15.06 update on 06GRC power costs.xls Chart 2_INPUTS 2 3" xfId="23875"/>
    <cellStyle name="_VC 6.15.06 update on 06GRC power costs.xls Chart 2_INPUTS 3" xfId="23876"/>
    <cellStyle name="_VC 6.15.06 update on 06GRC power costs.xls Chart 2_INPUTS 3 2" xfId="23877"/>
    <cellStyle name="_VC 6.15.06 update on 06GRC power costs.xls Chart 2_INPUTS 4" xfId="23878"/>
    <cellStyle name="_VC 6.15.06 update on 06GRC power costs.xls Chart 2_Mint Farm Generation BPA" xfId="23879"/>
    <cellStyle name="_VC 6.15.06 update on 06GRC power costs.xls Chart 2_NIM Summary" xfId="23880"/>
    <cellStyle name="_VC 6.15.06 update on 06GRC power costs.xls Chart 2_NIM Summary 09GRC" xfId="23881"/>
    <cellStyle name="_VC 6.15.06 update on 06GRC power costs.xls Chart 2_NIM Summary 09GRC 2" xfId="23882"/>
    <cellStyle name="_VC 6.15.06 update on 06GRC power costs.xls Chart 2_NIM Summary 09GRC 2 2" xfId="23883"/>
    <cellStyle name="_VC 6.15.06 update on 06GRC power costs.xls Chart 2_NIM Summary 09GRC 2 2 2" xfId="23884"/>
    <cellStyle name="_VC 6.15.06 update on 06GRC power costs.xls Chart 2_NIM Summary 09GRC 2 2 2 2" xfId="23885"/>
    <cellStyle name="_VC 6.15.06 update on 06GRC power costs.xls Chart 2_NIM Summary 09GRC 2 3" xfId="23886"/>
    <cellStyle name="_VC 6.15.06 update on 06GRC power costs.xls Chart 2_NIM Summary 09GRC 2 3 2" xfId="23887"/>
    <cellStyle name="_VC 6.15.06 update on 06GRC power costs.xls Chart 2_NIM Summary 09GRC 2 4" xfId="23888"/>
    <cellStyle name="_VC 6.15.06 update on 06GRC power costs.xls Chart 2_NIM Summary 09GRC 2 4 2" xfId="23889"/>
    <cellStyle name="_VC 6.15.06 update on 06GRC power costs.xls Chart 2_NIM Summary 09GRC 2 5" xfId="23890"/>
    <cellStyle name="_VC 6.15.06 update on 06GRC power costs.xls Chart 2_NIM Summary 09GRC 3" xfId="23891"/>
    <cellStyle name="_VC 6.15.06 update on 06GRC power costs.xls Chart 2_NIM Summary 09GRC 3 2" xfId="23892"/>
    <cellStyle name="_VC 6.15.06 update on 06GRC power costs.xls Chart 2_NIM Summary 09GRC 3 2 2" xfId="23893"/>
    <cellStyle name="_VC 6.15.06 update on 06GRC power costs.xls Chart 2_NIM Summary 09GRC 3 3" xfId="23894"/>
    <cellStyle name="_VC 6.15.06 update on 06GRC power costs.xls Chart 2_NIM Summary 09GRC 4" xfId="23895"/>
    <cellStyle name="_VC 6.15.06 update on 06GRC power costs.xls Chart 2_NIM Summary 09GRC 4 2" xfId="23896"/>
    <cellStyle name="_VC 6.15.06 update on 06GRC power costs.xls Chart 2_NIM Summary 09GRC 4 2 2" xfId="23897"/>
    <cellStyle name="_VC 6.15.06 update on 06GRC power costs.xls Chart 2_NIM Summary 09GRC 4 3" xfId="23898"/>
    <cellStyle name="_VC 6.15.06 update on 06GRC power costs.xls Chart 2_NIM Summary 09GRC 5" xfId="23899"/>
    <cellStyle name="_VC 6.15.06 update on 06GRC power costs.xls Chart 2_NIM Summary 09GRC 5 2" xfId="23900"/>
    <cellStyle name="_VC 6.15.06 update on 06GRC power costs.xls Chart 2_NIM Summary 09GRC 6" xfId="23901"/>
    <cellStyle name="_VC 6.15.06 update on 06GRC power costs.xls Chart 2_NIM Summary 09GRC 6 2" xfId="23902"/>
    <cellStyle name="_VC 6.15.06 update on 06GRC power costs.xls Chart 2_NIM Summary 09GRC 7" xfId="23903"/>
    <cellStyle name="_VC 6.15.06 update on 06GRC power costs.xls Chart 2_NIM Summary 09GRC_DEM-WP(C) ENERG10C--ctn Mid-C_042010 2010GRC" xfId="23904"/>
    <cellStyle name="_VC 6.15.06 update on 06GRC power costs.xls Chart 2_NIM Summary 09GRC_DEM-WP(C) ENERG10C--ctn Mid-C_042010 2010GRC 2" xfId="23905"/>
    <cellStyle name="_VC 6.15.06 update on 06GRC power costs.xls Chart 2_NIM Summary 10" xfId="23906"/>
    <cellStyle name="_VC 6.15.06 update on 06GRC power costs.xls Chart 2_NIM Summary 10 2" xfId="23907"/>
    <cellStyle name="_VC 6.15.06 update on 06GRC power costs.xls Chart 2_NIM Summary 10 2 2" xfId="23908"/>
    <cellStyle name="_VC 6.15.06 update on 06GRC power costs.xls Chart 2_NIM Summary 10 3" xfId="23909"/>
    <cellStyle name="_VC 6.15.06 update on 06GRC power costs.xls Chart 2_NIM Summary 10 4" xfId="23910"/>
    <cellStyle name="_VC 6.15.06 update on 06GRC power costs.xls Chart 2_NIM Summary 11" xfId="23911"/>
    <cellStyle name="_VC 6.15.06 update on 06GRC power costs.xls Chart 2_NIM Summary 11 2" xfId="23912"/>
    <cellStyle name="_VC 6.15.06 update on 06GRC power costs.xls Chart 2_NIM Summary 11 2 2" xfId="23913"/>
    <cellStyle name="_VC 6.15.06 update on 06GRC power costs.xls Chart 2_NIM Summary 11 3" xfId="23914"/>
    <cellStyle name="_VC 6.15.06 update on 06GRC power costs.xls Chart 2_NIM Summary 11 4" xfId="23915"/>
    <cellStyle name="_VC 6.15.06 update on 06GRC power costs.xls Chart 2_NIM Summary 12" xfId="23916"/>
    <cellStyle name="_VC 6.15.06 update on 06GRC power costs.xls Chart 2_NIM Summary 12 2" xfId="23917"/>
    <cellStyle name="_VC 6.15.06 update on 06GRC power costs.xls Chart 2_NIM Summary 12 2 2" xfId="23918"/>
    <cellStyle name="_VC 6.15.06 update on 06GRC power costs.xls Chart 2_NIM Summary 12 3" xfId="23919"/>
    <cellStyle name="_VC 6.15.06 update on 06GRC power costs.xls Chart 2_NIM Summary 12 4" xfId="23920"/>
    <cellStyle name="_VC 6.15.06 update on 06GRC power costs.xls Chart 2_NIM Summary 13" xfId="23921"/>
    <cellStyle name="_VC 6.15.06 update on 06GRC power costs.xls Chart 2_NIM Summary 13 2" xfId="23922"/>
    <cellStyle name="_VC 6.15.06 update on 06GRC power costs.xls Chart 2_NIM Summary 13 2 2" xfId="23923"/>
    <cellStyle name="_VC 6.15.06 update on 06GRC power costs.xls Chart 2_NIM Summary 13 3" xfId="23924"/>
    <cellStyle name="_VC 6.15.06 update on 06GRC power costs.xls Chart 2_NIM Summary 13 4" xfId="23925"/>
    <cellStyle name="_VC 6.15.06 update on 06GRC power costs.xls Chart 2_NIM Summary 14" xfId="23926"/>
    <cellStyle name="_VC 6.15.06 update on 06GRC power costs.xls Chart 2_NIM Summary 14 2" xfId="23927"/>
    <cellStyle name="_VC 6.15.06 update on 06GRC power costs.xls Chart 2_NIM Summary 14 2 2" xfId="23928"/>
    <cellStyle name="_VC 6.15.06 update on 06GRC power costs.xls Chart 2_NIM Summary 14 3" xfId="23929"/>
    <cellStyle name="_VC 6.15.06 update on 06GRC power costs.xls Chart 2_NIM Summary 14 4" xfId="23930"/>
    <cellStyle name="_VC 6.15.06 update on 06GRC power costs.xls Chart 2_NIM Summary 15" xfId="23931"/>
    <cellStyle name="_VC 6.15.06 update on 06GRC power costs.xls Chart 2_NIM Summary 15 2" xfId="23932"/>
    <cellStyle name="_VC 6.15.06 update on 06GRC power costs.xls Chart 2_NIM Summary 15 2 2" xfId="23933"/>
    <cellStyle name="_VC 6.15.06 update on 06GRC power costs.xls Chart 2_NIM Summary 15 3" xfId="23934"/>
    <cellStyle name="_VC 6.15.06 update on 06GRC power costs.xls Chart 2_NIM Summary 15 4" xfId="23935"/>
    <cellStyle name="_VC 6.15.06 update on 06GRC power costs.xls Chart 2_NIM Summary 16" xfId="23936"/>
    <cellStyle name="_VC 6.15.06 update on 06GRC power costs.xls Chart 2_NIM Summary 16 2" xfId="23937"/>
    <cellStyle name="_VC 6.15.06 update on 06GRC power costs.xls Chart 2_NIM Summary 16 2 2" xfId="23938"/>
    <cellStyle name="_VC 6.15.06 update on 06GRC power costs.xls Chart 2_NIM Summary 16 3" xfId="23939"/>
    <cellStyle name="_VC 6.15.06 update on 06GRC power costs.xls Chart 2_NIM Summary 16 4" xfId="23940"/>
    <cellStyle name="_VC 6.15.06 update on 06GRC power costs.xls Chart 2_NIM Summary 17" xfId="23941"/>
    <cellStyle name="_VC 6.15.06 update on 06GRC power costs.xls Chart 2_NIM Summary 17 2" xfId="23942"/>
    <cellStyle name="_VC 6.15.06 update on 06GRC power costs.xls Chart 2_NIM Summary 17 2 2" xfId="23943"/>
    <cellStyle name="_VC 6.15.06 update on 06GRC power costs.xls Chart 2_NIM Summary 17 3" xfId="23944"/>
    <cellStyle name="_VC 6.15.06 update on 06GRC power costs.xls Chart 2_NIM Summary 17 4" xfId="23945"/>
    <cellStyle name="_VC 6.15.06 update on 06GRC power costs.xls Chart 2_NIM Summary 18" xfId="23946"/>
    <cellStyle name="_VC 6.15.06 update on 06GRC power costs.xls Chart 2_NIM Summary 18 2" xfId="23947"/>
    <cellStyle name="_VC 6.15.06 update on 06GRC power costs.xls Chart 2_NIM Summary 18 3" xfId="23948"/>
    <cellStyle name="_VC 6.15.06 update on 06GRC power costs.xls Chart 2_NIM Summary 19" xfId="23949"/>
    <cellStyle name="_VC 6.15.06 update on 06GRC power costs.xls Chart 2_NIM Summary 19 2" xfId="23950"/>
    <cellStyle name="_VC 6.15.06 update on 06GRC power costs.xls Chart 2_NIM Summary 19 3" xfId="23951"/>
    <cellStyle name="_VC 6.15.06 update on 06GRC power costs.xls Chart 2_NIM Summary 2" xfId="23952"/>
    <cellStyle name="_VC 6.15.06 update on 06GRC power costs.xls Chart 2_NIM Summary 2 2" xfId="23953"/>
    <cellStyle name="_VC 6.15.06 update on 06GRC power costs.xls Chart 2_NIM Summary 2 2 2" xfId="23954"/>
    <cellStyle name="_VC 6.15.06 update on 06GRC power costs.xls Chart 2_NIM Summary 2 2 2 2" xfId="23955"/>
    <cellStyle name="_VC 6.15.06 update on 06GRC power costs.xls Chart 2_NIM Summary 2 3" xfId="23956"/>
    <cellStyle name="_VC 6.15.06 update on 06GRC power costs.xls Chart 2_NIM Summary 2 3 2" xfId="23957"/>
    <cellStyle name="_VC 6.15.06 update on 06GRC power costs.xls Chart 2_NIM Summary 2 4" xfId="23958"/>
    <cellStyle name="_VC 6.15.06 update on 06GRC power costs.xls Chart 2_NIM Summary 2 4 2" xfId="23959"/>
    <cellStyle name="_VC 6.15.06 update on 06GRC power costs.xls Chart 2_NIM Summary 2 5" xfId="23960"/>
    <cellStyle name="_VC 6.15.06 update on 06GRC power costs.xls Chart 2_NIM Summary 20" xfId="23961"/>
    <cellStyle name="_VC 6.15.06 update on 06GRC power costs.xls Chart 2_NIM Summary 20 2" xfId="23962"/>
    <cellStyle name="_VC 6.15.06 update on 06GRC power costs.xls Chart 2_NIM Summary 20 3" xfId="23963"/>
    <cellStyle name="_VC 6.15.06 update on 06GRC power costs.xls Chart 2_NIM Summary 21" xfId="23964"/>
    <cellStyle name="_VC 6.15.06 update on 06GRC power costs.xls Chart 2_NIM Summary 21 2" xfId="23965"/>
    <cellStyle name="_VC 6.15.06 update on 06GRC power costs.xls Chart 2_NIM Summary 21 3" xfId="23966"/>
    <cellStyle name="_VC 6.15.06 update on 06GRC power costs.xls Chart 2_NIM Summary 22" xfId="23967"/>
    <cellStyle name="_VC 6.15.06 update on 06GRC power costs.xls Chart 2_NIM Summary 22 2" xfId="23968"/>
    <cellStyle name="_VC 6.15.06 update on 06GRC power costs.xls Chart 2_NIM Summary 22 3" xfId="23969"/>
    <cellStyle name="_VC 6.15.06 update on 06GRC power costs.xls Chart 2_NIM Summary 23" xfId="23970"/>
    <cellStyle name="_VC 6.15.06 update on 06GRC power costs.xls Chart 2_NIM Summary 23 2" xfId="23971"/>
    <cellStyle name="_VC 6.15.06 update on 06GRC power costs.xls Chart 2_NIM Summary 23 3" xfId="23972"/>
    <cellStyle name="_VC 6.15.06 update on 06GRC power costs.xls Chart 2_NIM Summary 24" xfId="23973"/>
    <cellStyle name="_VC 6.15.06 update on 06GRC power costs.xls Chart 2_NIM Summary 24 2" xfId="23974"/>
    <cellStyle name="_VC 6.15.06 update on 06GRC power costs.xls Chart 2_NIM Summary 24 3" xfId="23975"/>
    <cellStyle name="_VC 6.15.06 update on 06GRC power costs.xls Chart 2_NIM Summary 25" xfId="23976"/>
    <cellStyle name="_VC 6.15.06 update on 06GRC power costs.xls Chart 2_NIM Summary 25 2" xfId="23977"/>
    <cellStyle name="_VC 6.15.06 update on 06GRC power costs.xls Chart 2_NIM Summary 25 3" xfId="23978"/>
    <cellStyle name="_VC 6.15.06 update on 06GRC power costs.xls Chart 2_NIM Summary 26" xfId="23979"/>
    <cellStyle name="_VC 6.15.06 update on 06GRC power costs.xls Chart 2_NIM Summary 26 2" xfId="23980"/>
    <cellStyle name="_VC 6.15.06 update on 06GRC power costs.xls Chart 2_NIM Summary 26 3" xfId="23981"/>
    <cellStyle name="_VC 6.15.06 update on 06GRC power costs.xls Chart 2_NIM Summary 27" xfId="23982"/>
    <cellStyle name="_VC 6.15.06 update on 06GRC power costs.xls Chart 2_NIM Summary 27 2" xfId="23983"/>
    <cellStyle name="_VC 6.15.06 update on 06GRC power costs.xls Chart 2_NIM Summary 27 3" xfId="23984"/>
    <cellStyle name="_VC 6.15.06 update on 06GRC power costs.xls Chart 2_NIM Summary 28" xfId="23985"/>
    <cellStyle name="_VC 6.15.06 update on 06GRC power costs.xls Chart 2_NIM Summary 28 2" xfId="23986"/>
    <cellStyle name="_VC 6.15.06 update on 06GRC power costs.xls Chart 2_NIM Summary 28 3" xfId="23987"/>
    <cellStyle name="_VC 6.15.06 update on 06GRC power costs.xls Chart 2_NIM Summary 29" xfId="23988"/>
    <cellStyle name="_VC 6.15.06 update on 06GRC power costs.xls Chart 2_NIM Summary 29 2" xfId="23989"/>
    <cellStyle name="_VC 6.15.06 update on 06GRC power costs.xls Chart 2_NIM Summary 29 3" xfId="23990"/>
    <cellStyle name="_VC 6.15.06 update on 06GRC power costs.xls Chart 2_NIM Summary 3" xfId="23991"/>
    <cellStyle name="_VC 6.15.06 update on 06GRC power costs.xls Chart 2_NIM Summary 3 2" xfId="23992"/>
    <cellStyle name="_VC 6.15.06 update on 06GRC power costs.xls Chart 2_NIM Summary 3 2 2" xfId="23993"/>
    <cellStyle name="_VC 6.15.06 update on 06GRC power costs.xls Chart 2_NIM Summary 3 3" xfId="23994"/>
    <cellStyle name="_VC 6.15.06 update on 06GRC power costs.xls Chart 2_NIM Summary 3 4" xfId="23995"/>
    <cellStyle name="_VC 6.15.06 update on 06GRC power costs.xls Chart 2_NIM Summary 30" xfId="23996"/>
    <cellStyle name="_VC 6.15.06 update on 06GRC power costs.xls Chart 2_NIM Summary 30 2" xfId="23997"/>
    <cellStyle name="_VC 6.15.06 update on 06GRC power costs.xls Chart 2_NIM Summary 30 3" xfId="23998"/>
    <cellStyle name="_VC 6.15.06 update on 06GRC power costs.xls Chart 2_NIM Summary 31" xfId="23999"/>
    <cellStyle name="_VC 6.15.06 update on 06GRC power costs.xls Chart 2_NIM Summary 31 2" xfId="24000"/>
    <cellStyle name="_VC 6.15.06 update on 06GRC power costs.xls Chart 2_NIM Summary 31 3" xfId="24001"/>
    <cellStyle name="_VC 6.15.06 update on 06GRC power costs.xls Chart 2_NIM Summary 32" xfId="24002"/>
    <cellStyle name="_VC 6.15.06 update on 06GRC power costs.xls Chart 2_NIM Summary 32 2" xfId="24003"/>
    <cellStyle name="_VC 6.15.06 update on 06GRC power costs.xls Chart 2_NIM Summary 33" xfId="24004"/>
    <cellStyle name="_VC 6.15.06 update on 06GRC power costs.xls Chart 2_NIM Summary 33 2" xfId="24005"/>
    <cellStyle name="_VC 6.15.06 update on 06GRC power costs.xls Chart 2_NIM Summary 34" xfId="24006"/>
    <cellStyle name="_VC 6.15.06 update on 06GRC power costs.xls Chart 2_NIM Summary 34 2" xfId="24007"/>
    <cellStyle name="_VC 6.15.06 update on 06GRC power costs.xls Chart 2_NIM Summary 35" xfId="24008"/>
    <cellStyle name="_VC 6.15.06 update on 06GRC power costs.xls Chart 2_NIM Summary 35 2" xfId="24009"/>
    <cellStyle name="_VC 6.15.06 update on 06GRC power costs.xls Chart 2_NIM Summary 36" xfId="24010"/>
    <cellStyle name="_VC 6.15.06 update on 06GRC power costs.xls Chart 2_NIM Summary 36 2" xfId="24011"/>
    <cellStyle name="_VC 6.15.06 update on 06GRC power costs.xls Chart 2_NIM Summary 37" xfId="24012"/>
    <cellStyle name="_VC 6.15.06 update on 06GRC power costs.xls Chart 2_NIM Summary 37 2" xfId="24013"/>
    <cellStyle name="_VC 6.15.06 update on 06GRC power costs.xls Chart 2_NIM Summary 38" xfId="24014"/>
    <cellStyle name="_VC 6.15.06 update on 06GRC power costs.xls Chart 2_NIM Summary 38 2" xfId="24015"/>
    <cellStyle name="_VC 6.15.06 update on 06GRC power costs.xls Chart 2_NIM Summary 39" xfId="24016"/>
    <cellStyle name="_VC 6.15.06 update on 06GRC power costs.xls Chart 2_NIM Summary 39 2" xfId="24017"/>
    <cellStyle name="_VC 6.15.06 update on 06GRC power costs.xls Chart 2_NIM Summary 4" xfId="24018"/>
    <cellStyle name="_VC 6.15.06 update on 06GRC power costs.xls Chart 2_NIM Summary 4 2" xfId="24019"/>
    <cellStyle name="_VC 6.15.06 update on 06GRC power costs.xls Chart 2_NIM Summary 4 2 2" xfId="24020"/>
    <cellStyle name="_VC 6.15.06 update on 06GRC power costs.xls Chart 2_NIM Summary 4 3" xfId="24021"/>
    <cellStyle name="_VC 6.15.06 update on 06GRC power costs.xls Chart 2_NIM Summary 4 4" xfId="24022"/>
    <cellStyle name="_VC 6.15.06 update on 06GRC power costs.xls Chart 2_NIM Summary 40" xfId="24023"/>
    <cellStyle name="_VC 6.15.06 update on 06GRC power costs.xls Chart 2_NIM Summary 40 2" xfId="24024"/>
    <cellStyle name="_VC 6.15.06 update on 06GRC power costs.xls Chart 2_NIM Summary 41" xfId="24025"/>
    <cellStyle name="_VC 6.15.06 update on 06GRC power costs.xls Chart 2_NIM Summary 41 2" xfId="24026"/>
    <cellStyle name="_VC 6.15.06 update on 06GRC power costs.xls Chart 2_NIM Summary 42" xfId="24027"/>
    <cellStyle name="_VC 6.15.06 update on 06GRC power costs.xls Chart 2_NIM Summary 42 2" xfId="24028"/>
    <cellStyle name="_VC 6.15.06 update on 06GRC power costs.xls Chart 2_NIM Summary 43" xfId="24029"/>
    <cellStyle name="_VC 6.15.06 update on 06GRC power costs.xls Chart 2_NIM Summary 43 2" xfId="24030"/>
    <cellStyle name="_VC 6.15.06 update on 06GRC power costs.xls Chart 2_NIM Summary 44" xfId="24031"/>
    <cellStyle name="_VC 6.15.06 update on 06GRC power costs.xls Chart 2_NIM Summary 44 2" xfId="24032"/>
    <cellStyle name="_VC 6.15.06 update on 06GRC power costs.xls Chart 2_NIM Summary 45" xfId="24033"/>
    <cellStyle name="_VC 6.15.06 update on 06GRC power costs.xls Chart 2_NIM Summary 45 2" xfId="24034"/>
    <cellStyle name="_VC 6.15.06 update on 06GRC power costs.xls Chart 2_NIM Summary 46" xfId="24035"/>
    <cellStyle name="_VC 6.15.06 update on 06GRC power costs.xls Chart 2_NIM Summary 46 2" xfId="24036"/>
    <cellStyle name="_VC 6.15.06 update on 06GRC power costs.xls Chart 2_NIM Summary 47" xfId="24037"/>
    <cellStyle name="_VC 6.15.06 update on 06GRC power costs.xls Chart 2_NIM Summary 47 2" xfId="24038"/>
    <cellStyle name="_VC 6.15.06 update on 06GRC power costs.xls Chart 2_NIM Summary 48" xfId="24039"/>
    <cellStyle name="_VC 6.15.06 update on 06GRC power costs.xls Chart 2_NIM Summary 49" xfId="24040"/>
    <cellStyle name="_VC 6.15.06 update on 06GRC power costs.xls Chart 2_NIM Summary 5" xfId="24041"/>
    <cellStyle name="_VC 6.15.06 update on 06GRC power costs.xls Chart 2_NIM Summary 5 2" xfId="24042"/>
    <cellStyle name="_VC 6.15.06 update on 06GRC power costs.xls Chart 2_NIM Summary 5 2 2" xfId="24043"/>
    <cellStyle name="_VC 6.15.06 update on 06GRC power costs.xls Chart 2_NIM Summary 5 3" xfId="24044"/>
    <cellStyle name="_VC 6.15.06 update on 06GRC power costs.xls Chart 2_NIM Summary 5 4" xfId="24045"/>
    <cellStyle name="_VC 6.15.06 update on 06GRC power costs.xls Chart 2_NIM Summary 50" xfId="24046"/>
    <cellStyle name="_VC 6.15.06 update on 06GRC power costs.xls Chart 2_NIM Summary 51" xfId="24047"/>
    <cellStyle name="_VC 6.15.06 update on 06GRC power costs.xls Chart 2_NIM Summary 52" xfId="24048"/>
    <cellStyle name="_VC 6.15.06 update on 06GRC power costs.xls Chart 2_NIM Summary 6" xfId="24049"/>
    <cellStyle name="_VC 6.15.06 update on 06GRC power costs.xls Chart 2_NIM Summary 6 2" xfId="24050"/>
    <cellStyle name="_VC 6.15.06 update on 06GRC power costs.xls Chart 2_NIM Summary 6 2 2" xfId="24051"/>
    <cellStyle name="_VC 6.15.06 update on 06GRC power costs.xls Chart 2_NIM Summary 6 3" xfId="24052"/>
    <cellStyle name="_VC 6.15.06 update on 06GRC power costs.xls Chart 2_NIM Summary 6 4" xfId="24053"/>
    <cellStyle name="_VC 6.15.06 update on 06GRC power costs.xls Chart 2_NIM Summary 7" xfId="24054"/>
    <cellStyle name="_VC 6.15.06 update on 06GRC power costs.xls Chart 2_NIM Summary 7 2" xfId="24055"/>
    <cellStyle name="_VC 6.15.06 update on 06GRC power costs.xls Chart 2_NIM Summary 7 2 2" xfId="24056"/>
    <cellStyle name="_VC 6.15.06 update on 06GRC power costs.xls Chart 2_NIM Summary 7 3" xfId="24057"/>
    <cellStyle name="_VC 6.15.06 update on 06GRC power costs.xls Chart 2_NIM Summary 7 4" xfId="24058"/>
    <cellStyle name="_VC 6.15.06 update on 06GRC power costs.xls Chart 2_NIM Summary 7 5" xfId="24059"/>
    <cellStyle name="_VC 6.15.06 update on 06GRC power costs.xls Chart 2_NIM Summary 8" xfId="24060"/>
    <cellStyle name="_VC 6.15.06 update on 06GRC power costs.xls Chart 2_NIM Summary 8 2" xfId="24061"/>
    <cellStyle name="_VC 6.15.06 update on 06GRC power costs.xls Chart 2_NIM Summary 8 2 2" xfId="24062"/>
    <cellStyle name="_VC 6.15.06 update on 06GRC power costs.xls Chart 2_NIM Summary 8 3" xfId="24063"/>
    <cellStyle name="_VC 6.15.06 update on 06GRC power costs.xls Chart 2_NIM Summary 8 4" xfId="24064"/>
    <cellStyle name="_VC 6.15.06 update on 06GRC power costs.xls Chart 2_NIM Summary 8 5" xfId="24065"/>
    <cellStyle name="_VC 6.15.06 update on 06GRC power costs.xls Chart 2_NIM Summary 9" xfId="24066"/>
    <cellStyle name="_VC 6.15.06 update on 06GRC power costs.xls Chart 2_NIM Summary 9 2" xfId="24067"/>
    <cellStyle name="_VC 6.15.06 update on 06GRC power costs.xls Chart 2_NIM Summary 9 2 2" xfId="24068"/>
    <cellStyle name="_VC 6.15.06 update on 06GRC power costs.xls Chart 2_NIM Summary 9 3" xfId="24069"/>
    <cellStyle name="_VC 6.15.06 update on 06GRC power costs.xls Chart 2_NIM Summary 9 4" xfId="24070"/>
    <cellStyle name="_VC 6.15.06 update on 06GRC power costs.xls Chart 2_NIM Summary 9 5" xfId="24071"/>
    <cellStyle name="_VC 6.15.06 update on 06GRC power costs.xls Chart 2_NIM Summary_DEM-WP(C) ENERG10C--ctn Mid-C_042010 2010GRC" xfId="24072"/>
    <cellStyle name="_VC 6.15.06 update on 06GRC power costs.xls Chart 2_NIM Summary_DEM-WP(C) ENERG10C--ctn Mid-C_042010 2010GRC 2" xfId="24073"/>
    <cellStyle name="_VC 6.15.06 update on 06GRC power costs.xls Chart 2_PCA 10 -  Exhibit D Dec 2011" xfId="24074"/>
    <cellStyle name="_VC 6.15.06 update on 06GRC power costs.xls Chart 2_PCA 10 -  Exhibit D Dec 2011 2" xfId="24075"/>
    <cellStyle name="_VC 6.15.06 update on 06GRC power costs.xls Chart 2_PCA 10 -  Exhibit D from A Kellogg Jan 2011" xfId="24076"/>
    <cellStyle name="_VC 6.15.06 update on 06GRC power costs.xls Chart 2_PCA 10 -  Exhibit D from A Kellogg Jan 2011 2" xfId="24077"/>
    <cellStyle name="_VC 6.15.06 update on 06GRC power costs.xls Chart 2_PCA 10 -  Exhibit D from A Kellogg July 2011" xfId="24078"/>
    <cellStyle name="_VC 6.15.06 update on 06GRC power costs.xls Chart 2_PCA 10 -  Exhibit D from A Kellogg July 2011 2" xfId="24079"/>
    <cellStyle name="_VC 6.15.06 update on 06GRC power costs.xls Chart 2_PCA 10 -  Exhibit D from S Free Rcv'd 12-11" xfId="24080"/>
    <cellStyle name="_VC 6.15.06 update on 06GRC power costs.xls Chart 2_PCA 10 -  Exhibit D from S Free Rcv'd 12-11 2" xfId="24081"/>
    <cellStyle name="_VC 6.15.06 update on 06GRC power costs.xls Chart 2_PCA 11 -  Exhibit D Jan 2012 fr A Kellogg" xfId="24082"/>
    <cellStyle name="_VC 6.15.06 update on 06GRC power costs.xls Chart 2_PCA 11 -  Exhibit D Jan 2012 fr A Kellogg 2" xfId="24083"/>
    <cellStyle name="_VC 6.15.06 update on 06GRC power costs.xls Chart 2_PCA 11 -  Exhibit D Jan 2012 WF" xfId="24084"/>
    <cellStyle name="_VC 6.15.06 update on 06GRC power costs.xls Chart 2_PCA 11 -  Exhibit D Jan 2012 WF 2" xfId="24085"/>
    <cellStyle name="_VC 6.15.06 update on 06GRC power costs.xls Chart 2_PCA 9 -  Exhibit D April 2010" xfId="24086"/>
    <cellStyle name="_VC 6.15.06 update on 06GRC power costs.xls Chart 2_PCA 9 -  Exhibit D April 2010 (3)" xfId="24087"/>
    <cellStyle name="_VC 6.15.06 update on 06GRC power costs.xls Chart 2_PCA 9 -  Exhibit D April 2010 (3) 2" xfId="24088"/>
    <cellStyle name="_VC 6.15.06 update on 06GRC power costs.xls Chart 2_PCA 9 -  Exhibit D April 2010 (3) 2 2" xfId="24089"/>
    <cellStyle name="_VC 6.15.06 update on 06GRC power costs.xls Chart 2_PCA 9 -  Exhibit D April 2010 (3) 2 2 2" xfId="24090"/>
    <cellStyle name="_VC 6.15.06 update on 06GRC power costs.xls Chart 2_PCA 9 -  Exhibit D April 2010 (3) 2 2 2 2" xfId="24091"/>
    <cellStyle name="_VC 6.15.06 update on 06GRC power costs.xls Chart 2_PCA 9 -  Exhibit D April 2010 (3) 2 3" xfId="24092"/>
    <cellStyle name="_VC 6.15.06 update on 06GRC power costs.xls Chart 2_PCA 9 -  Exhibit D April 2010 (3) 2 3 2" xfId="24093"/>
    <cellStyle name="_VC 6.15.06 update on 06GRC power costs.xls Chart 2_PCA 9 -  Exhibit D April 2010 (3) 2 4" xfId="24094"/>
    <cellStyle name="_VC 6.15.06 update on 06GRC power costs.xls Chart 2_PCA 9 -  Exhibit D April 2010 (3) 2 4 2" xfId="24095"/>
    <cellStyle name="_VC 6.15.06 update on 06GRC power costs.xls Chart 2_PCA 9 -  Exhibit D April 2010 (3) 2 5" xfId="24096"/>
    <cellStyle name="_VC 6.15.06 update on 06GRC power costs.xls Chart 2_PCA 9 -  Exhibit D April 2010 (3) 3" xfId="24097"/>
    <cellStyle name="_VC 6.15.06 update on 06GRC power costs.xls Chart 2_PCA 9 -  Exhibit D April 2010 (3) 3 2" xfId="24098"/>
    <cellStyle name="_VC 6.15.06 update on 06GRC power costs.xls Chart 2_PCA 9 -  Exhibit D April 2010 (3) 3 2 2" xfId="24099"/>
    <cellStyle name="_VC 6.15.06 update on 06GRC power costs.xls Chart 2_PCA 9 -  Exhibit D April 2010 (3) 3 3" xfId="24100"/>
    <cellStyle name="_VC 6.15.06 update on 06GRC power costs.xls Chart 2_PCA 9 -  Exhibit D April 2010 (3) 4" xfId="24101"/>
    <cellStyle name="_VC 6.15.06 update on 06GRC power costs.xls Chart 2_PCA 9 -  Exhibit D April 2010 (3) 4 2" xfId="24102"/>
    <cellStyle name="_VC 6.15.06 update on 06GRC power costs.xls Chart 2_PCA 9 -  Exhibit D April 2010 (3) 4 2 2" xfId="24103"/>
    <cellStyle name="_VC 6.15.06 update on 06GRC power costs.xls Chart 2_PCA 9 -  Exhibit D April 2010 (3) 4 3" xfId="24104"/>
    <cellStyle name="_VC 6.15.06 update on 06GRC power costs.xls Chart 2_PCA 9 -  Exhibit D April 2010 (3) 5" xfId="24105"/>
    <cellStyle name="_VC 6.15.06 update on 06GRC power costs.xls Chart 2_PCA 9 -  Exhibit D April 2010 (3) 5 2" xfId="24106"/>
    <cellStyle name="_VC 6.15.06 update on 06GRC power costs.xls Chart 2_PCA 9 -  Exhibit D April 2010 (3) 6" xfId="24107"/>
    <cellStyle name="_VC 6.15.06 update on 06GRC power costs.xls Chart 2_PCA 9 -  Exhibit D April 2010 (3) 6 2" xfId="24108"/>
    <cellStyle name="_VC 6.15.06 update on 06GRC power costs.xls Chart 2_PCA 9 -  Exhibit D April 2010 (3) 7" xfId="24109"/>
    <cellStyle name="_VC 6.15.06 update on 06GRC power costs.xls Chart 2_PCA 9 -  Exhibit D April 2010 (3)_DEM-WP(C) ENERG10C--ctn Mid-C_042010 2010GRC" xfId="24110"/>
    <cellStyle name="_VC 6.15.06 update on 06GRC power costs.xls Chart 2_PCA 9 -  Exhibit D April 2010 (3)_DEM-WP(C) ENERG10C--ctn Mid-C_042010 2010GRC 2" xfId="24111"/>
    <cellStyle name="_VC 6.15.06 update on 06GRC power costs.xls Chart 2_PCA 9 -  Exhibit D April 2010 2" xfId="24112"/>
    <cellStyle name="_VC 6.15.06 update on 06GRC power costs.xls Chart 2_PCA 9 -  Exhibit D April 2010 2 2" xfId="24113"/>
    <cellStyle name="_VC 6.15.06 update on 06GRC power costs.xls Chart 2_PCA 9 -  Exhibit D April 2010 3" xfId="24114"/>
    <cellStyle name="_VC 6.15.06 update on 06GRC power costs.xls Chart 2_PCA 9 -  Exhibit D April 2010 3 2" xfId="24115"/>
    <cellStyle name="_VC 6.15.06 update on 06GRC power costs.xls Chart 2_PCA 9 -  Exhibit D April 2010 4" xfId="24116"/>
    <cellStyle name="_VC 6.15.06 update on 06GRC power costs.xls Chart 2_PCA 9 -  Exhibit D April 2010 4 2" xfId="24117"/>
    <cellStyle name="_VC 6.15.06 update on 06GRC power costs.xls Chart 2_PCA 9 -  Exhibit D April 2010 5" xfId="24118"/>
    <cellStyle name="_VC 6.15.06 update on 06GRC power costs.xls Chart 2_PCA 9 -  Exhibit D April 2010 5 2" xfId="24119"/>
    <cellStyle name="_VC 6.15.06 update on 06GRC power costs.xls Chart 2_PCA 9 -  Exhibit D April 2010 6" xfId="24120"/>
    <cellStyle name="_VC 6.15.06 update on 06GRC power costs.xls Chart 2_PCA 9 -  Exhibit D April 2010 6 2" xfId="24121"/>
    <cellStyle name="_VC 6.15.06 update on 06GRC power costs.xls Chart 2_PCA 9 -  Exhibit D April 2010 7" xfId="24122"/>
    <cellStyle name="_VC 6.15.06 update on 06GRC power costs.xls Chart 2_PCA 9 -  Exhibit D Nov 2010" xfId="24123"/>
    <cellStyle name="_VC 6.15.06 update on 06GRC power costs.xls Chart 2_PCA 9 -  Exhibit D Nov 2010 2" xfId="24124"/>
    <cellStyle name="_VC 6.15.06 update on 06GRC power costs.xls Chart 2_PCA 9 -  Exhibit D Nov 2010 2 2" xfId="24125"/>
    <cellStyle name="_VC 6.15.06 update on 06GRC power costs.xls Chart 2_PCA 9 -  Exhibit D Nov 2010 3" xfId="24126"/>
    <cellStyle name="_VC 6.15.06 update on 06GRC power costs.xls Chart 2_PCA 9 - Exhibit D at August 2010" xfId="24127"/>
    <cellStyle name="_VC 6.15.06 update on 06GRC power costs.xls Chart 2_PCA 9 - Exhibit D at August 2010 2" xfId="24128"/>
    <cellStyle name="_VC 6.15.06 update on 06GRC power costs.xls Chart 2_PCA 9 - Exhibit D at August 2010 2 2" xfId="24129"/>
    <cellStyle name="_VC 6.15.06 update on 06GRC power costs.xls Chart 2_PCA 9 - Exhibit D at August 2010 3" xfId="24130"/>
    <cellStyle name="_VC 6.15.06 update on 06GRC power costs.xls Chart 2_PCA 9 - Exhibit D June 2010 GRC" xfId="24131"/>
    <cellStyle name="_VC 6.15.06 update on 06GRC power costs.xls Chart 2_PCA 9 - Exhibit D June 2010 GRC 2" xfId="24132"/>
    <cellStyle name="_VC 6.15.06 update on 06GRC power costs.xls Chart 2_PCA 9 - Exhibit D June 2010 GRC 2 2" xfId="24133"/>
    <cellStyle name="_VC 6.15.06 update on 06GRC power costs.xls Chart 2_PCA 9 - Exhibit D June 2010 GRC 3" xfId="24134"/>
    <cellStyle name="_VC 6.15.06 update on 06GRC power costs.xls Chart 2_Power Costs - Comparison bx Rbtl-Staff-Jt-PC" xfId="981"/>
    <cellStyle name="_VC 6.15.06 update on 06GRC power costs.xls Chart 2_Power Costs - Comparison bx Rbtl-Staff-Jt-PC 2" xfId="24135"/>
    <cellStyle name="_VC 6.15.06 update on 06GRC power costs.xls Chart 2_Power Costs - Comparison bx Rbtl-Staff-Jt-PC 2 2" xfId="24136"/>
    <cellStyle name="_VC 6.15.06 update on 06GRC power costs.xls Chart 2_Power Costs - Comparison bx Rbtl-Staff-Jt-PC 2 2 2" xfId="24137"/>
    <cellStyle name="_VC 6.15.06 update on 06GRC power costs.xls Chart 2_Power Costs - Comparison bx Rbtl-Staff-Jt-PC 2 2 2 2" xfId="24138"/>
    <cellStyle name="_VC 6.15.06 update on 06GRC power costs.xls Chart 2_Power Costs - Comparison bx Rbtl-Staff-Jt-PC 2 2 3" xfId="24139"/>
    <cellStyle name="_VC 6.15.06 update on 06GRC power costs.xls Chart 2_Power Costs - Comparison bx Rbtl-Staff-Jt-PC 2 3" xfId="24140"/>
    <cellStyle name="_VC 6.15.06 update on 06GRC power costs.xls Chart 2_Power Costs - Comparison bx Rbtl-Staff-Jt-PC 2 3 2" xfId="24141"/>
    <cellStyle name="_VC 6.15.06 update on 06GRC power costs.xls Chart 2_Power Costs - Comparison bx Rbtl-Staff-Jt-PC 2 4" xfId="24142"/>
    <cellStyle name="_VC 6.15.06 update on 06GRC power costs.xls Chart 2_Power Costs - Comparison bx Rbtl-Staff-Jt-PC 2 4 2" xfId="24143"/>
    <cellStyle name="_VC 6.15.06 update on 06GRC power costs.xls Chart 2_Power Costs - Comparison bx Rbtl-Staff-Jt-PC 2 5" xfId="24144"/>
    <cellStyle name="_VC 6.15.06 update on 06GRC power costs.xls Chart 2_Power Costs - Comparison bx Rbtl-Staff-Jt-PC 3" xfId="24145"/>
    <cellStyle name="_VC 6.15.06 update on 06GRC power costs.xls Chart 2_Power Costs - Comparison bx Rbtl-Staff-Jt-PC 3 2" xfId="24146"/>
    <cellStyle name="_VC 6.15.06 update on 06GRC power costs.xls Chart 2_Power Costs - Comparison bx Rbtl-Staff-Jt-PC 3 2 2" xfId="24147"/>
    <cellStyle name="_VC 6.15.06 update on 06GRC power costs.xls Chart 2_Power Costs - Comparison bx Rbtl-Staff-Jt-PC 3 3" xfId="24148"/>
    <cellStyle name="_VC 6.15.06 update on 06GRC power costs.xls Chart 2_Power Costs - Comparison bx Rbtl-Staff-Jt-PC 3 4" xfId="24149"/>
    <cellStyle name="_VC 6.15.06 update on 06GRC power costs.xls Chart 2_Power Costs - Comparison bx Rbtl-Staff-Jt-PC 4" xfId="24150"/>
    <cellStyle name="_VC 6.15.06 update on 06GRC power costs.xls Chart 2_Power Costs - Comparison bx Rbtl-Staff-Jt-PC 4 2" xfId="24151"/>
    <cellStyle name="_VC 6.15.06 update on 06GRC power costs.xls Chart 2_Power Costs - Comparison bx Rbtl-Staff-Jt-PC 4 2 2" xfId="24152"/>
    <cellStyle name="_VC 6.15.06 update on 06GRC power costs.xls Chart 2_Power Costs - Comparison bx Rbtl-Staff-Jt-PC 4 3" xfId="24153"/>
    <cellStyle name="_VC 6.15.06 update on 06GRC power costs.xls Chart 2_Power Costs - Comparison bx Rbtl-Staff-Jt-PC 5" xfId="24154"/>
    <cellStyle name="_VC 6.15.06 update on 06GRC power costs.xls Chart 2_Power Costs - Comparison bx Rbtl-Staff-Jt-PC 5 2" xfId="24155"/>
    <cellStyle name="_VC 6.15.06 update on 06GRC power costs.xls Chart 2_Power Costs - Comparison bx Rbtl-Staff-Jt-PC 6" xfId="24156"/>
    <cellStyle name="_VC 6.15.06 update on 06GRC power costs.xls Chart 2_Power Costs - Comparison bx Rbtl-Staff-Jt-PC 6 2" xfId="24157"/>
    <cellStyle name="_VC 6.15.06 update on 06GRC power costs.xls Chart 2_Power Costs - Comparison bx Rbtl-Staff-Jt-PC 7" xfId="24158"/>
    <cellStyle name="_VC 6.15.06 update on 06GRC power costs.xls Chart 2_Power Costs - Comparison bx Rbtl-Staff-Jt-PC_Adj Bench DR 3 for Initial Briefs (Electric)" xfId="982"/>
    <cellStyle name="_VC 6.15.06 update on 06GRC power costs.xls Chart 2_Power Costs - Comparison bx Rbtl-Staff-Jt-PC_Adj Bench DR 3 for Initial Briefs (Electric) 2" xfId="24159"/>
    <cellStyle name="_VC 6.15.06 update on 06GRC power costs.xls Chart 2_Power Costs - Comparison bx Rbtl-Staff-Jt-PC_Adj Bench DR 3 for Initial Briefs (Electric) 2 2" xfId="24160"/>
    <cellStyle name="_VC 6.15.06 update on 06GRC power costs.xls Chart 2_Power Costs - Comparison bx Rbtl-Staff-Jt-PC_Adj Bench DR 3 for Initial Briefs (Electric) 2 2 2" xfId="24161"/>
    <cellStyle name="_VC 6.15.06 update on 06GRC power costs.xls Chart 2_Power Costs - Comparison bx Rbtl-Staff-Jt-PC_Adj Bench DR 3 for Initial Briefs (Electric) 2 2 2 2" xfId="24162"/>
    <cellStyle name="_VC 6.15.06 update on 06GRC power costs.xls Chart 2_Power Costs - Comparison bx Rbtl-Staff-Jt-PC_Adj Bench DR 3 for Initial Briefs (Electric) 2 2 3" xfId="24163"/>
    <cellStyle name="_VC 6.15.06 update on 06GRC power costs.xls Chart 2_Power Costs - Comparison bx Rbtl-Staff-Jt-PC_Adj Bench DR 3 for Initial Briefs (Electric) 2 3" xfId="24164"/>
    <cellStyle name="_VC 6.15.06 update on 06GRC power costs.xls Chart 2_Power Costs - Comparison bx Rbtl-Staff-Jt-PC_Adj Bench DR 3 for Initial Briefs (Electric) 2 3 2" xfId="24165"/>
    <cellStyle name="_VC 6.15.06 update on 06GRC power costs.xls Chart 2_Power Costs - Comparison bx Rbtl-Staff-Jt-PC_Adj Bench DR 3 for Initial Briefs (Electric) 2 4" xfId="24166"/>
    <cellStyle name="_VC 6.15.06 update on 06GRC power costs.xls Chart 2_Power Costs - Comparison bx Rbtl-Staff-Jt-PC_Adj Bench DR 3 for Initial Briefs (Electric) 2 4 2" xfId="24167"/>
    <cellStyle name="_VC 6.15.06 update on 06GRC power costs.xls Chart 2_Power Costs - Comparison bx Rbtl-Staff-Jt-PC_Adj Bench DR 3 for Initial Briefs (Electric) 2 5" xfId="24168"/>
    <cellStyle name="_VC 6.15.06 update on 06GRC power costs.xls Chart 2_Power Costs - Comparison bx Rbtl-Staff-Jt-PC_Adj Bench DR 3 for Initial Briefs (Electric) 3" xfId="24169"/>
    <cellStyle name="_VC 6.15.06 update on 06GRC power costs.xls Chart 2_Power Costs - Comparison bx Rbtl-Staff-Jt-PC_Adj Bench DR 3 for Initial Briefs (Electric) 3 2" xfId="24170"/>
    <cellStyle name="_VC 6.15.06 update on 06GRC power costs.xls Chart 2_Power Costs - Comparison bx Rbtl-Staff-Jt-PC_Adj Bench DR 3 for Initial Briefs (Electric) 3 2 2" xfId="24171"/>
    <cellStyle name="_VC 6.15.06 update on 06GRC power costs.xls Chart 2_Power Costs - Comparison bx Rbtl-Staff-Jt-PC_Adj Bench DR 3 for Initial Briefs (Electric) 3 3" xfId="24172"/>
    <cellStyle name="_VC 6.15.06 update on 06GRC power costs.xls Chart 2_Power Costs - Comparison bx Rbtl-Staff-Jt-PC_Adj Bench DR 3 for Initial Briefs (Electric) 3 4" xfId="24173"/>
    <cellStyle name="_VC 6.15.06 update on 06GRC power costs.xls Chart 2_Power Costs - Comparison bx Rbtl-Staff-Jt-PC_Adj Bench DR 3 for Initial Briefs (Electric) 4" xfId="24174"/>
    <cellStyle name="_VC 6.15.06 update on 06GRC power costs.xls Chart 2_Power Costs - Comparison bx Rbtl-Staff-Jt-PC_Adj Bench DR 3 for Initial Briefs (Electric) 4 2" xfId="24175"/>
    <cellStyle name="_VC 6.15.06 update on 06GRC power costs.xls Chart 2_Power Costs - Comparison bx Rbtl-Staff-Jt-PC_Adj Bench DR 3 for Initial Briefs (Electric) 4 2 2" xfId="24176"/>
    <cellStyle name="_VC 6.15.06 update on 06GRC power costs.xls Chart 2_Power Costs - Comparison bx Rbtl-Staff-Jt-PC_Adj Bench DR 3 for Initial Briefs (Electric) 4 3" xfId="24177"/>
    <cellStyle name="_VC 6.15.06 update on 06GRC power costs.xls Chart 2_Power Costs - Comparison bx Rbtl-Staff-Jt-PC_Adj Bench DR 3 for Initial Briefs (Electric) 5" xfId="24178"/>
    <cellStyle name="_VC 6.15.06 update on 06GRC power costs.xls Chart 2_Power Costs - Comparison bx Rbtl-Staff-Jt-PC_Adj Bench DR 3 for Initial Briefs (Electric) 5 2" xfId="24179"/>
    <cellStyle name="_VC 6.15.06 update on 06GRC power costs.xls Chart 2_Power Costs - Comparison bx Rbtl-Staff-Jt-PC_Adj Bench DR 3 for Initial Briefs (Electric) 6" xfId="24180"/>
    <cellStyle name="_VC 6.15.06 update on 06GRC power costs.xls Chart 2_Power Costs - Comparison bx Rbtl-Staff-Jt-PC_Adj Bench DR 3 for Initial Briefs (Electric) 6 2" xfId="24181"/>
    <cellStyle name="_VC 6.15.06 update on 06GRC power costs.xls Chart 2_Power Costs - Comparison bx Rbtl-Staff-Jt-PC_Adj Bench DR 3 for Initial Briefs (Electric) 7" xfId="24182"/>
    <cellStyle name="_VC 6.15.06 update on 06GRC power costs.xls Chart 2_Power Costs - Comparison bx Rbtl-Staff-Jt-PC_Adj Bench DR 3 for Initial Briefs (Electric)_DEM-WP(C) ENERG10C--ctn Mid-C_042010 2010GRC" xfId="24183"/>
    <cellStyle name="_VC 6.15.06 update on 06GRC power costs.xls Chart 2_Power Costs - Comparison bx Rbtl-Staff-Jt-PC_Adj Bench DR 3 for Initial Briefs (Electric)_DEM-WP(C) ENERG10C--ctn Mid-C_042010 2010GRC 2" xfId="24184"/>
    <cellStyle name="_VC 6.15.06 update on 06GRC power costs.xls Chart 2_Power Costs - Comparison bx Rbtl-Staff-Jt-PC_DEM-WP(C) ENERG10C--ctn Mid-C_042010 2010GRC" xfId="24185"/>
    <cellStyle name="_VC 6.15.06 update on 06GRC power costs.xls Chart 2_Power Costs - Comparison bx Rbtl-Staff-Jt-PC_DEM-WP(C) ENERG10C--ctn Mid-C_042010 2010GRC 2" xfId="24186"/>
    <cellStyle name="_VC 6.15.06 update on 06GRC power costs.xls Chart 2_Power Costs - Comparison bx Rbtl-Staff-Jt-PC_Electric Rev Req Model (2009 GRC) Rebuttal" xfId="983"/>
    <cellStyle name="_VC 6.15.06 update on 06GRC power costs.xls Chart 2_Power Costs - Comparison bx Rbtl-Staff-Jt-PC_Electric Rev Req Model (2009 GRC) Rebuttal 2" xfId="24187"/>
    <cellStyle name="_VC 6.15.06 update on 06GRC power costs.xls Chart 2_Power Costs - Comparison bx Rbtl-Staff-Jt-PC_Electric Rev Req Model (2009 GRC) Rebuttal 2 2" xfId="24188"/>
    <cellStyle name="_VC 6.15.06 update on 06GRC power costs.xls Chart 2_Power Costs - Comparison bx Rbtl-Staff-Jt-PC_Electric Rev Req Model (2009 GRC) Rebuttal 2 2 2" xfId="24189"/>
    <cellStyle name="_VC 6.15.06 update on 06GRC power costs.xls Chart 2_Power Costs - Comparison bx Rbtl-Staff-Jt-PC_Electric Rev Req Model (2009 GRC) Rebuttal 2 3" xfId="24190"/>
    <cellStyle name="_VC 6.15.06 update on 06GRC power costs.xls Chart 2_Power Costs - Comparison bx Rbtl-Staff-Jt-PC_Electric Rev Req Model (2009 GRC) Rebuttal 2 4" xfId="24191"/>
    <cellStyle name="_VC 6.15.06 update on 06GRC power costs.xls Chart 2_Power Costs - Comparison bx Rbtl-Staff-Jt-PC_Electric Rev Req Model (2009 GRC) Rebuttal 3" xfId="24192"/>
    <cellStyle name="_VC 6.15.06 update on 06GRC power costs.xls Chart 2_Power Costs - Comparison bx Rbtl-Staff-Jt-PC_Electric Rev Req Model (2009 GRC) Rebuttal 3 2" xfId="24193"/>
    <cellStyle name="_VC 6.15.06 update on 06GRC power costs.xls Chart 2_Power Costs - Comparison bx Rbtl-Staff-Jt-PC_Electric Rev Req Model (2009 GRC) Rebuttal 4" xfId="24194"/>
    <cellStyle name="_VC 6.15.06 update on 06GRC power costs.xls Chart 2_Power Costs - Comparison bx Rbtl-Staff-Jt-PC_Electric Rev Req Model (2009 GRC) Rebuttal 5" xfId="24195"/>
    <cellStyle name="_VC 6.15.06 update on 06GRC power costs.xls Chart 2_Power Costs - Comparison bx Rbtl-Staff-Jt-PC_Electric Rev Req Model (2009 GRC) Rebuttal REmoval of New  WH Solar AdjustMI" xfId="984"/>
    <cellStyle name="_VC 6.15.06 update on 06GRC power costs.xls Chart 2_Power Costs - Comparison bx Rbtl-Staff-Jt-PC_Electric Rev Req Model (2009 GRC) Rebuttal REmoval of New  WH Solar AdjustMI 2" xfId="24196"/>
    <cellStyle name="_VC 6.15.06 update on 06GRC power costs.xls Chart 2_Power Costs - Comparison bx Rbtl-Staff-Jt-PC_Electric Rev Req Model (2009 GRC) Rebuttal REmoval of New  WH Solar AdjustMI 2 2" xfId="24197"/>
    <cellStyle name="_VC 6.15.06 update on 06GRC power costs.xls Chart 2_Power Costs - Comparison bx Rbtl-Staff-Jt-PC_Electric Rev Req Model (2009 GRC) Rebuttal REmoval of New  WH Solar AdjustMI 2 2 2" xfId="24198"/>
    <cellStyle name="_VC 6.15.06 update on 06GRC power costs.xls Chart 2_Power Costs - Comparison bx Rbtl-Staff-Jt-PC_Electric Rev Req Model (2009 GRC) Rebuttal REmoval of New  WH Solar AdjustMI 2 2 2 2" xfId="24199"/>
    <cellStyle name="_VC 6.15.06 update on 06GRC power costs.xls Chart 2_Power Costs - Comparison bx Rbtl-Staff-Jt-PC_Electric Rev Req Model (2009 GRC) Rebuttal REmoval of New  WH Solar AdjustMI 2 2 3" xfId="24200"/>
    <cellStyle name="_VC 6.15.06 update on 06GRC power costs.xls Chart 2_Power Costs - Comparison bx Rbtl-Staff-Jt-PC_Electric Rev Req Model (2009 GRC) Rebuttal REmoval of New  WH Solar AdjustMI 2 3" xfId="24201"/>
    <cellStyle name="_VC 6.15.06 update on 06GRC power costs.xls Chart 2_Power Costs - Comparison bx Rbtl-Staff-Jt-PC_Electric Rev Req Model (2009 GRC) Rebuttal REmoval of New  WH Solar AdjustMI 2 3 2" xfId="24202"/>
    <cellStyle name="_VC 6.15.06 update on 06GRC power costs.xls Chart 2_Power Costs - Comparison bx Rbtl-Staff-Jt-PC_Electric Rev Req Model (2009 GRC) Rebuttal REmoval of New  WH Solar AdjustMI 2 4" xfId="24203"/>
    <cellStyle name="_VC 6.15.06 update on 06GRC power costs.xls Chart 2_Power Costs - Comparison bx Rbtl-Staff-Jt-PC_Electric Rev Req Model (2009 GRC) Rebuttal REmoval of New  WH Solar AdjustMI 2 4 2" xfId="24204"/>
    <cellStyle name="_VC 6.15.06 update on 06GRC power costs.xls Chart 2_Power Costs - Comparison bx Rbtl-Staff-Jt-PC_Electric Rev Req Model (2009 GRC) Rebuttal REmoval of New  WH Solar AdjustMI 2 5" xfId="24205"/>
    <cellStyle name="_VC 6.15.06 update on 06GRC power costs.xls Chart 2_Power Costs - Comparison bx Rbtl-Staff-Jt-PC_Electric Rev Req Model (2009 GRC) Rebuttal REmoval of New  WH Solar AdjustMI 3" xfId="24206"/>
    <cellStyle name="_VC 6.15.06 update on 06GRC power costs.xls Chart 2_Power Costs - Comparison bx Rbtl-Staff-Jt-PC_Electric Rev Req Model (2009 GRC) Rebuttal REmoval of New  WH Solar AdjustMI 3 2" xfId="24207"/>
    <cellStyle name="_VC 6.15.06 update on 06GRC power costs.xls Chart 2_Power Costs - Comparison bx Rbtl-Staff-Jt-PC_Electric Rev Req Model (2009 GRC) Rebuttal REmoval of New  WH Solar AdjustMI 3 2 2" xfId="24208"/>
    <cellStyle name="_VC 6.15.06 update on 06GRC power costs.xls Chart 2_Power Costs - Comparison bx Rbtl-Staff-Jt-PC_Electric Rev Req Model (2009 GRC) Rebuttal REmoval of New  WH Solar AdjustMI 3 3" xfId="24209"/>
    <cellStyle name="_VC 6.15.06 update on 06GRC power costs.xls Chart 2_Power Costs - Comparison bx Rbtl-Staff-Jt-PC_Electric Rev Req Model (2009 GRC) Rebuttal REmoval of New  WH Solar AdjustMI 3 4" xfId="24210"/>
    <cellStyle name="_VC 6.15.06 update on 06GRC power costs.xls Chart 2_Power Costs - Comparison bx Rbtl-Staff-Jt-PC_Electric Rev Req Model (2009 GRC) Rebuttal REmoval of New  WH Solar AdjustMI 4" xfId="24211"/>
    <cellStyle name="_VC 6.15.06 update on 06GRC power costs.xls Chart 2_Power Costs - Comparison bx Rbtl-Staff-Jt-PC_Electric Rev Req Model (2009 GRC) Rebuttal REmoval of New  WH Solar AdjustMI 4 2" xfId="24212"/>
    <cellStyle name="_VC 6.15.06 update on 06GRC power costs.xls Chart 2_Power Costs - Comparison bx Rbtl-Staff-Jt-PC_Electric Rev Req Model (2009 GRC) Rebuttal REmoval of New  WH Solar AdjustMI 4 2 2" xfId="24213"/>
    <cellStyle name="_VC 6.15.06 update on 06GRC power costs.xls Chart 2_Power Costs - Comparison bx Rbtl-Staff-Jt-PC_Electric Rev Req Model (2009 GRC) Rebuttal REmoval of New  WH Solar AdjustMI 4 3" xfId="24214"/>
    <cellStyle name="_VC 6.15.06 update on 06GRC power costs.xls Chart 2_Power Costs - Comparison bx Rbtl-Staff-Jt-PC_Electric Rev Req Model (2009 GRC) Rebuttal REmoval of New  WH Solar AdjustMI 5" xfId="24215"/>
    <cellStyle name="_VC 6.15.06 update on 06GRC power costs.xls Chart 2_Power Costs - Comparison bx Rbtl-Staff-Jt-PC_Electric Rev Req Model (2009 GRC) Rebuttal REmoval of New  WH Solar AdjustMI 5 2" xfId="24216"/>
    <cellStyle name="_VC 6.15.06 update on 06GRC power costs.xls Chart 2_Power Costs - Comparison bx Rbtl-Staff-Jt-PC_Electric Rev Req Model (2009 GRC) Rebuttal REmoval of New  WH Solar AdjustMI 6" xfId="24217"/>
    <cellStyle name="_VC 6.15.06 update on 06GRC power costs.xls Chart 2_Power Costs - Comparison bx Rbtl-Staff-Jt-PC_Electric Rev Req Model (2009 GRC) Rebuttal REmoval of New  WH Solar AdjustMI 6 2" xfId="24218"/>
    <cellStyle name="_VC 6.15.06 update on 06GRC power costs.xls Chart 2_Power Costs - Comparison bx Rbtl-Staff-Jt-PC_Electric Rev Req Model (2009 GRC) Rebuttal REmoval of New  WH Solar AdjustMI 7" xfId="24219"/>
    <cellStyle name="_VC 6.15.06 update on 06GRC power costs.xls Chart 2_Power Costs - Comparison bx Rbtl-Staff-Jt-PC_Electric Rev Req Model (2009 GRC) Rebuttal REmoval of New  WH Solar AdjustMI_DEM-WP(C) ENERG10C--ctn Mid-C_042010 2010GRC" xfId="24220"/>
    <cellStyle name="_VC 6.15.06 update on 06GRC power costs.xls Chart 2_Power Costs - Comparison bx Rbtl-Staff-Jt-PC_Electric Rev Req Model (2009 GRC) Rebuttal REmoval of New  WH Solar AdjustMI_DEM-WP(C) ENERG10C--ctn Mid-C_042010 2010GRC 2" xfId="24221"/>
    <cellStyle name="_VC 6.15.06 update on 06GRC power costs.xls Chart 2_Power Costs - Comparison bx Rbtl-Staff-Jt-PC_Electric Rev Req Model (2009 GRC) Revised 01-18-2010" xfId="985"/>
    <cellStyle name="_VC 6.15.06 update on 06GRC power costs.xls Chart 2_Power Costs - Comparison bx Rbtl-Staff-Jt-PC_Electric Rev Req Model (2009 GRC) Revised 01-18-2010 2" xfId="24222"/>
    <cellStyle name="_VC 6.15.06 update on 06GRC power costs.xls Chart 2_Power Costs - Comparison bx Rbtl-Staff-Jt-PC_Electric Rev Req Model (2009 GRC) Revised 01-18-2010 2 2" xfId="24223"/>
    <cellStyle name="_VC 6.15.06 update on 06GRC power costs.xls Chart 2_Power Costs - Comparison bx Rbtl-Staff-Jt-PC_Electric Rev Req Model (2009 GRC) Revised 01-18-2010 2 2 2" xfId="24224"/>
    <cellStyle name="_VC 6.15.06 update on 06GRC power costs.xls Chart 2_Power Costs - Comparison bx Rbtl-Staff-Jt-PC_Electric Rev Req Model (2009 GRC) Revised 01-18-2010 2 2 2 2" xfId="24225"/>
    <cellStyle name="_VC 6.15.06 update on 06GRC power costs.xls Chart 2_Power Costs - Comparison bx Rbtl-Staff-Jt-PC_Electric Rev Req Model (2009 GRC) Revised 01-18-2010 2 2 3" xfId="24226"/>
    <cellStyle name="_VC 6.15.06 update on 06GRC power costs.xls Chart 2_Power Costs - Comparison bx Rbtl-Staff-Jt-PC_Electric Rev Req Model (2009 GRC) Revised 01-18-2010 2 3" xfId="24227"/>
    <cellStyle name="_VC 6.15.06 update on 06GRC power costs.xls Chart 2_Power Costs - Comparison bx Rbtl-Staff-Jt-PC_Electric Rev Req Model (2009 GRC) Revised 01-18-2010 2 3 2" xfId="24228"/>
    <cellStyle name="_VC 6.15.06 update on 06GRC power costs.xls Chart 2_Power Costs - Comparison bx Rbtl-Staff-Jt-PC_Electric Rev Req Model (2009 GRC) Revised 01-18-2010 2 4" xfId="24229"/>
    <cellStyle name="_VC 6.15.06 update on 06GRC power costs.xls Chart 2_Power Costs - Comparison bx Rbtl-Staff-Jt-PC_Electric Rev Req Model (2009 GRC) Revised 01-18-2010 2 4 2" xfId="24230"/>
    <cellStyle name="_VC 6.15.06 update on 06GRC power costs.xls Chart 2_Power Costs - Comparison bx Rbtl-Staff-Jt-PC_Electric Rev Req Model (2009 GRC) Revised 01-18-2010 2 5" xfId="24231"/>
    <cellStyle name="_VC 6.15.06 update on 06GRC power costs.xls Chart 2_Power Costs - Comparison bx Rbtl-Staff-Jt-PC_Electric Rev Req Model (2009 GRC) Revised 01-18-2010 3" xfId="24232"/>
    <cellStyle name="_VC 6.15.06 update on 06GRC power costs.xls Chart 2_Power Costs - Comparison bx Rbtl-Staff-Jt-PC_Electric Rev Req Model (2009 GRC) Revised 01-18-2010 3 2" xfId="24233"/>
    <cellStyle name="_VC 6.15.06 update on 06GRC power costs.xls Chart 2_Power Costs - Comparison bx Rbtl-Staff-Jt-PC_Electric Rev Req Model (2009 GRC) Revised 01-18-2010 3 2 2" xfId="24234"/>
    <cellStyle name="_VC 6.15.06 update on 06GRC power costs.xls Chart 2_Power Costs - Comparison bx Rbtl-Staff-Jt-PC_Electric Rev Req Model (2009 GRC) Revised 01-18-2010 3 3" xfId="24235"/>
    <cellStyle name="_VC 6.15.06 update on 06GRC power costs.xls Chart 2_Power Costs - Comparison bx Rbtl-Staff-Jt-PC_Electric Rev Req Model (2009 GRC) Revised 01-18-2010 3 4" xfId="24236"/>
    <cellStyle name="_VC 6.15.06 update on 06GRC power costs.xls Chart 2_Power Costs - Comparison bx Rbtl-Staff-Jt-PC_Electric Rev Req Model (2009 GRC) Revised 01-18-2010 4" xfId="24237"/>
    <cellStyle name="_VC 6.15.06 update on 06GRC power costs.xls Chart 2_Power Costs - Comparison bx Rbtl-Staff-Jt-PC_Electric Rev Req Model (2009 GRC) Revised 01-18-2010 4 2" xfId="24238"/>
    <cellStyle name="_VC 6.15.06 update on 06GRC power costs.xls Chart 2_Power Costs - Comparison bx Rbtl-Staff-Jt-PC_Electric Rev Req Model (2009 GRC) Revised 01-18-2010 4 2 2" xfId="24239"/>
    <cellStyle name="_VC 6.15.06 update on 06GRC power costs.xls Chart 2_Power Costs - Comparison bx Rbtl-Staff-Jt-PC_Electric Rev Req Model (2009 GRC) Revised 01-18-2010 4 3" xfId="24240"/>
    <cellStyle name="_VC 6.15.06 update on 06GRC power costs.xls Chart 2_Power Costs - Comparison bx Rbtl-Staff-Jt-PC_Electric Rev Req Model (2009 GRC) Revised 01-18-2010 5" xfId="24241"/>
    <cellStyle name="_VC 6.15.06 update on 06GRC power costs.xls Chart 2_Power Costs - Comparison bx Rbtl-Staff-Jt-PC_Electric Rev Req Model (2009 GRC) Revised 01-18-2010 5 2" xfId="24242"/>
    <cellStyle name="_VC 6.15.06 update on 06GRC power costs.xls Chart 2_Power Costs - Comparison bx Rbtl-Staff-Jt-PC_Electric Rev Req Model (2009 GRC) Revised 01-18-2010 6" xfId="24243"/>
    <cellStyle name="_VC 6.15.06 update on 06GRC power costs.xls Chart 2_Power Costs - Comparison bx Rbtl-Staff-Jt-PC_Electric Rev Req Model (2009 GRC) Revised 01-18-2010 6 2" xfId="24244"/>
    <cellStyle name="_VC 6.15.06 update on 06GRC power costs.xls Chart 2_Power Costs - Comparison bx Rbtl-Staff-Jt-PC_Electric Rev Req Model (2009 GRC) Revised 01-18-2010 7" xfId="24245"/>
    <cellStyle name="_VC 6.15.06 update on 06GRC power costs.xls Chart 2_Power Costs - Comparison bx Rbtl-Staff-Jt-PC_Electric Rev Req Model (2009 GRC) Revised 01-18-2010_DEM-WP(C) ENERG10C--ctn Mid-C_042010 2010GRC" xfId="24246"/>
    <cellStyle name="_VC 6.15.06 update on 06GRC power costs.xls Chart 2_Power Costs - Comparison bx Rbtl-Staff-Jt-PC_Electric Rev Req Model (2009 GRC) Revised 01-18-2010_DEM-WP(C) ENERG10C--ctn Mid-C_042010 2010GRC 2" xfId="24247"/>
    <cellStyle name="_VC 6.15.06 update on 06GRC power costs.xls Chart 2_Power Costs - Comparison bx Rbtl-Staff-Jt-PC_Final Order Electric EXHIBIT A-1" xfId="986"/>
    <cellStyle name="_VC 6.15.06 update on 06GRC power costs.xls Chart 2_Power Costs - Comparison bx Rbtl-Staff-Jt-PC_Final Order Electric EXHIBIT A-1 2" xfId="24248"/>
    <cellStyle name="_VC 6.15.06 update on 06GRC power costs.xls Chart 2_Power Costs - Comparison bx Rbtl-Staff-Jt-PC_Final Order Electric EXHIBIT A-1 2 2" xfId="24249"/>
    <cellStyle name="_VC 6.15.06 update on 06GRC power costs.xls Chart 2_Power Costs - Comparison bx Rbtl-Staff-Jt-PC_Final Order Electric EXHIBIT A-1 2 2 2" xfId="24250"/>
    <cellStyle name="_VC 6.15.06 update on 06GRC power costs.xls Chart 2_Power Costs - Comparison bx Rbtl-Staff-Jt-PC_Final Order Electric EXHIBIT A-1 2 3" xfId="24251"/>
    <cellStyle name="_VC 6.15.06 update on 06GRC power costs.xls Chart 2_Power Costs - Comparison bx Rbtl-Staff-Jt-PC_Final Order Electric EXHIBIT A-1 2 4" xfId="24252"/>
    <cellStyle name="_VC 6.15.06 update on 06GRC power costs.xls Chart 2_Power Costs - Comparison bx Rbtl-Staff-Jt-PC_Final Order Electric EXHIBIT A-1 3" xfId="24253"/>
    <cellStyle name="_VC 6.15.06 update on 06GRC power costs.xls Chart 2_Power Costs - Comparison bx Rbtl-Staff-Jt-PC_Final Order Electric EXHIBIT A-1 3 2" xfId="24254"/>
    <cellStyle name="_VC 6.15.06 update on 06GRC power costs.xls Chart 2_Power Costs - Comparison bx Rbtl-Staff-Jt-PC_Final Order Electric EXHIBIT A-1 3 2 2" xfId="24255"/>
    <cellStyle name="_VC 6.15.06 update on 06GRC power costs.xls Chart 2_Power Costs - Comparison bx Rbtl-Staff-Jt-PC_Final Order Electric EXHIBIT A-1 3 3" xfId="24256"/>
    <cellStyle name="_VC 6.15.06 update on 06GRC power costs.xls Chart 2_Power Costs - Comparison bx Rbtl-Staff-Jt-PC_Final Order Electric EXHIBIT A-1 4" xfId="24257"/>
    <cellStyle name="_VC 6.15.06 update on 06GRC power costs.xls Chart 2_Power Costs - Comparison bx Rbtl-Staff-Jt-PC_Final Order Electric EXHIBIT A-1 4 2" xfId="24258"/>
    <cellStyle name="_VC 6.15.06 update on 06GRC power costs.xls Chart 2_Power Costs - Comparison bx Rbtl-Staff-Jt-PC_Final Order Electric EXHIBIT A-1 5" xfId="24259"/>
    <cellStyle name="_VC 6.15.06 update on 06GRC power costs.xls Chart 2_Power Costs - Comparison bx Rbtl-Staff-Jt-PC_Final Order Electric EXHIBIT A-1 6" xfId="24260"/>
    <cellStyle name="_VC 6.15.06 update on 06GRC power costs.xls Chart 2_Power Costs - Comparison bx Rbtl-Staff-Jt-PC_Final Order Electric EXHIBIT A-1 7" xfId="24261"/>
    <cellStyle name="_VC 6.15.06 update on 06GRC power costs.xls Chart 2_Production Adj 4.37" xfId="24262"/>
    <cellStyle name="_VC 6.15.06 update on 06GRC power costs.xls Chart 2_Production Adj 4.37 2" xfId="24263"/>
    <cellStyle name="_VC 6.15.06 update on 06GRC power costs.xls Chart 2_Production Adj 4.37 2 2" xfId="24264"/>
    <cellStyle name="_VC 6.15.06 update on 06GRC power costs.xls Chart 2_Production Adj 4.37 2 2 2" xfId="24265"/>
    <cellStyle name="_VC 6.15.06 update on 06GRC power costs.xls Chart 2_Production Adj 4.37 2 3" xfId="24266"/>
    <cellStyle name="_VC 6.15.06 update on 06GRC power costs.xls Chart 2_Production Adj 4.37 3" xfId="24267"/>
    <cellStyle name="_VC 6.15.06 update on 06GRC power costs.xls Chart 2_Production Adj 4.37 3 2" xfId="24268"/>
    <cellStyle name="_VC 6.15.06 update on 06GRC power costs.xls Chart 2_Production Adj 4.37 4" xfId="24269"/>
    <cellStyle name="_VC 6.15.06 update on 06GRC power costs.xls Chart 2_Purchased Power Adj 4.03" xfId="24270"/>
    <cellStyle name="_VC 6.15.06 update on 06GRC power costs.xls Chart 2_Purchased Power Adj 4.03 2" xfId="24271"/>
    <cellStyle name="_VC 6.15.06 update on 06GRC power costs.xls Chart 2_Purchased Power Adj 4.03 2 2" xfId="24272"/>
    <cellStyle name="_VC 6.15.06 update on 06GRC power costs.xls Chart 2_Purchased Power Adj 4.03 2 2 2" xfId="24273"/>
    <cellStyle name="_VC 6.15.06 update on 06GRC power costs.xls Chart 2_Purchased Power Adj 4.03 2 3" xfId="24274"/>
    <cellStyle name="_VC 6.15.06 update on 06GRC power costs.xls Chart 2_Purchased Power Adj 4.03 3" xfId="24275"/>
    <cellStyle name="_VC 6.15.06 update on 06GRC power costs.xls Chart 2_Purchased Power Adj 4.03 3 2" xfId="24276"/>
    <cellStyle name="_VC 6.15.06 update on 06GRC power costs.xls Chart 2_Purchased Power Adj 4.03 4" xfId="24277"/>
    <cellStyle name="_VC 6.15.06 update on 06GRC power costs.xls Chart 2_Rebuttal Power Costs" xfId="987"/>
    <cellStyle name="_VC 6.15.06 update on 06GRC power costs.xls Chart 2_Rebuttal Power Costs 2" xfId="24278"/>
    <cellStyle name="_VC 6.15.06 update on 06GRC power costs.xls Chart 2_Rebuttal Power Costs 2 2" xfId="24279"/>
    <cellStyle name="_VC 6.15.06 update on 06GRC power costs.xls Chart 2_Rebuttal Power Costs 2 2 2" xfId="24280"/>
    <cellStyle name="_VC 6.15.06 update on 06GRC power costs.xls Chart 2_Rebuttal Power Costs 2 2 2 2" xfId="24281"/>
    <cellStyle name="_VC 6.15.06 update on 06GRC power costs.xls Chart 2_Rebuttal Power Costs 2 2 3" xfId="24282"/>
    <cellStyle name="_VC 6.15.06 update on 06GRC power costs.xls Chart 2_Rebuttal Power Costs 2 3" xfId="24283"/>
    <cellStyle name="_VC 6.15.06 update on 06GRC power costs.xls Chart 2_Rebuttal Power Costs 2 3 2" xfId="24284"/>
    <cellStyle name="_VC 6.15.06 update on 06GRC power costs.xls Chart 2_Rebuttal Power Costs 2 4" xfId="24285"/>
    <cellStyle name="_VC 6.15.06 update on 06GRC power costs.xls Chart 2_Rebuttal Power Costs 2 4 2" xfId="24286"/>
    <cellStyle name="_VC 6.15.06 update on 06GRC power costs.xls Chart 2_Rebuttal Power Costs 2 5" xfId="24287"/>
    <cellStyle name="_VC 6.15.06 update on 06GRC power costs.xls Chart 2_Rebuttal Power Costs 3" xfId="24288"/>
    <cellStyle name="_VC 6.15.06 update on 06GRC power costs.xls Chart 2_Rebuttal Power Costs 3 2" xfId="24289"/>
    <cellStyle name="_VC 6.15.06 update on 06GRC power costs.xls Chart 2_Rebuttal Power Costs 3 2 2" xfId="24290"/>
    <cellStyle name="_VC 6.15.06 update on 06GRC power costs.xls Chart 2_Rebuttal Power Costs 3 3" xfId="24291"/>
    <cellStyle name="_VC 6.15.06 update on 06GRC power costs.xls Chart 2_Rebuttal Power Costs 3 4" xfId="24292"/>
    <cellStyle name="_VC 6.15.06 update on 06GRC power costs.xls Chart 2_Rebuttal Power Costs 4" xfId="24293"/>
    <cellStyle name="_VC 6.15.06 update on 06GRC power costs.xls Chart 2_Rebuttal Power Costs 4 2" xfId="24294"/>
    <cellStyle name="_VC 6.15.06 update on 06GRC power costs.xls Chart 2_Rebuttal Power Costs 4 2 2" xfId="24295"/>
    <cellStyle name="_VC 6.15.06 update on 06GRC power costs.xls Chart 2_Rebuttal Power Costs 4 3" xfId="24296"/>
    <cellStyle name="_VC 6.15.06 update on 06GRC power costs.xls Chart 2_Rebuttal Power Costs 5" xfId="24297"/>
    <cellStyle name="_VC 6.15.06 update on 06GRC power costs.xls Chart 2_Rebuttal Power Costs 5 2" xfId="24298"/>
    <cellStyle name="_VC 6.15.06 update on 06GRC power costs.xls Chart 2_Rebuttal Power Costs 6" xfId="24299"/>
    <cellStyle name="_VC 6.15.06 update on 06GRC power costs.xls Chart 2_Rebuttal Power Costs 6 2" xfId="24300"/>
    <cellStyle name="_VC 6.15.06 update on 06GRC power costs.xls Chart 2_Rebuttal Power Costs 7" xfId="24301"/>
    <cellStyle name="_VC 6.15.06 update on 06GRC power costs.xls Chart 2_Rebuttal Power Costs_Adj Bench DR 3 for Initial Briefs (Electric)" xfId="988"/>
    <cellStyle name="_VC 6.15.06 update on 06GRC power costs.xls Chart 2_Rebuttal Power Costs_Adj Bench DR 3 for Initial Briefs (Electric) 2" xfId="24302"/>
    <cellStyle name="_VC 6.15.06 update on 06GRC power costs.xls Chart 2_Rebuttal Power Costs_Adj Bench DR 3 for Initial Briefs (Electric) 2 2" xfId="24303"/>
    <cellStyle name="_VC 6.15.06 update on 06GRC power costs.xls Chart 2_Rebuttal Power Costs_Adj Bench DR 3 for Initial Briefs (Electric) 2 2 2" xfId="24304"/>
    <cellStyle name="_VC 6.15.06 update on 06GRC power costs.xls Chart 2_Rebuttal Power Costs_Adj Bench DR 3 for Initial Briefs (Electric) 2 2 2 2" xfId="24305"/>
    <cellStyle name="_VC 6.15.06 update on 06GRC power costs.xls Chart 2_Rebuttal Power Costs_Adj Bench DR 3 for Initial Briefs (Electric) 2 2 3" xfId="24306"/>
    <cellStyle name="_VC 6.15.06 update on 06GRC power costs.xls Chart 2_Rebuttal Power Costs_Adj Bench DR 3 for Initial Briefs (Electric) 2 3" xfId="24307"/>
    <cellStyle name="_VC 6.15.06 update on 06GRC power costs.xls Chart 2_Rebuttal Power Costs_Adj Bench DR 3 for Initial Briefs (Electric) 2 3 2" xfId="24308"/>
    <cellStyle name="_VC 6.15.06 update on 06GRC power costs.xls Chart 2_Rebuttal Power Costs_Adj Bench DR 3 for Initial Briefs (Electric) 2 4" xfId="24309"/>
    <cellStyle name="_VC 6.15.06 update on 06GRC power costs.xls Chart 2_Rebuttal Power Costs_Adj Bench DR 3 for Initial Briefs (Electric) 2 4 2" xfId="24310"/>
    <cellStyle name="_VC 6.15.06 update on 06GRC power costs.xls Chart 2_Rebuttal Power Costs_Adj Bench DR 3 for Initial Briefs (Electric) 2 5" xfId="24311"/>
    <cellStyle name="_VC 6.15.06 update on 06GRC power costs.xls Chart 2_Rebuttal Power Costs_Adj Bench DR 3 for Initial Briefs (Electric) 3" xfId="24312"/>
    <cellStyle name="_VC 6.15.06 update on 06GRC power costs.xls Chart 2_Rebuttal Power Costs_Adj Bench DR 3 for Initial Briefs (Electric) 3 2" xfId="24313"/>
    <cellStyle name="_VC 6.15.06 update on 06GRC power costs.xls Chart 2_Rebuttal Power Costs_Adj Bench DR 3 for Initial Briefs (Electric) 3 2 2" xfId="24314"/>
    <cellStyle name="_VC 6.15.06 update on 06GRC power costs.xls Chart 2_Rebuttal Power Costs_Adj Bench DR 3 for Initial Briefs (Electric) 3 3" xfId="24315"/>
    <cellStyle name="_VC 6.15.06 update on 06GRC power costs.xls Chart 2_Rebuttal Power Costs_Adj Bench DR 3 for Initial Briefs (Electric) 3 4" xfId="24316"/>
    <cellStyle name="_VC 6.15.06 update on 06GRC power costs.xls Chart 2_Rebuttal Power Costs_Adj Bench DR 3 for Initial Briefs (Electric) 4" xfId="24317"/>
    <cellStyle name="_VC 6.15.06 update on 06GRC power costs.xls Chart 2_Rebuttal Power Costs_Adj Bench DR 3 for Initial Briefs (Electric) 4 2" xfId="24318"/>
    <cellStyle name="_VC 6.15.06 update on 06GRC power costs.xls Chart 2_Rebuttal Power Costs_Adj Bench DR 3 for Initial Briefs (Electric) 4 2 2" xfId="24319"/>
    <cellStyle name="_VC 6.15.06 update on 06GRC power costs.xls Chart 2_Rebuttal Power Costs_Adj Bench DR 3 for Initial Briefs (Electric) 4 3" xfId="24320"/>
    <cellStyle name="_VC 6.15.06 update on 06GRC power costs.xls Chart 2_Rebuttal Power Costs_Adj Bench DR 3 for Initial Briefs (Electric) 5" xfId="24321"/>
    <cellStyle name="_VC 6.15.06 update on 06GRC power costs.xls Chart 2_Rebuttal Power Costs_Adj Bench DR 3 for Initial Briefs (Electric) 5 2" xfId="24322"/>
    <cellStyle name="_VC 6.15.06 update on 06GRC power costs.xls Chart 2_Rebuttal Power Costs_Adj Bench DR 3 for Initial Briefs (Electric) 6" xfId="24323"/>
    <cellStyle name="_VC 6.15.06 update on 06GRC power costs.xls Chart 2_Rebuttal Power Costs_Adj Bench DR 3 for Initial Briefs (Electric) 6 2" xfId="24324"/>
    <cellStyle name="_VC 6.15.06 update on 06GRC power costs.xls Chart 2_Rebuttal Power Costs_Adj Bench DR 3 for Initial Briefs (Electric) 7" xfId="24325"/>
    <cellStyle name="_VC 6.15.06 update on 06GRC power costs.xls Chart 2_Rebuttal Power Costs_Adj Bench DR 3 for Initial Briefs (Electric)_DEM-WP(C) ENERG10C--ctn Mid-C_042010 2010GRC" xfId="24326"/>
    <cellStyle name="_VC 6.15.06 update on 06GRC power costs.xls Chart 2_Rebuttal Power Costs_Adj Bench DR 3 for Initial Briefs (Electric)_DEM-WP(C) ENERG10C--ctn Mid-C_042010 2010GRC 2" xfId="24327"/>
    <cellStyle name="_VC 6.15.06 update on 06GRC power costs.xls Chart 2_Rebuttal Power Costs_DEM-WP(C) ENERG10C--ctn Mid-C_042010 2010GRC" xfId="24328"/>
    <cellStyle name="_VC 6.15.06 update on 06GRC power costs.xls Chart 2_Rebuttal Power Costs_DEM-WP(C) ENERG10C--ctn Mid-C_042010 2010GRC 2" xfId="24329"/>
    <cellStyle name="_VC 6.15.06 update on 06GRC power costs.xls Chart 2_Rebuttal Power Costs_Electric Rev Req Model (2009 GRC) Rebuttal" xfId="989"/>
    <cellStyle name="_VC 6.15.06 update on 06GRC power costs.xls Chart 2_Rebuttal Power Costs_Electric Rev Req Model (2009 GRC) Rebuttal 2" xfId="24330"/>
    <cellStyle name="_VC 6.15.06 update on 06GRC power costs.xls Chart 2_Rebuttal Power Costs_Electric Rev Req Model (2009 GRC) Rebuttal 2 2" xfId="24331"/>
    <cellStyle name="_VC 6.15.06 update on 06GRC power costs.xls Chart 2_Rebuttal Power Costs_Electric Rev Req Model (2009 GRC) Rebuttal 2 2 2" xfId="24332"/>
    <cellStyle name="_VC 6.15.06 update on 06GRC power costs.xls Chart 2_Rebuttal Power Costs_Electric Rev Req Model (2009 GRC) Rebuttal 2 3" xfId="24333"/>
    <cellStyle name="_VC 6.15.06 update on 06GRC power costs.xls Chart 2_Rebuttal Power Costs_Electric Rev Req Model (2009 GRC) Rebuttal 2 4" xfId="24334"/>
    <cellStyle name="_VC 6.15.06 update on 06GRC power costs.xls Chart 2_Rebuttal Power Costs_Electric Rev Req Model (2009 GRC) Rebuttal 3" xfId="24335"/>
    <cellStyle name="_VC 6.15.06 update on 06GRC power costs.xls Chart 2_Rebuttal Power Costs_Electric Rev Req Model (2009 GRC) Rebuttal 3 2" xfId="24336"/>
    <cellStyle name="_VC 6.15.06 update on 06GRC power costs.xls Chart 2_Rebuttal Power Costs_Electric Rev Req Model (2009 GRC) Rebuttal 4" xfId="24337"/>
    <cellStyle name="_VC 6.15.06 update on 06GRC power costs.xls Chart 2_Rebuttal Power Costs_Electric Rev Req Model (2009 GRC) Rebuttal 5" xfId="24338"/>
    <cellStyle name="_VC 6.15.06 update on 06GRC power costs.xls Chart 2_Rebuttal Power Costs_Electric Rev Req Model (2009 GRC) Rebuttal REmoval of New  WH Solar AdjustMI" xfId="990"/>
    <cellStyle name="_VC 6.15.06 update on 06GRC power costs.xls Chart 2_Rebuttal Power Costs_Electric Rev Req Model (2009 GRC) Rebuttal REmoval of New  WH Solar AdjustMI 2" xfId="24339"/>
    <cellStyle name="_VC 6.15.06 update on 06GRC power costs.xls Chart 2_Rebuttal Power Costs_Electric Rev Req Model (2009 GRC) Rebuttal REmoval of New  WH Solar AdjustMI 2 2" xfId="24340"/>
    <cellStyle name="_VC 6.15.06 update on 06GRC power costs.xls Chart 2_Rebuttal Power Costs_Electric Rev Req Model (2009 GRC) Rebuttal REmoval of New  WH Solar AdjustMI 2 2 2" xfId="24341"/>
    <cellStyle name="_VC 6.15.06 update on 06GRC power costs.xls Chart 2_Rebuttal Power Costs_Electric Rev Req Model (2009 GRC) Rebuttal REmoval of New  WH Solar AdjustMI 2 2 2 2" xfId="24342"/>
    <cellStyle name="_VC 6.15.06 update on 06GRC power costs.xls Chart 2_Rebuttal Power Costs_Electric Rev Req Model (2009 GRC) Rebuttal REmoval of New  WH Solar AdjustMI 2 2 3" xfId="24343"/>
    <cellStyle name="_VC 6.15.06 update on 06GRC power costs.xls Chart 2_Rebuttal Power Costs_Electric Rev Req Model (2009 GRC) Rebuttal REmoval of New  WH Solar AdjustMI 2 3" xfId="24344"/>
    <cellStyle name="_VC 6.15.06 update on 06GRC power costs.xls Chart 2_Rebuttal Power Costs_Electric Rev Req Model (2009 GRC) Rebuttal REmoval of New  WH Solar AdjustMI 2 3 2" xfId="24345"/>
    <cellStyle name="_VC 6.15.06 update on 06GRC power costs.xls Chart 2_Rebuttal Power Costs_Electric Rev Req Model (2009 GRC) Rebuttal REmoval of New  WH Solar AdjustMI 2 4" xfId="24346"/>
    <cellStyle name="_VC 6.15.06 update on 06GRC power costs.xls Chart 2_Rebuttal Power Costs_Electric Rev Req Model (2009 GRC) Rebuttal REmoval of New  WH Solar AdjustMI 2 4 2" xfId="24347"/>
    <cellStyle name="_VC 6.15.06 update on 06GRC power costs.xls Chart 2_Rebuttal Power Costs_Electric Rev Req Model (2009 GRC) Rebuttal REmoval of New  WH Solar AdjustMI 2 5" xfId="24348"/>
    <cellStyle name="_VC 6.15.06 update on 06GRC power costs.xls Chart 2_Rebuttal Power Costs_Electric Rev Req Model (2009 GRC) Rebuttal REmoval of New  WH Solar AdjustMI 3" xfId="24349"/>
    <cellStyle name="_VC 6.15.06 update on 06GRC power costs.xls Chart 2_Rebuttal Power Costs_Electric Rev Req Model (2009 GRC) Rebuttal REmoval of New  WH Solar AdjustMI 3 2" xfId="24350"/>
    <cellStyle name="_VC 6.15.06 update on 06GRC power costs.xls Chart 2_Rebuttal Power Costs_Electric Rev Req Model (2009 GRC) Rebuttal REmoval of New  WH Solar AdjustMI 3 2 2" xfId="24351"/>
    <cellStyle name="_VC 6.15.06 update on 06GRC power costs.xls Chart 2_Rebuttal Power Costs_Electric Rev Req Model (2009 GRC) Rebuttal REmoval of New  WH Solar AdjustMI 3 3" xfId="24352"/>
    <cellStyle name="_VC 6.15.06 update on 06GRC power costs.xls Chart 2_Rebuttal Power Costs_Electric Rev Req Model (2009 GRC) Rebuttal REmoval of New  WH Solar AdjustMI 3 4" xfId="24353"/>
    <cellStyle name="_VC 6.15.06 update on 06GRC power costs.xls Chart 2_Rebuttal Power Costs_Electric Rev Req Model (2009 GRC) Rebuttal REmoval of New  WH Solar AdjustMI 4" xfId="24354"/>
    <cellStyle name="_VC 6.15.06 update on 06GRC power costs.xls Chart 2_Rebuttal Power Costs_Electric Rev Req Model (2009 GRC) Rebuttal REmoval of New  WH Solar AdjustMI 4 2" xfId="24355"/>
    <cellStyle name="_VC 6.15.06 update on 06GRC power costs.xls Chart 2_Rebuttal Power Costs_Electric Rev Req Model (2009 GRC) Rebuttal REmoval of New  WH Solar AdjustMI 4 2 2" xfId="24356"/>
    <cellStyle name="_VC 6.15.06 update on 06GRC power costs.xls Chart 2_Rebuttal Power Costs_Electric Rev Req Model (2009 GRC) Rebuttal REmoval of New  WH Solar AdjustMI 4 3" xfId="24357"/>
    <cellStyle name="_VC 6.15.06 update on 06GRC power costs.xls Chart 2_Rebuttal Power Costs_Electric Rev Req Model (2009 GRC) Rebuttal REmoval of New  WH Solar AdjustMI 5" xfId="24358"/>
    <cellStyle name="_VC 6.15.06 update on 06GRC power costs.xls Chart 2_Rebuttal Power Costs_Electric Rev Req Model (2009 GRC) Rebuttal REmoval of New  WH Solar AdjustMI 5 2" xfId="24359"/>
    <cellStyle name="_VC 6.15.06 update on 06GRC power costs.xls Chart 2_Rebuttal Power Costs_Electric Rev Req Model (2009 GRC) Rebuttal REmoval of New  WH Solar AdjustMI 6" xfId="24360"/>
    <cellStyle name="_VC 6.15.06 update on 06GRC power costs.xls Chart 2_Rebuttal Power Costs_Electric Rev Req Model (2009 GRC) Rebuttal REmoval of New  WH Solar AdjustMI 6 2" xfId="24361"/>
    <cellStyle name="_VC 6.15.06 update on 06GRC power costs.xls Chart 2_Rebuttal Power Costs_Electric Rev Req Model (2009 GRC) Rebuttal REmoval of New  WH Solar AdjustMI 7" xfId="24362"/>
    <cellStyle name="_VC 6.15.06 update on 06GRC power costs.xls Chart 2_Rebuttal Power Costs_Electric Rev Req Model (2009 GRC) Rebuttal REmoval of New  WH Solar AdjustMI_DEM-WP(C) ENERG10C--ctn Mid-C_042010 2010GRC" xfId="24363"/>
    <cellStyle name="_VC 6.15.06 update on 06GRC power costs.xls Chart 2_Rebuttal Power Costs_Electric Rev Req Model (2009 GRC) Rebuttal REmoval of New  WH Solar AdjustMI_DEM-WP(C) ENERG10C--ctn Mid-C_042010 2010GRC 2" xfId="24364"/>
    <cellStyle name="_VC 6.15.06 update on 06GRC power costs.xls Chart 2_Rebuttal Power Costs_Electric Rev Req Model (2009 GRC) Revised 01-18-2010" xfId="991"/>
    <cellStyle name="_VC 6.15.06 update on 06GRC power costs.xls Chart 2_Rebuttal Power Costs_Electric Rev Req Model (2009 GRC) Revised 01-18-2010 2" xfId="24365"/>
    <cellStyle name="_VC 6.15.06 update on 06GRC power costs.xls Chart 2_Rebuttal Power Costs_Electric Rev Req Model (2009 GRC) Revised 01-18-2010 2 2" xfId="24366"/>
    <cellStyle name="_VC 6.15.06 update on 06GRC power costs.xls Chart 2_Rebuttal Power Costs_Electric Rev Req Model (2009 GRC) Revised 01-18-2010 2 2 2" xfId="24367"/>
    <cellStyle name="_VC 6.15.06 update on 06GRC power costs.xls Chart 2_Rebuttal Power Costs_Electric Rev Req Model (2009 GRC) Revised 01-18-2010 2 2 2 2" xfId="24368"/>
    <cellStyle name="_VC 6.15.06 update on 06GRC power costs.xls Chart 2_Rebuttal Power Costs_Electric Rev Req Model (2009 GRC) Revised 01-18-2010 2 2 3" xfId="24369"/>
    <cellStyle name="_VC 6.15.06 update on 06GRC power costs.xls Chart 2_Rebuttal Power Costs_Electric Rev Req Model (2009 GRC) Revised 01-18-2010 2 3" xfId="24370"/>
    <cellStyle name="_VC 6.15.06 update on 06GRC power costs.xls Chart 2_Rebuttal Power Costs_Electric Rev Req Model (2009 GRC) Revised 01-18-2010 2 3 2" xfId="24371"/>
    <cellStyle name="_VC 6.15.06 update on 06GRC power costs.xls Chart 2_Rebuttal Power Costs_Electric Rev Req Model (2009 GRC) Revised 01-18-2010 2 4" xfId="24372"/>
    <cellStyle name="_VC 6.15.06 update on 06GRC power costs.xls Chart 2_Rebuttal Power Costs_Electric Rev Req Model (2009 GRC) Revised 01-18-2010 2 4 2" xfId="24373"/>
    <cellStyle name="_VC 6.15.06 update on 06GRC power costs.xls Chart 2_Rebuttal Power Costs_Electric Rev Req Model (2009 GRC) Revised 01-18-2010 2 5" xfId="24374"/>
    <cellStyle name="_VC 6.15.06 update on 06GRC power costs.xls Chart 2_Rebuttal Power Costs_Electric Rev Req Model (2009 GRC) Revised 01-18-2010 3" xfId="24375"/>
    <cellStyle name="_VC 6.15.06 update on 06GRC power costs.xls Chart 2_Rebuttal Power Costs_Electric Rev Req Model (2009 GRC) Revised 01-18-2010 3 2" xfId="24376"/>
    <cellStyle name="_VC 6.15.06 update on 06GRC power costs.xls Chart 2_Rebuttal Power Costs_Electric Rev Req Model (2009 GRC) Revised 01-18-2010 3 2 2" xfId="24377"/>
    <cellStyle name="_VC 6.15.06 update on 06GRC power costs.xls Chart 2_Rebuttal Power Costs_Electric Rev Req Model (2009 GRC) Revised 01-18-2010 3 3" xfId="24378"/>
    <cellStyle name="_VC 6.15.06 update on 06GRC power costs.xls Chart 2_Rebuttal Power Costs_Electric Rev Req Model (2009 GRC) Revised 01-18-2010 3 4" xfId="24379"/>
    <cellStyle name="_VC 6.15.06 update on 06GRC power costs.xls Chart 2_Rebuttal Power Costs_Electric Rev Req Model (2009 GRC) Revised 01-18-2010 4" xfId="24380"/>
    <cellStyle name="_VC 6.15.06 update on 06GRC power costs.xls Chart 2_Rebuttal Power Costs_Electric Rev Req Model (2009 GRC) Revised 01-18-2010 4 2" xfId="24381"/>
    <cellStyle name="_VC 6.15.06 update on 06GRC power costs.xls Chart 2_Rebuttal Power Costs_Electric Rev Req Model (2009 GRC) Revised 01-18-2010 4 2 2" xfId="24382"/>
    <cellStyle name="_VC 6.15.06 update on 06GRC power costs.xls Chart 2_Rebuttal Power Costs_Electric Rev Req Model (2009 GRC) Revised 01-18-2010 4 3" xfId="24383"/>
    <cellStyle name="_VC 6.15.06 update on 06GRC power costs.xls Chart 2_Rebuttal Power Costs_Electric Rev Req Model (2009 GRC) Revised 01-18-2010 5" xfId="24384"/>
    <cellStyle name="_VC 6.15.06 update on 06GRC power costs.xls Chart 2_Rebuttal Power Costs_Electric Rev Req Model (2009 GRC) Revised 01-18-2010 5 2" xfId="24385"/>
    <cellStyle name="_VC 6.15.06 update on 06GRC power costs.xls Chart 2_Rebuttal Power Costs_Electric Rev Req Model (2009 GRC) Revised 01-18-2010 6" xfId="24386"/>
    <cellStyle name="_VC 6.15.06 update on 06GRC power costs.xls Chart 2_Rebuttal Power Costs_Electric Rev Req Model (2009 GRC) Revised 01-18-2010 6 2" xfId="24387"/>
    <cellStyle name="_VC 6.15.06 update on 06GRC power costs.xls Chart 2_Rebuttal Power Costs_Electric Rev Req Model (2009 GRC) Revised 01-18-2010 7" xfId="24388"/>
    <cellStyle name="_VC 6.15.06 update on 06GRC power costs.xls Chart 2_Rebuttal Power Costs_Electric Rev Req Model (2009 GRC) Revised 01-18-2010_DEM-WP(C) ENERG10C--ctn Mid-C_042010 2010GRC" xfId="24389"/>
    <cellStyle name="_VC 6.15.06 update on 06GRC power costs.xls Chart 2_Rebuttal Power Costs_Electric Rev Req Model (2009 GRC) Revised 01-18-2010_DEM-WP(C) ENERG10C--ctn Mid-C_042010 2010GRC 2" xfId="24390"/>
    <cellStyle name="_VC 6.15.06 update on 06GRC power costs.xls Chart 2_Rebuttal Power Costs_Final Order Electric EXHIBIT A-1" xfId="992"/>
    <cellStyle name="_VC 6.15.06 update on 06GRC power costs.xls Chart 2_Rebuttal Power Costs_Final Order Electric EXHIBIT A-1 2" xfId="24391"/>
    <cellStyle name="_VC 6.15.06 update on 06GRC power costs.xls Chart 2_Rebuttal Power Costs_Final Order Electric EXHIBIT A-1 2 2" xfId="24392"/>
    <cellStyle name="_VC 6.15.06 update on 06GRC power costs.xls Chart 2_Rebuttal Power Costs_Final Order Electric EXHIBIT A-1 2 2 2" xfId="24393"/>
    <cellStyle name="_VC 6.15.06 update on 06GRC power costs.xls Chart 2_Rebuttal Power Costs_Final Order Electric EXHIBIT A-1 2 3" xfId="24394"/>
    <cellStyle name="_VC 6.15.06 update on 06GRC power costs.xls Chart 2_Rebuttal Power Costs_Final Order Electric EXHIBIT A-1 2 4" xfId="24395"/>
    <cellStyle name="_VC 6.15.06 update on 06GRC power costs.xls Chart 2_Rebuttal Power Costs_Final Order Electric EXHIBIT A-1 3" xfId="24396"/>
    <cellStyle name="_VC 6.15.06 update on 06GRC power costs.xls Chart 2_Rebuttal Power Costs_Final Order Electric EXHIBIT A-1 3 2" xfId="24397"/>
    <cellStyle name="_VC 6.15.06 update on 06GRC power costs.xls Chart 2_Rebuttal Power Costs_Final Order Electric EXHIBIT A-1 3 2 2" xfId="24398"/>
    <cellStyle name="_VC 6.15.06 update on 06GRC power costs.xls Chart 2_Rebuttal Power Costs_Final Order Electric EXHIBIT A-1 3 3" xfId="24399"/>
    <cellStyle name="_VC 6.15.06 update on 06GRC power costs.xls Chart 2_Rebuttal Power Costs_Final Order Electric EXHIBIT A-1 4" xfId="24400"/>
    <cellStyle name="_VC 6.15.06 update on 06GRC power costs.xls Chart 2_Rebuttal Power Costs_Final Order Electric EXHIBIT A-1 4 2" xfId="24401"/>
    <cellStyle name="_VC 6.15.06 update on 06GRC power costs.xls Chart 2_Rebuttal Power Costs_Final Order Electric EXHIBIT A-1 5" xfId="24402"/>
    <cellStyle name="_VC 6.15.06 update on 06GRC power costs.xls Chart 2_Rebuttal Power Costs_Final Order Electric EXHIBIT A-1 6" xfId="24403"/>
    <cellStyle name="_VC 6.15.06 update on 06GRC power costs.xls Chart 2_Rebuttal Power Costs_Final Order Electric EXHIBIT A-1 7" xfId="24404"/>
    <cellStyle name="_VC 6.15.06 update on 06GRC power costs.xls Chart 2_ROR &amp; CONV FACTOR" xfId="24405"/>
    <cellStyle name="_VC 6.15.06 update on 06GRC power costs.xls Chart 2_ROR &amp; CONV FACTOR 2" xfId="24406"/>
    <cellStyle name="_VC 6.15.06 update on 06GRC power costs.xls Chart 2_ROR &amp; CONV FACTOR 2 2" xfId="24407"/>
    <cellStyle name="_VC 6.15.06 update on 06GRC power costs.xls Chart 2_ROR &amp; CONV FACTOR 2 2 2" xfId="24408"/>
    <cellStyle name="_VC 6.15.06 update on 06GRC power costs.xls Chart 2_ROR &amp; CONV FACTOR 2 3" xfId="24409"/>
    <cellStyle name="_VC 6.15.06 update on 06GRC power costs.xls Chart 2_ROR &amp; CONV FACTOR 3" xfId="24410"/>
    <cellStyle name="_VC 6.15.06 update on 06GRC power costs.xls Chart 2_ROR &amp; CONV FACTOR 3 2" xfId="24411"/>
    <cellStyle name="_VC 6.15.06 update on 06GRC power costs.xls Chart 2_ROR &amp; CONV FACTOR 4" xfId="24412"/>
    <cellStyle name="_VC 6.15.06 update on 06GRC power costs.xls Chart 2_ROR 5.02" xfId="24413"/>
    <cellStyle name="_VC 6.15.06 update on 06GRC power costs.xls Chart 2_ROR 5.02 2" xfId="24414"/>
    <cellStyle name="_VC 6.15.06 update on 06GRC power costs.xls Chart 2_ROR 5.02 2 2" xfId="24415"/>
    <cellStyle name="_VC 6.15.06 update on 06GRC power costs.xls Chart 2_ROR 5.02 2 2 2" xfId="24416"/>
    <cellStyle name="_VC 6.15.06 update on 06GRC power costs.xls Chart 2_ROR 5.02 2 3" xfId="24417"/>
    <cellStyle name="_VC 6.15.06 update on 06GRC power costs.xls Chart 2_ROR 5.02 3" xfId="24418"/>
    <cellStyle name="_VC 6.15.06 update on 06GRC power costs.xls Chart 2_ROR 5.02 3 2" xfId="24419"/>
    <cellStyle name="_VC 6.15.06 update on 06GRC power costs.xls Chart 2_ROR 5.02 4" xfId="24420"/>
    <cellStyle name="_VC 6.15.06 update on 06GRC power costs.xls Chart 2_Wind Integration 10GRC" xfId="24421"/>
    <cellStyle name="_VC 6.15.06 update on 06GRC power costs.xls Chart 2_Wind Integration 10GRC 2" xfId="24422"/>
    <cellStyle name="_VC 6.15.06 update on 06GRC power costs.xls Chart 2_Wind Integration 10GRC 2 2" xfId="24423"/>
    <cellStyle name="_VC 6.15.06 update on 06GRC power costs.xls Chart 2_Wind Integration 10GRC 2 2 2" xfId="24424"/>
    <cellStyle name="_VC 6.15.06 update on 06GRC power costs.xls Chart 2_Wind Integration 10GRC 2 2 2 2" xfId="24425"/>
    <cellStyle name="_VC 6.15.06 update on 06GRC power costs.xls Chart 2_Wind Integration 10GRC 2 3" xfId="24426"/>
    <cellStyle name="_VC 6.15.06 update on 06GRC power costs.xls Chart 2_Wind Integration 10GRC 2 3 2" xfId="24427"/>
    <cellStyle name="_VC 6.15.06 update on 06GRC power costs.xls Chart 2_Wind Integration 10GRC 2 4" xfId="24428"/>
    <cellStyle name="_VC 6.15.06 update on 06GRC power costs.xls Chart 2_Wind Integration 10GRC 2 4 2" xfId="24429"/>
    <cellStyle name="_VC 6.15.06 update on 06GRC power costs.xls Chart 2_Wind Integration 10GRC 2 5" xfId="24430"/>
    <cellStyle name="_VC 6.15.06 update on 06GRC power costs.xls Chart 2_Wind Integration 10GRC 3" xfId="24431"/>
    <cellStyle name="_VC 6.15.06 update on 06GRC power costs.xls Chart 2_Wind Integration 10GRC 3 2" xfId="24432"/>
    <cellStyle name="_VC 6.15.06 update on 06GRC power costs.xls Chart 2_Wind Integration 10GRC 3 2 2" xfId="24433"/>
    <cellStyle name="_VC 6.15.06 update on 06GRC power costs.xls Chart 2_Wind Integration 10GRC 3 3" xfId="24434"/>
    <cellStyle name="_VC 6.15.06 update on 06GRC power costs.xls Chart 2_Wind Integration 10GRC 4" xfId="24435"/>
    <cellStyle name="_VC 6.15.06 update on 06GRC power costs.xls Chart 2_Wind Integration 10GRC 4 2" xfId="24436"/>
    <cellStyle name="_VC 6.15.06 update on 06GRC power costs.xls Chart 2_Wind Integration 10GRC 4 2 2" xfId="24437"/>
    <cellStyle name="_VC 6.15.06 update on 06GRC power costs.xls Chart 2_Wind Integration 10GRC 4 3" xfId="24438"/>
    <cellStyle name="_VC 6.15.06 update on 06GRC power costs.xls Chart 2_Wind Integration 10GRC 5" xfId="24439"/>
    <cellStyle name="_VC 6.15.06 update on 06GRC power costs.xls Chart 2_Wind Integration 10GRC 5 2" xfId="24440"/>
    <cellStyle name="_VC 6.15.06 update on 06GRC power costs.xls Chart 2_Wind Integration 10GRC 6" xfId="24441"/>
    <cellStyle name="_VC 6.15.06 update on 06GRC power costs.xls Chart 2_Wind Integration 10GRC 6 2" xfId="24442"/>
    <cellStyle name="_VC 6.15.06 update on 06GRC power costs.xls Chart 2_Wind Integration 10GRC 7" xfId="24443"/>
    <cellStyle name="_VC 6.15.06 update on 06GRC power costs.xls Chart 2_Wind Integration 10GRC_DEM-WP(C) ENERG10C--ctn Mid-C_042010 2010GRC" xfId="24444"/>
    <cellStyle name="_VC 6.15.06 update on 06GRC power costs.xls Chart 2_Wind Integration 10GRC_DEM-WP(C) ENERG10C--ctn Mid-C_042010 2010GRC 2" xfId="24445"/>
    <cellStyle name="_VC 6.15.06 update on 06GRC power costs.xls Chart 3" xfId="993"/>
    <cellStyle name="_VC 6.15.06 update on 06GRC power costs.xls Chart 3 10" xfId="24446"/>
    <cellStyle name="_VC 6.15.06 update on 06GRC power costs.xls Chart 3 10 2" xfId="24447"/>
    <cellStyle name="_VC 6.15.06 update on 06GRC power costs.xls Chart 3 11" xfId="24448"/>
    <cellStyle name="_VC 6.15.06 update on 06GRC power costs.xls Chart 3 11 2" xfId="24449"/>
    <cellStyle name="_VC 6.15.06 update on 06GRC power costs.xls Chart 3 11 3" xfId="24450"/>
    <cellStyle name="_VC 6.15.06 update on 06GRC power costs.xls Chart 3 12" xfId="24451"/>
    <cellStyle name="_VC 6.15.06 update on 06GRC power costs.xls Chart 3 2" xfId="994"/>
    <cellStyle name="_VC 6.15.06 update on 06GRC power costs.xls Chart 3 2 2" xfId="24452"/>
    <cellStyle name="_VC 6.15.06 update on 06GRC power costs.xls Chart 3 2 2 2" xfId="24453"/>
    <cellStyle name="_VC 6.15.06 update on 06GRC power costs.xls Chart 3 2 2 2 2" xfId="24454"/>
    <cellStyle name="_VC 6.15.06 update on 06GRC power costs.xls Chart 3 2 2 2 2 2" xfId="24455"/>
    <cellStyle name="_VC 6.15.06 update on 06GRC power costs.xls Chart 3 2 2 2 3" xfId="24456"/>
    <cellStyle name="_VC 6.15.06 update on 06GRC power costs.xls Chart 3 2 2 3" xfId="24457"/>
    <cellStyle name="_VC 6.15.06 update on 06GRC power costs.xls Chart 3 2 2 3 2" xfId="24458"/>
    <cellStyle name="_VC 6.15.06 update on 06GRC power costs.xls Chart 3 2 2 4" xfId="24459"/>
    <cellStyle name="_VC 6.15.06 update on 06GRC power costs.xls Chart 3 2 2 4 2" xfId="24460"/>
    <cellStyle name="_VC 6.15.06 update on 06GRC power costs.xls Chart 3 2 2 5" xfId="24461"/>
    <cellStyle name="_VC 6.15.06 update on 06GRC power costs.xls Chart 3 2 3" xfId="24462"/>
    <cellStyle name="_VC 6.15.06 update on 06GRC power costs.xls Chart 3 2 3 2" xfId="24463"/>
    <cellStyle name="_VC 6.15.06 update on 06GRC power costs.xls Chart 3 2 3 2 2" xfId="24464"/>
    <cellStyle name="_VC 6.15.06 update on 06GRC power costs.xls Chart 3 2 3 3" xfId="24465"/>
    <cellStyle name="_VC 6.15.06 update on 06GRC power costs.xls Chart 3 2 3 4" xfId="24466"/>
    <cellStyle name="_VC 6.15.06 update on 06GRC power costs.xls Chart 3 2 4" xfId="24467"/>
    <cellStyle name="_VC 6.15.06 update on 06GRC power costs.xls Chart 3 2 4 2" xfId="24468"/>
    <cellStyle name="_VC 6.15.06 update on 06GRC power costs.xls Chart 3 2 4 2 2" xfId="24469"/>
    <cellStyle name="_VC 6.15.06 update on 06GRC power costs.xls Chart 3 2 4 3" xfId="24470"/>
    <cellStyle name="_VC 6.15.06 update on 06GRC power costs.xls Chart 3 2 5" xfId="24471"/>
    <cellStyle name="_VC 6.15.06 update on 06GRC power costs.xls Chart 3 2 5 2" xfId="24472"/>
    <cellStyle name="_VC 6.15.06 update on 06GRC power costs.xls Chart 3 2 6" xfId="24473"/>
    <cellStyle name="_VC 6.15.06 update on 06GRC power costs.xls Chart 3 2 6 2" xfId="24474"/>
    <cellStyle name="_VC 6.15.06 update on 06GRC power costs.xls Chart 3 2 7" xfId="24475"/>
    <cellStyle name="_VC 6.15.06 update on 06GRC power costs.xls Chart 3 3" xfId="24476"/>
    <cellStyle name="_VC 6.15.06 update on 06GRC power costs.xls Chart 3 3 2" xfId="24477"/>
    <cellStyle name="_VC 6.15.06 update on 06GRC power costs.xls Chart 3 3 2 2" xfId="24478"/>
    <cellStyle name="_VC 6.15.06 update on 06GRC power costs.xls Chart 3 3 2 2 2" xfId="24479"/>
    <cellStyle name="_VC 6.15.06 update on 06GRC power costs.xls Chart 3 3 2 3" xfId="24480"/>
    <cellStyle name="_VC 6.15.06 update on 06GRC power costs.xls Chart 3 3 2 4" xfId="24481"/>
    <cellStyle name="_VC 6.15.06 update on 06GRC power costs.xls Chart 3 3 3" xfId="24482"/>
    <cellStyle name="_VC 6.15.06 update on 06GRC power costs.xls Chart 3 3 3 2" xfId="24483"/>
    <cellStyle name="_VC 6.15.06 update on 06GRC power costs.xls Chart 3 3 3 2 2" xfId="24484"/>
    <cellStyle name="_VC 6.15.06 update on 06GRC power costs.xls Chart 3 3 3 3" xfId="24485"/>
    <cellStyle name="_VC 6.15.06 update on 06GRC power costs.xls Chart 3 3 4" xfId="24486"/>
    <cellStyle name="_VC 6.15.06 update on 06GRC power costs.xls Chart 3 3 4 2" xfId="24487"/>
    <cellStyle name="_VC 6.15.06 update on 06GRC power costs.xls Chart 3 3 4 2 2" xfId="24488"/>
    <cellStyle name="_VC 6.15.06 update on 06GRC power costs.xls Chart 3 3 4 3" xfId="24489"/>
    <cellStyle name="_VC 6.15.06 update on 06GRC power costs.xls Chart 3 3 5" xfId="24490"/>
    <cellStyle name="_VC 6.15.06 update on 06GRC power costs.xls Chart 3 3 5 2" xfId="24491"/>
    <cellStyle name="_VC 6.15.06 update on 06GRC power costs.xls Chart 3 3 6" xfId="24492"/>
    <cellStyle name="_VC 6.15.06 update on 06GRC power costs.xls Chart 3 4" xfId="24493"/>
    <cellStyle name="_VC 6.15.06 update on 06GRC power costs.xls Chart 3 4 2" xfId="24494"/>
    <cellStyle name="_VC 6.15.06 update on 06GRC power costs.xls Chart 3 4 2 2" xfId="24495"/>
    <cellStyle name="_VC 6.15.06 update on 06GRC power costs.xls Chart 3 4 2 2 2" xfId="24496"/>
    <cellStyle name="_VC 6.15.06 update on 06GRC power costs.xls Chart 3 4 2 2 2 2" xfId="24497"/>
    <cellStyle name="_VC 6.15.06 update on 06GRC power costs.xls Chart 3 4 2 3" xfId="24498"/>
    <cellStyle name="_VC 6.15.06 update on 06GRC power costs.xls Chart 3 4 2 3 2" xfId="24499"/>
    <cellStyle name="_VC 6.15.06 update on 06GRC power costs.xls Chart 3 4 2 4" xfId="24500"/>
    <cellStyle name="_VC 6.15.06 update on 06GRC power costs.xls Chart 3 4 2 4 2" xfId="24501"/>
    <cellStyle name="_VC 6.15.06 update on 06GRC power costs.xls Chart 3 4 2 5" xfId="24502"/>
    <cellStyle name="_VC 6.15.06 update on 06GRC power costs.xls Chart 3 4 3" xfId="24503"/>
    <cellStyle name="_VC 6.15.06 update on 06GRC power costs.xls Chart 3 4 3 2" xfId="24504"/>
    <cellStyle name="_VC 6.15.06 update on 06GRC power costs.xls Chart 3 4 3 2 2" xfId="24505"/>
    <cellStyle name="_VC 6.15.06 update on 06GRC power costs.xls Chart 3 4 3 3" xfId="24506"/>
    <cellStyle name="_VC 6.15.06 update on 06GRC power costs.xls Chart 3 4 4" xfId="24507"/>
    <cellStyle name="_VC 6.15.06 update on 06GRC power costs.xls Chart 3 4 4 2" xfId="24508"/>
    <cellStyle name="_VC 6.15.06 update on 06GRC power costs.xls Chart 3 4 4 2 2" xfId="24509"/>
    <cellStyle name="_VC 6.15.06 update on 06GRC power costs.xls Chart 3 4 4 3" xfId="24510"/>
    <cellStyle name="_VC 6.15.06 update on 06GRC power costs.xls Chart 3 4 5" xfId="24511"/>
    <cellStyle name="_VC 6.15.06 update on 06GRC power costs.xls Chart 3 4 5 2" xfId="24512"/>
    <cellStyle name="_VC 6.15.06 update on 06GRC power costs.xls Chart 3 4 6" xfId="24513"/>
    <cellStyle name="_VC 6.15.06 update on 06GRC power costs.xls Chart 3 4 6 2" xfId="24514"/>
    <cellStyle name="_VC 6.15.06 update on 06GRC power costs.xls Chart 3 4 7" xfId="24515"/>
    <cellStyle name="_VC 6.15.06 update on 06GRC power costs.xls Chart 3 5" xfId="24516"/>
    <cellStyle name="_VC 6.15.06 update on 06GRC power costs.xls Chart 3 5 2" xfId="24517"/>
    <cellStyle name="_VC 6.15.06 update on 06GRC power costs.xls Chart 3 5 2 2" xfId="24518"/>
    <cellStyle name="_VC 6.15.06 update on 06GRC power costs.xls Chart 3 5 2 2 2" xfId="24519"/>
    <cellStyle name="_VC 6.15.06 update on 06GRC power costs.xls Chart 3 5 2 2 2 2" xfId="24520"/>
    <cellStyle name="_VC 6.15.06 update on 06GRC power costs.xls Chart 3 5 2 3" xfId="24521"/>
    <cellStyle name="_VC 6.15.06 update on 06GRC power costs.xls Chart 3 5 2 3 2" xfId="24522"/>
    <cellStyle name="_VC 6.15.06 update on 06GRC power costs.xls Chart 3 5 2 4" xfId="24523"/>
    <cellStyle name="_VC 6.15.06 update on 06GRC power costs.xls Chart 3 5 2 4 2" xfId="24524"/>
    <cellStyle name="_VC 6.15.06 update on 06GRC power costs.xls Chart 3 5 2 5" xfId="24525"/>
    <cellStyle name="_VC 6.15.06 update on 06GRC power costs.xls Chart 3 5 3" xfId="24526"/>
    <cellStyle name="_VC 6.15.06 update on 06GRC power costs.xls Chart 3 5 3 2" xfId="24527"/>
    <cellStyle name="_VC 6.15.06 update on 06GRC power costs.xls Chart 3 5 3 2 2" xfId="24528"/>
    <cellStyle name="_VC 6.15.06 update on 06GRC power costs.xls Chart 3 5 4" xfId="24529"/>
    <cellStyle name="_VC 6.15.06 update on 06GRC power costs.xls Chart 3 5 4 2" xfId="24530"/>
    <cellStyle name="_VC 6.15.06 update on 06GRC power costs.xls Chart 3 5 5" xfId="24531"/>
    <cellStyle name="_VC 6.15.06 update on 06GRC power costs.xls Chart 3 5 5 2" xfId="24532"/>
    <cellStyle name="_VC 6.15.06 update on 06GRC power costs.xls Chart 3 5 6" xfId="24533"/>
    <cellStyle name="_VC 6.15.06 update on 06GRC power costs.xls Chart 3 6" xfId="24534"/>
    <cellStyle name="_VC 6.15.06 update on 06GRC power costs.xls Chart 3 6 2" xfId="24535"/>
    <cellStyle name="_VC 6.15.06 update on 06GRC power costs.xls Chart 3 6 2 2" xfId="24536"/>
    <cellStyle name="_VC 6.15.06 update on 06GRC power costs.xls Chart 3 6 2 2 2" xfId="24537"/>
    <cellStyle name="_VC 6.15.06 update on 06GRC power costs.xls Chart 3 6 3" xfId="24538"/>
    <cellStyle name="_VC 6.15.06 update on 06GRC power costs.xls Chart 3 6 3 2" xfId="24539"/>
    <cellStyle name="_VC 6.15.06 update on 06GRC power costs.xls Chart 3 6 4" xfId="24540"/>
    <cellStyle name="_VC 6.15.06 update on 06GRC power costs.xls Chart 3 6 4 2" xfId="24541"/>
    <cellStyle name="_VC 6.15.06 update on 06GRC power costs.xls Chart 3 7" xfId="24542"/>
    <cellStyle name="_VC 6.15.06 update on 06GRC power costs.xls Chart 3 7 2" xfId="24543"/>
    <cellStyle name="_VC 6.15.06 update on 06GRC power costs.xls Chart 3 7 2 2" xfId="24544"/>
    <cellStyle name="_VC 6.15.06 update on 06GRC power costs.xls Chart 3 7 3" xfId="24545"/>
    <cellStyle name="_VC 6.15.06 update on 06GRC power costs.xls Chart 3 8" xfId="24546"/>
    <cellStyle name="_VC 6.15.06 update on 06GRC power costs.xls Chart 3 8 2" xfId="24547"/>
    <cellStyle name="_VC 6.15.06 update on 06GRC power costs.xls Chart 3 8 2 2" xfId="24548"/>
    <cellStyle name="_VC 6.15.06 update on 06GRC power costs.xls Chart 3 8 3" xfId="24549"/>
    <cellStyle name="_VC 6.15.06 update on 06GRC power costs.xls Chart 3 9" xfId="24550"/>
    <cellStyle name="_VC 6.15.06 update on 06GRC power costs.xls Chart 3 9 2" xfId="24551"/>
    <cellStyle name="_VC 6.15.06 update on 06GRC power costs.xls Chart 3 9 2 2" xfId="24552"/>
    <cellStyle name="_VC 6.15.06 update on 06GRC power costs.xls Chart 3 9 2 2 2" xfId="24553"/>
    <cellStyle name="_VC 6.15.06 update on 06GRC power costs.xls Chart 3 9 2 3" xfId="24554"/>
    <cellStyle name="_VC 6.15.06 update on 06GRC power costs.xls Chart 3 9 3" xfId="24555"/>
    <cellStyle name="_VC 6.15.06 update on 06GRC power costs.xls Chart 3 9 3 2" xfId="24556"/>
    <cellStyle name="_VC 6.15.06 update on 06GRC power costs.xls Chart 3 9 4" xfId="24557"/>
    <cellStyle name="_VC 6.15.06 update on 06GRC power costs.xls Chart 3_04 07E Wild Horse Wind Expansion (C) (2)" xfId="995"/>
    <cellStyle name="_VC 6.15.06 update on 06GRC power costs.xls Chart 3_04 07E Wild Horse Wind Expansion (C) (2) 2" xfId="24558"/>
    <cellStyle name="_VC 6.15.06 update on 06GRC power costs.xls Chart 3_04 07E Wild Horse Wind Expansion (C) (2) 2 2" xfId="24559"/>
    <cellStyle name="_VC 6.15.06 update on 06GRC power costs.xls Chart 3_04 07E Wild Horse Wind Expansion (C) (2) 2 2 2" xfId="24560"/>
    <cellStyle name="_VC 6.15.06 update on 06GRC power costs.xls Chart 3_04 07E Wild Horse Wind Expansion (C) (2) 2 2 2 2" xfId="24561"/>
    <cellStyle name="_VC 6.15.06 update on 06GRC power costs.xls Chart 3_04 07E Wild Horse Wind Expansion (C) (2) 2 2 3" xfId="24562"/>
    <cellStyle name="_VC 6.15.06 update on 06GRC power costs.xls Chart 3_04 07E Wild Horse Wind Expansion (C) (2) 2 3" xfId="24563"/>
    <cellStyle name="_VC 6.15.06 update on 06GRC power costs.xls Chart 3_04 07E Wild Horse Wind Expansion (C) (2) 2 3 2" xfId="24564"/>
    <cellStyle name="_VC 6.15.06 update on 06GRC power costs.xls Chart 3_04 07E Wild Horse Wind Expansion (C) (2) 2 4" xfId="24565"/>
    <cellStyle name="_VC 6.15.06 update on 06GRC power costs.xls Chart 3_04 07E Wild Horse Wind Expansion (C) (2) 2 4 2" xfId="24566"/>
    <cellStyle name="_VC 6.15.06 update on 06GRC power costs.xls Chart 3_04 07E Wild Horse Wind Expansion (C) (2) 2 5" xfId="24567"/>
    <cellStyle name="_VC 6.15.06 update on 06GRC power costs.xls Chart 3_04 07E Wild Horse Wind Expansion (C) (2) 3" xfId="24568"/>
    <cellStyle name="_VC 6.15.06 update on 06GRC power costs.xls Chart 3_04 07E Wild Horse Wind Expansion (C) (2) 3 2" xfId="24569"/>
    <cellStyle name="_VC 6.15.06 update on 06GRC power costs.xls Chart 3_04 07E Wild Horse Wind Expansion (C) (2) 3 2 2" xfId="24570"/>
    <cellStyle name="_VC 6.15.06 update on 06GRC power costs.xls Chart 3_04 07E Wild Horse Wind Expansion (C) (2) 3 3" xfId="24571"/>
    <cellStyle name="_VC 6.15.06 update on 06GRC power costs.xls Chart 3_04 07E Wild Horse Wind Expansion (C) (2) 3 4" xfId="24572"/>
    <cellStyle name="_VC 6.15.06 update on 06GRC power costs.xls Chart 3_04 07E Wild Horse Wind Expansion (C) (2) 4" xfId="24573"/>
    <cellStyle name="_VC 6.15.06 update on 06GRC power costs.xls Chart 3_04 07E Wild Horse Wind Expansion (C) (2) 4 2" xfId="24574"/>
    <cellStyle name="_VC 6.15.06 update on 06GRC power costs.xls Chart 3_04 07E Wild Horse Wind Expansion (C) (2) 4 2 2" xfId="24575"/>
    <cellStyle name="_VC 6.15.06 update on 06GRC power costs.xls Chart 3_04 07E Wild Horse Wind Expansion (C) (2) 4 3" xfId="24576"/>
    <cellStyle name="_VC 6.15.06 update on 06GRC power costs.xls Chart 3_04 07E Wild Horse Wind Expansion (C) (2) 5" xfId="24577"/>
    <cellStyle name="_VC 6.15.06 update on 06GRC power costs.xls Chart 3_04 07E Wild Horse Wind Expansion (C) (2) 5 2" xfId="24578"/>
    <cellStyle name="_VC 6.15.06 update on 06GRC power costs.xls Chart 3_04 07E Wild Horse Wind Expansion (C) (2) 6" xfId="24579"/>
    <cellStyle name="_VC 6.15.06 update on 06GRC power costs.xls Chart 3_04 07E Wild Horse Wind Expansion (C) (2) 6 2" xfId="24580"/>
    <cellStyle name="_VC 6.15.06 update on 06GRC power costs.xls Chart 3_04 07E Wild Horse Wind Expansion (C) (2) 7" xfId="24581"/>
    <cellStyle name="_VC 6.15.06 update on 06GRC power costs.xls Chart 3_04 07E Wild Horse Wind Expansion (C) (2)_Adj Bench DR 3 for Initial Briefs (Electric)" xfId="996"/>
    <cellStyle name="_VC 6.15.06 update on 06GRC power costs.xls Chart 3_04 07E Wild Horse Wind Expansion (C) (2)_Adj Bench DR 3 for Initial Briefs (Electric) 2" xfId="24582"/>
    <cellStyle name="_VC 6.15.06 update on 06GRC power costs.xls Chart 3_04 07E Wild Horse Wind Expansion (C) (2)_Adj Bench DR 3 for Initial Briefs (Electric) 2 2" xfId="24583"/>
    <cellStyle name="_VC 6.15.06 update on 06GRC power costs.xls Chart 3_04 07E Wild Horse Wind Expansion (C) (2)_Adj Bench DR 3 for Initial Briefs (Electric) 2 2 2" xfId="24584"/>
    <cellStyle name="_VC 6.15.06 update on 06GRC power costs.xls Chart 3_04 07E Wild Horse Wind Expansion (C) (2)_Adj Bench DR 3 for Initial Briefs (Electric) 2 2 2 2" xfId="24585"/>
    <cellStyle name="_VC 6.15.06 update on 06GRC power costs.xls Chart 3_04 07E Wild Horse Wind Expansion (C) (2)_Adj Bench DR 3 for Initial Briefs (Electric) 2 2 3" xfId="24586"/>
    <cellStyle name="_VC 6.15.06 update on 06GRC power costs.xls Chart 3_04 07E Wild Horse Wind Expansion (C) (2)_Adj Bench DR 3 for Initial Briefs (Electric) 2 3" xfId="24587"/>
    <cellStyle name="_VC 6.15.06 update on 06GRC power costs.xls Chart 3_04 07E Wild Horse Wind Expansion (C) (2)_Adj Bench DR 3 for Initial Briefs (Electric) 2 3 2" xfId="24588"/>
    <cellStyle name="_VC 6.15.06 update on 06GRC power costs.xls Chart 3_04 07E Wild Horse Wind Expansion (C) (2)_Adj Bench DR 3 for Initial Briefs (Electric) 2 4" xfId="24589"/>
    <cellStyle name="_VC 6.15.06 update on 06GRC power costs.xls Chart 3_04 07E Wild Horse Wind Expansion (C) (2)_Adj Bench DR 3 for Initial Briefs (Electric) 2 4 2" xfId="24590"/>
    <cellStyle name="_VC 6.15.06 update on 06GRC power costs.xls Chart 3_04 07E Wild Horse Wind Expansion (C) (2)_Adj Bench DR 3 for Initial Briefs (Electric) 2 5" xfId="24591"/>
    <cellStyle name="_VC 6.15.06 update on 06GRC power costs.xls Chart 3_04 07E Wild Horse Wind Expansion (C) (2)_Adj Bench DR 3 for Initial Briefs (Electric) 3" xfId="24592"/>
    <cellStyle name="_VC 6.15.06 update on 06GRC power costs.xls Chart 3_04 07E Wild Horse Wind Expansion (C) (2)_Adj Bench DR 3 for Initial Briefs (Electric) 3 2" xfId="24593"/>
    <cellStyle name="_VC 6.15.06 update on 06GRC power costs.xls Chart 3_04 07E Wild Horse Wind Expansion (C) (2)_Adj Bench DR 3 for Initial Briefs (Electric) 3 2 2" xfId="24594"/>
    <cellStyle name="_VC 6.15.06 update on 06GRC power costs.xls Chart 3_04 07E Wild Horse Wind Expansion (C) (2)_Adj Bench DR 3 for Initial Briefs (Electric) 3 3" xfId="24595"/>
    <cellStyle name="_VC 6.15.06 update on 06GRC power costs.xls Chart 3_04 07E Wild Horse Wind Expansion (C) (2)_Adj Bench DR 3 for Initial Briefs (Electric) 3 4" xfId="24596"/>
    <cellStyle name="_VC 6.15.06 update on 06GRC power costs.xls Chart 3_04 07E Wild Horse Wind Expansion (C) (2)_Adj Bench DR 3 for Initial Briefs (Electric) 4" xfId="24597"/>
    <cellStyle name="_VC 6.15.06 update on 06GRC power costs.xls Chart 3_04 07E Wild Horse Wind Expansion (C) (2)_Adj Bench DR 3 for Initial Briefs (Electric) 4 2" xfId="24598"/>
    <cellStyle name="_VC 6.15.06 update on 06GRC power costs.xls Chart 3_04 07E Wild Horse Wind Expansion (C) (2)_Adj Bench DR 3 for Initial Briefs (Electric) 4 2 2" xfId="24599"/>
    <cellStyle name="_VC 6.15.06 update on 06GRC power costs.xls Chart 3_04 07E Wild Horse Wind Expansion (C) (2)_Adj Bench DR 3 for Initial Briefs (Electric) 4 3" xfId="24600"/>
    <cellStyle name="_VC 6.15.06 update on 06GRC power costs.xls Chart 3_04 07E Wild Horse Wind Expansion (C) (2)_Adj Bench DR 3 for Initial Briefs (Electric) 5" xfId="24601"/>
    <cellStyle name="_VC 6.15.06 update on 06GRC power costs.xls Chart 3_04 07E Wild Horse Wind Expansion (C) (2)_Adj Bench DR 3 for Initial Briefs (Electric) 5 2" xfId="24602"/>
    <cellStyle name="_VC 6.15.06 update on 06GRC power costs.xls Chart 3_04 07E Wild Horse Wind Expansion (C) (2)_Adj Bench DR 3 for Initial Briefs (Electric) 6" xfId="24603"/>
    <cellStyle name="_VC 6.15.06 update on 06GRC power costs.xls Chart 3_04 07E Wild Horse Wind Expansion (C) (2)_Adj Bench DR 3 for Initial Briefs (Electric) 6 2" xfId="24604"/>
    <cellStyle name="_VC 6.15.06 update on 06GRC power costs.xls Chart 3_04 07E Wild Horse Wind Expansion (C) (2)_Adj Bench DR 3 for Initial Briefs (Electric) 7" xfId="24605"/>
    <cellStyle name="_VC 6.15.06 update on 06GRC power costs.xls Chart 3_04 07E Wild Horse Wind Expansion (C) (2)_Adj Bench DR 3 for Initial Briefs (Electric)_DEM-WP(C) ENERG10C--ctn Mid-C_042010 2010GRC" xfId="24606"/>
    <cellStyle name="_VC 6.15.06 update on 06GRC power costs.xls Chart 3_04 07E Wild Horse Wind Expansion (C) (2)_Adj Bench DR 3 for Initial Briefs (Electric)_DEM-WP(C) ENERG10C--ctn Mid-C_042010 2010GRC 2" xfId="24607"/>
    <cellStyle name="_VC 6.15.06 update on 06GRC power costs.xls Chart 3_04 07E Wild Horse Wind Expansion (C) (2)_Book1" xfId="24608"/>
    <cellStyle name="_VC 6.15.06 update on 06GRC power costs.xls Chart 3_04 07E Wild Horse Wind Expansion (C) (2)_Book1 2" xfId="24609"/>
    <cellStyle name="_VC 6.15.06 update on 06GRC power costs.xls Chart 3_04 07E Wild Horse Wind Expansion (C) (2)_DEM-WP(C) ENERG10C--ctn Mid-C_042010 2010GRC" xfId="24610"/>
    <cellStyle name="_VC 6.15.06 update on 06GRC power costs.xls Chart 3_04 07E Wild Horse Wind Expansion (C) (2)_DEM-WP(C) ENERG10C--ctn Mid-C_042010 2010GRC 2" xfId="24611"/>
    <cellStyle name="_VC 6.15.06 update on 06GRC power costs.xls Chart 3_04 07E Wild Horse Wind Expansion (C) (2)_Electric Rev Req Model (2009 GRC) " xfId="997"/>
    <cellStyle name="_VC 6.15.06 update on 06GRC power costs.xls Chart 3_04 07E Wild Horse Wind Expansion (C) (2)_Electric Rev Req Model (2009 GRC)  2" xfId="24612"/>
    <cellStyle name="_VC 6.15.06 update on 06GRC power costs.xls Chart 3_04 07E Wild Horse Wind Expansion (C) (2)_Electric Rev Req Model (2009 GRC)  2 2" xfId="24613"/>
    <cellStyle name="_VC 6.15.06 update on 06GRC power costs.xls Chart 3_04 07E Wild Horse Wind Expansion (C) (2)_Electric Rev Req Model (2009 GRC)  2 2 2" xfId="24614"/>
    <cellStyle name="_VC 6.15.06 update on 06GRC power costs.xls Chart 3_04 07E Wild Horse Wind Expansion (C) (2)_Electric Rev Req Model (2009 GRC)  2 2 2 2" xfId="24615"/>
    <cellStyle name="_VC 6.15.06 update on 06GRC power costs.xls Chart 3_04 07E Wild Horse Wind Expansion (C) (2)_Electric Rev Req Model (2009 GRC)  2 2 3" xfId="24616"/>
    <cellStyle name="_VC 6.15.06 update on 06GRC power costs.xls Chart 3_04 07E Wild Horse Wind Expansion (C) (2)_Electric Rev Req Model (2009 GRC)  2 3" xfId="24617"/>
    <cellStyle name="_VC 6.15.06 update on 06GRC power costs.xls Chart 3_04 07E Wild Horse Wind Expansion (C) (2)_Electric Rev Req Model (2009 GRC)  2 3 2" xfId="24618"/>
    <cellStyle name="_VC 6.15.06 update on 06GRC power costs.xls Chart 3_04 07E Wild Horse Wind Expansion (C) (2)_Electric Rev Req Model (2009 GRC)  2 4" xfId="24619"/>
    <cellStyle name="_VC 6.15.06 update on 06GRC power costs.xls Chart 3_04 07E Wild Horse Wind Expansion (C) (2)_Electric Rev Req Model (2009 GRC)  2 4 2" xfId="24620"/>
    <cellStyle name="_VC 6.15.06 update on 06GRC power costs.xls Chart 3_04 07E Wild Horse Wind Expansion (C) (2)_Electric Rev Req Model (2009 GRC)  2 5" xfId="24621"/>
    <cellStyle name="_VC 6.15.06 update on 06GRC power costs.xls Chart 3_04 07E Wild Horse Wind Expansion (C) (2)_Electric Rev Req Model (2009 GRC)  3" xfId="24622"/>
    <cellStyle name="_VC 6.15.06 update on 06GRC power costs.xls Chart 3_04 07E Wild Horse Wind Expansion (C) (2)_Electric Rev Req Model (2009 GRC)  3 2" xfId="24623"/>
    <cellStyle name="_VC 6.15.06 update on 06GRC power costs.xls Chart 3_04 07E Wild Horse Wind Expansion (C) (2)_Electric Rev Req Model (2009 GRC)  3 2 2" xfId="24624"/>
    <cellStyle name="_VC 6.15.06 update on 06GRC power costs.xls Chart 3_04 07E Wild Horse Wind Expansion (C) (2)_Electric Rev Req Model (2009 GRC)  3 3" xfId="24625"/>
    <cellStyle name="_VC 6.15.06 update on 06GRC power costs.xls Chart 3_04 07E Wild Horse Wind Expansion (C) (2)_Electric Rev Req Model (2009 GRC)  3 4" xfId="24626"/>
    <cellStyle name="_VC 6.15.06 update on 06GRC power costs.xls Chart 3_04 07E Wild Horse Wind Expansion (C) (2)_Electric Rev Req Model (2009 GRC)  4" xfId="24627"/>
    <cellStyle name="_VC 6.15.06 update on 06GRC power costs.xls Chart 3_04 07E Wild Horse Wind Expansion (C) (2)_Electric Rev Req Model (2009 GRC)  4 2" xfId="24628"/>
    <cellStyle name="_VC 6.15.06 update on 06GRC power costs.xls Chart 3_04 07E Wild Horse Wind Expansion (C) (2)_Electric Rev Req Model (2009 GRC)  4 2 2" xfId="24629"/>
    <cellStyle name="_VC 6.15.06 update on 06GRC power costs.xls Chart 3_04 07E Wild Horse Wind Expansion (C) (2)_Electric Rev Req Model (2009 GRC)  4 3" xfId="24630"/>
    <cellStyle name="_VC 6.15.06 update on 06GRC power costs.xls Chart 3_04 07E Wild Horse Wind Expansion (C) (2)_Electric Rev Req Model (2009 GRC)  5" xfId="24631"/>
    <cellStyle name="_VC 6.15.06 update on 06GRC power costs.xls Chart 3_04 07E Wild Horse Wind Expansion (C) (2)_Electric Rev Req Model (2009 GRC)  5 2" xfId="24632"/>
    <cellStyle name="_VC 6.15.06 update on 06GRC power costs.xls Chart 3_04 07E Wild Horse Wind Expansion (C) (2)_Electric Rev Req Model (2009 GRC)  6" xfId="24633"/>
    <cellStyle name="_VC 6.15.06 update on 06GRC power costs.xls Chart 3_04 07E Wild Horse Wind Expansion (C) (2)_Electric Rev Req Model (2009 GRC)  6 2" xfId="24634"/>
    <cellStyle name="_VC 6.15.06 update on 06GRC power costs.xls Chart 3_04 07E Wild Horse Wind Expansion (C) (2)_Electric Rev Req Model (2009 GRC)  7" xfId="24635"/>
    <cellStyle name="_VC 6.15.06 update on 06GRC power costs.xls Chart 3_04 07E Wild Horse Wind Expansion (C) (2)_Electric Rev Req Model (2009 GRC) _DEM-WP(C) ENERG10C--ctn Mid-C_042010 2010GRC" xfId="24636"/>
    <cellStyle name="_VC 6.15.06 update on 06GRC power costs.xls Chart 3_04 07E Wild Horse Wind Expansion (C) (2)_Electric Rev Req Model (2009 GRC) _DEM-WP(C) ENERG10C--ctn Mid-C_042010 2010GRC 2" xfId="24637"/>
    <cellStyle name="_VC 6.15.06 update on 06GRC power costs.xls Chart 3_04 07E Wild Horse Wind Expansion (C) (2)_Electric Rev Req Model (2009 GRC) Rebuttal" xfId="998"/>
    <cellStyle name="_VC 6.15.06 update on 06GRC power costs.xls Chart 3_04 07E Wild Horse Wind Expansion (C) (2)_Electric Rev Req Model (2009 GRC) Rebuttal 2" xfId="24638"/>
    <cellStyle name="_VC 6.15.06 update on 06GRC power costs.xls Chart 3_04 07E Wild Horse Wind Expansion (C) (2)_Electric Rev Req Model (2009 GRC) Rebuttal 2 2" xfId="24639"/>
    <cellStyle name="_VC 6.15.06 update on 06GRC power costs.xls Chart 3_04 07E Wild Horse Wind Expansion (C) (2)_Electric Rev Req Model (2009 GRC) Rebuttal 2 2 2" xfId="24640"/>
    <cellStyle name="_VC 6.15.06 update on 06GRC power costs.xls Chart 3_04 07E Wild Horse Wind Expansion (C) (2)_Electric Rev Req Model (2009 GRC) Rebuttal 2 3" xfId="24641"/>
    <cellStyle name="_VC 6.15.06 update on 06GRC power costs.xls Chart 3_04 07E Wild Horse Wind Expansion (C) (2)_Electric Rev Req Model (2009 GRC) Rebuttal 2 4" xfId="24642"/>
    <cellStyle name="_VC 6.15.06 update on 06GRC power costs.xls Chart 3_04 07E Wild Horse Wind Expansion (C) (2)_Electric Rev Req Model (2009 GRC) Rebuttal 3" xfId="24643"/>
    <cellStyle name="_VC 6.15.06 update on 06GRC power costs.xls Chart 3_04 07E Wild Horse Wind Expansion (C) (2)_Electric Rev Req Model (2009 GRC) Rebuttal 3 2" xfId="24644"/>
    <cellStyle name="_VC 6.15.06 update on 06GRC power costs.xls Chart 3_04 07E Wild Horse Wind Expansion (C) (2)_Electric Rev Req Model (2009 GRC) Rebuttal 4" xfId="24645"/>
    <cellStyle name="_VC 6.15.06 update on 06GRC power costs.xls Chart 3_04 07E Wild Horse Wind Expansion (C) (2)_Electric Rev Req Model (2009 GRC) Rebuttal 5" xfId="24646"/>
    <cellStyle name="_VC 6.15.06 update on 06GRC power costs.xls Chart 3_04 07E Wild Horse Wind Expansion (C) (2)_Electric Rev Req Model (2009 GRC) Rebuttal REmoval of New  WH Solar AdjustMI" xfId="999"/>
    <cellStyle name="_VC 6.15.06 update on 06GRC power costs.xls Chart 3_04 07E Wild Horse Wind Expansion (C) (2)_Electric Rev Req Model (2009 GRC) Rebuttal REmoval of New  WH Solar AdjustMI 2" xfId="24647"/>
    <cellStyle name="_VC 6.15.06 update on 06GRC power costs.xls Chart 3_04 07E Wild Horse Wind Expansion (C) (2)_Electric Rev Req Model (2009 GRC) Rebuttal REmoval of New  WH Solar AdjustMI 2 2" xfId="24648"/>
    <cellStyle name="_VC 6.15.06 update on 06GRC power costs.xls Chart 3_04 07E Wild Horse Wind Expansion (C) (2)_Electric Rev Req Model (2009 GRC) Rebuttal REmoval of New  WH Solar AdjustMI 2 2 2" xfId="24649"/>
    <cellStyle name="_VC 6.15.06 update on 06GRC power costs.xls Chart 3_04 07E Wild Horse Wind Expansion (C) (2)_Electric Rev Req Model (2009 GRC) Rebuttal REmoval of New  WH Solar AdjustMI 2 2 2 2" xfId="24650"/>
    <cellStyle name="_VC 6.15.06 update on 06GRC power costs.xls Chart 3_04 07E Wild Horse Wind Expansion (C) (2)_Electric Rev Req Model (2009 GRC) Rebuttal REmoval of New  WH Solar AdjustMI 2 2 3" xfId="24651"/>
    <cellStyle name="_VC 6.15.06 update on 06GRC power costs.xls Chart 3_04 07E Wild Horse Wind Expansion (C) (2)_Electric Rev Req Model (2009 GRC) Rebuttal REmoval of New  WH Solar AdjustMI 2 3" xfId="24652"/>
    <cellStyle name="_VC 6.15.06 update on 06GRC power costs.xls Chart 3_04 07E Wild Horse Wind Expansion (C) (2)_Electric Rev Req Model (2009 GRC) Rebuttal REmoval of New  WH Solar AdjustMI 2 3 2" xfId="24653"/>
    <cellStyle name="_VC 6.15.06 update on 06GRC power costs.xls Chart 3_04 07E Wild Horse Wind Expansion (C) (2)_Electric Rev Req Model (2009 GRC) Rebuttal REmoval of New  WH Solar AdjustMI 2 4" xfId="24654"/>
    <cellStyle name="_VC 6.15.06 update on 06GRC power costs.xls Chart 3_04 07E Wild Horse Wind Expansion (C) (2)_Electric Rev Req Model (2009 GRC) Rebuttal REmoval of New  WH Solar AdjustMI 2 4 2" xfId="24655"/>
    <cellStyle name="_VC 6.15.06 update on 06GRC power costs.xls Chart 3_04 07E Wild Horse Wind Expansion (C) (2)_Electric Rev Req Model (2009 GRC) Rebuttal REmoval of New  WH Solar AdjustMI 2 5" xfId="24656"/>
    <cellStyle name="_VC 6.15.06 update on 06GRC power costs.xls Chart 3_04 07E Wild Horse Wind Expansion (C) (2)_Electric Rev Req Model (2009 GRC) Rebuttal REmoval of New  WH Solar AdjustMI 3" xfId="24657"/>
    <cellStyle name="_VC 6.15.06 update on 06GRC power costs.xls Chart 3_04 07E Wild Horse Wind Expansion (C) (2)_Electric Rev Req Model (2009 GRC) Rebuttal REmoval of New  WH Solar AdjustMI 3 2" xfId="24658"/>
    <cellStyle name="_VC 6.15.06 update on 06GRC power costs.xls Chart 3_04 07E Wild Horse Wind Expansion (C) (2)_Electric Rev Req Model (2009 GRC) Rebuttal REmoval of New  WH Solar AdjustMI 3 2 2" xfId="24659"/>
    <cellStyle name="_VC 6.15.06 update on 06GRC power costs.xls Chart 3_04 07E Wild Horse Wind Expansion (C) (2)_Electric Rev Req Model (2009 GRC) Rebuttal REmoval of New  WH Solar AdjustMI 3 3" xfId="24660"/>
    <cellStyle name="_VC 6.15.06 update on 06GRC power costs.xls Chart 3_04 07E Wild Horse Wind Expansion (C) (2)_Electric Rev Req Model (2009 GRC) Rebuttal REmoval of New  WH Solar AdjustMI 3 4" xfId="24661"/>
    <cellStyle name="_VC 6.15.06 update on 06GRC power costs.xls Chart 3_04 07E Wild Horse Wind Expansion (C) (2)_Electric Rev Req Model (2009 GRC) Rebuttal REmoval of New  WH Solar AdjustMI 4" xfId="24662"/>
    <cellStyle name="_VC 6.15.06 update on 06GRC power costs.xls Chart 3_04 07E Wild Horse Wind Expansion (C) (2)_Electric Rev Req Model (2009 GRC) Rebuttal REmoval of New  WH Solar AdjustMI 4 2" xfId="24663"/>
    <cellStyle name="_VC 6.15.06 update on 06GRC power costs.xls Chart 3_04 07E Wild Horse Wind Expansion (C) (2)_Electric Rev Req Model (2009 GRC) Rebuttal REmoval of New  WH Solar AdjustMI 4 2 2" xfId="24664"/>
    <cellStyle name="_VC 6.15.06 update on 06GRC power costs.xls Chart 3_04 07E Wild Horse Wind Expansion (C) (2)_Electric Rev Req Model (2009 GRC) Rebuttal REmoval of New  WH Solar AdjustMI 4 3" xfId="24665"/>
    <cellStyle name="_VC 6.15.06 update on 06GRC power costs.xls Chart 3_04 07E Wild Horse Wind Expansion (C) (2)_Electric Rev Req Model (2009 GRC) Rebuttal REmoval of New  WH Solar AdjustMI 5" xfId="24666"/>
    <cellStyle name="_VC 6.15.06 update on 06GRC power costs.xls Chart 3_04 07E Wild Horse Wind Expansion (C) (2)_Electric Rev Req Model (2009 GRC) Rebuttal REmoval of New  WH Solar AdjustMI 5 2" xfId="24667"/>
    <cellStyle name="_VC 6.15.06 update on 06GRC power costs.xls Chart 3_04 07E Wild Horse Wind Expansion (C) (2)_Electric Rev Req Model (2009 GRC) Rebuttal REmoval of New  WH Solar AdjustMI 6" xfId="24668"/>
    <cellStyle name="_VC 6.15.06 update on 06GRC power costs.xls Chart 3_04 07E Wild Horse Wind Expansion (C) (2)_Electric Rev Req Model (2009 GRC) Rebuttal REmoval of New  WH Solar AdjustMI 6 2" xfId="24669"/>
    <cellStyle name="_VC 6.15.06 update on 06GRC power costs.xls Chart 3_04 07E Wild Horse Wind Expansion (C) (2)_Electric Rev Req Model (2009 GRC) Rebuttal REmoval of New  WH Solar AdjustMI 7" xfId="24670"/>
    <cellStyle name="_VC 6.15.06 update on 06GRC power costs.xls Chart 3_04 07E Wild Horse Wind Expansion (C) (2)_Electric Rev Req Model (2009 GRC) Rebuttal REmoval of New  WH Solar AdjustMI_DEM-WP(C) ENERG10C--ctn Mid-C_042010 2010GRC" xfId="24671"/>
    <cellStyle name="_VC 6.15.06 update on 06GRC power costs.xls Chart 3_04 07E Wild Horse Wind Expansion (C) (2)_Electric Rev Req Model (2009 GRC) Rebuttal REmoval of New  WH Solar AdjustMI_DEM-WP(C) ENERG10C--ctn Mid-C_042010 2010GRC 2" xfId="24672"/>
    <cellStyle name="_VC 6.15.06 update on 06GRC power costs.xls Chart 3_04 07E Wild Horse Wind Expansion (C) (2)_Electric Rev Req Model (2009 GRC) Revised 01-18-2010" xfId="1000"/>
    <cellStyle name="_VC 6.15.06 update on 06GRC power costs.xls Chart 3_04 07E Wild Horse Wind Expansion (C) (2)_Electric Rev Req Model (2009 GRC) Revised 01-18-2010 2" xfId="24673"/>
    <cellStyle name="_VC 6.15.06 update on 06GRC power costs.xls Chart 3_04 07E Wild Horse Wind Expansion (C) (2)_Electric Rev Req Model (2009 GRC) Revised 01-18-2010 2 2" xfId="24674"/>
    <cellStyle name="_VC 6.15.06 update on 06GRC power costs.xls Chart 3_04 07E Wild Horse Wind Expansion (C) (2)_Electric Rev Req Model (2009 GRC) Revised 01-18-2010 2 2 2" xfId="24675"/>
    <cellStyle name="_VC 6.15.06 update on 06GRC power costs.xls Chart 3_04 07E Wild Horse Wind Expansion (C) (2)_Electric Rev Req Model (2009 GRC) Revised 01-18-2010 2 2 2 2" xfId="24676"/>
    <cellStyle name="_VC 6.15.06 update on 06GRC power costs.xls Chart 3_04 07E Wild Horse Wind Expansion (C) (2)_Electric Rev Req Model (2009 GRC) Revised 01-18-2010 2 2 3" xfId="24677"/>
    <cellStyle name="_VC 6.15.06 update on 06GRC power costs.xls Chart 3_04 07E Wild Horse Wind Expansion (C) (2)_Electric Rev Req Model (2009 GRC) Revised 01-18-2010 2 3" xfId="24678"/>
    <cellStyle name="_VC 6.15.06 update on 06GRC power costs.xls Chart 3_04 07E Wild Horse Wind Expansion (C) (2)_Electric Rev Req Model (2009 GRC) Revised 01-18-2010 2 3 2" xfId="24679"/>
    <cellStyle name="_VC 6.15.06 update on 06GRC power costs.xls Chart 3_04 07E Wild Horse Wind Expansion (C) (2)_Electric Rev Req Model (2009 GRC) Revised 01-18-2010 2 4" xfId="24680"/>
    <cellStyle name="_VC 6.15.06 update on 06GRC power costs.xls Chart 3_04 07E Wild Horse Wind Expansion (C) (2)_Electric Rev Req Model (2009 GRC) Revised 01-18-2010 2 4 2" xfId="24681"/>
    <cellStyle name="_VC 6.15.06 update on 06GRC power costs.xls Chart 3_04 07E Wild Horse Wind Expansion (C) (2)_Electric Rev Req Model (2009 GRC) Revised 01-18-2010 2 5" xfId="24682"/>
    <cellStyle name="_VC 6.15.06 update on 06GRC power costs.xls Chart 3_04 07E Wild Horse Wind Expansion (C) (2)_Electric Rev Req Model (2009 GRC) Revised 01-18-2010 3" xfId="24683"/>
    <cellStyle name="_VC 6.15.06 update on 06GRC power costs.xls Chart 3_04 07E Wild Horse Wind Expansion (C) (2)_Electric Rev Req Model (2009 GRC) Revised 01-18-2010 3 2" xfId="24684"/>
    <cellStyle name="_VC 6.15.06 update on 06GRC power costs.xls Chart 3_04 07E Wild Horse Wind Expansion (C) (2)_Electric Rev Req Model (2009 GRC) Revised 01-18-2010 3 2 2" xfId="24685"/>
    <cellStyle name="_VC 6.15.06 update on 06GRC power costs.xls Chart 3_04 07E Wild Horse Wind Expansion (C) (2)_Electric Rev Req Model (2009 GRC) Revised 01-18-2010 3 3" xfId="24686"/>
    <cellStyle name="_VC 6.15.06 update on 06GRC power costs.xls Chart 3_04 07E Wild Horse Wind Expansion (C) (2)_Electric Rev Req Model (2009 GRC) Revised 01-18-2010 3 4" xfId="24687"/>
    <cellStyle name="_VC 6.15.06 update on 06GRC power costs.xls Chart 3_04 07E Wild Horse Wind Expansion (C) (2)_Electric Rev Req Model (2009 GRC) Revised 01-18-2010 4" xfId="24688"/>
    <cellStyle name="_VC 6.15.06 update on 06GRC power costs.xls Chart 3_04 07E Wild Horse Wind Expansion (C) (2)_Electric Rev Req Model (2009 GRC) Revised 01-18-2010 4 2" xfId="24689"/>
    <cellStyle name="_VC 6.15.06 update on 06GRC power costs.xls Chart 3_04 07E Wild Horse Wind Expansion (C) (2)_Electric Rev Req Model (2009 GRC) Revised 01-18-2010 4 2 2" xfId="24690"/>
    <cellStyle name="_VC 6.15.06 update on 06GRC power costs.xls Chart 3_04 07E Wild Horse Wind Expansion (C) (2)_Electric Rev Req Model (2009 GRC) Revised 01-18-2010 4 3" xfId="24691"/>
    <cellStyle name="_VC 6.15.06 update on 06GRC power costs.xls Chart 3_04 07E Wild Horse Wind Expansion (C) (2)_Electric Rev Req Model (2009 GRC) Revised 01-18-2010 5" xfId="24692"/>
    <cellStyle name="_VC 6.15.06 update on 06GRC power costs.xls Chart 3_04 07E Wild Horse Wind Expansion (C) (2)_Electric Rev Req Model (2009 GRC) Revised 01-18-2010 5 2" xfId="24693"/>
    <cellStyle name="_VC 6.15.06 update on 06GRC power costs.xls Chart 3_04 07E Wild Horse Wind Expansion (C) (2)_Electric Rev Req Model (2009 GRC) Revised 01-18-2010 6" xfId="24694"/>
    <cellStyle name="_VC 6.15.06 update on 06GRC power costs.xls Chart 3_04 07E Wild Horse Wind Expansion (C) (2)_Electric Rev Req Model (2009 GRC) Revised 01-18-2010 6 2" xfId="24695"/>
    <cellStyle name="_VC 6.15.06 update on 06GRC power costs.xls Chart 3_04 07E Wild Horse Wind Expansion (C) (2)_Electric Rev Req Model (2009 GRC) Revised 01-18-2010 7" xfId="24696"/>
    <cellStyle name="_VC 6.15.06 update on 06GRC power costs.xls Chart 3_04 07E Wild Horse Wind Expansion (C) (2)_Electric Rev Req Model (2009 GRC) Revised 01-18-2010_DEM-WP(C) ENERG10C--ctn Mid-C_042010 2010GRC" xfId="24697"/>
    <cellStyle name="_VC 6.15.06 update on 06GRC power costs.xls Chart 3_04 07E Wild Horse Wind Expansion (C) (2)_Electric Rev Req Model (2009 GRC) Revised 01-18-2010_DEM-WP(C) ENERG10C--ctn Mid-C_042010 2010GRC 2" xfId="24698"/>
    <cellStyle name="_VC 6.15.06 update on 06GRC power costs.xls Chart 3_04 07E Wild Horse Wind Expansion (C) (2)_Electric Rev Req Model (2010 GRC)" xfId="24699"/>
    <cellStyle name="_VC 6.15.06 update on 06GRC power costs.xls Chart 3_04 07E Wild Horse Wind Expansion (C) (2)_Electric Rev Req Model (2010 GRC) 2" xfId="24700"/>
    <cellStyle name="_VC 6.15.06 update on 06GRC power costs.xls Chart 3_04 07E Wild Horse Wind Expansion (C) (2)_Electric Rev Req Model (2010 GRC) SF" xfId="24701"/>
    <cellStyle name="_VC 6.15.06 update on 06GRC power costs.xls Chart 3_04 07E Wild Horse Wind Expansion (C) (2)_Electric Rev Req Model (2010 GRC) SF 2" xfId="24702"/>
    <cellStyle name="_VC 6.15.06 update on 06GRC power costs.xls Chart 3_04 07E Wild Horse Wind Expansion (C) (2)_Final Order Electric EXHIBIT A-1" xfId="1001"/>
    <cellStyle name="_VC 6.15.06 update on 06GRC power costs.xls Chart 3_04 07E Wild Horse Wind Expansion (C) (2)_Final Order Electric EXHIBIT A-1 2" xfId="24703"/>
    <cellStyle name="_VC 6.15.06 update on 06GRC power costs.xls Chart 3_04 07E Wild Horse Wind Expansion (C) (2)_Final Order Electric EXHIBIT A-1 2 2" xfId="24704"/>
    <cellStyle name="_VC 6.15.06 update on 06GRC power costs.xls Chart 3_04 07E Wild Horse Wind Expansion (C) (2)_Final Order Electric EXHIBIT A-1 2 2 2" xfId="24705"/>
    <cellStyle name="_VC 6.15.06 update on 06GRC power costs.xls Chart 3_04 07E Wild Horse Wind Expansion (C) (2)_Final Order Electric EXHIBIT A-1 2 3" xfId="24706"/>
    <cellStyle name="_VC 6.15.06 update on 06GRC power costs.xls Chart 3_04 07E Wild Horse Wind Expansion (C) (2)_Final Order Electric EXHIBIT A-1 2 4" xfId="24707"/>
    <cellStyle name="_VC 6.15.06 update on 06GRC power costs.xls Chart 3_04 07E Wild Horse Wind Expansion (C) (2)_Final Order Electric EXHIBIT A-1 3" xfId="24708"/>
    <cellStyle name="_VC 6.15.06 update on 06GRC power costs.xls Chart 3_04 07E Wild Horse Wind Expansion (C) (2)_Final Order Electric EXHIBIT A-1 3 2" xfId="24709"/>
    <cellStyle name="_VC 6.15.06 update on 06GRC power costs.xls Chart 3_04 07E Wild Horse Wind Expansion (C) (2)_Final Order Electric EXHIBIT A-1 3 2 2" xfId="24710"/>
    <cellStyle name="_VC 6.15.06 update on 06GRC power costs.xls Chart 3_04 07E Wild Horse Wind Expansion (C) (2)_Final Order Electric EXHIBIT A-1 3 3" xfId="24711"/>
    <cellStyle name="_VC 6.15.06 update on 06GRC power costs.xls Chart 3_04 07E Wild Horse Wind Expansion (C) (2)_Final Order Electric EXHIBIT A-1 4" xfId="24712"/>
    <cellStyle name="_VC 6.15.06 update on 06GRC power costs.xls Chart 3_04 07E Wild Horse Wind Expansion (C) (2)_Final Order Electric EXHIBIT A-1 4 2" xfId="24713"/>
    <cellStyle name="_VC 6.15.06 update on 06GRC power costs.xls Chart 3_04 07E Wild Horse Wind Expansion (C) (2)_Final Order Electric EXHIBIT A-1 5" xfId="24714"/>
    <cellStyle name="_VC 6.15.06 update on 06GRC power costs.xls Chart 3_04 07E Wild Horse Wind Expansion (C) (2)_Final Order Electric EXHIBIT A-1 6" xfId="24715"/>
    <cellStyle name="_VC 6.15.06 update on 06GRC power costs.xls Chart 3_04 07E Wild Horse Wind Expansion (C) (2)_Final Order Electric EXHIBIT A-1 7" xfId="24716"/>
    <cellStyle name="_VC 6.15.06 update on 06GRC power costs.xls Chart 3_04 07E Wild Horse Wind Expansion (C) (2)_TENASKA REGULATORY ASSET" xfId="1002"/>
    <cellStyle name="_VC 6.15.06 update on 06GRC power costs.xls Chart 3_04 07E Wild Horse Wind Expansion (C) (2)_TENASKA REGULATORY ASSET 2" xfId="24717"/>
    <cellStyle name="_VC 6.15.06 update on 06GRC power costs.xls Chart 3_04 07E Wild Horse Wind Expansion (C) (2)_TENASKA REGULATORY ASSET 2 2" xfId="24718"/>
    <cellStyle name="_VC 6.15.06 update on 06GRC power costs.xls Chart 3_04 07E Wild Horse Wind Expansion (C) (2)_TENASKA REGULATORY ASSET 2 2 2" xfId="24719"/>
    <cellStyle name="_VC 6.15.06 update on 06GRC power costs.xls Chart 3_04 07E Wild Horse Wind Expansion (C) (2)_TENASKA REGULATORY ASSET 2 3" xfId="24720"/>
    <cellStyle name="_VC 6.15.06 update on 06GRC power costs.xls Chart 3_04 07E Wild Horse Wind Expansion (C) (2)_TENASKA REGULATORY ASSET 2 4" xfId="24721"/>
    <cellStyle name="_VC 6.15.06 update on 06GRC power costs.xls Chart 3_04 07E Wild Horse Wind Expansion (C) (2)_TENASKA REGULATORY ASSET 3" xfId="24722"/>
    <cellStyle name="_VC 6.15.06 update on 06GRC power costs.xls Chart 3_04 07E Wild Horse Wind Expansion (C) (2)_TENASKA REGULATORY ASSET 3 2" xfId="24723"/>
    <cellStyle name="_VC 6.15.06 update on 06GRC power costs.xls Chart 3_04 07E Wild Horse Wind Expansion (C) (2)_TENASKA REGULATORY ASSET 3 2 2" xfId="24724"/>
    <cellStyle name="_VC 6.15.06 update on 06GRC power costs.xls Chart 3_04 07E Wild Horse Wind Expansion (C) (2)_TENASKA REGULATORY ASSET 3 3" xfId="24725"/>
    <cellStyle name="_VC 6.15.06 update on 06GRC power costs.xls Chart 3_04 07E Wild Horse Wind Expansion (C) (2)_TENASKA REGULATORY ASSET 4" xfId="24726"/>
    <cellStyle name="_VC 6.15.06 update on 06GRC power costs.xls Chart 3_04 07E Wild Horse Wind Expansion (C) (2)_TENASKA REGULATORY ASSET 4 2" xfId="24727"/>
    <cellStyle name="_VC 6.15.06 update on 06GRC power costs.xls Chart 3_04 07E Wild Horse Wind Expansion (C) (2)_TENASKA REGULATORY ASSET 5" xfId="24728"/>
    <cellStyle name="_VC 6.15.06 update on 06GRC power costs.xls Chart 3_04 07E Wild Horse Wind Expansion (C) (2)_TENASKA REGULATORY ASSET 6" xfId="24729"/>
    <cellStyle name="_VC 6.15.06 update on 06GRC power costs.xls Chart 3_04 07E Wild Horse Wind Expansion (C) (2)_TENASKA REGULATORY ASSET 7" xfId="24730"/>
    <cellStyle name="_VC 6.15.06 update on 06GRC power costs.xls Chart 3_16.37E Wild Horse Expansion DeferralRevwrkingfile SF" xfId="1003"/>
    <cellStyle name="_VC 6.15.06 update on 06GRC power costs.xls Chart 3_16.37E Wild Horse Expansion DeferralRevwrkingfile SF 2" xfId="24731"/>
    <cellStyle name="_VC 6.15.06 update on 06GRC power costs.xls Chart 3_16.37E Wild Horse Expansion DeferralRevwrkingfile SF 2 2" xfId="24732"/>
    <cellStyle name="_VC 6.15.06 update on 06GRC power costs.xls Chart 3_16.37E Wild Horse Expansion DeferralRevwrkingfile SF 2 2 2" xfId="24733"/>
    <cellStyle name="_VC 6.15.06 update on 06GRC power costs.xls Chart 3_16.37E Wild Horse Expansion DeferralRevwrkingfile SF 2 2 2 2" xfId="24734"/>
    <cellStyle name="_VC 6.15.06 update on 06GRC power costs.xls Chart 3_16.37E Wild Horse Expansion DeferralRevwrkingfile SF 2 2 3" xfId="24735"/>
    <cellStyle name="_VC 6.15.06 update on 06GRC power costs.xls Chart 3_16.37E Wild Horse Expansion DeferralRevwrkingfile SF 2 3" xfId="24736"/>
    <cellStyle name="_VC 6.15.06 update on 06GRC power costs.xls Chart 3_16.37E Wild Horse Expansion DeferralRevwrkingfile SF 2 3 2" xfId="24737"/>
    <cellStyle name="_VC 6.15.06 update on 06GRC power costs.xls Chart 3_16.37E Wild Horse Expansion DeferralRevwrkingfile SF 2 4" xfId="24738"/>
    <cellStyle name="_VC 6.15.06 update on 06GRC power costs.xls Chart 3_16.37E Wild Horse Expansion DeferralRevwrkingfile SF 2 4 2" xfId="24739"/>
    <cellStyle name="_VC 6.15.06 update on 06GRC power costs.xls Chart 3_16.37E Wild Horse Expansion DeferralRevwrkingfile SF 2 5" xfId="24740"/>
    <cellStyle name="_VC 6.15.06 update on 06GRC power costs.xls Chart 3_16.37E Wild Horse Expansion DeferralRevwrkingfile SF 3" xfId="24741"/>
    <cellStyle name="_VC 6.15.06 update on 06GRC power costs.xls Chart 3_16.37E Wild Horse Expansion DeferralRevwrkingfile SF 3 2" xfId="24742"/>
    <cellStyle name="_VC 6.15.06 update on 06GRC power costs.xls Chart 3_16.37E Wild Horse Expansion DeferralRevwrkingfile SF 3 2 2" xfId="24743"/>
    <cellStyle name="_VC 6.15.06 update on 06GRC power costs.xls Chart 3_16.37E Wild Horse Expansion DeferralRevwrkingfile SF 3 3" xfId="24744"/>
    <cellStyle name="_VC 6.15.06 update on 06GRC power costs.xls Chart 3_16.37E Wild Horse Expansion DeferralRevwrkingfile SF 3 4" xfId="24745"/>
    <cellStyle name="_VC 6.15.06 update on 06GRC power costs.xls Chart 3_16.37E Wild Horse Expansion DeferralRevwrkingfile SF 4" xfId="24746"/>
    <cellStyle name="_VC 6.15.06 update on 06GRC power costs.xls Chart 3_16.37E Wild Horse Expansion DeferralRevwrkingfile SF 4 2" xfId="24747"/>
    <cellStyle name="_VC 6.15.06 update on 06GRC power costs.xls Chart 3_16.37E Wild Horse Expansion DeferralRevwrkingfile SF 4 2 2" xfId="24748"/>
    <cellStyle name="_VC 6.15.06 update on 06GRC power costs.xls Chart 3_16.37E Wild Horse Expansion DeferralRevwrkingfile SF 4 3" xfId="24749"/>
    <cellStyle name="_VC 6.15.06 update on 06GRC power costs.xls Chart 3_16.37E Wild Horse Expansion DeferralRevwrkingfile SF 5" xfId="24750"/>
    <cellStyle name="_VC 6.15.06 update on 06GRC power costs.xls Chart 3_16.37E Wild Horse Expansion DeferralRevwrkingfile SF 5 2" xfId="24751"/>
    <cellStyle name="_VC 6.15.06 update on 06GRC power costs.xls Chart 3_16.37E Wild Horse Expansion DeferralRevwrkingfile SF 6" xfId="24752"/>
    <cellStyle name="_VC 6.15.06 update on 06GRC power costs.xls Chart 3_16.37E Wild Horse Expansion DeferralRevwrkingfile SF 6 2" xfId="24753"/>
    <cellStyle name="_VC 6.15.06 update on 06GRC power costs.xls Chart 3_16.37E Wild Horse Expansion DeferralRevwrkingfile SF 7" xfId="24754"/>
    <cellStyle name="_VC 6.15.06 update on 06GRC power costs.xls Chart 3_16.37E Wild Horse Expansion DeferralRevwrkingfile SF_DEM-WP(C) ENERG10C--ctn Mid-C_042010 2010GRC" xfId="24755"/>
    <cellStyle name="_VC 6.15.06 update on 06GRC power costs.xls Chart 3_16.37E Wild Horse Expansion DeferralRevwrkingfile SF_DEM-WP(C) ENERG10C--ctn Mid-C_042010 2010GRC 2" xfId="24756"/>
    <cellStyle name="_VC 6.15.06 update on 06GRC power costs.xls Chart 3_2009 Compliance Filing PCA Exhibits for GRC" xfId="24757"/>
    <cellStyle name="_VC 6.15.06 update on 06GRC power costs.xls Chart 3_2009 Compliance Filing PCA Exhibits for GRC 2" xfId="24758"/>
    <cellStyle name="_VC 6.15.06 update on 06GRC power costs.xls Chart 3_2009 Compliance Filing PCA Exhibits for GRC 2 2" xfId="24759"/>
    <cellStyle name="_VC 6.15.06 update on 06GRC power costs.xls Chart 3_2009 Compliance Filing PCA Exhibits for GRC 3" xfId="24760"/>
    <cellStyle name="_VC 6.15.06 update on 06GRC power costs.xls Chart 3_2009 GRC Compl Filing - Exhibit D" xfId="1004"/>
    <cellStyle name="_VC 6.15.06 update on 06GRC power costs.xls Chart 3_2009 GRC Compl Filing - Exhibit D 2" xfId="24761"/>
    <cellStyle name="_VC 6.15.06 update on 06GRC power costs.xls Chart 3_2009 GRC Compl Filing - Exhibit D 2 2" xfId="24762"/>
    <cellStyle name="_VC 6.15.06 update on 06GRC power costs.xls Chart 3_2009 GRC Compl Filing - Exhibit D 2 2 2" xfId="24763"/>
    <cellStyle name="_VC 6.15.06 update on 06GRC power costs.xls Chart 3_2009 GRC Compl Filing - Exhibit D 2 2 2 2" xfId="24764"/>
    <cellStyle name="_VC 6.15.06 update on 06GRC power costs.xls Chart 3_2009 GRC Compl Filing - Exhibit D 2 3" xfId="24765"/>
    <cellStyle name="_VC 6.15.06 update on 06GRC power costs.xls Chart 3_2009 GRC Compl Filing - Exhibit D 2 3 2" xfId="24766"/>
    <cellStyle name="_VC 6.15.06 update on 06GRC power costs.xls Chart 3_2009 GRC Compl Filing - Exhibit D 2 4" xfId="24767"/>
    <cellStyle name="_VC 6.15.06 update on 06GRC power costs.xls Chart 3_2009 GRC Compl Filing - Exhibit D 2 4 2" xfId="24768"/>
    <cellStyle name="_VC 6.15.06 update on 06GRC power costs.xls Chart 3_2009 GRC Compl Filing - Exhibit D 2 5" xfId="24769"/>
    <cellStyle name="_VC 6.15.06 update on 06GRC power costs.xls Chart 3_2009 GRC Compl Filing - Exhibit D 3" xfId="24770"/>
    <cellStyle name="_VC 6.15.06 update on 06GRC power costs.xls Chart 3_2009 GRC Compl Filing - Exhibit D 3 2" xfId="24771"/>
    <cellStyle name="_VC 6.15.06 update on 06GRC power costs.xls Chart 3_2009 GRC Compl Filing - Exhibit D 3 2 2" xfId="24772"/>
    <cellStyle name="_VC 6.15.06 update on 06GRC power costs.xls Chart 3_2009 GRC Compl Filing - Exhibit D 3 3" xfId="24773"/>
    <cellStyle name="_VC 6.15.06 update on 06GRC power costs.xls Chart 3_2009 GRC Compl Filing - Exhibit D 4" xfId="24774"/>
    <cellStyle name="_VC 6.15.06 update on 06GRC power costs.xls Chart 3_2009 GRC Compl Filing - Exhibit D 4 2" xfId="24775"/>
    <cellStyle name="_VC 6.15.06 update on 06GRC power costs.xls Chart 3_2009 GRC Compl Filing - Exhibit D 4 2 2" xfId="24776"/>
    <cellStyle name="_VC 6.15.06 update on 06GRC power costs.xls Chart 3_2009 GRC Compl Filing - Exhibit D 4 3" xfId="24777"/>
    <cellStyle name="_VC 6.15.06 update on 06GRC power costs.xls Chart 3_2009 GRC Compl Filing - Exhibit D 5" xfId="24778"/>
    <cellStyle name="_VC 6.15.06 update on 06GRC power costs.xls Chart 3_2009 GRC Compl Filing - Exhibit D 5 2" xfId="24779"/>
    <cellStyle name="_VC 6.15.06 update on 06GRC power costs.xls Chart 3_2009 GRC Compl Filing - Exhibit D 6" xfId="24780"/>
    <cellStyle name="_VC 6.15.06 update on 06GRC power costs.xls Chart 3_2009 GRC Compl Filing - Exhibit D 6 2" xfId="24781"/>
    <cellStyle name="_VC 6.15.06 update on 06GRC power costs.xls Chart 3_2009 GRC Compl Filing - Exhibit D 7" xfId="24782"/>
    <cellStyle name="_VC 6.15.06 update on 06GRC power costs.xls Chart 3_2009 GRC Compl Filing - Exhibit D_DEM-WP(C) ENERG10C--ctn Mid-C_042010 2010GRC" xfId="24783"/>
    <cellStyle name="_VC 6.15.06 update on 06GRC power costs.xls Chart 3_2009 GRC Compl Filing - Exhibit D_DEM-WP(C) ENERG10C--ctn Mid-C_042010 2010GRC 2" xfId="24784"/>
    <cellStyle name="_VC 6.15.06 update on 06GRC power costs.xls Chart 3_3.01 Income Statement" xfId="1005"/>
    <cellStyle name="_VC 6.15.06 update on 06GRC power costs.xls Chart 3_4 31 Regulatory Assets and Liabilities  7 06- Exhibit D" xfId="1006"/>
    <cellStyle name="_VC 6.15.06 update on 06GRC power costs.xls Chart 3_4 31 Regulatory Assets and Liabilities  7 06- Exhibit D 2" xfId="24785"/>
    <cellStyle name="_VC 6.15.06 update on 06GRC power costs.xls Chart 3_4 31 Regulatory Assets and Liabilities  7 06- Exhibit D 2 2" xfId="24786"/>
    <cellStyle name="_VC 6.15.06 update on 06GRC power costs.xls Chart 3_4 31 Regulatory Assets and Liabilities  7 06- Exhibit D 2 2 2" xfId="24787"/>
    <cellStyle name="_VC 6.15.06 update on 06GRC power costs.xls Chart 3_4 31 Regulatory Assets and Liabilities  7 06- Exhibit D 2 2 2 2" xfId="24788"/>
    <cellStyle name="_VC 6.15.06 update on 06GRC power costs.xls Chart 3_4 31 Regulatory Assets and Liabilities  7 06- Exhibit D 2 2 3" xfId="24789"/>
    <cellStyle name="_VC 6.15.06 update on 06GRC power costs.xls Chart 3_4 31 Regulatory Assets and Liabilities  7 06- Exhibit D 2 3" xfId="24790"/>
    <cellStyle name="_VC 6.15.06 update on 06GRC power costs.xls Chart 3_4 31 Regulatory Assets and Liabilities  7 06- Exhibit D 2 3 2" xfId="24791"/>
    <cellStyle name="_VC 6.15.06 update on 06GRC power costs.xls Chart 3_4 31 Regulatory Assets and Liabilities  7 06- Exhibit D 2 4" xfId="24792"/>
    <cellStyle name="_VC 6.15.06 update on 06GRC power costs.xls Chart 3_4 31 Regulatory Assets and Liabilities  7 06- Exhibit D 2 4 2" xfId="24793"/>
    <cellStyle name="_VC 6.15.06 update on 06GRC power costs.xls Chart 3_4 31 Regulatory Assets and Liabilities  7 06- Exhibit D 2 5" xfId="24794"/>
    <cellStyle name="_VC 6.15.06 update on 06GRC power costs.xls Chart 3_4 31 Regulatory Assets and Liabilities  7 06- Exhibit D 3" xfId="24795"/>
    <cellStyle name="_VC 6.15.06 update on 06GRC power costs.xls Chart 3_4 31 Regulatory Assets and Liabilities  7 06- Exhibit D 3 2" xfId="24796"/>
    <cellStyle name="_VC 6.15.06 update on 06GRC power costs.xls Chart 3_4 31 Regulatory Assets and Liabilities  7 06- Exhibit D 3 2 2" xfId="24797"/>
    <cellStyle name="_VC 6.15.06 update on 06GRC power costs.xls Chart 3_4 31 Regulatory Assets and Liabilities  7 06- Exhibit D 3 3" xfId="24798"/>
    <cellStyle name="_VC 6.15.06 update on 06GRC power costs.xls Chart 3_4 31 Regulatory Assets and Liabilities  7 06- Exhibit D 3 4" xfId="24799"/>
    <cellStyle name="_VC 6.15.06 update on 06GRC power costs.xls Chart 3_4 31 Regulatory Assets and Liabilities  7 06- Exhibit D 4" xfId="24800"/>
    <cellStyle name="_VC 6.15.06 update on 06GRC power costs.xls Chart 3_4 31 Regulatory Assets and Liabilities  7 06- Exhibit D 4 2" xfId="24801"/>
    <cellStyle name="_VC 6.15.06 update on 06GRC power costs.xls Chart 3_4 31 Regulatory Assets and Liabilities  7 06- Exhibit D 4 2 2" xfId="24802"/>
    <cellStyle name="_VC 6.15.06 update on 06GRC power costs.xls Chart 3_4 31 Regulatory Assets and Liabilities  7 06- Exhibit D 4 3" xfId="24803"/>
    <cellStyle name="_VC 6.15.06 update on 06GRC power costs.xls Chart 3_4 31 Regulatory Assets and Liabilities  7 06- Exhibit D 5" xfId="24804"/>
    <cellStyle name="_VC 6.15.06 update on 06GRC power costs.xls Chart 3_4 31 Regulatory Assets and Liabilities  7 06- Exhibit D 5 2" xfId="24805"/>
    <cellStyle name="_VC 6.15.06 update on 06GRC power costs.xls Chart 3_4 31 Regulatory Assets and Liabilities  7 06- Exhibit D 6" xfId="24806"/>
    <cellStyle name="_VC 6.15.06 update on 06GRC power costs.xls Chart 3_4 31 Regulatory Assets and Liabilities  7 06- Exhibit D 6 2" xfId="24807"/>
    <cellStyle name="_VC 6.15.06 update on 06GRC power costs.xls Chart 3_4 31 Regulatory Assets and Liabilities  7 06- Exhibit D 7" xfId="24808"/>
    <cellStyle name="_VC 6.15.06 update on 06GRC power costs.xls Chart 3_4 31 Regulatory Assets and Liabilities  7 06- Exhibit D_DEM-WP(C) ENERG10C--ctn Mid-C_042010 2010GRC" xfId="24809"/>
    <cellStyle name="_VC 6.15.06 update on 06GRC power costs.xls Chart 3_4 31 Regulatory Assets and Liabilities  7 06- Exhibit D_DEM-WP(C) ENERG10C--ctn Mid-C_042010 2010GRC 2" xfId="24810"/>
    <cellStyle name="_VC 6.15.06 update on 06GRC power costs.xls Chart 3_4 31 Regulatory Assets and Liabilities  7 06- Exhibit D_NIM Summary" xfId="24811"/>
    <cellStyle name="_VC 6.15.06 update on 06GRC power costs.xls Chart 3_4 31 Regulatory Assets and Liabilities  7 06- Exhibit D_NIM Summary 2" xfId="24812"/>
    <cellStyle name="_VC 6.15.06 update on 06GRC power costs.xls Chart 3_4 31 Regulatory Assets and Liabilities  7 06- Exhibit D_NIM Summary 2 2" xfId="24813"/>
    <cellStyle name="_VC 6.15.06 update on 06GRC power costs.xls Chart 3_4 31 Regulatory Assets and Liabilities  7 06- Exhibit D_NIM Summary 2 2 2" xfId="24814"/>
    <cellStyle name="_VC 6.15.06 update on 06GRC power costs.xls Chart 3_4 31 Regulatory Assets and Liabilities  7 06- Exhibit D_NIM Summary 2 2 2 2" xfId="24815"/>
    <cellStyle name="_VC 6.15.06 update on 06GRC power costs.xls Chart 3_4 31 Regulatory Assets and Liabilities  7 06- Exhibit D_NIM Summary 2 3" xfId="24816"/>
    <cellStyle name="_VC 6.15.06 update on 06GRC power costs.xls Chart 3_4 31 Regulatory Assets and Liabilities  7 06- Exhibit D_NIM Summary 2 3 2" xfId="24817"/>
    <cellStyle name="_VC 6.15.06 update on 06GRC power costs.xls Chart 3_4 31 Regulatory Assets and Liabilities  7 06- Exhibit D_NIM Summary 2 4" xfId="24818"/>
    <cellStyle name="_VC 6.15.06 update on 06GRC power costs.xls Chart 3_4 31 Regulatory Assets and Liabilities  7 06- Exhibit D_NIM Summary 2 4 2" xfId="24819"/>
    <cellStyle name="_VC 6.15.06 update on 06GRC power costs.xls Chart 3_4 31 Regulatory Assets and Liabilities  7 06- Exhibit D_NIM Summary 2 5" xfId="24820"/>
    <cellStyle name="_VC 6.15.06 update on 06GRC power costs.xls Chart 3_4 31 Regulatory Assets and Liabilities  7 06- Exhibit D_NIM Summary 3" xfId="24821"/>
    <cellStyle name="_VC 6.15.06 update on 06GRC power costs.xls Chart 3_4 31 Regulatory Assets and Liabilities  7 06- Exhibit D_NIM Summary 3 2" xfId="24822"/>
    <cellStyle name="_VC 6.15.06 update on 06GRC power costs.xls Chart 3_4 31 Regulatory Assets and Liabilities  7 06- Exhibit D_NIM Summary 3 2 2" xfId="24823"/>
    <cellStyle name="_VC 6.15.06 update on 06GRC power costs.xls Chart 3_4 31 Regulatory Assets and Liabilities  7 06- Exhibit D_NIM Summary 3 3" xfId="24824"/>
    <cellStyle name="_VC 6.15.06 update on 06GRC power costs.xls Chart 3_4 31 Regulatory Assets and Liabilities  7 06- Exhibit D_NIM Summary 4" xfId="24825"/>
    <cellStyle name="_VC 6.15.06 update on 06GRC power costs.xls Chart 3_4 31 Regulatory Assets and Liabilities  7 06- Exhibit D_NIM Summary 4 2" xfId="24826"/>
    <cellStyle name="_VC 6.15.06 update on 06GRC power costs.xls Chart 3_4 31 Regulatory Assets and Liabilities  7 06- Exhibit D_NIM Summary 4 2 2" xfId="24827"/>
    <cellStyle name="_VC 6.15.06 update on 06GRC power costs.xls Chart 3_4 31 Regulatory Assets and Liabilities  7 06- Exhibit D_NIM Summary 4 3" xfId="24828"/>
    <cellStyle name="_VC 6.15.06 update on 06GRC power costs.xls Chart 3_4 31 Regulatory Assets and Liabilities  7 06- Exhibit D_NIM Summary 5" xfId="24829"/>
    <cellStyle name="_VC 6.15.06 update on 06GRC power costs.xls Chart 3_4 31 Regulatory Assets and Liabilities  7 06- Exhibit D_NIM Summary 5 2" xfId="24830"/>
    <cellStyle name="_VC 6.15.06 update on 06GRC power costs.xls Chart 3_4 31 Regulatory Assets and Liabilities  7 06- Exhibit D_NIM Summary 6" xfId="24831"/>
    <cellStyle name="_VC 6.15.06 update on 06GRC power costs.xls Chart 3_4 31 Regulatory Assets and Liabilities  7 06- Exhibit D_NIM Summary 6 2" xfId="24832"/>
    <cellStyle name="_VC 6.15.06 update on 06GRC power costs.xls Chart 3_4 31 Regulatory Assets and Liabilities  7 06- Exhibit D_NIM Summary 7" xfId="24833"/>
    <cellStyle name="_VC 6.15.06 update on 06GRC power costs.xls Chart 3_4 31 Regulatory Assets and Liabilities  7 06- Exhibit D_NIM Summary_DEM-WP(C) ENERG10C--ctn Mid-C_042010 2010GRC" xfId="24834"/>
    <cellStyle name="_VC 6.15.06 update on 06GRC power costs.xls Chart 3_4 31 Regulatory Assets and Liabilities  7 06- Exhibit D_NIM Summary_DEM-WP(C) ENERG10C--ctn Mid-C_042010 2010GRC 2" xfId="24835"/>
    <cellStyle name="_VC 6.15.06 update on 06GRC power costs.xls Chart 3_4 31E Reg Asset  Liab and EXH D" xfId="24836"/>
    <cellStyle name="_VC 6.15.06 update on 06GRC power costs.xls Chart 3_4 31E Reg Asset  Liab and EXH D _ Aug 10 Filing (2)" xfId="24837"/>
    <cellStyle name="_VC 6.15.06 update on 06GRC power costs.xls Chart 3_4 31E Reg Asset  Liab and EXH D _ Aug 10 Filing (2) 2" xfId="24838"/>
    <cellStyle name="_VC 6.15.06 update on 06GRC power costs.xls Chart 3_4 31E Reg Asset  Liab and EXH D _ Aug 10 Filing (2) 2 2" xfId="24839"/>
    <cellStyle name="_VC 6.15.06 update on 06GRC power costs.xls Chart 3_4 31E Reg Asset  Liab and EXH D _ Aug 10 Filing (2) 2 2 2" xfId="24840"/>
    <cellStyle name="_VC 6.15.06 update on 06GRC power costs.xls Chart 3_4 31E Reg Asset  Liab and EXH D _ Aug 10 Filing (2) 2 3" xfId="24841"/>
    <cellStyle name="_VC 6.15.06 update on 06GRC power costs.xls Chart 3_4 31E Reg Asset  Liab and EXH D _ Aug 10 Filing (2) 3" xfId="24842"/>
    <cellStyle name="_VC 6.15.06 update on 06GRC power costs.xls Chart 3_4 31E Reg Asset  Liab and EXH D _ Aug 10 Filing (2) 3 2" xfId="24843"/>
    <cellStyle name="_VC 6.15.06 update on 06GRC power costs.xls Chart 3_4 31E Reg Asset  Liab and EXH D _ Aug 10 Filing (2) 3 2 2" xfId="24844"/>
    <cellStyle name="_VC 6.15.06 update on 06GRC power costs.xls Chart 3_4 31E Reg Asset  Liab and EXH D _ Aug 10 Filing (2) 3 3" xfId="24845"/>
    <cellStyle name="_VC 6.15.06 update on 06GRC power costs.xls Chart 3_4 31E Reg Asset  Liab and EXH D _ Aug 10 Filing (2) 4" xfId="24846"/>
    <cellStyle name="_VC 6.15.06 update on 06GRC power costs.xls Chart 3_4 31E Reg Asset  Liab and EXH D _ Aug 10 Filing (2) 4 2" xfId="24847"/>
    <cellStyle name="_VC 6.15.06 update on 06GRC power costs.xls Chart 3_4 31E Reg Asset  Liab and EXH D _ Aug 10 Filing (2) 5" xfId="24848"/>
    <cellStyle name="_VC 6.15.06 update on 06GRC power costs.xls Chart 3_4 31E Reg Asset  Liab and EXH D _ Aug 10 Filing (2) 5 2" xfId="24849"/>
    <cellStyle name="_VC 6.15.06 update on 06GRC power costs.xls Chart 3_4 31E Reg Asset  Liab and EXH D 10" xfId="24850"/>
    <cellStyle name="_VC 6.15.06 update on 06GRC power costs.xls Chart 3_4 31E Reg Asset  Liab and EXH D 10 2" xfId="24851"/>
    <cellStyle name="_VC 6.15.06 update on 06GRC power costs.xls Chart 3_4 31E Reg Asset  Liab and EXH D 10 2 2" xfId="24852"/>
    <cellStyle name="_VC 6.15.06 update on 06GRC power costs.xls Chart 3_4 31E Reg Asset  Liab and EXH D 10 3" xfId="24853"/>
    <cellStyle name="_VC 6.15.06 update on 06GRC power costs.xls Chart 3_4 31E Reg Asset  Liab and EXH D 11" xfId="24854"/>
    <cellStyle name="_VC 6.15.06 update on 06GRC power costs.xls Chart 3_4 31E Reg Asset  Liab and EXH D 11 2" xfId="24855"/>
    <cellStyle name="_VC 6.15.06 update on 06GRC power costs.xls Chart 3_4 31E Reg Asset  Liab and EXH D 11 2 2" xfId="24856"/>
    <cellStyle name="_VC 6.15.06 update on 06GRC power costs.xls Chart 3_4 31E Reg Asset  Liab and EXH D 11 3" xfId="24857"/>
    <cellStyle name="_VC 6.15.06 update on 06GRC power costs.xls Chart 3_4 31E Reg Asset  Liab and EXH D 12" xfId="24858"/>
    <cellStyle name="_VC 6.15.06 update on 06GRC power costs.xls Chart 3_4 31E Reg Asset  Liab and EXH D 12 2" xfId="24859"/>
    <cellStyle name="_VC 6.15.06 update on 06GRC power costs.xls Chart 3_4 31E Reg Asset  Liab and EXH D 12 2 2" xfId="24860"/>
    <cellStyle name="_VC 6.15.06 update on 06GRC power costs.xls Chart 3_4 31E Reg Asset  Liab and EXH D 12 3" xfId="24861"/>
    <cellStyle name="_VC 6.15.06 update on 06GRC power costs.xls Chart 3_4 31E Reg Asset  Liab and EXH D 13" xfId="24862"/>
    <cellStyle name="_VC 6.15.06 update on 06GRC power costs.xls Chart 3_4 31E Reg Asset  Liab and EXH D 13 2" xfId="24863"/>
    <cellStyle name="_VC 6.15.06 update on 06GRC power costs.xls Chart 3_4 31E Reg Asset  Liab and EXH D 13 2 2" xfId="24864"/>
    <cellStyle name="_VC 6.15.06 update on 06GRC power costs.xls Chart 3_4 31E Reg Asset  Liab and EXH D 13 3" xfId="24865"/>
    <cellStyle name="_VC 6.15.06 update on 06GRC power costs.xls Chart 3_4 31E Reg Asset  Liab and EXH D 14" xfId="24866"/>
    <cellStyle name="_VC 6.15.06 update on 06GRC power costs.xls Chart 3_4 31E Reg Asset  Liab and EXH D 14 2" xfId="24867"/>
    <cellStyle name="_VC 6.15.06 update on 06GRC power costs.xls Chart 3_4 31E Reg Asset  Liab and EXH D 14 2 2" xfId="24868"/>
    <cellStyle name="_VC 6.15.06 update on 06GRC power costs.xls Chart 3_4 31E Reg Asset  Liab and EXH D 14 3" xfId="24869"/>
    <cellStyle name="_VC 6.15.06 update on 06GRC power costs.xls Chart 3_4 31E Reg Asset  Liab and EXH D 15" xfId="24870"/>
    <cellStyle name="_VC 6.15.06 update on 06GRC power costs.xls Chart 3_4 31E Reg Asset  Liab and EXH D 15 2" xfId="24871"/>
    <cellStyle name="_VC 6.15.06 update on 06GRC power costs.xls Chart 3_4 31E Reg Asset  Liab and EXH D 15 2 2" xfId="24872"/>
    <cellStyle name="_VC 6.15.06 update on 06GRC power costs.xls Chart 3_4 31E Reg Asset  Liab and EXH D 15 3" xfId="24873"/>
    <cellStyle name="_VC 6.15.06 update on 06GRC power costs.xls Chart 3_4 31E Reg Asset  Liab and EXH D 16" xfId="24874"/>
    <cellStyle name="_VC 6.15.06 update on 06GRC power costs.xls Chart 3_4 31E Reg Asset  Liab and EXH D 16 2" xfId="24875"/>
    <cellStyle name="_VC 6.15.06 update on 06GRC power costs.xls Chart 3_4 31E Reg Asset  Liab and EXH D 16 2 2" xfId="24876"/>
    <cellStyle name="_VC 6.15.06 update on 06GRC power costs.xls Chart 3_4 31E Reg Asset  Liab and EXH D 16 3" xfId="24877"/>
    <cellStyle name="_VC 6.15.06 update on 06GRC power costs.xls Chart 3_4 31E Reg Asset  Liab and EXH D 17" xfId="24878"/>
    <cellStyle name="_VC 6.15.06 update on 06GRC power costs.xls Chart 3_4 31E Reg Asset  Liab and EXH D 17 2" xfId="24879"/>
    <cellStyle name="_VC 6.15.06 update on 06GRC power costs.xls Chart 3_4 31E Reg Asset  Liab and EXH D 18" xfId="24880"/>
    <cellStyle name="_VC 6.15.06 update on 06GRC power costs.xls Chart 3_4 31E Reg Asset  Liab and EXH D 18 2" xfId="24881"/>
    <cellStyle name="_VC 6.15.06 update on 06GRC power costs.xls Chart 3_4 31E Reg Asset  Liab and EXH D 19" xfId="24882"/>
    <cellStyle name="_VC 6.15.06 update on 06GRC power costs.xls Chart 3_4 31E Reg Asset  Liab and EXH D 19 2" xfId="24883"/>
    <cellStyle name="_VC 6.15.06 update on 06GRC power costs.xls Chart 3_4 31E Reg Asset  Liab and EXH D 2" xfId="24884"/>
    <cellStyle name="_VC 6.15.06 update on 06GRC power costs.xls Chart 3_4 31E Reg Asset  Liab and EXH D 2 2" xfId="24885"/>
    <cellStyle name="_VC 6.15.06 update on 06GRC power costs.xls Chart 3_4 31E Reg Asset  Liab and EXH D 2 2 2" xfId="24886"/>
    <cellStyle name="_VC 6.15.06 update on 06GRC power costs.xls Chart 3_4 31E Reg Asset  Liab and EXH D 2 3" xfId="24887"/>
    <cellStyle name="_VC 6.15.06 update on 06GRC power costs.xls Chart 3_4 31E Reg Asset  Liab and EXH D 20" xfId="24888"/>
    <cellStyle name="_VC 6.15.06 update on 06GRC power costs.xls Chart 3_4 31E Reg Asset  Liab and EXH D 20 2" xfId="24889"/>
    <cellStyle name="_VC 6.15.06 update on 06GRC power costs.xls Chart 3_4 31E Reg Asset  Liab and EXH D 21" xfId="24890"/>
    <cellStyle name="_VC 6.15.06 update on 06GRC power costs.xls Chart 3_4 31E Reg Asset  Liab and EXH D 21 2" xfId="24891"/>
    <cellStyle name="_VC 6.15.06 update on 06GRC power costs.xls Chart 3_4 31E Reg Asset  Liab and EXH D 22" xfId="24892"/>
    <cellStyle name="_VC 6.15.06 update on 06GRC power costs.xls Chart 3_4 31E Reg Asset  Liab and EXH D 22 2" xfId="24893"/>
    <cellStyle name="_VC 6.15.06 update on 06GRC power costs.xls Chart 3_4 31E Reg Asset  Liab and EXH D 23" xfId="24894"/>
    <cellStyle name="_VC 6.15.06 update on 06GRC power costs.xls Chart 3_4 31E Reg Asset  Liab and EXH D 23 2" xfId="24895"/>
    <cellStyle name="_VC 6.15.06 update on 06GRC power costs.xls Chart 3_4 31E Reg Asset  Liab and EXH D 24" xfId="24896"/>
    <cellStyle name="_VC 6.15.06 update on 06GRC power costs.xls Chart 3_4 31E Reg Asset  Liab and EXH D 24 2" xfId="24897"/>
    <cellStyle name="_VC 6.15.06 update on 06GRC power costs.xls Chart 3_4 31E Reg Asset  Liab and EXH D 25" xfId="24898"/>
    <cellStyle name="_VC 6.15.06 update on 06GRC power costs.xls Chart 3_4 31E Reg Asset  Liab and EXH D 25 2" xfId="24899"/>
    <cellStyle name="_VC 6.15.06 update on 06GRC power costs.xls Chart 3_4 31E Reg Asset  Liab and EXH D 26" xfId="24900"/>
    <cellStyle name="_VC 6.15.06 update on 06GRC power costs.xls Chart 3_4 31E Reg Asset  Liab and EXH D 26 2" xfId="24901"/>
    <cellStyle name="_VC 6.15.06 update on 06GRC power costs.xls Chart 3_4 31E Reg Asset  Liab and EXH D 27" xfId="24902"/>
    <cellStyle name="_VC 6.15.06 update on 06GRC power costs.xls Chart 3_4 31E Reg Asset  Liab and EXH D 27 2" xfId="24903"/>
    <cellStyle name="_VC 6.15.06 update on 06GRC power costs.xls Chart 3_4 31E Reg Asset  Liab and EXH D 28" xfId="24904"/>
    <cellStyle name="_VC 6.15.06 update on 06GRC power costs.xls Chart 3_4 31E Reg Asset  Liab and EXH D 28 2" xfId="24905"/>
    <cellStyle name="_VC 6.15.06 update on 06GRC power costs.xls Chart 3_4 31E Reg Asset  Liab and EXH D 29" xfId="24906"/>
    <cellStyle name="_VC 6.15.06 update on 06GRC power costs.xls Chart 3_4 31E Reg Asset  Liab and EXH D 29 2" xfId="24907"/>
    <cellStyle name="_VC 6.15.06 update on 06GRC power costs.xls Chart 3_4 31E Reg Asset  Liab and EXH D 3" xfId="24908"/>
    <cellStyle name="_VC 6.15.06 update on 06GRC power costs.xls Chart 3_4 31E Reg Asset  Liab and EXH D 3 2" xfId="24909"/>
    <cellStyle name="_VC 6.15.06 update on 06GRC power costs.xls Chart 3_4 31E Reg Asset  Liab and EXH D 3 2 2" xfId="24910"/>
    <cellStyle name="_VC 6.15.06 update on 06GRC power costs.xls Chart 3_4 31E Reg Asset  Liab and EXH D 3 3" xfId="24911"/>
    <cellStyle name="_VC 6.15.06 update on 06GRC power costs.xls Chart 3_4 31E Reg Asset  Liab and EXH D 30" xfId="24912"/>
    <cellStyle name="_VC 6.15.06 update on 06GRC power costs.xls Chart 3_4 31E Reg Asset  Liab and EXH D 30 2" xfId="24913"/>
    <cellStyle name="_VC 6.15.06 update on 06GRC power costs.xls Chart 3_4 31E Reg Asset  Liab and EXH D 4" xfId="24914"/>
    <cellStyle name="_VC 6.15.06 update on 06GRC power costs.xls Chart 3_4 31E Reg Asset  Liab and EXH D 4 2" xfId="24915"/>
    <cellStyle name="_VC 6.15.06 update on 06GRC power costs.xls Chart 3_4 31E Reg Asset  Liab and EXH D 4 2 2" xfId="24916"/>
    <cellStyle name="_VC 6.15.06 update on 06GRC power costs.xls Chart 3_4 31E Reg Asset  Liab and EXH D 5" xfId="24917"/>
    <cellStyle name="_VC 6.15.06 update on 06GRC power costs.xls Chart 3_4 31E Reg Asset  Liab and EXH D 5 2" xfId="24918"/>
    <cellStyle name="_VC 6.15.06 update on 06GRC power costs.xls Chart 3_4 31E Reg Asset  Liab and EXH D 5 2 2" xfId="24919"/>
    <cellStyle name="_VC 6.15.06 update on 06GRC power costs.xls Chart 3_4 31E Reg Asset  Liab and EXH D 6" xfId="24920"/>
    <cellStyle name="_VC 6.15.06 update on 06GRC power costs.xls Chart 3_4 31E Reg Asset  Liab and EXH D 6 2" xfId="24921"/>
    <cellStyle name="_VC 6.15.06 update on 06GRC power costs.xls Chart 3_4 31E Reg Asset  Liab and EXH D 6 2 2" xfId="24922"/>
    <cellStyle name="_VC 6.15.06 update on 06GRC power costs.xls Chart 3_4 31E Reg Asset  Liab and EXH D 6 3" xfId="24923"/>
    <cellStyle name="_VC 6.15.06 update on 06GRC power costs.xls Chart 3_4 31E Reg Asset  Liab and EXH D 7" xfId="24924"/>
    <cellStyle name="_VC 6.15.06 update on 06GRC power costs.xls Chart 3_4 31E Reg Asset  Liab and EXH D 7 2" xfId="24925"/>
    <cellStyle name="_VC 6.15.06 update on 06GRC power costs.xls Chart 3_4 31E Reg Asset  Liab and EXH D 7 2 2" xfId="24926"/>
    <cellStyle name="_VC 6.15.06 update on 06GRC power costs.xls Chart 3_4 31E Reg Asset  Liab and EXH D 7 3" xfId="24927"/>
    <cellStyle name="_VC 6.15.06 update on 06GRC power costs.xls Chart 3_4 31E Reg Asset  Liab and EXH D 8" xfId="24928"/>
    <cellStyle name="_VC 6.15.06 update on 06GRC power costs.xls Chart 3_4 31E Reg Asset  Liab and EXH D 8 2" xfId="24929"/>
    <cellStyle name="_VC 6.15.06 update on 06GRC power costs.xls Chart 3_4 31E Reg Asset  Liab and EXH D 8 2 2" xfId="24930"/>
    <cellStyle name="_VC 6.15.06 update on 06GRC power costs.xls Chart 3_4 31E Reg Asset  Liab and EXH D 8 3" xfId="24931"/>
    <cellStyle name="_VC 6.15.06 update on 06GRC power costs.xls Chart 3_4 31E Reg Asset  Liab and EXH D 9" xfId="24932"/>
    <cellStyle name="_VC 6.15.06 update on 06GRC power costs.xls Chart 3_4 31E Reg Asset  Liab and EXH D 9 2" xfId="24933"/>
    <cellStyle name="_VC 6.15.06 update on 06GRC power costs.xls Chart 3_4 31E Reg Asset  Liab and EXH D 9 2 2" xfId="24934"/>
    <cellStyle name="_VC 6.15.06 update on 06GRC power costs.xls Chart 3_4 31E Reg Asset  Liab and EXH D 9 3" xfId="24935"/>
    <cellStyle name="_VC 6.15.06 update on 06GRC power costs.xls Chart 3_4 32 Regulatory Assets and Liabilities  7 06- Exhibit D" xfId="1007"/>
    <cellStyle name="_VC 6.15.06 update on 06GRC power costs.xls Chart 3_4 32 Regulatory Assets and Liabilities  7 06- Exhibit D 2" xfId="24936"/>
    <cellStyle name="_VC 6.15.06 update on 06GRC power costs.xls Chart 3_4 32 Regulatory Assets and Liabilities  7 06- Exhibit D 2 2" xfId="24937"/>
    <cellStyle name="_VC 6.15.06 update on 06GRC power costs.xls Chart 3_4 32 Regulatory Assets and Liabilities  7 06- Exhibit D 2 2 2" xfId="24938"/>
    <cellStyle name="_VC 6.15.06 update on 06GRC power costs.xls Chart 3_4 32 Regulatory Assets and Liabilities  7 06- Exhibit D 2 2 2 2" xfId="24939"/>
    <cellStyle name="_VC 6.15.06 update on 06GRC power costs.xls Chart 3_4 32 Regulatory Assets and Liabilities  7 06- Exhibit D 2 2 3" xfId="24940"/>
    <cellStyle name="_VC 6.15.06 update on 06GRC power costs.xls Chart 3_4 32 Regulatory Assets and Liabilities  7 06- Exhibit D 2 3" xfId="24941"/>
    <cellStyle name="_VC 6.15.06 update on 06GRC power costs.xls Chart 3_4 32 Regulatory Assets and Liabilities  7 06- Exhibit D 2 3 2" xfId="24942"/>
    <cellStyle name="_VC 6.15.06 update on 06GRC power costs.xls Chart 3_4 32 Regulatory Assets and Liabilities  7 06- Exhibit D 2 4" xfId="24943"/>
    <cellStyle name="_VC 6.15.06 update on 06GRC power costs.xls Chart 3_4 32 Regulatory Assets and Liabilities  7 06- Exhibit D 2 4 2" xfId="24944"/>
    <cellStyle name="_VC 6.15.06 update on 06GRC power costs.xls Chart 3_4 32 Regulatory Assets and Liabilities  7 06- Exhibit D 2 5" xfId="24945"/>
    <cellStyle name="_VC 6.15.06 update on 06GRC power costs.xls Chart 3_4 32 Regulatory Assets and Liabilities  7 06- Exhibit D 3" xfId="24946"/>
    <cellStyle name="_VC 6.15.06 update on 06GRC power costs.xls Chart 3_4 32 Regulatory Assets and Liabilities  7 06- Exhibit D 3 2" xfId="24947"/>
    <cellStyle name="_VC 6.15.06 update on 06GRC power costs.xls Chart 3_4 32 Regulatory Assets and Liabilities  7 06- Exhibit D 3 2 2" xfId="24948"/>
    <cellStyle name="_VC 6.15.06 update on 06GRC power costs.xls Chart 3_4 32 Regulatory Assets and Liabilities  7 06- Exhibit D 3 3" xfId="24949"/>
    <cellStyle name="_VC 6.15.06 update on 06GRC power costs.xls Chart 3_4 32 Regulatory Assets and Liabilities  7 06- Exhibit D 3 4" xfId="24950"/>
    <cellStyle name="_VC 6.15.06 update on 06GRC power costs.xls Chart 3_4 32 Regulatory Assets and Liabilities  7 06- Exhibit D 4" xfId="24951"/>
    <cellStyle name="_VC 6.15.06 update on 06GRC power costs.xls Chart 3_4 32 Regulatory Assets and Liabilities  7 06- Exhibit D 4 2" xfId="24952"/>
    <cellStyle name="_VC 6.15.06 update on 06GRC power costs.xls Chart 3_4 32 Regulatory Assets and Liabilities  7 06- Exhibit D 4 2 2" xfId="24953"/>
    <cellStyle name="_VC 6.15.06 update on 06GRC power costs.xls Chart 3_4 32 Regulatory Assets and Liabilities  7 06- Exhibit D 4 3" xfId="24954"/>
    <cellStyle name="_VC 6.15.06 update on 06GRC power costs.xls Chart 3_4 32 Regulatory Assets and Liabilities  7 06- Exhibit D 5" xfId="24955"/>
    <cellStyle name="_VC 6.15.06 update on 06GRC power costs.xls Chart 3_4 32 Regulatory Assets and Liabilities  7 06- Exhibit D 5 2" xfId="24956"/>
    <cellStyle name="_VC 6.15.06 update on 06GRC power costs.xls Chart 3_4 32 Regulatory Assets and Liabilities  7 06- Exhibit D 6" xfId="24957"/>
    <cellStyle name="_VC 6.15.06 update on 06GRC power costs.xls Chart 3_4 32 Regulatory Assets and Liabilities  7 06- Exhibit D 6 2" xfId="24958"/>
    <cellStyle name="_VC 6.15.06 update on 06GRC power costs.xls Chart 3_4 32 Regulatory Assets and Liabilities  7 06- Exhibit D 7" xfId="24959"/>
    <cellStyle name="_VC 6.15.06 update on 06GRC power costs.xls Chart 3_4 32 Regulatory Assets and Liabilities  7 06- Exhibit D_DEM-WP(C) ENERG10C--ctn Mid-C_042010 2010GRC" xfId="24960"/>
    <cellStyle name="_VC 6.15.06 update on 06GRC power costs.xls Chart 3_4 32 Regulatory Assets and Liabilities  7 06- Exhibit D_DEM-WP(C) ENERG10C--ctn Mid-C_042010 2010GRC 2" xfId="24961"/>
    <cellStyle name="_VC 6.15.06 update on 06GRC power costs.xls Chart 3_4 32 Regulatory Assets and Liabilities  7 06- Exhibit D_NIM Summary" xfId="24962"/>
    <cellStyle name="_VC 6.15.06 update on 06GRC power costs.xls Chart 3_4 32 Regulatory Assets and Liabilities  7 06- Exhibit D_NIM Summary 2" xfId="24963"/>
    <cellStyle name="_VC 6.15.06 update on 06GRC power costs.xls Chart 3_4 32 Regulatory Assets and Liabilities  7 06- Exhibit D_NIM Summary 2 2" xfId="24964"/>
    <cellStyle name="_VC 6.15.06 update on 06GRC power costs.xls Chart 3_4 32 Regulatory Assets and Liabilities  7 06- Exhibit D_NIM Summary 2 2 2" xfId="24965"/>
    <cellStyle name="_VC 6.15.06 update on 06GRC power costs.xls Chart 3_4 32 Regulatory Assets and Liabilities  7 06- Exhibit D_NIM Summary 2 2 2 2" xfId="24966"/>
    <cellStyle name="_VC 6.15.06 update on 06GRC power costs.xls Chart 3_4 32 Regulatory Assets and Liabilities  7 06- Exhibit D_NIM Summary 2 3" xfId="24967"/>
    <cellStyle name="_VC 6.15.06 update on 06GRC power costs.xls Chart 3_4 32 Regulatory Assets and Liabilities  7 06- Exhibit D_NIM Summary 2 3 2" xfId="24968"/>
    <cellStyle name="_VC 6.15.06 update on 06GRC power costs.xls Chart 3_4 32 Regulatory Assets and Liabilities  7 06- Exhibit D_NIM Summary 2 4" xfId="24969"/>
    <cellStyle name="_VC 6.15.06 update on 06GRC power costs.xls Chart 3_4 32 Regulatory Assets and Liabilities  7 06- Exhibit D_NIM Summary 2 4 2" xfId="24970"/>
    <cellStyle name="_VC 6.15.06 update on 06GRC power costs.xls Chart 3_4 32 Regulatory Assets and Liabilities  7 06- Exhibit D_NIM Summary 2 5" xfId="24971"/>
    <cellStyle name="_VC 6.15.06 update on 06GRC power costs.xls Chart 3_4 32 Regulatory Assets and Liabilities  7 06- Exhibit D_NIM Summary 3" xfId="24972"/>
    <cellStyle name="_VC 6.15.06 update on 06GRC power costs.xls Chart 3_4 32 Regulatory Assets and Liabilities  7 06- Exhibit D_NIM Summary 3 2" xfId="24973"/>
    <cellStyle name="_VC 6.15.06 update on 06GRC power costs.xls Chart 3_4 32 Regulatory Assets and Liabilities  7 06- Exhibit D_NIM Summary 3 2 2" xfId="24974"/>
    <cellStyle name="_VC 6.15.06 update on 06GRC power costs.xls Chart 3_4 32 Regulatory Assets and Liabilities  7 06- Exhibit D_NIM Summary 3 3" xfId="24975"/>
    <cellStyle name="_VC 6.15.06 update on 06GRC power costs.xls Chart 3_4 32 Regulatory Assets and Liabilities  7 06- Exhibit D_NIM Summary 4" xfId="24976"/>
    <cellStyle name="_VC 6.15.06 update on 06GRC power costs.xls Chart 3_4 32 Regulatory Assets and Liabilities  7 06- Exhibit D_NIM Summary 4 2" xfId="24977"/>
    <cellStyle name="_VC 6.15.06 update on 06GRC power costs.xls Chart 3_4 32 Regulatory Assets and Liabilities  7 06- Exhibit D_NIM Summary 4 2 2" xfId="24978"/>
    <cellStyle name="_VC 6.15.06 update on 06GRC power costs.xls Chart 3_4 32 Regulatory Assets and Liabilities  7 06- Exhibit D_NIM Summary 4 3" xfId="24979"/>
    <cellStyle name="_VC 6.15.06 update on 06GRC power costs.xls Chart 3_4 32 Regulatory Assets and Liabilities  7 06- Exhibit D_NIM Summary 5" xfId="24980"/>
    <cellStyle name="_VC 6.15.06 update on 06GRC power costs.xls Chart 3_4 32 Regulatory Assets and Liabilities  7 06- Exhibit D_NIM Summary 5 2" xfId="24981"/>
    <cellStyle name="_VC 6.15.06 update on 06GRC power costs.xls Chart 3_4 32 Regulatory Assets and Liabilities  7 06- Exhibit D_NIM Summary 6" xfId="24982"/>
    <cellStyle name="_VC 6.15.06 update on 06GRC power costs.xls Chart 3_4 32 Regulatory Assets and Liabilities  7 06- Exhibit D_NIM Summary 6 2" xfId="24983"/>
    <cellStyle name="_VC 6.15.06 update on 06GRC power costs.xls Chart 3_4 32 Regulatory Assets and Liabilities  7 06- Exhibit D_NIM Summary 7" xfId="24984"/>
    <cellStyle name="_VC 6.15.06 update on 06GRC power costs.xls Chart 3_4 32 Regulatory Assets and Liabilities  7 06- Exhibit D_NIM Summary_DEM-WP(C) ENERG10C--ctn Mid-C_042010 2010GRC" xfId="24985"/>
    <cellStyle name="_VC 6.15.06 update on 06GRC power costs.xls Chart 3_4 32 Regulatory Assets and Liabilities  7 06- Exhibit D_NIM Summary_DEM-WP(C) ENERG10C--ctn Mid-C_042010 2010GRC 2" xfId="24986"/>
    <cellStyle name="_VC 6.15.06 update on 06GRC power costs.xls Chart 3_AURORA Total New" xfId="24987"/>
    <cellStyle name="_VC 6.15.06 update on 06GRC power costs.xls Chart 3_AURORA Total New 2" xfId="24988"/>
    <cellStyle name="_VC 6.15.06 update on 06GRC power costs.xls Chart 3_AURORA Total New 2 2" xfId="24989"/>
    <cellStyle name="_VC 6.15.06 update on 06GRC power costs.xls Chart 3_AURORA Total New 2 2 2" xfId="24990"/>
    <cellStyle name="_VC 6.15.06 update on 06GRC power costs.xls Chart 3_AURORA Total New 2 2 2 2" xfId="24991"/>
    <cellStyle name="_VC 6.15.06 update on 06GRC power costs.xls Chart 3_AURORA Total New 2 3" xfId="24992"/>
    <cellStyle name="_VC 6.15.06 update on 06GRC power costs.xls Chart 3_AURORA Total New 2 3 2" xfId="24993"/>
    <cellStyle name="_VC 6.15.06 update on 06GRC power costs.xls Chart 3_AURORA Total New 2 4" xfId="24994"/>
    <cellStyle name="_VC 6.15.06 update on 06GRC power costs.xls Chart 3_AURORA Total New 2 4 2" xfId="24995"/>
    <cellStyle name="_VC 6.15.06 update on 06GRC power costs.xls Chart 3_AURORA Total New 2 5" xfId="24996"/>
    <cellStyle name="_VC 6.15.06 update on 06GRC power costs.xls Chart 3_AURORA Total New 3" xfId="24997"/>
    <cellStyle name="_VC 6.15.06 update on 06GRC power costs.xls Chart 3_AURORA Total New 3 2" xfId="24998"/>
    <cellStyle name="_VC 6.15.06 update on 06GRC power costs.xls Chart 3_AURORA Total New 3 2 2" xfId="24999"/>
    <cellStyle name="_VC 6.15.06 update on 06GRC power costs.xls Chart 3_AURORA Total New 4" xfId="25000"/>
    <cellStyle name="_VC 6.15.06 update on 06GRC power costs.xls Chart 3_AURORA Total New 4 2" xfId="25001"/>
    <cellStyle name="_VC 6.15.06 update on 06GRC power costs.xls Chart 3_AURORA Total New 5" xfId="25002"/>
    <cellStyle name="_VC 6.15.06 update on 06GRC power costs.xls Chart 3_AURORA Total New 5 2" xfId="25003"/>
    <cellStyle name="_VC 6.15.06 update on 06GRC power costs.xls Chart 3_AURORA Total New 6" xfId="25004"/>
    <cellStyle name="_VC 6.15.06 update on 06GRC power costs.xls Chart 3_Book2" xfId="1008"/>
    <cellStyle name="_VC 6.15.06 update on 06GRC power costs.xls Chart 3_Book2 2" xfId="25005"/>
    <cellStyle name="_VC 6.15.06 update on 06GRC power costs.xls Chart 3_Book2 2 2" xfId="25006"/>
    <cellStyle name="_VC 6.15.06 update on 06GRC power costs.xls Chart 3_Book2 2 2 2" xfId="25007"/>
    <cellStyle name="_VC 6.15.06 update on 06GRC power costs.xls Chart 3_Book2 2 2 2 2" xfId="25008"/>
    <cellStyle name="_VC 6.15.06 update on 06GRC power costs.xls Chart 3_Book2 2 2 3" xfId="25009"/>
    <cellStyle name="_VC 6.15.06 update on 06GRC power costs.xls Chart 3_Book2 2 3" xfId="25010"/>
    <cellStyle name="_VC 6.15.06 update on 06GRC power costs.xls Chart 3_Book2 2 3 2" xfId="25011"/>
    <cellStyle name="_VC 6.15.06 update on 06GRC power costs.xls Chart 3_Book2 2 4" xfId="25012"/>
    <cellStyle name="_VC 6.15.06 update on 06GRC power costs.xls Chart 3_Book2 2 4 2" xfId="25013"/>
    <cellStyle name="_VC 6.15.06 update on 06GRC power costs.xls Chart 3_Book2 2 5" xfId="25014"/>
    <cellStyle name="_VC 6.15.06 update on 06GRC power costs.xls Chart 3_Book2 3" xfId="25015"/>
    <cellStyle name="_VC 6.15.06 update on 06GRC power costs.xls Chart 3_Book2 3 2" xfId="25016"/>
    <cellStyle name="_VC 6.15.06 update on 06GRC power costs.xls Chart 3_Book2 3 2 2" xfId="25017"/>
    <cellStyle name="_VC 6.15.06 update on 06GRC power costs.xls Chart 3_Book2 3 3" xfId="25018"/>
    <cellStyle name="_VC 6.15.06 update on 06GRC power costs.xls Chart 3_Book2 3 4" xfId="25019"/>
    <cellStyle name="_VC 6.15.06 update on 06GRC power costs.xls Chart 3_Book2 4" xfId="25020"/>
    <cellStyle name="_VC 6.15.06 update on 06GRC power costs.xls Chart 3_Book2 4 2" xfId="25021"/>
    <cellStyle name="_VC 6.15.06 update on 06GRC power costs.xls Chart 3_Book2 4 2 2" xfId="25022"/>
    <cellStyle name="_VC 6.15.06 update on 06GRC power costs.xls Chart 3_Book2 4 3" xfId="25023"/>
    <cellStyle name="_VC 6.15.06 update on 06GRC power costs.xls Chart 3_Book2 5" xfId="25024"/>
    <cellStyle name="_VC 6.15.06 update on 06GRC power costs.xls Chart 3_Book2 5 2" xfId="25025"/>
    <cellStyle name="_VC 6.15.06 update on 06GRC power costs.xls Chart 3_Book2 6" xfId="25026"/>
    <cellStyle name="_VC 6.15.06 update on 06GRC power costs.xls Chart 3_Book2 6 2" xfId="25027"/>
    <cellStyle name="_VC 6.15.06 update on 06GRC power costs.xls Chart 3_Book2 7" xfId="25028"/>
    <cellStyle name="_VC 6.15.06 update on 06GRC power costs.xls Chart 3_Book2_Adj Bench DR 3 for Initial Briefs (Electric)" xfId="1009"/>
    <cellStyle name="_VC 6.15.06 update on 06GRC power costs.xls Chart 3_Book2_Adj Bench DR 3 for Initial Briefs (Electric) 2" xfId="25029"/>
    <cellStyle name="_VC 6.15.06 update on 06GRC power costs.xls Chart 3_Book2_Adj Bench DR 3 for Initial Briefs (Electric) 2 2" xfId="25030"/>
    <cellStyle name="_VC 6.15.06 update on 06GRC power costs.xls Chart 3_Book2_Adj Bench DR 3 for Initial Briefs (Electric) 2 2 2" xfId="25031"/>
    <cellStyle name="_VC 6.15.06 update on 06GRC power costs.xls Chart 3_Book2_Adj Bench DR 3 for Initial Briefs (Electric) 2 2 2 2" xfId="25032"/>
    <cellStyle name="_VC 6.15.06 update on 06GRC power costs.xls Chart 3_Book2_Adj Bench DR 3 for Initial Briefs (Electric) 2 2 3" xfId="25033"/>
    <cellStyle name="_VC 6.15.06 update on 06GRC power costs.xls Chart 3_Book2_Adj Bench DR 3 for Initial Briefs (Electric) 2 3" xfId="25034"/>
    <cellStyle name="_VC 6.15.06 update on 06GRC power costs.xls Chart 3_Book2_Adj Bench DR 3 for Initial Briefs (Electric) 2 3 2" xfId="25035"/>
    <cellStyle name="_VC 6.15.06 update on 06GRC power costs.xls Chart 3_Book2_Adj Bench DR 3 for Initial Briefs (Electric) 2 4" xfId="25036"/>
    <cellStyle name="_VC 6.15.06 update on 06GRC power costs.xls Chart 3_Book2_Adj Bench DR 3 for Initial Briefs (Electric) 2 4 2" xfId="25037"/>
    <cellStyle name="_VC 6.15.06 update on 06GRC power costs.xls Chart 3_Book2_Adj Bench DR 3 for Initial Briefs (Electric) 2 5" xfId="25038"/>
    <cellStyle name="_VC 6.15.06 update on 06GRC power costs.xls Chart 3_Book2_Adj Bench DR 3 for Initial Briefs (Electric) 3" xfId="25039"/>
    <cellStyle name="_VC 6.15.06 update on 06GRC power costs.xls Chart 3_Book2_Adj Bench DR 3 for Initial Briefs (Electric) 3 2" xfId="25040"/>
    <cellStyle name="_VC 6.15.06 update on 06GRC power costs.xls Chart 3_Book2_Adj Bench DR 3 for Initial Briefs (Electric) 3 2 2" xfId="25041"/>
    <cellStyle name="_VC 6.15.06 update on 06GRC power costs.xls Chart 3_Book2_Adj Bench DR 3 for Initial Briefs (Electric) 3 3" xfId="25042"/>
    <cellStyle name="_VC 6.15.06 update on 06GRC power costs.xls Chart 3_Book2_Adj Bench DR 3 for Initial Briefs (Electric) 3 4" xfId="25043"/>
    <cellStyle name="_VC 6.15.06 update on 06GRC power costs.xls Chart 3_Book2_Adj Bench DR 3 for Initial Briefs (Electric) 4" xfId="25044"/>
    <cellStyle name="_VC 6.15.06 update on 06GRC power costs.xls Chart 3_Book2_Adj Bench DR 3 for Initial Briefs (Electric) 4 2" xfId="25045"/>
    <cellStyle name="_VC 6.15.06 update on 06GRC power costs.xls Chart 3_Book2_Adj Bench DR 3 for Initial Briefs (Electric) 4 2 2" xfId="25046"/>
    <cellStyle name="_VC 6.15.06 update on 06GRC power costs.xls Chart 3_Book2_Adj Bench DR 3 for Initial Briefs (Electric) 4 3" xfId="25047"/>
    <cellStyle name="_VC 6.15.06 update on 06GRC power costs.xls Chart 3_Book2_Adj Bench DR 3 for Initial Briefs (Electric) 5" xfId="25048"/>
    <cellStyle name="_VC 6.15.06 update on 06GRC power costs.xls Chart 3_Book2_Adj Bench DR 3 for Initial Briefs (Electric) 5 2" xfId="25049"/>
    <cellStyle name="_VC 6.15.06 update on 06GRC power costs.xls Chart 3_Book2_Adj Bench DR 3 for Initial Briefs (Electric) 6" xfId="25050"/>
    <cellStyle name="_VC 6.15.06 update on 06GRC power costs.xls Chart 3_Book2_Adj Bench DR 3 for Initial Briefs (Electric) 6 2" xfId="25051"/>
    <cellStyle name="_VC 6.15.06 update on 06GRC power costs.xls Chart 3_Book2_Adj Bench DR 3 for Initial Briefs (Electric) 7" xfId="25052"/>
    <cellStyle name="_VC 6.15.06 update on 06GRC power costs.xls Chart 3_Book2_Adj Bench DR 3 for Initial Briefs (Electric)_DEM-WP(C) ENERG10C--ctn Mid-C_042010 2010GRC" xfId="25053"/>
    <cellStyle name="_VC 6.15.06 update on 06GRC power costs.xls Chart 3_Book2_Adj Bench DR 3 for Initial Briefs (Electric)_DEM-WP(C) ENERG10C--ctn Mid-C_042010 2010GRC 2" xfId="25054"/>
    <cellStyle name="_VC 6.15.06 update on 06GRC power costs.xls Chart 3_Book2_DEM-WP(C) ENERG10C--ctn Mid-C_042010 2010GRC" xfId="25055"/>
    <cellStyle name="_VC 6.15.06 update on 06GRC power costs.xls Chart 3_Book2_DEM-WP(C) ENERG10C--ctn Mid-C_042010 2010GRC 2" xfId="25056"/>
    <cellStyle name="_VC 6.15.06 update on 06GRC power costs.xls Chart 3_Book2_Electric Rev Req Model (2009 GRC) Rebuttal" xfId="1010"/>
    <cellStyle name="_VC 6.15.06 update on 06GRC power costs.xls Chart 3_Book2_Electric Rev Req Model (2009 GRC) Rebuttal 2" xfId="25057"/>
    <cellStyle name="_VC 6.15.06 update on 06GRC power costs.xls Chart 3_Book2_Electric Rev Req Model (2009 GRC) Rebuttal 2 2" xfId="25058"/>
    <cellStyle name="_VC 6.15.06 update on 06GRC power costs.xls Chart 3_Book2_Electric Rev Req Model (2009 GRC) Rebuttal 2 2 2" xfId="25059"/>
    <cellStyle name="_VC 6.15.06 update on 06GRC power costs.xls Chart 3_Book2_Electric Rev Req Model (2009 GRC) Rebuttal 2 3" xfId="25060"/>
    <cellStyle name="_VC 6.15.06 update on 06GRC power costs.xls Chart 3_Book2_Electric Rev Req Model (2009 GRC) Rebuttal 2 4" xfId="25061"/>
    <cellStyle name="_VC 6.15.06 update on 06GRC power costs.xls Chart 3_Book2_Electric Rev Req Model (2009 GRC) Rebuttal 3" xfId="25062"/>
    <cellStyle name="_VC 6.15.06 update on 06GRC power costs.xls Chart 3_Book2_Electric Rev Req Model (2009 GRC) Rebuttal 3 2" xfId="25063"/>
    <cellStyle name="_VC 6.15.06 update on 06GRC power costs.xls Chart 3_Book2_Electric Rev Req Model (2009 GRC) Rebuttal 4" xfId="25064"/>
    <cellStyle name="_VC 6.15.06 update on 06GRC power costs.xls Chart 3_Book2_Electric Rev Req Model (2009 GRC) Rebuttal 5" xfId="25065"/>
    <cellStyle name="_VC 6.15.06 update on 06GRC power costs.xls Chart 3_Book2_Electric Rev Req Model (2009 GRC) Rebuttal REmoval of New  WH Solar AdjustMI" xfId="1011"/>
    <cellStyle name="_VC 6.15.06 update on 06GRC power costs.xls Chart 3_Book2_Electric Rev Req Model (2009 GRC) Rebuttal REmoval of New  WH Solar AdjustMI 2" xfId="25066"/>
    <cellStyle name="_VC 6.15.06 update on 06GRC power costs.xls Chart 3_Book2_Electric Rev Req Model (2009 GRC) Rebuttal REmoval of New  WH Solar AdjustMI 2 2" xfId="25067"/>
    <cellStyle name="_VC 6.15.06 update on 06GRC power costs.xls Chart 3_Book2_Electric Rev Req Model (2009 GRC) Rebuttal REmoval of New  WH Solar AdjustMI 2 2 2" xfId="25068"/>
    <cellStyle name="_VC 6.15.06 update on 06GRC power costs.xls Chart 3_Book2_Electric Rev Req Model (2009 GRC) Rebuttal REmoval of New  WH Solar AdjustMI 2 2 2 2" xfId="25069"/>
    <cellStyle name="_VC 6.15.06 update on 06GRC power costs.xls Chart 3_Book2_Electric Rev Req Model (2009 GRC) Rebuttal REmoval of New  WH Solar AdjustMI 2 2 3" xfId="25070"/>
    <cellStyle name="_VC 6.15.06 update on 06GRC power costs.xls Chart 3_Book2_Electric Rev Req Model (2009 GRC) Rebuttal REmoval of New  WH Solar AdjustMI 2 3" xfId="25071"/>
    <cellStyle name="_VC 6.15.06 update on 06GRC power costs.xls Chart 3_Book2_Electric Rev Req Model (2009 GRC) Rebuttal REmoval of New  WH Solar AdjustMI 2 3 2" xfId="25072"/>
    <cellStyle name="_VC 6.15.06 update on 06GRC power costs.xls Chart 3_Book2_Electric Rev Req Model (2009 GRC) Rebuttal REmoval of New  WH Solar AdjustMI 2 4" xfId="25073"/>
    <cellStyle name="_VC 6.15.06 update on 06GRC power costs.xls Chart 3_Book2_Electric Rev Req Model (2009 GRC) Rebuttal REmoval of New  WH Solar AdjustMI 2 4 2" xfId="25074"/>
    <cellStyle name="_VC 6.15.06 update on 06GRC power costs.xls Chart 3_Book2_Electric Rev Req Model (2009 GRC) Rebuttal REmoval of New  WH Solar AdjustMI 2 5" xfId="25075"/>
    <cellStyle name="_VC 6.15.06 update on 06GRC power costs.xls Chart 3_Book2_Electric Rev Req Model (2009 GRC) Rebuttal REmoval of New  WH Solar AdjustMI 3" xfId="25076"/>
    <cellStyle name="_VC 6.15.06 update on 06GRC power costs.xls Chart 3_Book2_Electric Rev Req Model (2009 GRC) Rebuttal REmoval of New  WH Solar AdjustMI 3 2" xfId="25077"/>
    <cellStyle name="_VC 6.15.06 update on 06GRC power costs.xls Chart 3_Book2_Electric Rev Req Model (2009 GRC) Rebuttal REmoval of New  WH Solar AdjustMI 3 2 2" xfId="25078"/>
    <cellStyle name="_VC 6.15.06 update on 06GRC power costs.xls Chart 3_Book2_Electric Rev Req Model (2009 GRC) Rebuttal REmoval of New  WH Solar AdjustMI 3 3" xfId="25079"/>
    <cellStyle name="_VC 6.15.06 update on 06GRC power costs.xls Chart 3_Book2_Electric Rev Req Model (2009 GRC) Rebuttal REmoval of New  WH Solar AdjustMI 3 4" xfId="25080"/>
    <cellStyle name="_VC 6.15.06 update on 06GRC power costs.xls Chart 3_Book2_Electric Rev Req Model (2009 GRC) Rebuttal REmoval of New  WH Solar AdjustMI 4" xfId="25081"/>
    <cellStyle name="_VC 6.15.06 update on 06GRC power costs.xls Chart 3_Book2_Electric Rev Req Model (2009 GRC) Rebuttal REmoval of New  WH Solar AdjustMI 4 2" xfId="25082"/>
    <cellStyle name="_VC 6.15.06 update on 06GRC power costs.xls Chart 3_Book2_Electric Rev Req Model (2009 GRC) Rebuttal REmoval of New  WH Solar AdjustMI 4 2 2" xfId="25083"/>
    <cellStyle name="_VC 6.15.06 update on 06GRC power costs.xls Chart 3_Book2_Electric Rev Req Model (2009 GRC) Rebuttal REmoval of New  WH Solar AdjustMI 4 3" xfId="25084"/>
    <cellStyle name="_VC 6.15.06 update on 06GRC power costs.xls Chart 3_Book2_Electric Rev Req Model (2009 GRC) Rebuttal REmoval of New  WH Solar AdjustMI 5" xfId="25085"/>
    <cellStyle name="_VC 6.15.06 update on 06GRC power costs.xls Chart 3_Book2_Electric Rev Req Model (2009 GRC) Rebuttal REmoval of New  WH Solar AdjustMI 5 2" xfId="25086"/>
    <cellStyle name="_VC 6.15.06 update on 06GRC power costs.xls Chart 3_Book2_Electric Rev Req Model (2009 GRC) Rebuttal REmoval of New  WH Solar AdjustMI 6" xfId="25087"/>
    <cellStyle name="_VC 6.15.06 update on 06GRC power costs.xls Chart 3_Book2_Electric Rev Req Model (2009 GRC) Rebuttal REmoval of New  WH Solar AdjustMI 6 2" xfId="25088"/>
    <cellStyle name="_VC 6.15.06 update on 06GRC power costs.xls Chart 3_Book2_Electric Rev Req Model (2009 GRC) Rebuttal REmoval of New  WH Solar AdjustMI 7" xfId="25089"/>
    <cellStyle name="_VC 6.15.06 update on 06GRC power costs.xls Chart 3_Book2_Electric Rev Req Model (2009 GRC) Rebuttal REmoval of New  WH Solar AdjustMI_DEM-WP(C) ENERG10C--ctn Mid-C_042010 2010GRC" xfId="25090"/>
    <cellStyle name="_VC 6.15.06 update on 06GRC power costs.xls Chart 3_Book2_Electric Rev Req Model (2009 GRC) Rebuttal REmoval of New  WH Solar AdjustMI_DEM-WP(C) ENERG10C--ctn Mid-C_042010 2010GRC 2" xfId="25091"/>
    <cellStyle name="_VC 6.15.06 update on 06GRC power costs.xls Chart 3_Book2_Electric Rev Req Model (2009 GRC) Revised 01-18-2010" xfId="1012"/>
    <cellStyle name="_VC 6.15.06 update on 06GRC power costs.xls Chart 3_Book2_Electric Rev Req Model (2009 GRC) Revised 01-18-2010 2" xfId="25092"/>
    <cellStyle name="_VC 6.15.06 update on 06GRC power costs.xls Chart 3_Book2_Electric Rev Req Model (2009 GRC) Revised 01-18-2010 2 2" xfId="25093"/>
    <cellStyle name="_VC 6.15.06 update on 06GRC power costs.xls Chart 3_Book2_Electric Rev Req Model (2009 GRC) Revised 01-18-2010 2 2 2" xfId="25094"/>
    <cellStyle name="_VC 6.15.06 update on 06GRC power costs.xls Chart 3_Book2_Electric Rev Req Model (2009 GRC) Revised 01-18-2010 2 2 2 2" xfId="25095"/>
    <cellStyle name="_VC 6.15.06 update on 06GRC power costs.xls Chart 3_Book2_Electric Rev Req Model (2009 GRC) Revised 01-18-2010 2 2 3" xfId="25096"/>
    <cellStyle name="_VC 6.15.06 update on 06GRC power costs.xls Chart 3_Book2_Electric Rev Req Model (2009 GRC) Revised 01-18-2010 2 3" xfId="25097"/>
    <cellStyle name="_VC 6.15.06 update on 06GRC power costs.xls Chart 3_Book2_Electric Rev Req Model (2009 GRC) Revised 01-18-2010 2 3 2" xfId="25098"/>
    <cellStyle name="_VC 6.15.06 update on 06GRC power costs.xls Chart 3_Book2_Electric Rev Req Model (2009 GRC) Revised 01-18-2010 2 4" xfId="25099"/>
    <cellStyle name="_VC 6.15.06 update on 06GRC power costs.xls Chart 3_Book2_Electric Rev Req Model (2009 GRC) Revised 01-18-2010 2 4 2" xfId="25100"/>
    <cellStyle name="_VC 6.15.06 update on 06GRC power costs.xls Chart 3_Book2_Electric Rev Req Model (2009 GRC) Revised 01-18-2010 2 5" xfId="25101"/>
    <cellStyle name="_VC 6.15.06 update on 06GRC power costs.xls Chart 3_Book2_Electric Rev Req Model (2009 GRC) Revised 01-18-2010 3" xfId="25102"/>
    <cellStyle name="_VC 6.15.06 update on 06GRC power costs.xls Chart 3_Book2_Electric Rev Req Model (2009 GRC) Revised 01-18-2010 3 2" xfId="25103"/>
    <cellStyle name="_VC 6.15.06 update on 06GRC power costs.xls Chart 3_Book2_Electric Rev Req Model (2009 GRC) Revised 01-18-2010 3 2 2" xfId="25104"/>
    <cellStyle name="_VC 6.15.06 update on 06GRC power costs.xls Chart 3_Book2_Electric Rev Req Model (2009 GRC) Revised 01-18-2010 3 3" xfId="25105"/>
    <cellStyle name="_VC 6.15.06 update on 06GRC power costs.xls Chart 3_Book2_Electric Rev Req Model (2009 GRC) Revised 01-18-2010 3 4" xfId="25106"/>
    <cellStyle name="_VC 6.15.06 update on 06GRC power costs.xls Chart 3_Book2_Electric Rev Req Model (2009 GRC) Revised 01-18-2010 4" xfId="25107"/>
    <cellStyle name="_VC 6.15.06 update on 06GRC power costs.xls Chart 3_Book2_Electric Rev Req Model (2009 GRC) Revised 01-18-2010 4 2" xfId="25108"/>
    <cellStyle name="_VC 6.15.06 update on 06GRC power costs.xls Chart 3_Book2_Electric Rev Req Model (2009 GRC) Revised 01-18-2010 4 2 2" xfId="25109"/>
    <cellStyle name="_VC 6.15.06 update on 06GRC power costs.xls Chart 3_Book2_Electric Rev Req Model (2009 GRC) Revised 01-18-2010 4 3" xfId="25110"/>
    <cellStyle name="_VC 6.15.06 update on 06GRC power costs.xls Chart 3_Book2_Electric Rev Req Model (2009 GRC) Revised 01-18-2010 5" xfId="25111"/>
    <cellStyle name="_VC 6.15.06 update on 06GRC power costs.xls Chart 3_Book2_Electric Rev Req Model (2009 GRC) Revised 01-18-2010 5 2" xfId="25112"/>
    <cellStyle name="_VC 6.15.06 update on 06GRC power costs.xls Chart 3_Book2_Electric Rev Req Model (2009 GRC) Revised 01-18-2010 6" xfId="25113"/>
    <cellStyle name="_VC 6.15.06 update on 06GRC power costs.xls Chart 3_Book2_Electric Rev Req Model (2009 GRC) Revised 01-18-2010 6 2" xfId="25114"/>
    <cellStyle name="_VC 6.15.06 update on 06GRC power costs.xls Chart 3_Book2_Electric Rev Req Model (2009 GRC) Revised 01-18-2010 7" xfId="25115"/>
    <cellStyle name="_VC 6.15.06 update on 06GRC power costs.xls Chart 3_Book2_Electric Rev Req Model (2009 GRC) Revised 01-18-2010_DEM-WP(C) ENERG10C--ctn Mid-C_042010 2010GRC" xfId="25116"/>
    <cellStyle name="_VC 6.15.06 update on 06GRC power costs.xls Chart 3_Book2_Electric Rev Req Model (2009 GRC) Revised 01-18-2010_DEM-WP(C) ENERG10C--ctn Mid-C_042010 2010GRC 2" xfId="25117"/>
    <cellStyle name="_VC 6.15.06 update on 06GRC power costs.xls Chart 3_Book2_Final Order Electric EXHIBIT A-1" xfId="1013"/>
    <cellStyle name="_VC 6.15.06 update on 06GRC power costs.xls Chart 3_Book2_Final Order Electric EXHIBIT A-1 2" xfId="25118"/>
    <cellStyle name="_VC 6.15.06 update on 06GRC power costs.xls Chart 3_Book2_Final Order Electric EXHIBIT A-1 2 2" xfId="25119"/>
    <cellStyle name="_VC 6.15.06 update on 06GRC power costs.xls Chart 3_Book2_Final Order Electric EXHIBIT A-1 2 2 2" xfId="25120"/>
    <cellStyle name="_VC 6.15.06 update on 06GRC power costs.xls Chart 3_Book2_Final Order Electric EXHIBIT A-1 2 3" xfId="25121"/>
    <cellStyle name="_VC 6.15.06 update on 06GRC power costs.xls Chart 3_Book2_Final Order Electric EXHIBIT A-1 2 4" xfId="25122"/>
    <cellStyle name="_VC 6.15.06 update on 06GRC power costs.xls Chart 3_Book2_Final Order Electric EXHIBIT A-1 3" xfId="25123"/>
    <cellStyle name="_VC 6.15.06 update on 06GRC power costs.xls Chart 3_Book2_Final Order Electric EXHIBIT A-1 3 2" xfId="25124"/>
    <cellStyle name="_VC 6.15.06 update on 06GRC power costs.xls Chart 3_Book2_Final Order Electric EXHIBIT A-1 3 2 2" xfId="25125"/>
    <cellStyle name="_VC 6.15.06 update on 06GRC power costs.xls Chart 3_Book2_Final Order Electric EXHIBIT A-1 3 3" xfId="25126"/>
    <cellStyle name="_VC 6.15.06 update on 06GRC power costs.xls Chart 3_Book2_Final Order Electric EXHIBIT A-1 4" xfId="25127"/>
    <cellStyle name="_VC 6.15.06 update on 06GRC power costs.xls Chart 3_Book2_Final Order Electric EXHIBIT A-1 4 2" xfId="25128"/>
    <cellStyle name="_VC 6.15.06 update on 06GRC power costs.xls Chart 3_Book2_Final Order Electric EXHIBIT A-1 5" xfId="25129"/>
    <cellStyle name="_VC 6.15.06 update on 06GRC power costs.xls Chart 3_Book2_Final Order Electric EXHIBIT A-1 6" xfId="25130"/>
    <cellStyle name="_VC 6.15.06 update on 06GRC power costs.xls Chart 3_Book2_Final Order Electric EXHIBIT A-1 7" xfId="25131"/>
    <cellStyle name="_VC 6.15.06 update on 06GRC power costs.xls Chart 3_Book4" xfId="1014"/>
    <cellStyle name="_VC 6.15.06 update on 06GRC power costs.xls Chart 3_Book4 2" xfId="25132"/>
    <cellStyle name="_VC 6.15.06 update on 06GRC power costs.xls Chart 3_Book4 2 2" xfId="25133"/>
    <cellStyle name="_VC 6.15.06 update on 06GRC power costs.xls Chart 3_Book4 2 2 2" xfId="25134"/>
    <cellStyle name="_VC 6.15.06 update on 06GRC power costs.xls Chart 3_Book4 2 2 2 2" xfId="25135"/>
    <cellStyle name="_VC 6.15.06 update on 06GRC power costs.xls Chart 3_Book4 2 2 3" xfId="25136"/>
    <cellStyle name="_VC 6.15.06 update on 06GRC power costs.xls Chart 3_Book4 2 3" xfId="25137"/>
    <cellStyle name="_VC 6.15.06 update on 06GRC power costs.xls Chart 3_Book4 2 3 2" xfId="25138"/>
    <cellStyle name="_VC 6.15.06 update on 06GRC power costs.xls Chart 3_Book4 2 4" xfId="25139"/>
    <cellStyle name="_VC 6.15.06 update on 06GRC power costs.xls Chart 3_Book4 2 4 2" xfId="25140"/>
    <cellStyle name="_VC 6.15.06 update on 06GRC power costs.xls Chart 3_Book4 2 5" xfId="25141"/>
    <cellStyle name="_VC 6.15.06 update on 06GRC power costs.xls Chart 3_Book4 3" xfId="25142"/>
    <cellStyle name="_VC 6.15.06 update on 06GRC power costs.xls Chart 3_Book4 3 2" xfId="25143"/>
    <cellStyle name="_VC 6.15.06 update on 06GRC power costs.xls Chart 3_Book4 3 2 2" xfId="25144"/>
    <cellStyle name="_VC 6.15.06 update on 06GRC power costs.xls Chart 3_Book4 3 3" xfId="25145"/>
    <cellStyle name="_VC 6.15.06 update on 06GRC power costs.xls Chart 3_Book4 3 4" xfId="25146"/>
    <cellStyle name="_VC 6.15.06 update on 06GRC power costs.xls Chart 3_Book4 4" xfId="25147"/>
    <cellStyle name="_VC 6.15.06 update on 06GRC power costs.xls Chart 3_Book4 4 2" xfId="25148"/>
    <cellStyle name="_VC 6.15.06 update on 06GRC power costs.xls Chart 3_Book4 4 2 2" xfId="25149"/>
    <cellStyle name="_VC 6.15.06 update on 06GRC power costs.xls Chart 3_Book4 4 3" xfId="25150"/>
    <cellStyle name="_VC 6.15.06 update on 06GRC power costs.xls Chart 3_Book4 5" xfId="25151"/>
    <cellStyle name="_VC 6.15.06 update on 06GRC power costs.xls Chart 3_Book4 5 2" xfId="25152"/>
    <cellStyle name="_VC 6.15.06 update on 06GRC power costs.xls Chart 3_Book4 6" xfId="25153"/>
    <cellStyle name="_VC 6.15.06 update on 06GRC power costs.xls Chart 3_Book4 6 2" xfId="25154"/>
    <cellStyle name="_VC 6.15.06 update on 06GRC power costs.xls Chart 3_Book4 7" xfId="25155"/>
    <cellStyle name="_VC 6.15.06 update on 06GRC power costs.xls Chart 3_Book4_DEM-WP(C) ENERG10C--ctn Mid-C_042010 2010GRC" xfId="25156"/>
    <cellStyle name="_VC 6.15.06 update on 06GRC power costs.xls Chart 3_Book4_DEM-WP(C) ENERG10C--ctn Mid-C_042010 2010GRC 2" xfId="25157"/>
    <cellStyle name="_VC 6.15.06 update on 06GRC power costs.xls Chart 3_Book9" xfId="1015"/>
    <cellStyle name="_VC 6.15.06 update on 06GRC power costs.xls Chart 3_Book9 2" xfId="25158"/>
    <cellStyle name="_VC 6.15.06 update on 06GRC power costs.xls Chart 3_Book9 2 2" xfId="25159"/>
    <cellStyle name="_VC 6.15.06 update on 06GRC power costs.xls Chart 3_Book9 2 2 2" xfId="25160"/>
    <cellStyle name="_VC 6.15.06 update on 06GRC power costs.xls Chart 3_Book9 2 2 2 2" xfId="25161"/>
    <cellStyle name="_VC 6.15.06 update on 06GRC power costs.xls Chart 3_Book9 2 2 3" xfId="25162"/>
    <cellStyle name="_VC 6.15.06 update on 06GRC power costs.xls Chart 3_Book9 2 3" xfId="25163"/>
    <cellStyle name="_VC 6.15.06 update on 06GRC power costs.xls Chart 3_Book9 2 3 2" xfId="25164"/>
    <cellStyle name="_VC 6.15.06 update on 06GRC power costs.xls Chart 3_Book9 2 4" xfId="25165"/>
    <cellStyle name="_VC 6.15.06 update on 06GRC power costs.xls Chart 3_Book9 2 4 2" xfId="25166"/>
    <cellStyle name="_VC 6.15.06 update on 06GRC power costs.xls Chart 3_Book9 2 5" xfId="25167"/>
    <cellStyle name="_VC 6.15.06 update on 06GRC power costs.xls Chart 3_Book9 3" xfId="25168"/>
    <cellStyle name="_VC 6.15.06 update on 06GRC power costs.xls Chart 3_Book9 3 2" xfId="25169"/>
    <cellStyle name="_VC 6.15.06 update on 06GRC power costs.xls Chart 3_Book9 3 2 2" xfId="25170"/>
    <cellStyle name="_VC 6.15.06 update on 06GRC power costs.xls Chart 3_Book9 3 3" xfId="25171"/>
    <cellStyle name="_VC 6.15.06 update on 06GRC power costs.xls Chart 3_Book9 3 4" xfId="25172"/>
    <cellStyle name="_VC 6.15.06 update on 06GRC power costs.xls Chart 3_Book9 4" xfId="25173"/>
    <cellStyle name="_VC 6.15.06 update on 06GRC power costs.xls Chart 3_Book9 4 2" xfId="25174"/>
    <cellStyle name="_VC 6.15.06 update on 06GRC power costs.xls Chart 3_Book9 4 2 2" xfId="25175"/>
    <cellStyle name="_VC 6.15.06 update on 06GRC power costs.xls Chart 3_Book9 4 3" xfId="25176"/>
    <cellStyle name="_VC 6.15.06 update on 06GRC power costs.xls Chart 3_Book9 5" xfId="25177"/>
    <cellStyle name="_VC 6.15.06 update on 06GRC power costs.xls Chart 3_Book9 5 2" xfId="25178"/>
    <cellStyle name="_VC 6.15.06 update on 06GRC power costs.xls Chart 3_Book9 6" xfId="25179"/>
    <cellStyle name="_VC 6.15.06 update on 06GRC power costs.xls Chart 3_Book9 6 2" xfId="25180"/>
    <cellStyle name="_VC 6.15.06 update on 06GRC power costs.xls Chart 3_Book9 7" xfId="25181"/>
    <cellStyle name="_VC 6.15.06 update on 06GRC power costs.xls Chart 3_Book9_DEM-WP(C) ENERG10C--ctn Mid-C_042010 2010GRC" xfId="25182"/>
    <cellStyle name="_VC 6.15.06 update on 06GRC power costs.xls Chart 3_Book9_DEM-WP(C) ENERG10C--ctn Mid-C_042010 2010GRC 2" xfId="25183"/>
    <cellStyle name="_VC 6.15.06 update on 06GRC power costs.xls Chart 3_Chelan PUD Power Costs (8-10)" xfId="25184"/>
    <cellStyle name="_VC 6.15.06 update on 06GRC power costs.xls Chart 3_Chelan PUD Power Costs (8-10) 2" xfId="25185"/>
    <cellStyle name="_VC 6.15.06 update on 06GRC power costs.xls Chart 3_DEM-WP(C) Chelan Power Costs" xfId="25186"/>
    <cellStyle name="_VC 6.15.06 update on 06GRC power costs.xls Chart 3_DEM-WP(C) Chelan Power Costs 2" xfId="25187"/>
    <cellStyle name="_VC 6.15.06 update on 06GRC power costs.xls Chart 3_DEM-WP(C) Chelan Power Costs 2 2" xfId="25188"/>
    <cellStyle name="_VC 6.15.06 update on 06GRC power costs.xls Chart 3_DEM-WP(C) Chelan Power Costs 2 2 2" xfId="25189"/>
    <cellStyle name="_VC 6.15.06 update on 06GRC power costs.xls Chart 3_DEM-WP(C) Chelan Power Costs 2 3" xfId="25190"/>
    <cellStyle name="_VC 6.15.06 update on 06GRC power costs.xls Chart 3_DEM-WP(C) Chelan Power Costs 3" xfId="25191"/>
    <cellStyle name="_VC 6.15.06 update on 06GRC power costs.xls Chart 3_DEM-WP(C) Chelan Power Costs 3 2" xfId="25192"/>
    <cellStyle name="_VC 6.15.06 update on 06GRC power costs.xls Chart 3_DEM-WP(C) Chelan Power Costs 3 2 2" xfId="25193"/>
    <cellStyle name="_VC 6.15.06 update on 06GRC power costs.xls Chart 3_DEM-WP(C) Chelan Power Costs 3 3" xfId="25194"/>
    <cellStyle name="_VC 6.15.06 update on 06GRC power costs.xls Chart 3_DEM-WP(C) Chelan Power Costs 4" xfId="25195"/>
    <cellStyle name="_VC 6.15.06 update on 06GRC power costs.xls Chart 3_DEM-WP(C) Chelan Power Costs 4 2" xfId="25196"/>
    <cellStyle name="_VC 6.15.06 update on 06GRC power costs.xls Chart 3_DEM-WP(C) Chelan Power Costs 5" xfId="25197"/>
    <cellStyle name="_VC 6.15.06 update on 06GRC power costs.xls Chart 3_DEM-WP(C) Chelan Power Costs 5 2" xfId="25198"/>
    <cellStyle name="_VC 6.15.06 update on 06GRC power costs.xls Chart 3_DEM-WP(C) ENERG10C--ctn Mid-C_042010 2010GRC" xfId="25199"/>
    <cellStyle name="_VC 6.15.06 update on 06GRC power costs.xls Chart 3_DEM-WP(C) ENERG10C--ctn Mid-C_042010 2010GRC 2" xfId="25200"/>
    <cellStyle name="_VC 6.15.06 update on 06GRC power costs.xls Chart 3_DEM-WP(C) Gas Transport 2010GRC" xfId="25201"/>
    <cellStyle name="_VC 6.15.06 update on 06GRC power costs.xls Chart 3_DEM-WP(C) Gas Transport 2010GRC 2" xfId="25202"/>
    <cellStyle name="_VC 6.15.06 update on 06GRC power costs.xls Chart 3_DEM-WP(C) Gas Transport 2010GRC 2 2" xfId="25203"/>
    <cellStyle name="_VC 6.15.06 update on 06GRC power costs.xls Chart 3_DEM-WP(C) Gas Transport 2010GRC 2 2 2" xfId="25204"/>
    <cellStyle name="_VC 6.15.06 update on 06GRC power costs.xls Chart 3_DEM-WP(C) Gas Transport 2010GRC 2 3" xfId="25205"/>
    <cellStyle name="_VC 6.15.06 update on 06GRC power costs.xls Chart 3_DEM-WP(C) Gas Transport 2010GRC 3" xfId="25206"/>
    <cellStyle name="_VC 6.15.06 update on 06GRC power costs.xls Chart 3_DEM-WP(C) Gas Transport 2010GRC 3 2" xfId="25207"/>
    <cellStyle name="_VC 6.15.06 update on 06GRC power costs.xls Chart 3_DEM-WP(C) Gas Transport 2010GRC 3 2 2" xfId="25208"/>
    <cellStyle name="_VC 6.15.06 update on 06GRC power costs.xls Chart 3_DEM-WP(C) Gas Transport 2010GRC 3 3" xfId="25209"/>
    <cellStyle name="_VC 6.15.06 update on 06GRC power costs.xls Chart 3_DEM-WP(C) Gas Transport 2010GRC 4" xfId="25210"/>
    <cellStyle name="_VC 6.15.06 update on 06GRC power costs.xls Chart 3_DEM-WP(C) Gas Transport 2010GRC 4 2" xfId="25211"/>
    <cellStyle name="_VC 6.15.06 update on 06GRC power costs.xls Chart 3_DEM-WP(C) Gas Transport 2010GRC 5" xfId="25212"/>
    <cellStyle name="_VC 6.15.06 update on 06GRC power costs.xls Chart 3_DEM-WP(C) Gas Transport 2010GRC 5 2" xfId="25213"/>
    <cellStyle name="_VC 6.15.06 update on 06GRC power costs.xls Chart 3_Exh A-1 resulting from UE-112050 effective Jan 1 2012" xfId="25214"/>
    <cellStyle name="_VC 6.15.06 update on 06GRC power costs.xls Chart 3_Exh A-1 resulting from UE-112050 effective Jan 1 2012 2" xfId="25215"/>
    <cellStyle name="_VC 6.15.06 update on 06GRC power costs.xls Chart 3_Exhibit A-1 effective 4-1-11 fr S Free 12-11" xfId="25216"/>
    <cellStyle name="_VC 6.15.06 update on 06GRC power costs.xls Chart 3_Exhibit A-1 effective 4-1-11 fr S Free 12-11 2" xfId="25217"/>
    <cellStyle name="_VC 6.15.06 update on 06GRC power costs.xls Chart 3_INPUTS" xfId="25218"/>
    <cellStyle name="_VC 6.15.06 update on 06GRC power costs.xls Chart 3_INPUTS 2" xfId="25219"/>
    <cellStyle name="_VC 6.15.06 update on 06GRC power costs.xls Chart 3_INPUTS 2 2" xfId="25220"/>
    <cellStyle name="_VC 6.15.06 update on 06GRC power costs.xls Chart 3_INPUTS 2 2 2" xfId="25221"/>
    <cellStyle name="_VC 6.15.06 update on 06GRC power costs.xls Chart 3_INPUTS 2 3" xfId="25222"/>
    <cellStyle name="_VC 6.15.06 update on 06GRC power costs.xls Chart 3_INPUTS 3" xfId="25223"/>
    <cellStyle name="_VC 6.15.06 update on 06GRC power costs.xls Chart 3_INPUTS 3 2" xfId="25224"/>
    <cellStyle name="_VC 6.15.06 update on 06GRC power costs.xls Chart 3_INPUTS 4" xfId="25225"/>
    <cellStyle name="_VC 6.15.06 update on 06GRC power costs.xls Chart 3_Mint Farm Generation BPA" xfId="25226"/>
    <cellStyle name="_VC 6.15.06 update on 06GRC power costs.xls Chart 3_NIM Summary" xfId="25227"/>
    <cellStyle name="_VC 6.15.06 update on 06GRC power costs.xls Chart 3_NIM Summary 09GRC" xfId="25228"/>
    <cellStyle name="_VC 6.15.06 update on 06GRC power costs.xls Chart 3_NIM Summary 09GRC 2" xfId="25229"/>
    <cellStyle name="_VC 6.15.06 update on 06GRC power costs.xls Chart 3_NIM Summary 09GRC 2 2" xfId="25230"/>
    <cellStyle name="_VC 6.15.06 update on 06GRC power costs.xls Chart 3_NIM Summary 09GRC 2 2 2" xfId="25231"/>
    <cellStyle name="_VC 6.15.06 update on 06GRC power costs.xls Chart 3_NIM Summary 09GRC 2 2 2 2" xfId="25232"/>
    <cellStyle name="_VC 6.15.06 update on 06GRC power costs.xls Chart 3_NIM Summary 09GRC 2 3" xfId="25233"/>
    <cellStyle name="_VC 6.15.06 update on 06GRC power costs.xls Chart 3_NIM Summary 09GRC 2 3 2" xfId="25234"/>
    <cellStyle name="_VC 6.15.06 update on 06GRC power costs.xls Chart 3_NIM Summary 09GRC 2 4" xfId="25235"/>
    <cellStyle name="_VC 6.15.06 update on 06GRC power costs.xls Chart 3_NIM Summary 09GRC 2 4 2" xfId="25236"/>
    <cellStyle name="_VC 6.15.06 update on 06GRC power costs.xls Chart 3_NIM Summary 09GRC 2 5" xfId="25237"/>
    <cellStyle name="_VC 6.15.06 update on 06GRC power costs.xls Chart 3_NIM Summary 09GRC 3" xfId="25238"/>
    <cellStyle name="_VC 6.15.06 update on 06GRC power costs.xls Chart 3_NIM Summary 09GRC 3 2" xfId="25239"/>
    <cellStyle name="_VC 6.15.06 update on 06GRC power costs.xls Chart 3_NIM Summary 09GRC 3 2 2" xfId="25240"/>
    <cellStyle name="_VC 6.15.06 update on 06GRC power costs.xls Chart 3_NIM Summary 09GRC 3 3" xfId="25241"/>
    <cellStyle name="_VC 6.15.06 update on 06GRC power costs.xls Chart 3_NIM Summary 09GRC 4" xfId="25242"/>
    <cellStyle name="_VC 6.15.06 update on 06GRC power costs.xls Chart 3_NIM Summary 09GRC 4 2" xfId="25243"/>
    <cellStyle name="_VC 6.15.06 update on 06GRC power costs.xls Chart 3_NIM Summary 09GRC 4 2 2" xfId="25244"/>
    <cellStyle name="_VC 6.15.06 update on 06GRC power costs.xls Chart 3_NIM Summary 09GRC 4 3" xfId="25245"/>
    <cellStyle name="_VC 6.15.06 update on 06GRC power costs.xls Chart 3_NIM Summary 09GRC 5" xfId="25246"/>
    <cellStyle name="_VC 6.15.06 update on 06GRC power costs.xls Chart 3_NIM Summary 09GRC 5 2" xfId="25247"/>
    <cellStyle name="_VC 6.15.06 update on 06GRC power costs.xls Chart 3_NIM Summary 09GRC 6" xfId="25248"/>
    <cellStyle name="_VC 6.15.06 update on 06GRC power costs.xls Chart 3_NIM Summary 09GRC 6 2" xfId="25249"/>
    <cellStyle name="_VC 6.15.06 update on 06GRC power costs.xls Chart 3_NIM Summary 09GRC 7" xfId="25250"/>
    <cellStyle name="_VC 6.15.06 update on 06GRC power costs.xls Chart 3_NIM Summary 09GRC_DEM-WP(C) ENERG10C--ctn Mid-C_042010 2010GRC" xfId="25251"/>
    <cellStyle name="_VC 6.15.06 update on 06GRC power costs.xls Chart 3_NIM Summary 09GRC_DEM-WP(C) ENERG10C--ctn Mid-C_042010 2010GRC 2" xfId="25252"/>
    <cellStyle name="_VC 6.15.06 update on 06GRC power costs.xls Chart 3_NIM Summary 10" xfId="25253"/>
    <cellStyle name="_VC 6.15.06 update on 06GRC power costs.xls Chart 3_NIM Summary 10 2" xfId="25254"/>
    <cellStyle name="_VC 6.15.06 update on 06GRC power costs.xls Chart 3_NIM Summary 10 2 2" xfId="25255"/>
    <cellStyle name="_VC 6.15.06 update on 06GRC power costs.xls Chart 3_NIM Summary 10 3" xfId="25256"/>
    <cellStyle name="_VC 6.15.06 update on 06GRC power costs.xls Chart 3_NIM Summary 10 4" xfId="25257"/>
    <cellStyle name="_VC 6.15.06 update on 06GRC power costs.xls Chart 3_NIM Summary 11" xfId="25258"/>
    <cellStyle name="_VC 6.15.06 update on 06GRC power costs.xls Chart 3_NIM Summary 11 2" xfId="25259"/>
    <cellStyle name="_VC 6.15.06 update on 06GRC power costs.xls Chart 3_NIM Summary 11 2 2" xfId="25260"/>
    <cellStyle name="_VC 6.15.06 update on 06GRC power costs.xls Chart 3_NIM Summary 11 3" xfId="25261"/>
    <cellStyle name="_VC 6.15.06 update on 06GRC power costs.xls Chart 3_NIM Summary 11 4" xfId="25262"/>
    <cellStyle name="_VC 6.15.06 update on 06GRC power costs.xls Chart 3_NIM Summary 12" xfId="25263"/>
    <cellStyle name="_VC 6.15.06 update on 06GRC power costs.xls Chart 3_NIM Summary 12 2" xfId="25264"/>
    <cellStyle name="_VC 6.15.06 update on 06GRC power costs.xls Chart 3_NIM Summary 12 2 2" xfId="25265"/>
    <cellStyle name="_VC 6.15.06 update on 06GRC power costs.xls Chart 3_NIM Summary 12 3" xfId="25266"/>
    <cellStyle name="_VC 6.15.06 update on 06GRC power costs.xls Chart 3_NIM Summary 12 4" xfId="25267"/>
    <cellStyle name="_VC 6.15.06 update on 06GRC power costs.xls Chart 3_NIM Summary 13" xfId="25268"/>
    <cellStyle name="_VC 6.15.06 update on 06GRC power costs.xls Chart 3_NIM Summary 13 2" xfId="25269"/>
    <cellStyle name="_VC 6.15.06 update on 06GRC power costs.xls Chart 3_NIM Summary 13 2 2" xfId="25270"/>
    <cellStyle name="_VC 6.15.06 update on 06GRC power costs.xls Chart 3_NIM Summary 13 3" xfId="25271"/>
    <cellStyle name="_VC 6.15.06 update on 06GRC power costs.xls Chart 3_NIM Summary 13 4" xfId="25272"/>
    <cellStyle name="_VC 6.15.06 update on 06GRC power costs.xls Chart 3_NIM Summary 14" xfId="25273"/>
    <cellStyle name="_VC 6.15.06 update on 06GRC power costs.xls Chart 3_NIM Summary 14 2" xfId="25274"/>
    <cellStyle name="_VC 6.15.06 update on 06GRC power costs.xls Chart 3_NIM Summary 14 2 2" xfId="25275"/>
    <cellStyle name="_VC 6.15.06 update on 06GRC power costs.xls Chart 3_NIM Summary 14 3" xfId="25276"/>
    <cellStyle name="_VC 6.15.06 update on 06GRC power costs.xls Chart 3_NIM Summary 14 4" xfId="25277"/>
    <cellStyle name="_VC 6.15.06 update on 06GRC power costs.xls Chart 3_NIM Summary 15" xfId="25278"/>
    <cellStyle name="_VC 6.15.06 update on 06GRC power costs.xls Chart 3_NIM Summary 15 2" xfId="25279"/>
    <cellStyle name="_VC 6.15.06 update on 06GRC power costs.xls Chart 3_NIM Summary 15 2 2" xfId="25280"/>
    <cellStyle name="_VC 6.15.06 update on 06GRC power costs.xls Chart 3_NIM Summary 15 3" xfId="25281"/>
    <cellStyle name="_VC 6.15.06 update on 06GRC power costs.xls Chart 3_NIM Summary 15 4" xfId="25282"/>
    <cellStyle name="_VC 6.15.06 update on 06GRC power costs.xls Chart 3_NIM Summary 16" xfId="25283"/>
    <cellStyle name="_VC 6.15.06 update on 06GRC power costs.xls Chart 3_NIM Summary 16 2" xfId="25284"/>
    <cellStyle name="_VC 6.15.06 update on 06GRC power costs.xls Chart 3_NIM Summary 16 2 2" xfId="25285"/>
    <cellStyle name="_VC 6.15.06 update on 06GRC power costs.xls Chart 3_NIM Summary 16 3" xfId="25286"/>
    <cellStyle name="_VC 6.15.06 update on 06GRC power costs.xls Chart 3_NIM Summary 16 4" xfId="25287"/>
    <cellStyle name="_VC 6.15.06 update on 06GRC power costs.xls Chart 3_NIM Summary 17" xfId="25288"/>
    <cellStyle name="_VC 6.15.06 update on 06GRC power costs.xls Chart 3_NIM Summary 17 2" xfId="25289"/>
    <cellStyle name="_VC 6.15.06 update on 06GRC power costs.xls Chart 3_NIM Summary 17 2 2" xfId="25290"/>
    <cellStyle name="_VC 6.15.06 update on 06GRC power costs.xls Chart 3_NIM Summary 17 3" xfId="25291"/>
    <cellStyle name="_VC 6.15.06 update on 06GRC power costs.xls Chart 3_NIM Summary 17 4" xfId="25292"/>
    <cellStyle name="_VC 6.15.06 update on 06GRC power costs.xls Chart 3_NIM Summary 18" xfId="25293"/>
    <cellStyle name="_VC 6.15.06 update on 06GRC power costs.xls Chart 3_NIM Summary 18 2" xfId="25294"/>
    <cellStyle name="_VC 6.15.06 update on 06GRC power costs.xls Chart 3_NIM Summary 18 3" xfId="25295"/>
    <cellStyle name="_VC 6.15.06 update on 06GRC power costs.xls Chart 3_NIM Summary 19" xfId="25296"/>
    <cellStyle name="_VC 6.15.06 update on 06GRC power costs.xls Chart 3_NIM Summary 19 2" xfId="25297"/>
    <cellStyle name="_VC 6.15.06 update on 06GRC power costs.xls Chart 3_NIM Summary 19 3" xfId="25298"/>
    <cellStyle name="_VC 6.15.06 update on 06GRC power costs.xls Chart 3_NIM Summary 2" xfId="25299"/>
    <cellStyle name="_VC 6.15.06 update on 06GRC power costs.xls Chart 3_NIM Summary 2 2" xfId="25300"/>
    <cellStyle name="_VC 6.15.06 update on 06GRC power costs.xls Chart 3_NIM Summary 2 2 2" xfId="25301"/>
    <cellStyle name="_VC 6.15.06 update on 06GRC power costs.xls Chart 3_NIM Summary 2 2 2 2" xfId="25302"/>
    <cellStyle name="_VC 6.15.06 update on 06GRC power costs.xls Chart 3_NIM Summary 2 3" xfId="25303"/>
    <cellStyle name="_VC 6.15.06 update on 06GRC power costs.xls Chart 3_NIM Summary 2 3 2" xfId="25304"/>
    <cellStyle name="_VC 6.15.06 update on 06GRC power costs.xls Chart 3_NIM Summary 2 4" xfId="25305"/>
    <cellStyle name="_VC 6.15.06 update on 06GRC power costs.xls Chart 3_NIM Summary 2 4 2" xfId="25306"/>
    <cellStyle name="_VC 6.15.06 update on 06GRC power costs.xls Chart 3_NIM Summary 2 5" xfId="25307"/>
    <cellStyle name="_VC 6.15.06 update on 06GRC power costs.xls Chart 3_NIM Summary 20" xfId="25308"/>
    <cellStyle name="_VC 6.15.06 update on 06GRC power costs.xls Chart 3_NIM Summary 20 2" xfId="25309"/>
    <cellStyle name="_VC 6.15.06 update on 06GRC power costs.xls Chart 3_NIM Summary 20 3" xfId="25310"/>
    <cellStyle name="_VC 6.15.06 update on 06GRC power costs.xls Chart 3_NIM Summary 21" xfId="25311"/>
    <cellStyle name="_VC 6.15.06 update on 06GRC power costs.xls Chart 3_NIM Summary 21 2" xfId="25312"/>
    <cellStyle name="_VC 6.15.06 update on 06GRC power costs.xls Chart 3_NIM Summary 21 3" xfId="25313"/>
    <cellStyle name="_VC 6.15.06 update on 06GRC power costs.xls Chart 3_NIM Summary 22" xfId="25314"/>
    <cellStyle name="_VC 6.15.06 update on 06GRC power costs.xls Chart 3_NIM Summary 22 2" xfId="25315"/>
    <cellStyle name="_VC 6.15.06 update on 06GRC power costs.xls Chart 3_NIM Summary 22 3" xfId="25316"/>
    <cellStyle name="_VC 6.15.06 update on 06GRC power costs.xls Chart 3_NIM Summary 23" xfId="25317"/>
    <cellStyle name="_VC 6.15.06 update on 06GRC power costs.xls Chart 3_NIM Summary 23 2" xfId="25318"/>
    <cellStyle name="_VC 6.15.06 update on 06GRC power costs.xls Chart 3_NIM Summary 23 3" xfId="25319"/>
    <cellStyle name="_VC 6.15.06 update on 06GRC power costs.xls Chart 3_NIM Summary 24" xfId="25320"/>
    <cellStyle name="_VC 6.15.06 update on 06GRC power costs.xls Chart 3_NIM Summary 24 2" xfId="25321"/>
    <cellStyle name="_VC 6.15.06 update on 06GRC power costs.xls Chart 3_NIM Summary 24 3" xfId="25322"/>
    <cellStyle name="_VC 6.15.06 update on 06GRC power costs.xls Chart 3_NIM Summary 25" xfId="25323"/>
    <cellStyle name="_VC 6.15.06 update on 06GRC power costs.xls Chart 3_NIM Summary 25 2" xfId="25324"/>
    <cellStyle name="_VC 6.15.06 update on 06GRC power costs.xls Chart 3_NIM Summary 25 3" xfId="25325"/>
    <cellStyle name="_VC 6.15.06 update on 06GRC power costs.xls Chart 3_NIM Summary 26" xfId="25326"/>
    <cellStyle name="_VC 6.15.06 update on 06GRC power costs.xls Chart 3_NIM Summary 26 2" xfId="25327"/>
    <cellStyle name="_VC 6.15.06 update on 06GRC power costs.xls Chart 3_NIM Summary 26 3" xfId="25328"/>
    <cellStyle name="_VC 6.15.06 update on 06GRC power costs.xls Chart 3_NIM Summary 27" xfId="25329"/>
    <cellStyle name="_VC 6.15.06 update on 06GRC power costs.xls Chart 3_NIM Summary 27 2" xfId="25330"/>
    <cellStyle name="_VC 6.15.06 update on 06GRC power costs.xls Chart 3_NIM Summary 27 3" xfId="25331"/>
    <cellStyle name="_VC 6.15.06 update on 06GRC power costs.xls Chart 3_NIM Summary 28" xfId="25332"/>
    <cellStyle name="_VC 6.15.06 update on 06GRC power costs.xls Chart 3_NIM Summary 28 2" xfId="25333"/>
    <cellStyle name="_VC 6.15.06 update on 06GRC power costs.xls Chart 3_NIM Summary 28 3" xfId="25334"/>
    <cellStyle name="_VC 6.15.06 update on 06GRC power costs.xls Chart 3_NIM Summary 29" xfId="25335"/>
    <cellStyle name="_VC 6.15.06 update on 06GRC power costs.xls Chart 3_NIM Summary 29 2" xfId="25336"/>
    <cellStyle name="_VC 6.15.06 update on 06GRC power costs.xls Chart 3_NIM Summary 29 3" xfId="25337"/>
    <cellStyle name="_VC 6.15.06 update on 06GRC power costs.xls Chart 3_NIM Summary 3" xfId="25338"/>
    <cellStyle name="_VC 6.15.06 update on 06GRC power costs.xls Chart 3_NIM Summary 3 2" xfId="25339"/>
    <cellStyle name="_VC 6.15.06 update on 06GRC power costs.xls Chart 3_NIM Summary 3 2 2" xfId="25340"/>
    <cellStyle name="_VC 6.15.06 update on 06GRC power costs.xls Chart 3_NIM Summary 3 3" xfId="25341"/>
    <cellStyle name="_VC 6.15.06 update on 06GRC power costs.xls Chart 3_NIM Summary 3 4" xfId="25342"/>
    <cellStyle name="_VC 6.15.06 update on 06GRC power costs.xls Chart 3_NIM Summary 30" xfId="25343"/>
    <cellStyle name="_VC 6.15.06 update on 06GRC power costs.xls Chart 3_NIM Summary 30 2" xfId="25344"/>
    <cellStyle name="_VC 6.15.06 update on 06GRC power costs.xls Chart 3_NIM Summary 30 3" xfId="25345"/>
    <cellStyle name="_VC 6.15.06 update on 06GRC power costs.xls Chart 3_NIM Summary 31" xfId="25346"/>
    <cellStyle name="_VC 6.15.06 update on 06GRC power costs.xls Chart 3_NIM Summary 31 2" xfId="25347"/>
    <cellStyle name="_VC 6.15.06 update on 06GRC power costs.xls Chart 3_NIM Summary 31 3" xfId="25348"/>
    <cellStyle name="_VC 6.15.06 update on 06GRC power costs.xls Chart 3_NIM Summary 32" xfId="25349"/>
    <cellStyle name="_VC 6.15.06 update on 06GRC power costs.xls Chart 3_NIM Summary 32 2" xfId="25350"/>
    <cellStyle name="_VC 6.15.06 update on 06GRC power costs.xls Chart 3_NIM Summary 33" xfId="25351"/>
    <cellStyle name="_VC 6.15.06 update on 06GRC power costs.xls Chart 3_NIM Summary 33 2" xfId="25352"/>
    <cellStyle name="_VC 6.15.06 update on 06GRC power costs.xls Chart 3_NIM Summary 34" xfId="25353"/>
    <cellStyle name="_VC 6.15.06 update on 06GRC power costs.xls Chart 3_NIM Summary 34 2" xfId="25354"/>
    <cellStyle name="_VC 6.15.06 update on 06GRC power costs.xls Chart 3_NIM Summary 35" xfId="25355"/>
    <cellStyle name="_VC 6.15.06 update on 06GRC power costs.xls Chart 3_NIM Summary 35 2" xfId="25356"/>
    <cellStyle name="_VC 6.15.06 update on 06GRC power costs.xls Chart 3_NIM Summary 36" xfId="25357"/>
    <cellStyle name="_VC 6.15.06 update on 06GRC power costs.xls Chart 3_NIM Summary 36 2" xfId="25358"/>
    <cellStyle name="_VC 6.15.06 update on 06GRC power costs.xls Chart 3_NIM Summary 37" xfId="25359"/>
    <cellStyle name="_VC 6.15.06 update on 06GRC power costs.xls Chart 3_NIM Summary 37 2" xfId="25360"/>
    <cellStyle name="_VC 6.15.06 update on 06GRC power costs.xls Chart 3_NIM Summary 38" xfId="25361"/>
    <cellStyle name="_VC 6.15.06 update on 06GRC power costs.xls Chart 3_NIM Summary 38 2" xfId="25362"/>
    <cellStyle name="_VC 6.15.06 update on 06GRC power costs.xls Chart 3_NIM Summary 39" xfId="25363"/>
    <cellStyle name="_VC 6.15.06 update on 06GRC power costs.xls Chart 3_NIM Summary 39 2" xfId="25364"/>
    <cellStyle name="_VC 6.15.06 update on 06GRC power costs.xls Chart 3_NIM Summary 4" xfId="25365"/>
    <cellStyle name="_VC 6.15.06 update on 06GRC power costs.xls Chart 3_NIM Summary 4 2" xfId="25366"/>
    <cellStyle name="_VC 6.15.06 update on 06GRC power costs.xls Chart 3_NIM Summary 4 2 2" xfId="25367"/>
    <cellStyle name="_VC 6.15.06 update on 06GRC power costs.xls Chart 3_NIM Summary 4 3" xfId="25368"/>
    <cellStyle name="_VC 6.15.06 update on 06GRC power costs.xls Chart 3_NIM Summary 4 4" xfId="25369"/>
    <cellStyle name="_VC 6.15.06 update on 06GRC power costs.xls Chart 3_NIM Summary 40" xfId="25370"/>
    <cellStyle name="_VC 6.15.06 update on 06GRC power costs.xls Chart 3_NIM Summary 40 2" xfId="25371"/>
    <cellStyle name="_VC 6.15.06 update on 06GRC power costs.xls Chart 3_NIM Summary 41" xfId="25372"/>
    <cellStyle name="_VC 6.15.06 update on 06GRC power costs.xls Chart 3_NIM Summary 41 2" xfId="25373"/>
    <cellStyle name="_VC 6.15.06 update on 06GRC power costs.xls Chart 3_NIM Summary 42" xfId="25374"/>
    <cellStyle name="_VC 6.15.06 update on 06GRC power costs.xls Chart 3_NIM Summary 42 2" xfId="25375"/>
    <cellStyle name="_VC 6.15.06 update on 06GRC power costs.xls Chart 3_NIM Summary 43" xfId="25376"/>
    <cellStyle name="_VC 6.15.06 update on 06GRC power costs.xls Chart 3_NIM Summary 43 2" xfId="25377"/>
    <cellStyle name="_VC 6.15.06 update on 06GRC power costs.xls Chart 3_NIM Summary 44" xfId="25378"/>
    <cellStyle name="_VC 6.15.06 update on 06GRC power costs.xls Chart 3_NIM Summary 44 2" xfId="25379"/>
    <cellStyle name="_VC 6.15.06 update on 06GRC power costs.xls Chart 3_NIM Summary 45" xfId="25380"/>
    <cellStyle name="_VC 6.15.06 update on 06GRC power costs.xls Chart 3_NIM Summary 45 2" xfId="25381"/>
    <cellStyle name="_VC 6.15.06 update on 06GRC power costs.xls Chart 3_NIM Summary 46" xfId="25382"/>
    <cellStyle name="_VC 6.15.06 update on 06GRC power costs.xls Chart 3_NIM Summary 46 2" xfId="25383"/>
    <cellStyle name="_VC 6.15.06 update on 06GRC power costs.xls Chart 3_NIM Summary 47" xfId="25384"/>
    <cellStyle name="_VC 6.15.06 update on 06GRC power costs.xls Chart 3_NIM Summary 47 2" xfId="25385"/>
    <cellStyle name="_VC 6.15.06 update on 06GRC power costs.xls Chart 3_NIM Summary 48" xfId="25386"/>
    <cellStyle name="_VC 6.15.06 update on 06GRC power costs.xls Chart 3_NIM Summary 49" xfId="25387"/>
    <cellStyle name="_VC 6.15.06 update on 06GRC power costs.xls Chart 3_NIM Summary 5" xfId="25388"/>
    <cellStyle name="_VC 6.15.06 update on 06GRC power costs.xls Chart 3_NIM Summary 5 2" xfId="25389"/>
    <cellStyle name="_VC 6.15.06 update on 06GRC power costs.xls Chart 3_NIM Summary 5 2 2" xfId="25390"/>
    <cellStyle name="_VC 6.15.06 update on 06GRC power costs.xls Chart 3_NIM Summary 5 3" xfId="25391"/>
    <cellStyle name="_VC 6.15.06 update on 06GRC power costs.xls Chart 3_NIM Summary 5 4" xfId="25392"/>
    <cellStyle name="_VC 6.15.06 update on 06GRC power costs.xls Chart 3_NIM Summary 50" xfId="25393"/>
    <cellStyle name="_VC 6.15.06 update on 06GRC power costs.xls Chart 3_NIM Summary 51" xfId="25394"/>
    <cellStyle name="_VC 6.15.06 update on 06GRC power costs.xls Chart 3_NIM Summary 52" xfId="25395"/>
    <cellStyle name="_VC 6.15.06 update on 06GRC power costs.xls Chart 3_NIM Summary 6" xfId="25396"/>
    <cellStyle name="_VC 6.15.06 update on 06GRC power costs.xls Chart 3_NIM Summary 6 2" xfId="25397"/>
    <cellStyle name="_VC 6.15.06 update on 06GRC power costs.xls Chart 3_NIM Summary 6 2 2" xfId="25398"/>
    <cellStyle name="_VC 6.15.06 update on 06GRC power costs.xls Chart 3_NIM Summary 6 3" xfId="25399"/>
    <cellStyle name="_VC 6.15.06 update on 06GRC power costs.xls Chart 3_NIM Summary 6 4" xfId="25400"/>
    <cellStyle name="_VC 6.15.06 update on 06GRC power costs.xls Chart 3_NIM Summary 7" xfId="25401"/>
    <cellStyle name="_VC 6.15.06 update on 06GRC power costs.xls Chart 3_NIM Summary 7 2" xfId="25402"/>
    <cellStyle name="_VC 6.15.06 update on 06GRC power costs.xls Chart 3_NIM Summary 7 2 2" xfId="25403"/>
    <cellStyle name="_VC 6.15.06 update on 06GRC power costs.xls Chart 3_NIM Summary 7 3" xfId="25404"/>
    <cellStyle name="_VC 6.15.06 update on 06GRC power costs.xls Chart 3_NIM Summary 7 4" xfId="25405"/>
    <cellStyle name="_VC 6.15.06 update on 06GRC power costs.xls Chart 3_NIM Summary 7 5" xfId="25406"/>
    <cellStyle name="_VC 6.15.06 update on 06GRC power costs.xls Chart 3_NIM Summary 8" xfId="25407"/>
    <cellStyle name="_VC 6.15.06 update on 06GRC power costs.xls Chart 3_NIM Summary 8 2" xfId="25408"/>
    <cellStyle name="_VC 6.15.06 update on 06GRC power costs.xls Chart 3_NIM Summary 8 2 2" xfId="25409"/>
    <cellStyle name="_VC 6.15.06 update on 06GRC power costs.xls Chart 3_NIM Summary 8 3" xfId="25410"/>
    <cellStyle name="_VC 6.15.06 update on 06GRC power costs.xls Chart 3_NIM Summary 8 4" xfId="25411"/>
    <cellStyle name="_VC 6.15.06 update on 06GRC power costs.xls Chart 3_NIM Summary 8 5" xfId="25412"/>
    <cellStyle name="_VC 6.15.06 update on 06GRC power costs.xls Chart 3_NIM Summary 9" xfId="25413"/>
    <cellStyle name="_VC 6.15.06 update on 06GRC power costs.xls Chart 3_NIM Summary 9 2" xfId="25414"/>
    <cellStyle name="_VC 6.15.06 update on 06GRC power costs.xls Chart 3_NIM Summary 9 2 2" xfId="25415"/>
    <cellStyle name="_VC 6.15.06 update on 06GRC power costs.xls Chart 3_NIM Summary 9 3" xfId="25416"/>
    <cellStyle name="_VC 6.15.06 update on 06GRC power costs.xls Chart 3_NIM Summary 9 4" xfId="25417"/>
    <cellStyle name="_VC 6.15.06 update on 06GRC power costs.xls Chart 3_NIM Summary 9 5" xfId="25418"/>
    <cellStyle name="_VC 6.15.06 update on 06GRC power costs.xls Chart 3_NIM Summary_DEM-WP(C) ENERG10C--ctn Mid-C_042010 2010GRC" xfId="25419"/>
    <cellStyle name="_VC 6.15.06 update on 06GRC power costs.xls Chart 3_NIM Summary_DEM-WP(C) ENERG10C--ctn Mid-C_042010 2010GRC 2" xfId="25420"/>
    <cellStyle name="_VC 6.15.06 update on 06GRC power costs.xls Chart 3_PCA 10 -  Exhibit D Dec 2011" xfId="25421"/>
    <cellStyle name="_VC 6.15.06 update on 06GRC power costs.xls Chart 3_PCA 10 -  Exhibit D Dec 2011 2" xfId="25422"/>
    <cellStyle name="_VC 6.15.06 update on 06GRC power costs.xls Chart 3_PCA 10 -  Exhibit D from A Kellogg Jan 2011" xfId="25423"/>
    <cellStyle name="_VC 6.15.06 update on 06GRC power costs.xls Chart 3_PCA 10 -  Exhibit D from A Kellogg Jan 2011 2" xfId="25424"/>
    <cellStyle name="_VC 6.15.06 update on 06GRC power costs.xls Chart 3_PCA 10 -  Exhibit D from A Kellogg July 2011" xfId="25425"/>
    <cellStyle name="_VC 6.15.06 update on 06GRC power costs.xls Chart 3_PCA 10 -  Exhibit D from A Kellogg July 2011 2" xfId="25426"/>
    <cellStyle name="_VC 6.15.06 update on 06GRC power costs.xls Chart 3_PCA 10 -  Exhibit D from S Free Rcv'd 12-11" xfId="25427"/>
    <cellStyle name="_VC 6.15.06 update on 06GRC power costs.xls Chart 3_PCA 10 -  Exhibit D from S Free Rcv'd 12-11 2" xfId="25428"/>
    <cellStyle name="_VC 6.15.06 update on 06GRC power costs.xls Chart 3_PCA 11 -  Exhibit D Jan 2012 fr A Kellogg" xfId="25429"/>
    <cellStyle name="_VC 6.15.06 update on 06GRC power costs.xls Chart 3_PCA 11 -  Exhibit D Jan 2012 fr A Kellogg 2" xfId="25430"/>
    <cellStyle name="_VC 6.15.06 update on 06GRC power costs.xls Chart 3_PCA 11 -  Exhibit D Jan 2012 WF" xfId="25431"/>
    <cellStyle name="_VC 6.15.06 update on 06GRC power costs.xls Chart 3_PCA 11 -  Exhibit D Jan 2012 WF 2" xfId="25432"/>
    <cellStyle name="_VC 6.15.06 update on 06GRC power costs.xls Chart 3_PCA 9 -  Exhibit D April 2010" xfId="25433"/>
    <cellStyle name="_VC 6.15.06 update on 06GRC power costs.xls Chart 3_PCA 9 -  Exhibit D April 2010 (3)" xfId="25434"/>
    <cellStyle name="_VC 6.15.06 update on 06GRC power costs.xls Chart 3_PCA 9 -  Exhibit D April 2010 (3) 2" xfId="25435"/>
    <cellStyle name="_VC 6.15.06 update on 06GRC power costs.xls Chart 3_PCA 9 -  Exhibit D April 2010 (3) 2 2" xfId="25436"/>
    <cellStyle name="_VC 6.15.06 update on 06GRC power costs.xls Chart 3_PCA 9 -  Exhibit D April 2010 (3) 2 2 2" xfId="25437"/>
    <cellStyle name="_VC 6.15.06 update on 06GRC power costs.xls Chart 3_PCA 9 -  Exhibit D April 2010 (3) 2 2 2 2" xfId="25438"/>
    <cellStyle name="_VC 6.15.06 update on 06GRC power costs.xls Chart 3_PCA 9 -  Exhibit D April 2010 (3) 2 3" xfId="25439"/>
    <cellStyle name="_VC 6.15.06 update on 06GRC power costs.xls Chart 3_PCA 9 -  Exhibit D April 2010 (3) 2 3 2" xfId="25440"/>
    <cellStyle name="_VC 6.15.06 update on 06GRC power costs.xls Chart 3_PCA 9 -  Exhibit D April 2010 (3) 2 4" xfId="25441"/>
    <cellStyle name="_VC 6.15.06 update on 06GRC power costs.xls Chart 3_PCA 9 -  Exhibit D April 2010 (3) 2 4 2" xfId="25442"/>
    <cellStyle name="_VC 6.15.06 update on 06GRC power costs.xls Chart 3_PCA 9 -  Exhibit D April 2010 (3) 2 5" xfId="25443"/>
    <cellStyle name="_VC 6.15.06 update on 06GRC power costs.xls Chart 3_PCA 9 -  Exhibit D April 2010 (3) 3" xfId="25444"/>
    <cellStyle name="_VC 6.15.06 update on 06GRC power costs.xls Chart 3_PCA 9 -  Exhibit D April 2010 (3) 3 2" xfId="25445"/>
    <cellStyle name="_VC 6.15.06 update on 06GRC power costs.xls Chart 3_PCA 9 -  Exhibit D April 2010 (3) 3 2 2" xfId="25446"/>
    <cellStyle name="_VC 6.15.06 update on 06GRC power costs.xls Chart 3_PCA 9 -  Exhibit D April 2010 (3) 3 3" xfId="25447"/>
    <cellStyle name="_VC 6.15.06 update on 06GRC power costs.xls Chart 3_PCA 9 -  Exhibit D April 2010 (3) 4" xfId="25448"/>
    <cellStyle name="_VC 6.15.06 update on 06GRC power costs.xls Chart 3_PCA 9 -  Exhibit D April 2010 (3) 4 2" xfId="25449"/>
    <cellStyle name="_VC 6.15.06 update on 06GRC power costs.xls Chart 3_PCA 9 -  Exhibit D April 2010 (3) 4 2 2" xfId="25450"/>
    <cellStyle name="_VC 6.15.06 update on 06GRC power costs.xls Chart 3_PCA 9 -  Exhibit D April 2010 (3) 4 3" xfId="25451"/>
    <cellStyle name="_VC 6.15.06 update on 06GRC power costs.xls Chart 3_PCA 9 -  Exhibit D April 2010 (3) 5" xfId="25452"/>
    <cellStyle name="_VC 6.15.06 update on 06GRC power costs.xls Chart 3_PCA 9 -  Exhibit D April 2010 (3) 5 2" xfId="25453"/>
    <cellStyle name="_VC 6.15.06 update on 06GRC power costs.xls Chart 3_PCA 9 -  Exhibit D April 2010 (3) 6" xfId="25454"/>
    <cellStyle name="_VC 6.15.06 update on 06GRC power costs.xls Chart 3_PCA 9 -  Exhibit D April 2010 (3) 6 2" xfId="25455"/>
    <cellStyle name="_VC 6.15.06 update on 06GRC power costs.xls Chart 3_PCA 9 -  Exhibit D April 2010 (3) 7" xfId="25456"/>
    <cellStyle name="_VC 6.15.06 update on 06GRC power costs.xls Chart 3_PCA 9 -  Exhibit D April 2010 (3)_DEM-WP(C) ENERG10C--ctn Mid-C_042010 2010GRC" xfId="25457"/>
    <cellStyle name="_VC 6.15.06 update on 06GRC power costs.xls Chart 3_PCA 9 -  Exhibit D April 2010 (3)_DEM-WP(C) ENERG10C--ctn Mid-C_042010 2010GRC 2" xfId="25458"/>
    <cellStyle name="_VC 6.15.06 update on 06GRC power costs.xls Chart 3_PCA 9 -  Exhibit D April 2010 2" xfId="25459"/>
    <cellStyle name="_VC 6.15.06 update on 06GRC power costs.xls Chart 3_PCA 9 -  Exhibit D April 2010 2 2" xfId="25460"/>
    <cellStyle name="_VC 6.15.06 update on 06GRC power costs.xls Chart 3_PCA 9 -  Exhibit D April 2010 3" xfId="25461"/>
    <cellStyle name="_VC 6.15.06 update on 06GRC power costs.xls Chart 3_PCA 9 -  Exhibit D April 2010 3 2" xfId="25462"/>
    <cellStyle name="_VC 6.15.06 update on 06GRC power costs.xls Chart 3_PCA 9 -  Exhibit D April 2010 4" xfId="25463"/>
    <cellStyle name="_VC 6.15.06 update on 06GRC power costs.xls Chart 3_PCA 9 -  Exhibit D April 2010 4 2" xfId="25464"/>
    <cellStyle name="_VC 6.15.06 update on 06GRC power costs.xls Chart 3_PCA 9 -  Exhibit D April 2010 5" xfId="25465"/>
    <cellStyle name="_VC 6.15.06 update on 06GRC power costs.xls Chart 3_PCA 9 -  Exhibit D April 2010 5 2" xfId="25466"/>
    <cellStyle name="_VC 6.15.06 update on 06GRC power costs.xls Chart 3_PCA 9 -  Exhibit D April 2010 6" xfId="25467"/>
    <cellStyle name="_VC 6.15.06 update on 06GRC power costs.xls Chart 3_PCA 9 -  Exhibit D April 2010 6 2" xfId="25468"/>
    <cellStyle name="_VC 6.15.06 update on 06GRC power costs.xls Chart 3_PCA 9 -  Exhibit D April 2010 7" xfId="25469"/>
    <cellStyle name="_VC 6.15.06 update on 06GRC power costs.xls Chart 3_PCA 9 -  Exhibit D Nov 2010" xfId="25470"/>
    <cellStyle name="_VC 6.15.06 update on 06GRC power costs.xls Chart 3_PCA 9 -  Exhibit D Nov 2010 2" xfId="25471"/>
    <cellStyle name="_VC 6.15.06 update on 06GRC power costs.xls Chart 3_PCA 9 -  Exhibit D Nov 2010 2 2" xfId="25472"/>
    <cellStyle name="_VC 6.15.06 update on 06GRC power costs.xls Chart 3_PCA 9 -  Exhibit D Nov 2010 3" xfId="25473"/>
    <cellStyle name="_VC 6.15.06 update on 06GRC power costs.xls Chart 3_PCA 9 - Exhibit D at August 2010" xfId="25474"/>
    <cellStyle name="_VC 6.15.06 update on 06GRC power costs.xls Chart 3_PCA 9 - Exhibit D at August 2010 2" xfId="25475"/>
    <cellStyle name="_VC 6.15.06 update on 06GRC power costs.xls Chart 3_PCA 9 - Exhibit D at August 2010 2 2" xfId="25476"/>
    <cellStyle name="_VC 6.15.06 update on 06GRC power costs.xls Chart 3_PCA 9 - Exhibit D at August 2010 3" xfId="25477"/>
    <cellStyle name="_VC 6.15.06 update on 06GRC power costs.xls Chart 3_PCA 9 - Exhibit D June 2010 GRC" xfId="25478"/>
    <cellStyle name="_VC 6.15.06 update on 06GRC power costs.xls Chart 3_PCA 9 - Exhibit D June 2010 GRC 2" xfId="25479"/>
    <cellStyle name="_VC 6.15.06 update on 06GRC power costs.xls Chart 3_PCA 9 - Exhibit D June 2010 GRC 2 2" xfId="25480"/>
    <cellStyle name="_VC 6.15.06 update on 06GRC power costs.xls Chart 3_PCA 9 - Exhibit D June 2010 GRC 3" xfId="25481"/>
    <cellStyle name="_VC 6.15.06 update on 06GRC power costs.xls Chart 3_Power Costs - Comparison bx Rbtl-Staff-Jt-PC" xfId="1016"/>
    <cellStyle name="_VC 6.15.06 update on 06GRC power costs.xls Chart 3_Power Costs - Comparison bx Rbtl-Staff-Jt-PC 2" xfId="25482"/>
    <cellStyle name="_VC 6.15.06 update on 06GRC power costs.xls Chart 3_Power Costs - Comparison bx Rbtl-Staff-Jt-PC 2 2" xfId="25483"/>
    <cellStyle name="_VC 6.15.06 update on 06GRC power costs.xls Chart 3_Power Costs - Comparison bx Rbtl-Staff-Jt-PC 2 2 2" xfId="25484"/>
    <cellStyle name="_VC 6.15.06 update on 06GRC power costs.xls Chart 3_Power Costs - Comparison bx Rbtl-Staff-Jt-PC 2 2 2 2" xfId="25485"/>
    <cellStyle name="_VC 6.15.06 update on 06GRC power costs.xls Chart 3_Power Costs - Comparison bx Rbtl-Staff-Jt-PC 2 2 3" xfId="25486"/>
    <cellStyle name="_VC 6.15.06 update on 06GRC power costs.xls Chart 3_Power Costs - Comparison bx Rbtl-Staff-Jt-PC 2 3" xfId="25487"/>
    <cellStyle name="_VC 6.15.06 update on 06GRC power costs.xls Chart 3_Power Costs - Comparison bx Rbtl-Staff-Jt-PC 2 3 2" xfId="25488"/>
    <cellStyle name="_VC 6.15.06 update on 06GRC power costs.xls Chart 3_Power Costs - Comparison bx Rbtl-Staff-Jt-PC 2 4" xfId="25489"/>
    <cellStyle name="_VC 6.15.06 update on 06GRC power costs.xls Chart 3_Power Costs - Comparison bx Rbtl-Staff-Jt-PC 2 4 2" xfId="25490"/>
    <cellStyle name="_VC 6.15.06 update on 06GRC power costs.xls Chart 3_Power Costs - Comparison bx Rbtl-Staff-Jt-PC 2 5" xfId="25491"/>
    <cellStyle name="_VC 6.15.06 update on 06GRC power costs.xls Chart 3_Power Costs - Comparison bx Rbtl-Staff-Jt-PC 3" xfId="25492"/>
    <cellStyle name="_VC 6.15.06 update on 06GRC power costs.xls Chart 3_Power Costs - Comparison bx Rbtl-Staff-Jt-PC 3 2" xfId="25493"/>
    <cellStyle name="_VC 6.15.06 update on 06GRC power costs.xls Chart 3_Power Costs - Comparison bx Rbtl-Staff-Jt-PC 3 2 2" xfId="25494"/>
    <cellStyle name="_VC 6.15.06 update on 06GRC power costs.xls Chart 3_Power Costs - Comparison bx Rbtl-Staff-Jt-PC 3 3" xfId="25495"/>
    <cellStyle name="_VC 6.15.06 update on 06GRC power costs.xls Chart 3_Power Costs - Comparison bx Rbtl-Staff-Jt-PC 3 4" xfId="25496"/>
    <cellStyle name="_VC 6.15.06 update on 06GRC power costs.xls Chart 3_Power Costs - Comparison bx Rbtl-Staff-Jt-PC 4" xfId="25497"/>
    <cellStyle name="_VC 6.15.06 update on 06GRC power costs.xls Chart 3_Power Costs - Comparison bx Rbtl-Staff-Jt-PC 4 2" xfId="25498"/>
    <cellStyle name="_VC 6.15.06 update on 06GRC power costs.xls Chart 3_Power Costs - Comparison bx Rbtl-Staff-Jt-PC 4 2 2" xfId="25499"/>
    <cellStyle name="_VC 6.15.06 update on 06GRC power costs.xls Chart 3_Power Costs - Comparison bx Rbtl-Staff-Jt-PC 4 3" xfId="25500"/>
    <cellStyle name="_VC 6.15.06 update on 06GRC power costs.xls Chart 3_Power Costs - Comparison bx Rbtl-Staff-Jt-PC 5" xfId="25501"/>
    <cellStyle name="_VC 6.15.06 update on 06GRC power costs.xls Chart 3_Power Costs - Comparison bx Rbtl-Staff-Jt-PC 5 2" xfId="25502"/>
    <cellStyle name="_VC 6.15.06 update on 06GRC power costs.xls Chart 3_Power Costs - Comparison bx Rbtl-Staff-Jt-PC 6" xfId="25503"/>
    <cellStyle name="_VC 6.15.06 update on 06GRC power costs.xls Chart 3_Power Costs - Comparison bx Rbtl-Staff-Jt-PC 6 2" xfId="25504"/>
    <cellStyle name="_VC 6.15.06 update on 06GRC power costs.xls Chart 3_Power Costs - Comparison bx Rbtl-Staff-Jt-PC 7" xfId="25505"/>
    <cellStyle name="_VC 6.15.06 update on 06GRC power costs.xls Chart 3_Power Costs - Comparison bx Rbtl-Staff-Jt-PC_Adj Bench DR 3 for Initial Briefs (Electric)" xfId="1017"/>
    <cellStyle name="_VC 6.15.06 update on 06GRC power costs.xls Chart 3_Power Costs - Comparison bx Rbtl-Staff-Jt-PC_Adj Bench DR 3 for Initial Briefs (Electric) 2" xfId="25506"/>
    <cellStyle name="_VC 6.15.06 update on 06GRC power costs.xls Chart 3_Power Costs - Comparison bx Rbtl-Staff-Jt-PC_Adj Bench DR 3 for Initial Briefs (Electric) 2 2" xfId="25507"/>
    <cellStyle name="_VC 6.15.06 update on 06GRC power costs.xls Chart 3_Power Costs - Comparison bx Rbtl-Staff-Jt-PC_Adj Bench DR 3 for Initial Briefs (Electric) 2 2 2" xfId="25508"/>
    <cellStyle name="_VC 6.15.06 update on 06GRC power costs.xls Chart 3_Power Costs - Comparison bx Rbtl-Staff-Jt-PC_Adj Bench DR 3 for Initial Briefs (Electric) 2 2 2 2" xfId="25509"/>
    <cellStyle name="_VC 6.15.06 update on 06GRC power costs.xls Chart 3_Power Costs - Comparison bx Rbtl-Staff-Jt-PC_Adj Bench DR 3 for Initial Briefs (Electric) 2 2 3" xfId="25510"/>
    <cellStyle name="_VC 6.15.06 update on 06GRC power costs.xls Chart 3_Power Costs - Comparison bx Rbtl-Staff-Jt-PC_Adj Bench DR 3 for Initial Briefs (Electric) 2 3" xfId="25511"/>
    <cellStyle name="_VC 6.15.06 update on 06GRC power costs.xls Chart 3_Power Costs - Comparison bx Rbtl-Staff-Jt-PC_Adj Bench DR 3 for Initial Briefs (Electric) 2 3 2" xfId="25512"/>
    <cellStyle name="_VC 6.15.06 update on 06GRC power costs.xls Chart 3_Power Costs - Comparison bx Rbtl-Staff-Jt-PC_Adj Bench DR 3 for Initial Briefs (Electric) 2 4" xfId="25513"/>
    <cellStyle name="_VC 6.15.06 update on 06GRC power costs.xls Chart 3_Power Costs - Comparison bx Rbtl-Staff-Jt-PC_Adj Bench DR 3 for Initial Briefs (Electric) 2 4 2" xfId="25514"/>
    <cellStyle name="_VC 6.15.06 update on 06GRC power costs.xls Chart 3_Power Costs - Comparison bx Rbtl-Staff-Jt-PC_Adj Bench DR 3 for Initial Briefs (Electric) 2 5" xfId="25515"/>
    <cellStyle name="_VC 6.15.06 update on 06GRC power costs.xls Chart 3_Power Costs - Comparison bx Rbtl-Staff-Jt-PC_Adj Bench DR 3 for Initial Briefs (Electric) 3" xfId="25516"/>
    <cellStyle name="_VC 6.15.06 update on 06GRC power costs.xls Chart 3_Power Costs - Comparison bx Rbtl-Staff-Jt-PC_Adj Bench DR 3 for Initial Briefs (Electric) 3 2" xfId="25517"/>
    <cellStyle name="_VC 6.15.06 update on 06GRC power costs.xls Chart 3_Power Costs - Comparison bx Rbtl-Staff-Jt-PC_Adj Bench DR 3 for Initial Briefs (Electric) 3 2 2" xfId="25518"/>
    <cellStyle name="_VC 6.15.06 update on 06GRC power costs.xls Chart 3_Power Costs - Comparison bx Rbtl-Staff-Jt-PC_Adj Bench DR 3 for Initial Briefs (Electric) 3 3" xfId="25519"/>
    <cellStyle name="_VC 6.15.06 update on 06GRC power costs.xls Chart 3_Power Costs - Comparison bx Rbtl-Staff-Jt-PC_Adj Bench DR 3 for Initial Briefs (Electric) 3 4" xfId="25520"/>
    <cellStyle name="_VC 6.15.06 update on 06GRC power costs.xls Chart 3_Power Costs - Comparison bx Rbtl-Staff-Jt-PC_Adj Bench DR 3 for Initial Briefs (Electric) 4" xfId="25521"/>
    <cellStyle name="_VC 6.15.06 update on 06GRC power costs.xls Chart 3_Power Costs - Comparison bx Rbtl-Staff-Jt-PC_Adj Bench DR 3 for Initial Briefs (Electric) 4 2" xfId="25522"/>
    <cellStyle name="_VC 6.15.06 update on 06GRC power costs.xls Chart 3_Power Costs - Comparison bx Rbtl-Staff-Jt-PC_Adj Bench DR 3 for Initial Briefs (Electric) 4 2 2" xfId="25523"/>
    <cellStyle name="_VC 6.15.06 update on 06GRC power costs.xls Chart 3_Power Costs - Comparison bx Rbtl-Staff-Jt-PC_Adj Bench DR 3 for Initial Briefs (Electric) 4 3" xfId="25524"/>
    <cellStyle name="_VC 6.15.06 update on 06GRC power costs.xls Chart 3_Power Costs - Comparison bx Rbtl-Staff-Jt-PC_Adj Bench DR 3 for Initial Briefs (Electric) 5" xfId="25525"/>
    <cellStyle name="_VC 6.15.06 update on 06GRC power costs.xls Chart 3_Power Costs - Comparison bx Rbtl-Staff-Jt-PC_Adj Bench DR 3 for Initial Briefs (Electric) 5 2" xfId="25526"/>
    <cellStyle name="_VC 6.15.06 update on 06GRC power costs.xls Chart 3_Power Costs - Comparison bx Rbtl-Staff-Jt-PC_Adj Bench DR 3 for Initial Briefs (Electric) 6" xfId="25527"/>
    <cellStyle name="_VC 6.15.06 update on 06GRC power costs.xls Chart 3_Power Costs - Comparison bx Rbtl-Staff-Jt-PC_Adj Bench DR 3 for Initial Briefs (Electric) 6 2" xfId="25528"/>
    <cellStyle name="_VC 6.15.06 update on 06GRC power costs.xls Chart 3_Power Costs - Comparison bx Rbtl-Staff-Jt-PC_Adj Bench DR 3 for Initial Briefs (Electric) 7" xfId="25529"/>
    <cellStyle name="_VC 6.15.06 update on 06GRC power costs.xls Chart 3_Power Costs - Comparison bx Rbtl-Staff-Jt-PC_Adj Bench DR 3 for Initial Briefs (Electric)_DEM-WP(C) ENERG10C--ctn Mid-C_042010 2010GRC" xfId="25530"/>
    <cellStyle name="_VC 6.15.06 update on 06GRC power costs.xls Chart 3_Power Costs - Comparison bx Rbtl-Staff-Jt-PC_Adj Bench DR 3 for Initial Briefs (Electric)_DEM-WP(C) ENERG10C--ctn Mid-C_042010 2010GRC 2" xfId="25531"/>
    <cellStyle name="_VC 6.15.06 update on 06GRC power costs.xls Chart 3_Power Costs - Comparison bx Rbtl-Staff-Jt-PC_DEM-WP(C) ENERG10C--ctn Mid-C_042010 2010GRC" xfId="25532"/>
    <cellStyle name="_VC 6.15.06 update on 06GRC power costs.xls Chart 3_Power Costs - Comparison bx Rbtl-Staff-Jt-PC_DEM-WP(C) ENERG10C--ctn Mid-C_042010 2010GRC 2" xfId="25533"/>
    <cellStyle name="_VC 6.15.06 update on 06GRC power costs.xls Chart 3_Power Costs - Comparison bx Rbtl-Staff-Jt-PC_Electric Rev Req Model (2009 GRC) Rebuttal" xfId="1018"/>
    <cellStyle name="_VC 6.15.06 update on 06GRC power costs.xls Chart 3_Power Costs - Comparison bx Rbtl-Staff-Jt-PC_Electric Rev Req Model (2009 GRC) Rebuttal 2" xfId="25534"/>
    <cellStyle name="_VC 6.15.06 update on 06GRC power costs.xls Chart 3_Power Costs - Comparison bx Rbtl-Staff-Jt-PC_Electric Rev Req Model (2009 GRC) Rebuttal 2 2" xfId="25535"/>
    <cellStyle name="_VC 6.15.06 update on 06GRC power costs.xls Chart 3_Power Costs - Comparison bx Rbtl-Staff-Jt-PC_Electric Rev Req Model (2009 GRC) Rebuttal 2 2 2" xfId="25536"/>
    <cellStyle name="_VC 6.15.06 update on 06GRC power costs.xls Chart 3_Power Costs - Comparison bx Rbtl-Staff-Jt-PC_Electric Rev Req Model (2009 GRC) Rebuttal 2 3" xfId="25537"/>
    <cellStyle name="_VC 6.15.06 update on 06GRC power costs.xls Chart 3_Power Costs - Comparison bx Rbtl-Staff-Jt-PC_Electric Rev Req Model (2009 GRC) Rebuttal 2 4" xfId="25538"/>
    <cellStyle name="_VC 6.15.06 update on 06GRC power costs.xls Chart 3_Power Costs - Comparison bx Rbtl-Staff-Jt-PC_Electric Rev Req Model (2009 GRC) Rebuttal 3" xfId="25539"/>
    <cellStyle name="_VC 6.15.06 update on 06GRC power costs.xls Chart 3_Power Costs - Comparison bx Rbtl-Staff-Jt-PC_Electric Rev Req Model (2009 GRC) Rebuttal 3 2" xfId="25540"/>
    <cellStyle name="_VC 6.15.06 update on 06GRC power costs.xls Chart 3_Power Costs - Comparison bx Rbtl-Staff-Jt-PC_Electric Rev Req Model (2009 GRC) Rebuttal 4" xfId="25541"/>
    <cellStyle name="_VC 6.15.06 update on 06GRC power costs.xls Chart 3_Power Costs - Comparison bx Rbtl-Staff-Jt-PC_Electric Rev Req Model (2009 GRC) Rebuttal 5" xfId="25542"/>
    <cellStyle name="_VC 6.15.06 update on 06GRC power costs.xls Chart 3_Power Costs - Comparison bx Rbtl-Staff-Jt-PC_Electric Rev Req Model (2009 GRC) Rebuttal REmoval of New  WH Solar AdjustMI" xfId="1019"/>
    <cellStyle name="_VC 6.15.06 update on 06GRC power costs.xls Chart 3_Power Costs - Comparison bx Rbtl-Staff-Jt-PC_Electric Rev Req Model (2009 GRC) Rebuttal REmoval of New  WH Solar AdjustMI 2" xfId="25543"/>
    <cellStyle name="_VC 6.15.06 update on 06GRC power costs.xls Chart 3_Power Costs - Comparison bx Rbtl-Staff-Jt-PC_Electric Rev Req Model (2009 GRC) Rebuttal REmoval of New  WH Solar AdjustMI 2 2" xfId="25544"/>
    <cellStyle name="_VC 6.15.06 update on 06GRC power costs.xls Chart 3_Power Costs - Comparison bx Rbtl-Staff-Jt-PC_Electric Rev Req Model (2009 GRC) Rebuttal REmoval of New  WH Solar AdjustMI 2 2 2" xfId="25545"/>
    <cellStyle name="_VC 6.15.06 update on 06GRC power costs.xls Chart 3_Power Costs - Comparison bx Rbtl-Staff-Jt-PC_Electric Rev Req Model (2009 GRC) Rebuttal REmoval of New  WH Solar AdjustMI 2 2 2 2" xfId="25546"/>
    <cellStyle name="_VC 6.15.06 update on 06GRC power costs.xls Chart 3_Power Costs - Comparison bx Rbtl-Staff-Jt-PC_Electric Rev Req Model (2009 GRC) Rebuttal REmoval of New  WH Solar AdjustMI 2 2 3" xfId="25547"/>
    <cellStyle name="_VC 6.15.06 update on 06GRC power costs.xls Chart 3_Power Costs - Comparison bx Rbtl-Staff-Jt-PC_Electric Rev Req Model (2009 GRC) Rebuttal REmoval of New  WH Solar AdjustMI 2 3" xfId="25548"/>
    <cellStyle name="_VC 6.15.06 update on 06GRC power costs.xls Chart 3_Power Costs - Comparison bx Rbtl-Staff-Jt-PC_Electric Rev Req Model (2009 GRC) Rebuttal REmoval of New  WH Solar AdjustMI 2 3 2" xfId="25549"/>
    <cellStyle name="_VC 6.15.06 update on 06GRC power costs.xls Chart 3_Power Costs - Comparison bx Rbtl-Staff-Jt-PC_Electric Rev Req Model (2009 GRC) Rebuttal REmoval of New  WH Solar AdjustMI 2 4" xfId="25550"/>
    <cellStyle name="_VC 6.15.06 update on 06GRC power costs.xls Chart 3_Power Costs - Comparison bx Rbtl-Staff-Jt-PC_Electric Rev Req Model (2009 GRC) Rebuttal REmoval of New  WH Solar AdjustMI 2 4 2" xfId="25551"/>
    <cellStyle name="_VC 6.15.06 update on 06GRC power costs.xls Chart 3_Power Costs - Comparison bx Rbtl-Staff-Jt-PC_Electric Rev Req Model (2009 GRC) Rebuttal REmoval of New  WH Solar AdjustMI 2 5" xfId="25552"/>
    <cellStyle name="_VC 6.15.06 update on 06GRC power costs.xls Chart 3_Power Costs - Comparison bx Rbtl-Staff-Jt-PC_Electric Rev Req Model (2009 GRC) Rebuttal REmoval of New  WH Solar AdjustMI 3" xfId="25553"/>
    <cellStyle name="_VC 6.15.06 update on 06GRC power costs.xls Chart 3_Power Costs - Comparison bx Rbtl-Staff-Jt-PC_Electric Rev Req Model (2009 GRC) Rebuttal REmoval of New  WH Solar AdjustMI 3 2" xfId="25554"/>
    <cellStyle name="_VC 6.15.06 update on 06GRC power costs.xls Chart 3_Power Costs - Comparison bx Rbtl-Staff-Jt-PC_Electric Rev Req Model (2009 GRC) Rebuttal REmoval of New  WH Solar AdjustMI 3 2 2" xfId="25555"/>
    <cellStyle name="_VC 6.15.06 update on 06GRC power costs.xls Chart 3_Power Costs - Comparison bx Rbtl-Staff-Jt-PC_Electric Rev Req Model (2009 GRC) Rebuttal REmoval of New  WH Solar AdjustMI 3 3" xfId="25556"/>
    <cellStyle name="_VC 6.15.06 update on 06GRC power costs.xls Chart 3_Power Costs - Comparison bx Rbtl-Staff-Jt-PC_Electric Rev Req Model (2009 GRC) Rebuttal REmoval of New  WH Solar AdjustMI 3 4" xfId="25557"/>
    <cellStyle name="_VC 6.15.06 update on 06GRC power costs.xls Chart 3_Power Costs - Comparison bx Rbtl-Staff-Jt-PC_Electric Rev Req Model (2009 GRC) Rebuttal REmoval of New  WH Solar AdjustMI 4" xfId="25558"/>
    <cellStyle name="_VC 6.15.06 update on 06GRC power costs.xls Chart 3_Power Costs - Comparison bx Rbtl-Staff-Jt-PC_Electric Rev Req Model (2009 GRC) Rebuttal REmoval of New  WH Solar AdjustMI 4 2" xfId="25559"/>
    <cellStyle name="_VC 6.15.06 update on 06GRC power costs.xls Chart 3_Power Costs - Comparison bx Rbtl-Staff-Jt-PC_Electric Rev Req Model (2009 GRC) Rebuttal REmoval of New  WH Solar AdjustMI 4 2 2" xfId="25560"/>
    <cellStyle name="_VC 6.15.06 update on 06GRC power costs.xls Chart 3_Power Costs - Comparison bx Rbtl-Staff-Jt-PC_Electric Rev Req Model (2009 GRC) Rebuttal REmoval of New  WH Solar AdjustMI 4 3" xfId="25561"/>
    <cellStyle name="_VC 6.15.06 update on 06GRC power costs.xls Chart 3_Power Costs - Comparison bx Rbtl-Staff-Jt-PC_Electric Rev Req Model (2009 GRC) Rebuttal REmoval of New  WH Solar AdjustMI 5" xfId="25562"/>
    <cellStyle name="_VC 6.15.06 update on 06GRC power costs.xls Chart 3_Power Costs - Comparison bx Rbtl-Staff-Jt-PC_Electric Rev Req Model (2009 GRC) Rebuttal REmoval of New  WH Solar AdjustMI 5 2" xfId="25563"/>
    <cellStyle name="_VC 6.15.06 update on 06GRC power costs.xls Chart 3_Power Costs - Comparison bx Rbtl-Staff-Jt-PC_Electric Rev Req Model (2009 GRC) Rebuttal REmoval of New  WH Solar AdjustMI 6" xfId="25564"/>
    <cellStyle name="_VC 6.15.06 update on 06GRC power costs.xls Chart 3_Power Costs - Comparison bx Rbtl-Staff-Jt-PC_Electric Rev Req Model (2009 GRC) Rebuttal REmoval of New  WH Solar AdjustMI 6 2" xfId="25565"/>
    <cellStyle name="_VC 6.15.06 update on 06GRC power costs.xls Chart 3_Power Costs - Comparison bx Rbtl-Staff-Jt-PC_Electric Rev Req Model (2009 GRC) Rebuttal REmoval of New  WH Solar AdjustMI 7" xfId="25566"/>
    <cellStyle name="_VC 6.15.06 update on 06GRC power costs.xls Chart 3_Power Costs - Comparison bx Rbtl-Staff-Jt-PC_Electric Rev Req Model (2009 GRC) Rebuttal REmoval of New  WH Solar AdjustMI_DEM-WP(C) ENERG10C--ctn Mid-C_042010 2010GRC" xfId="25567"/>
    <cellStyle name="_VC 6.15.06 update on 06GRC power costs.xls Chart 3_Power Costs - Comparison bx Rbtl-Staff-Jt-PC_Electric Rev Req Model (2009 GRC) Rebuttal REmoval of New  WH Solar AdjustMI_DEM-WP(C) ENERG10C--ctn Mid-C_042010 2010GRC 2" xfId="25568"/>
    <cellStyle name="_VC 6.15.06 update on 06GRC power costs.xls Chart 3_Power Costs - Comparison bx Rbtl-Staff-Jt-PC_Electric Rev Req Model (2009 GRC) Revised 01-18-2010" xfId="1020"/>
    <cellStyle name="_VC 6.15.06 update on 06GRC power costs.xls Chart 3_Power Costs - Comparison bx Rbtl-Staff-Jt-PC_Electric Rev Req Model (2009 GRC) Revised 01-18-2010 2" xfId="25569"/>
    <cellStyle name="_VC 6.15.06 update on 06GRC power costs.xls Chart 3_Power Costs - Comparison bx Rbtl-Staff-Jt-PC_Electric Rev Req Model (2009 GRC) Revised 01-18-2010 2 2" xfId="25570"/>
    <cellStyle name="_VC 6.15.06 update on 06GRC power costs.xls Chart 3_Power Costs - Comparison bx Rbtl-Staff-Jt-PC_Electric Rev Req Model (2009 GRC) Revised 01-18-2010 2 2 2" xfId="25571"/>
    <cellStyle name="_VC 6.15.06 update on 06GRC power costs.xls Chart 3_Power Costs - Comparison bx Rbtl-Staff-Jt-PC_Electric Rev Req Model (2009 GRC) Revised 01-18-2010 2 2 2 2" xfId="25572"/>
    <cellStyle name="_VC 6.15.06 update on 06GRC power costs.xls Chart 3_Power Costs - Comparison bx Rbtl-Staff-Jt-PC_Electric Rev Req Model (2009 GRC) Revised 01-18-2010 2 2 3" xfId="25573"/>
    <cellStyle name="_VC 6.15.06 update on 06GRC power costs.xls Chart 3_Power Costs - Comparison bx Rbtl-Staff-Jt-PC_Electric Rev Req Model (2009 GRC) Revised 01-18-2010 2 3" xfId="25574"/>
    <cellStyle name="_VC 6.15.06 update on 06GRC power costs.xls Chart 3_Power Costs - Comparison bx Rbtl-Staff-Jt-PC_Electric Rev Req Model (2009 GRC) Revised 01-18-2010 2 3 2" xfId="25575"/>
    <cellStyle name="_VC 6.15.06 update on 06GRC power costs.xls Chart 3_Power Costs - Comparison bx Rbtl-Staff-Jt-PC_Electric Rev Req Model (2009 GRC) Revised 01-18-2010 2 4" xfId="25576"/>
    <cellStyle name="_VC 6.15.06 update on 06GRC power costs.xls Chart 3_Power Costs - Comparison bx Rbtl-Staff-Jt-PC_Electric Rev Req Model (2009 GRC) Revised 01-18-2010 2 4 2" xfId="25577"/>
    <cellStyle name="_VC 6.15.06 update on 06GRC power costs.xls Chart 3_Power Costs - Comparison bx Rbtl-Staff-Jt-PC_Electric Rev Req Model (2009 GRC) Revised 01-18-2010 2 5" xfId="25578"/>
    <cellStyle name="_VC 6.15.06 update on 06GRC power costs.xls Chart 3_Power Costs - Comparison bx Rbtl-Staff-Jt-PC_Electric Rev Req Model (2009 GRC) Revised 01-18-2010 3" xfId="25579"/>
    <cellStyle name="_VC 6.15.06 update on 06GRC power costs.xls Chart 3_Power Costs - Comparison bx Rbtl-Staff-Jt-PC_Electric Rev Req Model (2009 GRC) Revised 01-18-2010 3 2" xfId="25580"/>
    <cellStyle name="_VC 6.15.06 update on 06GRC power costs.xls Chart 3_Power Costs - Comparison bx Rbtl-Staff-Jt-PC_Electric Rev Req Model (2009 GRC) Revised 01-18-2010 3 2 2" xfId="25581"/>
    <cellStyle name="_VC 6.15.06 update on 06GRC power costs.xls Chart 3_Power Costs - Comparison bx Rbtl-Staff-Jt-PC_Electric Rev Req Model (2009 GRC) Revised 01-18-2010 3 3" xfId="25582"/>
    <cellStyle name="_VC 6.15.06 update on 06GRC power costs.xls Chart 3_Power Costs - Comparison bx Rbtl-Staff-Jt-PC_Electric Rev Req Model (2009 GRC) Revised 01-18-2010 3 4" xfId="25583"/>
    <cellStyle name="_VC 6.15.06 update on 06GRC power costs.xls Chart 3_Power Costs - Comparison bx Rbtl-Staff-Jt-PC_Electric Rev Req Model (2009 GRC) Revised 01-18-2010 4" xfId="25584"/>
    <cellStyle name="_VC 6.15.06 update on 06GRC power costs.xls Chart 3_Power Costs - Comparison bx Rbtl-Staff-Jt-PC_Electric Rev Req Model (2009 GRC) Revised 01-18-2010 4 2" xfId="25585"/>
    <cellStyle name="_VC 6.15.06 update on 06GRC power costs.xls Chart 3_Power Costs - Comparison bx Rbtl-Staff-Jt-PC_Electric Rev Req Model (2009 GRC) Revised 01-18-2010 4 2 2" xfId="25586"/>
    <cellStyle name="_VC 6.15.06 update on 06GRC power costs.xls Chart 3_Power Costs - Comparison bx Rbtl-Staff-Jt-PC_Electric Rev Req Model (2009 GRC) Revised 01-18-2010 4 3" xfId="25587"/>
    <cellStyle name="_VC 6.15.06 update on 06GRC power costs.xls Chart 3_Power Costs - Comparison bx Rbtl-Staff-Jt-PC_Electric Rev Req Model (2009 GRC) Revised 01-18-2010 5" xfId="25588"/>
    <cellStyle name="_VC 6.15.06 update on 06GRC power costs.xls Chart 3_Power Costs - Comparison bx Rbtl-Staff-Jt-PC_Electric Rev Req Model (2009 GRC) Revised 01-18-2010 5 2" xfId="25589"/>
    <cellStyle name="_VC 6.15.06 update on 06GRC power costs.xls Chart 3_Power Costs - Comparison bx Rbtl-Staff-Jt-PC_Electric Rev Req Model (2009 GRC) Revised 01-18-2010 6" xfId="25590"/>
    <cellStyle name="_VC 6.15.06 update on 06GRC power costs.xls Chart 3_Power Costs - Comparison bx Rbtl-Staff-Jt-PC_Electric Rev Req Model (2009 GRC) Revised 01-18-2010 6 2" xfId="25591"/>
    <cellStyle name="_VC 6.15.06 update on 06GRC power costs.xls Chart 3_Power Costs - Comparison bx Rbtl-Staff-Jt-PC_Electric Rev Req Model (2009 GRC) Revised 01-18-2010 7" xfId="25592"/>
    <cellStyle name="_VC 6.15.06 update on 06GRC power costs.xls Chart 3_Power Costs - Comparison bx Rbtl-Staff-Jt-PC_Electric Rev Req Model (2009 GRC) Revised 01-18-2010_DEM-WP(C) ENERG10C--ctn Mid-C_042010 2010GRC" xfId="25593"/>
    <cellStyle name="_VC 6.15.06 update on 06GRC power costs.xls Chart 3_Power Costs - Comparison bx Rbtl-Staff-Jt-PC_Electric Rev Req Model (2009 GRC) Revised 01-18-2010_DEM-WP(C) ENERG10C--ctn Mid-C_042010 2010GRC 2" xfId="25594"/>
    <cellStyle name="_VC 6.15.06 update on 06GRC power costs.xls Chart 3_Power Costs - Comparison bx Rbtl-Staff-Jt-PC_Final Order Electric EXHIBIT A-1" xfId="1021"/>
    <cellStyle name="_VC 6.15.06 update on 06GRC power costs.xls Chart 3_Power Costs - Comparison bx Rbtl-Staff-Jt-PC_Final Order Electric EXHIBIT A-1 2" xfId="25595"/>
    <cellStyle name="_VC 6.15.06 update on 06GRC power costs.xls Chart 3_Power Costs - Comparison bx Rbtl-Staff-Jt-PC_Final Order Electric EXHIBIT A-1 2 2" xfId="25596"/>
    <cellStyle name="_VC 6.15.06 update on 06GRC power costs.xls Chart 3_Power Costs - Comparison bx Rbtl-Staff-Jt-PC_Final Order Electric EXHIBIT A-1 2 2 2" xfId="25597"/>
    <cellStyle name="_VC 6.15.06 update on 06GRC power costs.xls Chart 3_Power Costs - Comparison bx Rbtl-Staff-Jt-PC_Final Order Electric EXHIBIT A-1 2 3" xfId="25598"/>
    <cellStyle name="_VC 6.15.06 update on 06GRC power costs.xls Chart 3_Power Costs - Comparison bx Rbtl-Staff-Jt-PC_Final Order Electric EXHIBIT A-1 2 4" xfId="25599"/>
    <cellStyle name="_VC 6.15.06 update on 06GRC power costs.xls Chart 3_Power Costs - Comparison bx Rbtl-Staff-Jt-PC_Final Order Electric EXHIBIT A-1 3" xfId="25600"/>
    <cellStyle name="_VC 6.15.06 update on 06GRC power costs.xls Chart 3_Power Costs - Comparison bx Rbtl-Staff-Jt-PC_Final Order Electric EXHIBIT A-1 3 2" xfId="25601"/>
    <cellStyle name="_VC 6.15.06 update on 06GRC power costs.xls Chart 3_Power Costs - Comparison bx Rbtl-Staff-Jt-PC_Final Order Electric EXHIBIT A-1 3 2 2" xfId="25602"/>
    <cellStyle name="_VC 6.15.06 update on 06GRC power costs.xls Chart 3_Power Costs - Comparison bx Rbtl-Staff-Jt-PC_Final Order Electric EXHIBIT A-1 3 3" xfId="25603"/>
    <cellStyle name="_VC 6.15.06 update on 06GRC power costs.xls Chart 3_Power Costs - Comparison bx Rbtl-Staff-Jt-PC_Final Order Electric EXHIBIT A-1 4" xfId="25604"/>
    <cellStyle name="_VC 6.15.06 update on 06GRC power costs.xls Chart 3_Power Costs - Comparison bx Rbtl-Staff-Jt-PC_Final Order Electric EXHIBIT A-1 4 2" xfId="25605"/>
    <cellStyle name="_VC 6.15.06 update on 06GRC power costs.xls Chart 3_Power Costs - Comparison bx Rbtl-Staff-Jt-PC_Final Order Electric EXHIBIT A-1 5" xfId="25606"/>
    <cellStyle name="_VC 6.15.06 update on 06GRC power costs.xls Chart 3_Power Costs - Comparison bx Rbtl-Staff-Jt-PC_Final Order Electric EXHIBIT A-1 6" xfId="25607"/>
    <cellStyle name="_VC 6.15.06 update on 06GRC power costs.xls Chart 3_Power Costs - Comparison bx Rbtl-Staff-Jt-PC_Final Order Electric EXHIBIT A-1 7" xfId="25608"/>
    <cellStyle name="_VC 6.15.06 update on 06GRC power costs.xls Chart 3_Production Adj 4.37" xfId="25609"/>
    <cellStyle name="_VC 6.15.06 update on 06GRC power costs.xls Chart 3_Production Adj 4.37 2" xfId="25610"/>
    <cellStyle name="_VC 6.15.06 update on 06GRC power costs.xls Chart 3_Production Adj 4.37 2 2" xfId="25611"/>
    <cellStyle name="_VC 6.15.06 update on 06GRC power costs.xls Chart 3_Production Adj 4.37 2 2 2" xfId="25612"/>
    <cellStyle name="_VC 6.15.06 update on 06GRC power costs.xls Chart 3_Production Adj 4.37 2 3" xfId="25613"/>
    <cellStyle name="_VC 6.15.06 update on 06GRC power costs.xls Chart 3_Production Adj 4.37 3" xfId="25614"/>
    <cellStyle name="_VC 6.15.06 update on 06GRC power costs.xls Chart 3_Production Adj 4.37 3 2" xfId="25615"/>
    <cellStyle name="_VC 6.15.06 update on 06GRC power costs.xls Chart 3_Production Adj 4.37 4" xfId="25616"/>
    <cellStyle name="_VC 6.15.06 update on 06GRC power costs.xls Chart 3_Purchased Power Adj 4.03" xfId="25617"/>
    <cellStyle name="_VC 6.15.06 update on 06GRC power costs.xls Chart 3_Purchased Power Adj 4.03 2" xfId="25618"/>
    <cellStyle name="_VC 6.15.06 update on 06GRC power costs.xls Chart 3_Purchased Power Adj 4.03 2 2" xfId="25619"/>
    <cellStyle name="_VC 6.15.06 update on 06GRC power costs.xls Chart 3_Purchased Power Adj 4.03 2 2 2" xfId="25620"/>
    <cellStyle name="_VC 6.15.06 update on 06GRC power costs.xls Chart 3_Purchased Power Adj 4.03 2 3" xfId="25621"/>
    <cellStyle name="_VC 6.15.06 update on 06GRC power costs.xls Chart 3_Purchased Power Adj 4.03 3" xfId="25622"/>
    <cellStyle name="_VC 6.15.06 update on 06GRC power costs.xls Chart 3_Purchased Power Adj 4.03 3 2" xfId="25623"/>
    <cellStyle name="_VC 6.15.06 update on 06GRC power costs.xls Chart 3_Purchased Power Adj 4.03 4" xfId="25624"/>
    <cellStyle name="_VC 6.15.06 update on 06GRC power costs.xls Chart 3_Rebuttal Power Costs" xfId="1022"/>
    <cellStyle name="_VC 6.15.06 update on 06GRC power costs.xls Chart 3_Rebuttal Power Costs 2" xfId="25625"/>
    <cellStyle name="_VC 6.15.06 update on 06GRC power costs.xls Chart 3_Rebuttal Power Costs 2 2" xfId="25626"/>
    <cellStyle name="_VC 6.15.06 update on 06GRC power costs.xls Chart 3_Rebuttal Power Costs 2 2 2" xfId="25627"/>
    <cellStyle name="_VC 6.15.06 update on 06GRC power costs.xls Chart 3_Rebuttal Power Costs 2 2 2 2" xfId="25628"/>
    <cellStyle name="_VC 6.15.06 update on 06GRC power costs.xls Chart 3_Rebuttal Power Costs 2 2 3" xfId="25629"/>
    <cellStyle name="_VC 6.15.06 update on 06GRC power costs.xls Chart 3_Rebuttal Power Costs 2 3" xfId="25630"/>
    <cellStyle name="_VC 6.15.06 update on 06GRC power costs.xls Chart 3_Rebuttal Power Costs 2 3 2" xfId="25631"/>
    <cellStyle name="_VC 6.15.06 update on 06GRC power costs.xls Chart 3_Rebuttal Power Costs 2 4" xfId="25632"/>
    <cellStyle name="_VC 6.15.06 update on 06GRC power costs.xls Chart 3_Rebuttal Power Costs 2 4 2" xfId="25633"/>
    <cellStyle name="_VC 6.15.06 update on 06GRC power costs.xls Chart 3_Rebuttal Power Costs 2 5" xfId="25634"/>
    <cellStyle name="_VC 6.15.06 update on 06GRC power costs.xls Chart 3_Rebuttal Power Costs 3" xfId="25635"/>
    <cellStyle name="_VC 6.15.06 update on 06GRC power costs.xls Chart 3_Rebuttal Power Costs 3 2" xfId="25636"/>
    <cellStyle name="_VC 6.15.06 update on 06GRC power costs.xls Chart 3_Rebuttal Power Costs 3 2 2" xfId="25637"/>
    <cellStyle name="_VC 6.15.06 update on 06GRC power costs.xls Chart 3_Rebuttal Power Costs 3 3" xfId="25638"/>
    <cellStyle name="_VC 6.15.06 update on 06GRC power costs.xls Chart 3_Rebuttal Power Costs 3 4" xfId="25639"/>
    <cellStyle name="_VC 6.15.06 update on 06GRC power costs.xls Chart 3_Rebuttal Power Costs 4" xfId="25640"/>
    <cellStyle name="_VC 6.15.06 update on 06GRC power costs.xls Chart 3_Rebuttal Power Costs 4 2" xfId="25641"/>
    <cellStyle name="_VC 6.15.06 update on 06GRC power costs.xls Chart 3_Rebuttal Power Costs 4 2 2" xfId="25642"/>
    <cellStyle name="_VC 6.15.06 update on 06GRC power costs.xls Chart 3_Rebuttal Power Costs 4 3" xfId="25643"/>
    <cellStyle name="_VC 6.15.06 update on 06GRC power costs.xls Chart 3_Rebuttal Power Costs 5" xfId="25644"/>
    <cellStyle name="_VC 6.15.06 update on 06GRC power costs.xls Chart 3_Rebuttal Power Costs 5 2" xfId="25645"/>
    <cellStyle name="_VC 6.15.06 update on 06GRC power costs.xls Chart 3_Rebuttal Power Costs 6" xfId="25646"/>
    <cellStyle name="_VC 6.15.06 update on 06GRC power costs.xls Chart 3_Rebuttal Power Costs 6 2" xfId="25647"/>
    <cellStyle name="_VC 6.15.06 update on 06GRC power costs.xls Chart 3_Rebuttal Power Costs 7" xfId="25648"/>
    <cellStyle name="_VC 6.15.06 update on 06GRC power costs.xls Chart 3_Rebuttal Power Costs_Adj Bench DR 3 for Initial Briefs (Electric)" xfId="1023"/>
    <cellStyle name="_VC 6.15.06 update on 06GRC power costs.xls Chart 3_Rebuttal Power Costs_Adj Bench DR 3 for Initial Briefs (Electric) 2" xfId="25649"/>
    <cellStyle name="_VC 6.15.06 update on 06GRC power costs.xls Chart 3_Rebuttal Power Costs_Adj Bench DR 3 for Initial Briefs (Electric) 2 2" xfId="25650"/>
    <cellStyle name="_VC 6.15.06 update on 06GRC power costs.xls Chart 3_Rebuttal Power Costs_Adj Bench DR 3 for Initial Briefs (Electric) 2 2 2" xfId="25651"/>
    <cellStyle name="_VC 6.15.06 update on 06GRC power costs.xls Chart 3_Rebuttal Power Costs_Adj Bench DR 3 for Initial Briefs (Electric) 2 2 2 2" xfId="25652"/>
    <cellStyle name="_VC 6.15.06 update on 06GRC power costs.xls Chart 3_Rebuttal Power Costs_Adj Bench DR 3 for Initial Briefs (Electric) 2 2 3" xfId="25653"/>
    <cellStyle name="_VC 6.15.06 update on 06GRC power costs.xls Chart 3_Rebuttal Power Costs_Adj Bench DR 3 for Initial Briefs (Electric) 2 3" xfId="25654"/>
    <cellStyle name="_VC 6.15.06 update on 06GRC power costs.xls Chart 3_Rebuttal Power Costs_Adj Bench DR 3 for Initial Briefs (Electric) 2 3 2" xfId="25655"/>
    <cellStyle name="_VC 6.15.06 update on 06GRC power costs.xls Chart 3_Rebuttal Power Costs_Adj Bench DR 3 for Initial Briefs (Electric) 2 4" xfId="25656"/>
    <cellStyle name="_VC 6.15.06 update on 06GRC power costs.xls Chart 3_Rebuttal Power Costs_Adj Bench DR 3 for Initial Briefs (Electric) 2 4 2" xfId="25657"/>
    <cellStyle name="_VC 6.15.06 update on 06GRC power costs.xls Chart 3_Rebuttal Power Costs_Adj Bench DR 3 for Initial Briefs (Electric) 2 5" xfId="25658"/>
    <cellStyle name="_VC 6.15.06 update on 06GRC power costs.xls Chart 3_Rebuttal Power Costs_Adj Bench DR 3 for Initial Briefs (Electric) 3" xfId="25659"/>
    <cellStyle name="_VC 6.15.06 update on 06GRC power costs.xls Chart 3_Rebuttal Power Costs_Adj Bench DR 3 for Initial Briefs (Electric) 3 2" xfId="25660"/>
    <cellStyle name="_VC 6.15.06 update on 06GRC power costs.xls Chart 3_Rebuttal Power Costs_Adj Bench DR 3 for Initial Briefs (Electric) 3 2 2" xfId="25661"/>
    <cellStyle name="_VC 6.15.06 update on 06GRC power costs.xls Chart 3_Rebuttal Power Costs_Adj Bench DR 3 for Initial Briefs (Electric) 3 3" xfId="25662"/>
    <cellStyle name="_VC 6.15.06 update on 06GRC power costs.xls Chart 3_Rebuttal Power Costs_Adj Bench DR 3 for Initial Briefs (Electric) 3 4" xfId="25663"/>
    <cellStyle name="_VC 6.15.06 update on 06GRC power costs.xls Chart 3_Rebuttal Power Costs_Adj Bench DR 3 for Initial Briefs (Electric) 4" xfId="25664"/>
    <cellStyle name="_VC 6.15.06 update on 06GRC power costs.xls Chart 3_Rebuttal Power Costs_Adj Bench DR 3 for Initial Briefs (Electric) 4 2" xfId="25665"/>
    <cellStyle name="_VC 6.15.06 update on 06GRC power costs.xls Chart 3_Rebuttal Power Costs_Adj Bench DR 3 for Initial Briefs (Electric) 4 2 2" xfId="25666"/>
    <cellStyle name="_VC 6.15.06 update on 06GRC power costs.xls Chart 3_Rebuttal Power Costs_Adj Bench DR 3 for Initial Briefs (Electric) 4 3" xfId="25667"/>
    <cellStyle name="_VC 6.15.06 update on 06GRC power costs.xls Chart 3_Rebuttal Power Costs_Adj Bench DR 3 for Initial Briefs (Electric) 5" xfId="25668"/>
    <cellStyle name="_VC 6.15.06 update on 06GRC power costs.xls Chart 3_Rebuttal Power Costs_Adj Bench DR 3 for Initial Briefs (Electric) 5 2" xfId="25669"/>
    <cellStyle name="_VC 6.15.06 update on 06GRC power costs.xls Chart 3_Rebuttal Power Costs_Adj Bench DR 3 for Initial Briefs (Electric) 6" xfId="25670"/>
    <cellStyle name="_VC 6.15.06 update on 06GRC power costs.xls Chart 3_Rebuttal Power Costs_Adj Bench DR 3 for Initial Briefs (Electric) 6 2" xfId="25671"/>
    <cellStyle name="_VC 6.15.06 update on 06GRC power costs.xls Chart 3_Rebuttal Power Costs_Adj Bench DR 3 for Initial Briefs (Electric) 7" xfId="25672"/>
    <cellStyle name="_VC 6.15.06 update on 06GRC power costs.xls Chart 3_Rebuttal Power Costs_Adj Bench DR 3 for Initial Briefs (Electric)_DEM-WP(C) ENERG10C--ctn Mid-C_042010 2010GRC" xfId="25673"/>
    <cellStyle name="_VC 6.15.06 update on 06GRC power costs.xls Chart 3_Rebuttal Power Costs_Adj Bench DR 3 for Initial Briefs (Electric)_DEM-WP(C) ENERG10C--ctn Mid-C_042010 2010GRC 2" xfId="25674"/>
    <cellStyle name="_VC 6.15.06 update on 06GRC power costs.xls Chart 3_Rebuttal Power Costs_DEM-WP(C) ENERG10C--ctn Mid-C_042010 2010GRC" xfId="25675"/>
    <cellStyle name="_VC 6.15.06 update on 06GRC power costs.xls Chart 3_Rebuttal Power Costs_DEM-WP(C) ENERG10C--ctn Mid-C_042010 2010GRC 2" xfId="25676"/>
    <cellStyle name="_VC 6.15.06 update on 06GRC power costs.xls Chart 3_Rebuttal Power Costs_Electric Rev Req Model (2009 GRC) Rebuttal" xfId="1024"/>
    <cellStyle name="_VC 6.15.06 update on 06GRC power costs.xls Chart 3_Rebuttal Power Costs_Electric Rev Req Model (2009 GRC) Rebuttal 2" xfId="25677"/>
    <cellStyle name="_VC 6.15.06 update on 06GRC power costs.xls Chart 3_Rebuttal Power Costs_Electric Rev Req Model (2009 GRC) Rebuttal 2 2" xfId="25678"/>
    <cellStyle name="_VC 6.15.06 update on 06GRC power costs.xls Chart 3_Rebuttal Power Costs_Electric Rev Req Model (2009 GRC) Rebuttal 2 2 2" xfId="25679"/>
    <cellStyle name="_VC 6.15.06 update on 06GRC power costs.xls Chart 3_Rebuttal Power Costs_Electric Rev Req Model (2009 GRC) Rebuttal 2 3" xfId="25680"/>
    <cellStyle name="_VC 6.15.06 update on 06GRC power costs.xls Chart 3_Rebuttal Power Costs_Electric Rev Req Model (2009 GRC) Rebuttal 2 4" xfId="25681"/>
    <cellStyle name="_VC 6.15.06 update on 06GRC power costs.xls Chart 3_Rebuttal Power Costs_Electric Rev Req Model (2009 GRC) Rebuttal 3" xfId="25682"/>
    <cellStyle name="_VC 6.15.06 update on 06GRC power costs.xls Chart 3_Rebuttal Power Costs_Electric Rev Req Model (2009 GRC) Rebuttal 3 2" xfId="25683"/>
    <cellStyle name="_VC 6.15.06 update on 06GRC power costs.xls Chart 3_Rebuttal Power Costs_Electric Rev Req Model (2009 GRC) Rebuttal 4" xfId="25684"/>
    <cellStyle name="_VC 6.15.06 update on 06GRC power costs.xls Chart 3_Rebuttal Power Costs_Electric Rev Req Model (2009 GRC) Rebuttal 5" xfId="25685"/>
    <cellStyle name="_VC 6.15.06 update on 06GRC power costs.xls Chart 3_Rebuttal Power Costs_Electric Rev Req Model (2009 GRC) Rebuttal REmoval of New  WH Solar AdjustMI" xfId="1025"/>
    <cellStyle name="_VC 6.15.06 update on 06GRC power costs.xls Chart 3_Rebuttal Power Costs_Electric Rev Req Model (2009 GRC) Rebuttal REmoval of New  WH Solar AdjustMI 2" xfId="25686"/>
    <cellStyle name="_VC 6.15.06 update on 06GRC power costs.xls Chart 3_Rebuttal Power Costs_Electric Rev Req Model (2009 GRC) Rebuttal REmoval of New  WH Solar AdjustMI 2 2" xfId="25687"/>
    <cellStyle name="_VC 6.15.06 update on 06GRC power costs.xls Chart 3_Rebuttal Power Costs_Electric Rev Req Model (2009 GRC) Rebuttal REmoval of New  WH Solar AdjustMI 2 2 2" xfId="25688"/>
    <cellStyle name="_VC 6.15.06 update on 06GRC power costs.xls Chart 3_Rebuttal Power Costs_Electric Rev Req Model (2009 GRC) Rebuttal REmoval of New  WH Solar AdjustMI 2 2 2 2" xfId="25689"/>
    <cellStyle name="_VC 6.15.06 update on 06GRC power costs.xls Chart 3_Rebuttal Power Costs_Electric Rev Req Model (2009 GRC) Rebuttal REmoval of New  WH Solar AdjustMI 2 2 3" xfId="25690"/>
    <cellStyle name="_VC 6.15.06 update on 06GRC power costs.xls Chart 3_Rebuttal Power Costs_Electric Rev Req Model (2009 GRC) Rebuttal REmoval of New  WH Solar AdjustMI 2 3" xfId="25691"/>
    <cellStyle name="_VC 6.15.06 update on 06GRC power costs.xls Chart 3_Rebuttal Power Costs_Electric Rev Req Model (2009 GRC) Rebuttal REmoval of New  WH Solar AdjustMI 2 3 2" xfId="25692"/>
    <cellStyle name="_VC 6.15.06 update on 06GRC power costs.xls Chart 3_Rebuttal Power Costs_Electric Rev Req Model (2009 GRC) Rebuttal REmoval of New  WH Solar AdjustMI 2 4" xfId="25693"/>
    <cellStyle name="_VC 6.15.06 update on 06GRC power costs.xls Chart 3_Rebuttal Power Costs_Electric Rev Req Model (2009 GRC) Rebuttal REmoval of New  WH Solar AdjustMI 2 4 2" xfId="25694"/>
    <cellStyle name="_VC 6.15.06 update on 06GRC power costs.xls Chart 3_Rebuttal Power Costs_Electric Rev Req Model (2009 GRC) Rebuttal REmoval of New  WH Solar AdjustMI 2 5" xfId="25695"/>
    <cellStyle name="_VC 6.15.06 update on 06GRC power costs.xls Chart 3_Rebuttal Power Costs_Electric Rev Req Model (2009 GRC) Rebuttal REmoval of New  WH Solar AdjustMI 3" xfId="25696"/>
    <cellStyle name="_VC 6.15.06 update on 06GRC power costs.xls Chart 3_Rebuttal Power Costs_Electric Rev Req Model (2009 GRC) Rebuttal REmoval of New  WH Solar AdjustMI 3 2" xfId="25697"/>
    <cellStyle name="_VC 6.15.06 update on 06GRC power costs.xls Chart 3_Rebuttal Power Costs_Electric Rev Req Model (2009 GRC) Rebuttal REmoval of New  WH Solar AdjustMI 3 2 2" xfId="25698"/>
    <cellStyle name="_VC 6.15.06 update on 06GRC power costs.xls Chart 3_Rebuttal Power Costs_Electric Rev Req Model (2009 GRC) Rebuttal REmoval of New  WH Solar AdjustMI 3 3" xfId="25699"/>
    <cellStyle name="_VC 6.15.06 update on 06GRC power costs.xls Chart 3_Rebuttal Power Costs_Electric Rev Req Model (2009 GRC) Rebuttal REmoval of New  WH Solar AdjustMI 3 4" xfId="25700"/>
    <cellStyle name="_VC 6.15.06 update on 06GRC power costs.xls Chart 3_Rebuttal Power Costs_Electric Rev Req Model (2009 GRC) Rebuttal REmoval of New  WH Solar AdjustMI 4" xfId="25701"/>
    <cellStyle name="_VC 6.15.06 update on 06GRC power costs.xls Chart 3_Rebuttal Power Costs_Electric Rev Req Model (2009 GRC) Rebuttal REmoval of New  WH Solar AdjustMI 4 2" xfId="25702"/>
    <cellStyle name="_VC 6.15.06 update on 06GRC power costs.xls Chart 3_Rebuttal Power Costs_Electric Rev Req Model (2009 GRC) Rebuttal REmoval of New  WH Solar AdjustMI 4 2 2" xfId="25703"/>
    <cellStyle name="_VC 6.15.06 update on 06GRC power costs.xls Chart 3_Rebuttal Power Costs_Electric Rev Req Model (2009 GRC) Rebuttal REmoval of New  WH Solar AdjustMI 4 3" xfId="25704"/>
    <cellStyle name="_VC 6.15.06 update on 06GRC power costs.xls Chart 3_Rebuttal Power Costs_Electric Rev Req Model (2009 GRC) Rebuttal REmoval of New  WH Solar AdjustMI 5" xfId="25705"/>
    <cellStyle name="_VC 6.15.06 update on 06GRC power costs.xls Chart 3_Rebuttal Power Costs_Electric Rev Req Model (2009 GRC) Rebuttal REmoval of New  WH Solar AdjustMI 5 2" xfId="25706"/>
    <cellStyle name="_VC 6.15.06 update on 06GRC power costs.xls Chart 3_Rebuttal Power Costs_Electric Rev Req Model (2009 GRC) Rebuttal REmoval of New  WH Solar AdjustMI 6" xfId="25707"/>
    <cellStyle name="_VC 6.15.06 update on 06GRC power costs.xls Chart 3_Rebuttal Power Costs_Electric Rev Req Model (2009 GRC) Rebuttal REmoval of New  WH Solar AdjustMI 6 2" xfId="25708"/>
    <cellStyle name="_VC 6.15.06 update on 06GRC power costs.xls Chart 3_Rebuttal Power Costs_Electric Rev Req Model (2009 GRC) Rebuttal REmoval of New  WH Solar AdjustMI 7" xfId="25709"/>
    <cellStyle name="_VC 6.15.06 update on 06GRC power costs.xls Chart 3_Rebuttal Power Costs_Electric Rev Req Model (2009 GRC) Rebuttal REmoval of New  WH Solar AdjustMI_DEM-WP(C) ENERG10C--ctn Mid-C_042010 2010GRC" xfId="25710"/>
    <cellStyle name="_VC 6.15.06 update on 06GRC power costs.xls Chart 3_Rebuttal Power Costs_Electric Rev Req Model (2009 GRC) Rebuttal REmoval of New  WH Solar AdjustMI_DEM-WP(C) ENERG10C--ctn Mid-C_042010 2010GRC 2" xfId="25711"/>
    <cellStyle name="_VC 6.15.06 update on 06GRC power costs.xls Chart 3_Rebuttal Power Costs_Electric Rev Req Model (2009 GRC) Revised 01-18-2010" xfId="1026"/>
    <cellStyle name="_VC 6.15.06 update on 06GRC power costs.xls Chart 3_Rebuttal Power Costs_Electric Rev Req Model (2009 GRC) Revised 01-18-2010 2" xfId="25712"/>
    <cellStyle name="_VC 6.15.06 update on 06GRC power costs.xls Chart 3_Rebuttal Power Costs_Electric Rev Req Model (2009 GRC) Revised 01-18-2010 2 2" xfId="25713"/>
    <cellStyle name="_VC 6.15.06 update on 06GRC power costs.xls Chart 3_Rebuttal Power Costs_Electric Rev Req Model (2009 GRC) Revised 01-18-2010 2 2 2" xfId="25714"/>
    <cellStyle name="_VC 6.15.06 update on 06GRC power costs.xls Chart 3_Rebuttal Power Costs_Electric Rev Req Model (2009 GRC) Revised 01-18-2010 2 2 2 2" xfId="25715"/>
    <cellStyle name="_VC 6.15.06 update on 06GRC power costs.xls Chart 3_Rebuttal Power Costs_Electric Rev Req Model (2009 GRC) Revised 01-18-2010 2 2 3" xfId="25716"/>
    <cellStyle name="_VC 6.15.06 update on 06GRC power costs.xls Chart 3_Rebuttal Power Costs_Electric Rev Req Model (2009 GRC) Revised 01-18-2010 2 3" xfId="25717"/>
    <cellStyle name="_VC 6.15.06 update on 06GRC power costs.xls Chart 3_Rebuttal Power Costs_Electric Rev Req Model (2009 GRC) Revised 01-18-2010 2 3 2" xfId="25718"/>
    <cellStyle name="_VC 6.15.06 update on 06GRC power costs.xls Chart 3_Rebuttal Power Costs_Electric Rev Req Model (2009 GRC) Revised 01-18-2010 2 4" xfId="25719"/>
    <cellStyle name="_VC 6.15.06 update on 06GRC power costs.xls Chart 3_Rebuttal Power Costs_Electric Rev Req Model (2009 GRC) Revised 01-18-2010 2 4 2" xfId="25720"/>
    <cellStyle name="_VC 6.15.06 update on 06GRC power costs.xls Chart 3_Rebuttal Power Costs_Electric Rev Req Model (2009 GRC) Revised 01-18-2010 2 5" xfId="25721"/>
    <cellStyle name="_VC 6.15.06 update on 06GRC power costs.xls Chart 3_Rebuttal Power Costs_Electric Rev Req Model (2009 GRC) Revised 01-18-2010 3" xfId="25722"/>
    <cellStyle name="_VC 6.15.06 update on 06GRC power costs.xls Chart 3_Rebuttal Power Costs_Electric Rev Req Model (2009 GRC) Revised 01-18-2010 3 2" xfId="25723"/>
    <cellStyle name="_VC 6.15.06 update on 06GRC power costs.xls Chart 3_Rebuttal Power Costs_Electric Rev Req Model (2009 GRC) Revised 01-18-2010 3 2 2" xfId="25724"/>
    <cellStyle name="_VC 6.15.06 update on 06GRC power costs.xls Chart 3_Rebuttal Power Costs_Electric Rev Req Model (2009 GRC) Revised 01-18-2010 3 3" xfId="25725"/>
    <cellStyle name="_VC 6.15.06 update on 06GRC power costs.xls Chart 3_Rebuttal Power Costs_Electric Rev Req Model (2009 GRC) Revised 01-18-2010 3 4" xfId="25726"/>
    <cellStyle name="_VC 6.15.06 update on 06GRC power costs.xls Chart 3_Rebuttal Power Costs_Electric Rev Req Model (2009 GRC) Revised 01-18-2010 4" xfId="25727"/>
    <cellStyle name="_VC 6.15.06 update on 06GRC power costs.xls Chart 3_Rebuttal Power Costs_Electric Rev Req Model (2009 GRC) Revised 01-18-2010 4 2" xfId="25728"/>
    <cellStyle name="_VC 6.15.06 update on 06GRC power costs.xls Chart 3_Rebuttal Power Costs_Electric Rev Req Model (2009 GRC) Revised 01-18-2010 4 2 2" xfId="25729"/>
    <cellStyle name="_VC 6.15.06 update on 06GRC power costs.xls Chart 3_Rebuttal Power Costs_Electric Rev Req Model (2009 GRC) Revised 01-18-2010 4 3" xfId="25730"/>
    <cellStyle name="_VC 6.15.06 update on 06GRC power costs.xls Chart 3_Rebuttal Power Costs_Electric Rev Req Model (2009 GRC) Revised 01-18-2010 5" xfId="25731"/>
    <cellStyle name="_VC 6.15.06 update on 06GRC power costs.xls Chart 3_Rebuttal Power Costs_Electric Rev Req Model (2009 GRC) Revised 01-18-2010 5 2" xfId="25732"/>
    <cellStyle name="_VC 6.15.06 update on 06GRC power costs.xls Chart 3_Rebuttal Power Costs_Electric Rev Req Model (2009 GRC) Revised 01-18-2010 6" xfId="25733"/>
    <cellStyle name="_VC 6.15.06 update on 06GRC power costs.xls Chart 3_Rebuttal Power Costs_Electric Rev Req Model (2009 GRC) Revised 01-18-2010 6 2" xfId="25734"/>
    <cellStyle name="_VC 6.15.06 update on 06GRC power costs.xls Chart 3_Rebuttal Power Costs_Electric Rev Req Model (2009 GRC) Revised 01-18-2010 7" xfId="25735"/>
    <cellStyle name="_VC 6.15.06 update on 06GRC power costs.xls Chart 3_Rebuttal Power Costs_Electric Rev Req Model (2009 GRC) Revised 01-18-2010_DEM-WP(C) ENERG10C--ctn Mid-C_042010 2010GRC" xfId="25736"/>
    <cellStyle name="_VC 6.15.06 update on 06GRC power costs.xls Chart 3_Rebuttal Power Costs_Electric Rev Req Model (2009 GRC) Revised 01-18-2010_DEM-WP(C) ENERG10C--ctn Mid-C_042010 2010GRC 2" xfId="25737"/>
    <cellStyle name="_VC 6.15.06 update on 06GRC power costs.xls Chart 3_Rebuttal Power Costs_Final Order Electric EXHIBIT A-1" xfId="1027"/>
    <cellStyle name="_VC 6.15.06 update on 06GRC power costs.xls Chart 3_Rebuttal Power Costs_Final Order Electric EXHIBIT A-1 2" xfId="25738"/>
    <cellStyle name="_VC 6.15.06 update on 06GRC power costs.xls Chart 3_Rebuttal Power Costs_Final Order Electric EXHIBIT A-1 2 2" xfId="25739"/>
    <cellStyle name="_VC 6.15.06 update on 06GRC power costs.xls Chart 3_Rebuttal Power Costs_Final Order Electric EXHIBIT A-1 2 2 2" xfId="25740"/>
    <cellStyle name="_VC 6.15.06 update on 06GRC power costs.xls Chart 3_Rebuttal Power Costs_Final Order Electric EXHIBIT A-1 2 3" xfId="25741"/>
    <cellStyle name="_VC 6.15.06 update on 06GRC power costs.xls Chart 3_Rebuttal Power Costs_Final Order Electric EXHIBIT A-1 2 4" xfId="25742"/>
    <cellStyle name="_VC 6.15.06 update on 06GRC power costs.xls Chart 3_Rebuttal Power Costs_Final Order Electric EXHIBIT A-1 3" xfId="25743"/>
    <cellStyle name="_VC 6.15.06 update on 06GRC power costs.xls Chart 3_Rebuttal Power Costs_Final Order Electric EXHIBIT A-1 3 2" xfId="25744"/>
    <cellStyle name="_VC 6.15.06 update on 06GRC power costs.xls Chart 3_Rebuttal Power Costs_Final Order Electric EXHIBIT A-1 3 2 2" xfId="25745"/>
    <cellStyle name="_VC 6.15.06 update on 06GRC power costs.xls Chart 3_Rebuttal Power Costs_Final Order Electric EXHIBIT A-1 3 3" xfId="25746"/>
    <cellStyle name="_VC 6.15.06 update on 06GRC power costs.xls Chart 3_Rebuttal Power Costs_Final Order Electric EXHIBIT A-1 4" xfId="25747"/>
    <cellStyle name="_VC 6.15.06 update on 06GRC power costs.xls Chart 3_Rebuttal Power Costs_Final Order Electric EXHIBIT A-1 4 2" xfId="25748"/>
    <cellStyle name="_VC 6.15.06 update on 06GRC power costs.xls Chart 3_Rebuttal Power Costs_Final Order Electric EXHIBIT A-1 5" xfId="25749"/>
    <cellStyle name="_VC 6.15.06 update on 06GRC power costs.xls Chart 3_Rebuttal Power Costs_Final Order Electric EXHIBIT A-1 6" xfId="25750"/>
    <cellStyle name="_VC 6.15.06 update on 06GRC power costs.xls Chart 3_Rebuttal Power Costs_Final Order Electric EXHIBIT A-1 7" xfId="25751"/>
    <cellStyle name="_VC 6.15.06 update on 06GRC power costs.xls Chart 3_ROR &amp; CONV FACTOR" xfId="25752"/>
    <cellStyle name="_VC 6.15.06 update on 06GRC power costs.xls Chart 3_ROR &amp; CONV FACTOR 2" xfId="25753"/>
    <cellStyle name="_VC 6.15.06 update on 06GRC power costs.xls Chart 3_ROR &amp; CONV FACTOR 2 2" xfId="25754"/>
    <cellStyle name="_VC 6.15.06 update on 06GRC power costs.xls Chart 3_ROR &amp; CONV FACTOR 2 2 2" xfId="25755"/>
    <cellStyle name="_VC 6.15.06 update on 06GRC power costs.xls Chart 3_ROR &amp; CONV FACTOR 2 3" xfId="25756"/>
    <cellStyle name="_VC 6.15.06 update on 06GRC power costs.xls Chart 3_ROR &amp; CONV FACTOR 3" xfId="25757"/>
    <cellStyle name="_VC 6.15.06 update on 06GRC power costs.xls Chart 3_ROR &amp; CONV FACTOR 3 2" xfId="25758"/>
    <cellStyle name="_VC 6.15.06 update on 06GRC power costs.xls Chart 3_ROR &amp; CONV FACTOR 4" xfId="25759"/>
    <cellStyle name="_VC 6.15.06 update on 06GRC power costs.xls Chart 3_ROR 5.02" xfId="25760"/>
    <cellStyle name="_VC 6.15.06 update on 06GRC power costs.xls Chart 3_ROR 5.02 2" xfId="25761"/>
    <cellStyle name="_VC 6.15.06 update on 06GRC power costs.xls Chart 3_ROR 5.02 2 2" xfId="25762"/>
    <cellStyle name="_VC 6.15.06 update on 06GRC power costs.xls Chart 3_ROR 5.02 2 2 2" xfId="25763"/>
    <cellStyle name="_VC 6.15.06 update on 06GRC power costs.xls Chart 3_ROR 5.02 2 3" xfId="25764"/>
    <cellStyle name="_VC 6.15.06 update on 06GRC power costs.xls Chart 3_ROR 5.02 3" xfId="25765"/>
    <cellStyle name="_VC 6.15.06 update on 06GRC power costs.xls Chart 3_ROR 5.02 3 2" xfId="25766"/>
    <cellStyle name="_VC 6.15.06 update on 06GRC power costs.xls Chart 3_ROR 5.02 4" xfId="25767"/>
    <cellStyle name="_VC 6.15.06 update on 06GRC power costs.xls Chart 3_Wind Integration 10GRC" xfId="25768"/>
    <cellStyle name="_VC 6.15.06 update on 06GRC power costs.xls Chart 3_Wind Integration 10GRC 2" xfId="25769"/>
    <cellStyle name="_VC 6.15.06 update on 06GRC power costs.xls Chart 3_Wind Integration 10GRC 2 2" xfId="25770"/>
    <cellStyle name="_VC 6.15.06 update on 06GRC power costs.xls Chart 3_Wind Integration 10GRC 2 2 2" xfId="25771"/>
    <cellStyle name="_VC 6.15.06 update on 06GRC power costs.xls Chart 3_Wind Integration 10GRC 2 2 2 2" xfId="25772"/>
    <cellStyle name="_VC 6.15.06 update on 06GRC power costs.xls Chart 3_Wind Integration 10GRC 2 3" xfId="25773"/>
    <cellStyle name="_VC 6.15.06 update on 06GRC power costs.xls Chart 3_Wind Integration 10GRC 2 3 2" xfId="25774"/>
    <cellStyle name="_VC 6.15.06 update on 06GRC power costs.xls Chart 3_Wind Integration 10GRC 2 4" xfId="25775"/>
    <cellStyle name="_VC 6.15.06 update on 06GRC power costs.xls Chart 3_Wind Integration 10GRC 2 4 2" xfId="25776"/>
    <cellStyle name="_VC 6.15.06 update on 06GRC power costs.xls Chart 3_Wind Integration 10GRC 2 5" xfId="25777"/>
    <cellStyle name="_VC 6.15.06 update on 06GRC power costs.xls Chart 3_Wind Integration 10GRC 3" xfId="25778"/>
    <cellStyle name="_VC 6.15.06 update on 06GRC power costs.xls Chart 3_Wind Integration 10GRC 3 2" xfId="25779"/>
    <cellStyle name="_VC 6.15.06 update on 06GRC power costs.xls Chart 3_Wind Integration 10GRC 3 2 2" xfId="25780"/>
    <cellStyle name="_VC 6.15.06 update on 06GRC power costs.xls Chart 3_Wind Integration 10GRC 3 3" xfId="25781"/>
    <cellStyle name="_VC 6.15.06 update on 06GRC power costs.xls Chart 3_Wind Integration 10GRC 4" xfId="25782"/>
    <cellStyle name="_VC 6.15.06 update on 06GRC power costs.xls Chart 3_Wind Integration 10GRC 4 2" xfId="25783"/>
    <cellStyle name="_VC 6.15.06 update on 06GRC power costs.xls Chart 3_Wind Integration 10GRC 4 2 2" xfId="25784"/>
    <cellStyle name="_VC 6.15.06 update on 06GRC power costs.xls Chart 3_Wind Integration 10GRC 4 3" xfId="25785"/>
    <cellStyle name="_VC 6.15.06 update on 06GRC power costs.xls Chart 3_Wind Integration 10GRC 5" xfId="25786"/>
    <cellStyle name="_VC 6.15.06 update on 06GRC power costs.xls Chart 3_Wind Integration 10GRC 5 2" xfId="25787"/>
    <cellStyle name="_VC 6.15.06 update on 06GRC power costs.xls Chart 3_Wind Integration 10GRC 6" xfId="25788"/>
    <cellStyle name="_VC 6.15.06 update on 06GRC power costs.xls Chart 3_Wind Integration 10GRC 6 2" xfId="25789"/>
    <cellStyle name="_VC 6.15.06 update on 06GRC power costs.xls Chart 3_Wind Integration 10GRC 7" xfId="25790"/>
    <cellStyle name="_VC 6.15.06 update on 06GRC power costs.xls Chart 3_Wind Integration 10GRC_DEM-WP(C) ENERG10C--ctn Mid-C_042010 2010GRC" xfId="25791"/>
    <cellStyle name="_VC 6.15.06 update on 06GRC power costs.xls Chart 3_Wind Integration 10GRC_DEM-WP(C) ENERG10C--ctn Mid-C_042010 2010GRC 2" xfId="25792"/>
    <cellStyle name="_VC Mid C Generation-ctn Mid-C_011209" xfId="25793"/>
    <cellStyle name="_VC Mid C Generation-ctn Mid-C_011209 2" xfId="25794"/>
    <cellStyle name="_VC Mid C Generation-ctn Mid-C_011209 2 2" xfId="25795"/>
    <cellStyle name="_VC Mid C Generation-ctn Mid-C_011209 2 2 2" xfId="25796"/>
    <cellStyle name="_VC Mid C Generation-ctn Mid-C_011209 2 3" xfId="25797"/>
    <cellStyle name="_VC Mid C Generation-ctn Mid-C_011209 3" xfId="25798"/>
    <cellStyle name="_VC Mid C Generation-ctn Mid-C_011209 3 2" xfId="25799"/>
    <cellStyle name="_Worksheet" xfId="25800"/>
    <cellStyle name="_Worksheet 10" xfId="25801"/>
    <cellStyle name="_Worksheet 2" xfId="25802"/>
    <cellStyle name="_Worksheet 2 2" xfId="25803"/>
    <cellStyle name="_Worksheet 2 2 2" xfId="25804"/>
    <cellStyle name="_Worksheet 2 2 2 2" xfId="25805"/>
    <cellStyle name="_Worksheet 2 2 2 2 2" xfId="25806"/>
    <cellStyle name="_Worksheet 2 2 3" xfId="25807"/>
    <cellStyle name="_Worksheet 2 2 3 2" xfId="25808"/>
    <cellStyle name="_Worksheet 2 2 4" xfId="25809"/>
    <cellStyle name="_Worksheet 2 2 4 2" xfId="25810"/>
    <cellStyle name="_Worksheet 2 3" xfId="25811"/>
    <cellStyle name="_Worksheet 2 3 2" xfId="25812"/>
    <cellStyle name="_Worksheet 2 3 2 2" xfId="25813"/>
    <cellStyle name="_Worksheet 2 4" xfId="25814"/>
    <cellStyle name="_Worksheet 2 4 2" xfId="25815"/>
    <cellStyle name="_Worksheet 2 4 2 2" xfId="25816"/>
    <cellStyle name="_Worksheet 2 4 3" xfId="25817"/>
    <cellStyle name="_Worksheet 2 5" xfId="25818"/>
    <cellStyle name="_Worksheet 2 5 2" xfId="25819"/>
    <cellStyle name="_Worksheet 2 6" xfId="25820"/>
    <cellStyle name="_Worksheet 2 6 2" xfId="25821"/>
    <cellStyle name="_Worksheet 3" xfId="25822"/>
    <cellStyle name="_Worksheet 3 2" xfId="25823"/>
    <cellStyle name="_Worksheet 3 2 2" xfId="25824"/>
    <cellStyle name="_Worksheet 3 2 2 2" xfId="25825"/>
    <cellStyle name="_Worksheet 3 2 2 2 2" xfId="25826"/>
    <cellStyle name="_Worksheet 3 2 3" xfId="25827"/>
    <cellStyle name="_Worksheet 3 2 3 2" xfId="25828"/>
    <cellStyle name="_Worksheet 3 2 4" xfId="25829"/>
    <cellStyle name="_Worksheet 3 2 4 2" xfId="25830"/>
    <cellStyle name="_Worksheet 3 2 5" xfId="25831"/>
    <cellStyle name="_Worksheet 3 3" xfId="25832"/>
    <cellStyle name="_Worksheet 3 3 2" xfId="25833"/>
    <cellStyle name="_Worksheet 3 3 2 2" xfId="25834"/>
    <cellStyle name="_Worksheet 3 4" xfId="25835"/>
    <cellStyle name="_Worksheet 3 4 2" xfId="25836"/>
    <cellStyle name="_Worksheet 3 5" xfId="25837"/>
    <cellStyle name="_Worksheet 3 5 2" xfId="25838"/>
    <cellStyle name="_Worksheet 4" xfId="25839"/>
    <cellStyle name="_Worksheet 4 2" xfId="25840"/>
    <cellStyle name="_Worksheet 4 2 2" xfId="25841"/>
    <cellStyle name="_Worksheet 4 2 2 2" xfId="25842"/>
    <cellStyle name="_Worksheet 4 3" xfId="25843"/>
    <cellStyle name="_Worksheet 4 3 2" xfId="25844"/>
    <cellStyle name="_Worksheet 4 4" xfId="25845"/>
    <cellStyle name="_Worksheet 4 4 2" xfId="25846"/>
    <cellStyle name="_Worksheet 5" xfId="25847"/>
    <cellStyle name="_Worksheet 5 2" xfId="25848"/>
    <cellStyle name="_Worksheet 5 2 2" xfId="25849"/>
    <cellStyle name="_Worksheet 5 2 3" xfId="25850"/>
    <cellStyle name="_Worksheet 5 3" xfId="25851"/>
    <cellStyle name="_Worksheet 6" xfId="25852"/>
    <cellStyle name="_Worksheet 6 2" xfId="25853"/>
    <cellStyle name="_Worksheet 6 2 2" xfId="25854"/>
    <cellStyle name="_Worksheet 6 2 3" xfId="25855"/>
    <cellStyle name="_Worksheet 6 3" xfId="25856"/>
    <cellStyle name="_Worksheet 6 4" xfId="25857"/>
    <cellStyle name="_Worksheet 7" xfId="25858"/>
    <cellStyle name="_Worksheet 7 2" xfId="25859"/>
    <cellStyle name="_Worksheet 7 2 2" xfId="25860"/>
    <cellStyle name="_Worksheet 7 2 2 2" xfId="25861"/>
    <cellStyle name="_Worksheet 7 2 3" xfId="25862"/>
    <cellStyle name="_Worksheet 7 3" xfId="25863"/>
    <cellStyle name="_Worksheet 7 3 2" xfId="25864"/>
    <cellStyle name="_Worksheet 7 4" xfId="25865"/>
    <cellStyle name="_Worksheet 8" xfId="25866"/>
    <cellStyle name="_Worksheet 8 2" xfId="25867"/>
    <cellStyle name="_Worksheet 9" xfId="25868"/>
    <cellStyle name="_Worksheet 9 2" xfId="25869"/>
    <cellStyle name="_Worksheet_Chelan PUD Power Costs (8-10)" xfId="25870"/>
    <cellStyle name="_Worksheet_Chelan PUD Power Costs (8-10) 2" xfId="25871"/>
    <cellStyle name="_Worksheet_DEM-WP(C) Chelan Power Costs" xfId="25872"/>
    <cellStyle name="_Worksheet_DEM-WP(C) Chelan Power Costs 2" xfId="25873"/>
    <cellStyle name="_Worksheet_DEM-WP(C) Chelan Power Costs 2 2" xfId="25874"/>
    <cellStyle name="_Worksheet_DEM-WP(C) Chelan Power Costs 2 2 2" xfId="25875"/>
    <cellStyle name="_Worksheet_DEM-WP(C) Chelan Power Costs 2 3" xfId="25876"/>
    <cellStyle name="_Worksheet_DEM-WP(C) Chelan Power Costs 3" xfId="25877"/>
    <cellStyle name="_Worksheet_DEM-WP(C) Chelan Power Costs 3 2" xfId="25878"/>
    <cellStyle name="_Worksheet_DEM-WP(C) Chelan Power Costs 3 2 2" xfId="25879"/>
    <cellStyle name="_Worksheet_DEM-WP(C) Chelan Power Costs 3 3" xfId="25880"/>
    <cellStyle name="_Worksheet_DEM-WP(C) Chelan Power Costs 4" xfId="25881"/>
    <cellStyle name="_Worksheet_DEM-WP(C) Chelan Power Costs 4 2" xfId="25882"/>
    <cellStyle name="_Worksheet_DEM-WP(C) Chelan Power Costs 5" xfId="25883"/>
    <cellStyle name="_Worksheet_DEM-WP(C) Chelan Power Costs 5 2" xfId="25884"/>
    <cellStyle name="_Worksheet_DEM-WP(C) ENERG10C--ctn Mid-C_042010 2010GRC" xfId="25885"/>
    <cellStyle name="_Worksheet_DEM-WP(C) ENERG10C--ctn Mid-C_042010 2010GRC 2" xfId="25886"/>
    <cellStyle name="_Worksheet_DEM-WP(C) Gas Transport 2010GRC" xfId="25887"/>
    <cellStyle name="_Worksheet_DEM-WP(C) Gas Transport 2010GRC 2" xfId="25888"/>
    <cellStyle name="_Worksheet_DEM-WP(C) Gas Transport 2010GRC 2 2" xfId="25889"/>
    <cellStyle name="_Worksheet_DEM-WP(C) Gas Transport 2010GRC 2 2 2" xfId="25890"/>
    <cellStyle name="_Worksheet_DEM-WP(C) Gas Transport 2010GRC 2 3" xfId="25891"/>
    <cellStyle name="_Worksheet_DEM-WP(C) Gas Transport 2010GRC 3" xfId="25892"/>
    <cellStyle name="_Worksheet_DEM-WP(C) Gas Transport 2010GRC 3 2" xfId="25893"/>
    <cellStyle name="_Worksheet_DEM-WP(C) Gas Transport 2010GRC 3 2 2" xfId="25894"/>
    <cellStyle name="_Worksheet_DEM-WP(C) Gas Transport 2010GRC 3 3" xfId="25895"/>
    <cellStyle name="_Worksheet_DEM-WP(C) Gas Transport 2010GRC 4" xfId="25896"/>
    <cellStyle name="_Worksheet_DEM-WP(C) Gas Transport 2010GRC 4 2" xfId="25897"/>
    <cellStyle name="_Worksheet_DEM-WP(C) Gas Transport 2010GRC 5" xfId="25898"/>
    <cellStyle name="_Worksheet_DEM-WP(C) Gas Transport 2010GRC 5 2" xfId="25899"/>
    <cellStyle name="_Worksheet_NIM Summary" xfId="25900"/>
    <cellStyle name="_Worksheet_NIM Summary 2" xfId="25901"/>
    <cellStyle name="_Worksheet_NIM Summary 2 2" xfId="25902"/>
    <cellStyle name="_Worksheet_NIM Summary 2 2 2" xfId="25903"/>
    <cellStyle name="_Worksheet_NIM Summary 2 2 2 2" xfId="25904"/>
    <cellStyle name="_Worksheet_NIM Summary 2 3" xfId="25905"/>
    <cellStyle name="_Worksheet_NIM Summary 2 3 2" xfId="25906"/>
    <cellStyle name="_Worksheet_NIM Summary 2 4" xfId="25907"/>
    <cellStyle name="_Worksheet_NIM Summary 2 4 2" xfId="25908"/>
    <cellStyle name="_Worksheet_NIM Summary 2 5" xfId="25909"/>
    <cellStyle name="_Worksheet_NIM Summary 3" xfId="25910"/>
    <cellStyle name="_Worksheet_NIM Summary 3 2" xfId="25911"/>
    <cellStyle name="_Worksheet_NIM Summary 3 2 2" xfId="25912"/>
    <cellStyle name="_Worksheet_NIM Summary 3 3" xfId="25913"/>
    <cellStyle name="_Worksheet_NIM Summary 4" xfId="25914"/>
    <cellStyle name="_Worksheet_NIM Summary 4 2" xfId="25915"/>
    <cellStyle name="_Worksheet_NIM Summary 4 2 2" xfId="25916"/>
    <cellStyle name="_Worksheet_NIM Summary 4 3" xfId="25917"/>
    <cellStyle name="_Worksheet_NIM Summary 5" xfId="25918"/>
    <cellStyle name="_Worksheet_NIM Summary 5 2" xfId="25919"/>
    <cellStyle name="_Worksheet_NIM Summary 6" xfId="25920"/>
    <cellStyle name="_Worksheet_NIM Summary 6 2" xfId="25921"/>
    <cellStyle name="_Worksheet_NIM Summary 7" xfId="25922"/>
    <cellStyle name="_Worksheet_NIM Summary_DEM-WP(C) ENERG10C--ctn Mid-C_042010 2010GRC" xfId="25923"/>
    <cellStyle name="_Worksheet_NIM Summary_DEM-WP(C) ENERG10C--ctn Mid-C_042010 2010GRC 2" xfId="25924"/>
    <cellStyle name="_Worksheet_Transmission Workbook for May BOD" xfId="25925"/>
    <cellStyle name="_Worksheet_Transmission Workbook for May BOD 2" xfId="25926"/>
    <cellStyle name="_Worksheet_Transmission Workbook for May BOD 2 2" xfId="25927"/>
    <cellStyle name="_Worksheet_Transmission Workbook for May BOD 2 2 2" xfId="25928"/>
    <cellStyle name="_Worksheet_Transmission Workbook for May BOD 2 2 2 2" xfId="25929"/>
    <cellStyle name="_Worksheet_Transmission Workbook for May BOD 2 3" xfId="25930"/>
    <cellStyle name="_Worksheet_Transmission Workbook for May BOD 2 3 2" xfId="25931"/>
    <cellStyle name="_Worksheet_Transmission Workbook for May BOD 2 4" xfId="25932"/>
    <cellStyle name="_Worksheet_Transmission Workbook for May BOD 2 4 2" xfId="25933"/>
    <cellStyle name="_Worksheet_Transmission Workbook for May BOD 2 5" xfId="25934"/>
    <cellStyle name="_Worksheet_Transmission Workbook for May BOD 3" xfId="25935"/>
    <cellStyle name="_Worksheet_Transmission Workbook for May BOD 3 2" xfId="25936"/>
    <cellStyle name="_Worksheet_Transmission Workbook for May BOD 3 2 2" xfId="25937"/>
    <cellStyle name="_Worksheet_Transmission Workbook for May BOD 3 3" xfId="25938"/>
    <cellStyle name="_Worksheet_Transmission Workbook for May BOD 4" xfId="25939"/>
    <cellStyle name="_Worksheet_Transmission Workbook for May BOD 4 2" xfId="25940"/>
    <cellStyle name="_Worksheet_Transmission Workbook for May BOD 4 2 2" xfId="25941"/>
    <cellStyle name="_Worksheet_Transmission Workbook for May BOD 4 3" xfId="25942"/>
    <cellStyle name="_Worksheet_Transmission Workbook for May BOD 5" xfId="25943"/>
    <cellStyle name="_Worksheet_Transmission Workbook for May BOD 5 2" xfId="25944"/>
    <cellStyle name="_Worksheet_Transmission Workbook for May BOD 6" xfId="25945"/>
    <cellStyle name="_Worksheet_Transmission Workbook for May BOD 6 2" xfId="25946"/>
    <cellStyle name="_Worksheet_Transmission Workbook for May BOD 7" xfId="25947"/>
    <cellStyle name="_Worksheet_Transmission Workbook for May BOD_DEM-WP(C) ENERG10C--ctn Mid-C_042010 2010GRC" xfId="25948"/>
    <cellStyle name="_Worksheet_Transmission Workbook for May BOD_DEM-WP(C) ENERG10C--ctn Mid-C_042010 2010GRC 2" xfId="25949"/>
    <cellStyle name="_Worksheet_Wind Integration 10GRC" xfId="25950"/>
    <cellStyle name="_Worksheet_Wind Integration 10GRC 2" xfId="25951"/>
    <cellStyle name="_Worksheet_Wind Integration 10GRC 2 2" xfId="25952"/>
    <cellStyle name="_Worksheet_Wind Integration 10GRC 2 2 2" xfId="25953"/>
    <cellStyle name="_Worksheet_Wind Integration 10GRC 2 2 2 2" xfId="25954"/>
    <cellStyle name="_Worksheet_Wind Integration 10GRC 2 3" xfId="25955"/>
    <cellStyle name="_Worksheet_Wind Integration 10GRC 2 3 2" xfId="25956"/>
    <cellStyle name="_Worksheet_Wind Integration 10GRC 2 4" xfId="25957"/>
    <cellStyle name="_Worksheet_Wind Integration 10GRC 2 4 2" xfId="25958"/>
    <cellStyle name="_Worksheet_Wind Integration 10GRC 2 5" xfId="25959"/>
    <cellStyle name="_Worksheet_Wind Integration 10GRC 3" xfId="25960"/>
    <cellStyle name="_Worksheet_Wind Integration 10GRC 3 2" xfId="25961"/>
    <cellStyle name="_Worksheet_Wind Integration 10GRC 3 2 2" xfId="25962"/>
    <cellStyle name="_Worksheet_Wind Integration 10GRC 3 3" xfId="25963"/>
    <cellStyle name="_Worksheet_Wind Integration 10GRC 4" xfId="25964"/>
    <cellStyle name="_Worksheet_Wind Integration 10GRC 4 2" xfId="25965"/>
    <cellStyle name="_Worksheet_Wind Integration 10GRC 4 2 2" xfId="25966"/>
    <cellStyle name="_Worksheet_Wind Integration 10GRC 4 3" xfId="25967"/>
    <cellStyle name="_Worksheet_Wind Integration 10GRC 5" xfId="25968"/>
    <cellStyle name="_Worksheet_Wind Integration 10GRC 5 2" xfId="25969"/>
    <cellStyle name="_Worksheet_Wind Integration 10GRC 6" xfId="25970"/>
    <cellStyle name="_Worksheet_Wind Integration 10GRC 6 2" xfId="25971"/>
    <cellStyle name="_Worksheet_Wind Integration 10GRC 7" xfId="25972"/>
    <cellStyle name="_Worksheet_Wind Integration 10GRC_DEM-WP(C) ENERG10C--ctn Mid-C_042010 2010GRC" xfId="25973"/>
    <cellStyle name="_Worksheet_Wind Integration 10GRC_DEM-WP(C) ENERG10C--ctn Mid-C_042010 2010GRC 2" xfId="25974"/>
    <cellStyle name="0,0_x000d__x000a_NA_x000d__x000a_" xfId="1028"/>
    <cellStyle name="0,0_x000d__x000a_NA_x000d__x000a_ 2" xfId="25975"/>
    <cellStyle name="0,0_x000d__x000a_NA_x000d__x000a_ 2 2" xfId="25976"/>
    <cellStyle name="0,0_x000d__x000a_NA_x000d__x000a_ 2 2 2" xfId="25977"/>
    <cellStyle name="0,0_x000d__x000a_NA_x000d__x000a_ 2 3" xfId="25978"/>
    <cellStyle name="0,0_x000d__x000a_NA_x000d__x000a_ 3" xfId="25979"/>
    <cellStyle name="0,0_x000d__x000a_NA_x000d__x000a_ 3 2" xfId="25980"/>
    <cellStyle name="0,0_x000d__x000a_NA_x000d__x000a_ 4" xfId="25981"/>
    <cellStyle name="0,0_x000d__x000a_NA_x000d__x000a_ 4 2" xfId="25982"/>
    <cellStyle name="0,0_x000d__x000a_NA_x000d__x000a_ 5" xfId="25983"/>
    <cellStyle name="0000" xfId="1029"/>
    <cellStyle name="000000" xfId="1030"/>
    <cellStyle name="14BLIN - Style8" xfId="25984"/>
    <cellStyle name="14-BT - Style1" xfId="25985"/>
    <cellStyle name="20% - Accent1 10" xfId="25986"/>
    <cellStyle name="20% - Accent1 10 2" xfId="25987"/>
    <cellStyle name="20% - Accent1 10 2 2" xfId="25988"/>
    <cellStyle name="20% - Accent1 10 3" xfId="25989"/>
    <cellStyle name="20% - Accent1 10 4" xfId="25990"/>
    <cellStyle name="20% - Accent1 11" xfId="25991"/>
    <cellStyle name="20% - Accent1 11 2" xfId="25992"/>
    <cellStyle name="20% - Accent1 11 3" xfId="25993"/>
    <cellStyle name="20% - Accent1 12" xfId="25994"/>
    <cellStyle name="20% - Accent1 13" xfId="25995"/>
    <cellStyle name="20% - Accent1 2" xfId="1031"/>
    <cellStyle name="20% - Accent1 2 2" xfId="1032"/>
    <cellStyle name="20% - Accent1 2 2 2" xfId="25996"/>
    <cellStyle name="20% - Accent1 2 2 2 2" xfId="25997"/>
    <cellStyle name="20% - Accent1 2 2 2 2 2" xfId="25998"/>
    <cellStyle name="20% - Accent1 2 2 2 3" xfId="25999"/>
    <cellStyle name="20% - Accent1 2 2 2 3 2" xfId="26000"/>
    <cellStyle name="20% - Accent1 2 2 2 4" xfId="26001"/>
    <cellStyle name="20% - Accent1 2 2 3" xfId="26002"/>
    <cellStyle name="20% - Accent1 2 2 3 2" xfId="26003"/>
    <cellStyle name="20% - Accent1 2 2 3 2 2" xfId="26004"/>
    <cellStyle name="20% - Accent1 2 2 3 2 3" xfId="26005"/>
    <cellStyle name="20% - Accent1 2 2 3 3" xfId="26006"/>
    <cellStyle name="20% - Accent1 2 2 3 4" xfId="26007"/>
    <cellStyle name="20% - Accent1 2 2 4" xfId="26008"/>
    <cellStyle name="20% - Accent1 2 2 4 2" xfId="26009"/>
    <cellStyle name="20% - Accent1 2 2 4 3" xfId="26010"/>
    <cellStyle name="20% - Accent1 2 2 5" xfId="26011"/>
    <cellStyle name="20% - Accent1 2 2 5 2" xfId="26012"/>
    <cellStyle name="20% - Accent1 2 2 6" xfId="26013"/>
    <cellStyle name="20% - Accent1 2 3" xfId="1033"/>
    <cellStyle name="20% - Accent1 2 3 2" xfId="26014"/>
    <cellStyle name="20% - Accent1 2 3 2 2" xfId="26015"/>
    <cellStyle name="20% - Accent1 2 3 2 2 2" xfId="26016"/>
    <cellStyle name="20% - Accent1 2 3 2 3" xfId="26017"/>
    <cellStyle name="20% - Accent1 2 3 3" xfId="26018"/>
    <cellStyle name="20% - Accent1 2 3 3 2" xfId="26019"/>
    <cellStyle name="20% - Accent1 2 3 4" xfId="26020"/>
    <cellStyle name="20% - Accent1 2 3 4 2" xfId="26021"/>
    <cellStyle name="20% - Accent1 2 3 5" xfId="26022"/>
    <cellStyle name="20% - Accent1 2 4" xfId="26023"/>
    <cellStyle name="20% - Accent1 2 4 2" xfId="26024"/>
    <cellStyle name="20% - Accent1 2 4 2 2" xfId="26025"/>
    <cellStyle name="20% - Accent1 2 4 2 2 2" xfId="26026"/>
    <cellStyle name="20% - Accent1 2 4 2 3" xfId="26027"/>
    <cellStyle name="20% - Accent1 2 4 2 3 2" xfId="26028"/>
    <cellStyle name="20% - Accent1 2 4 3" xfId="26029"/>
    <cellStyle name="20% - Accent1 2 4 3 2" xfId="26030"/>
    <cellStyle name="20% - Accent1 2 4 3 2 2" xfId="26031"/>
    <cellStyle name="20% - Accent1 2 4 3 3" xfId="26032"/>
    <cellStyle name="20% - Accent1 2 4 4" xfId="26033"/>
    <cellStyle name="20% - Accent1 2 4 4 2" xfId="26034"/>
    <cellStyle name="20% - Accent1 2 4 5" xfId="26035"/>
    <cellStyle name="20% - Accent1 2 4 5 2" xfId="26036"/>
    <cellStyle name="20% - Accent1 2 5" xfId="26037"/>
    <cellStyle name="20% - Accent1 2 5 2" xfId="26038"/>
    <cellStyle name="20% - Accent1 2 5 2 2" xfId="26039"/>
    <cellStyle name="20% - Accent1 2 5 3" xfId="26040"/>
    <cellStyle name="20% - Accent1 2 6" xfId="26041"/>
    <cellStyle name="20% - Accent1 2 6 2" xfId="26042"/>
    <cellStyle name="20% - Accent1 2 6 2 2" xfId="26043"/>
    <cellStyle name="20% - Accent1 2 6 3" xfId="26044"/>
    <cellStyle name="20% - Accent1 2 7" xfId="26045"/>
    <cellStyle name="20% - Accent1 2 7 2" xfId="26046"/>
    <cellStyle name="20% - Accent1 2 8" xfId="26047"/>
    <cellStyle name="20% - Accent1 2 9" xfId="26048"/>
    <cellStyle name="20% - Accent1 2_12PCORC Wind Vestas and Royalties" xfId="26049"/>
    <cellStyle name="20% - Accent1 3" xfId="1034"/>
    <cellStyle name="20% - Accent1 3 2" xfId="1035"/>
    <cellStyle name="20% - Accent1 3 2 2" xfId="26050"/>
    <cellStyle name="20% - Accent1 3 2 2 2" xfId="26051"/>
    <cellStyle name="20% - Accent1 3 2 3" xfId="26052"/>
    <cellStyle name="20% - Accent1 3 2 3 2" xfId="26053"/>
    <cellStyle name="20% - Accent1 3 2 4" xfId="26054"/>
    <cellStyle name="20% - Accent1 3 2 4 2" xfId="26055"/>
    <cellStyle name="20% - Accent1 3 2 5" xfId="26056"/>
    <cellStyle name="20% - Accent1 3 2 6" xfId="26057"/>
    <cellStyle name="20% - Accent1 3 3" xfId="26058"/>
    <cellStyle name="20% - Accent1 3 3 2" xfId="26059"/>
    <cellStyle name="20% - Accent1 3 3 2 2" xfId="26060"/>
    <cellStyle name="20% - Accent1 3 3 2 2 2" xfId="26061"/>
    <cellStyle name="20% - Accent1 3 3 2 3" xfId="26062"/>
    <cellStyle name="20% - Accent1 3 3 2 4" xfId="26063"/>
    <cellStyle name="20% - Accent1 3 3 2 5" xfId="26064"/>
    <cellStyle name="20% - Accent1 3 3 3" xfId="26065"/>
    <cellStyle name="20% - Accent1 3 3 3 2" xfId="26066"/>
    <cellStyle name="20% - Accent1 3 3 4" xfId="26067"/>
    <cellStyle name="20% - Accent1 3 4" xfId="26068"/>
    <cellStyle name="20% - Accent1 3 4 2" xfId="26069"/>
    <cellStyle name="20% - Accent1 3 4 2 2" xfId="26070"/>
    <cellStyle name="20% - Accent1 3 4 3" xfId="26071"/>
    <cellStyle name="20% - Accent1 3 4 4" xfId="26072"/>
    <cellStyle name="20% - Accent1 3 5" xfId="26073"/>
    <cellStyle name="20% - Accent1 3 5 2" xfId="26074"/>
    <cellStyle name="20% - Accent1 3 6" xfId="26075"/>
    <cellStyle name="20% - Accent1 3 7" xfId="26076"/>
    <cellStyle name="20% - Accent1 4" xfId="1036"/>
    <cellStyle name="20% - Accent1 4 2" xfId="26077"/>
    <cellStyle name="20% - Accent1 4 2 2" xfId="26078"/>
    <cellStyle name="20% - Accent1 4 2 2 2" xfId="26079"/>
    <cellStyle name="20% - Accent1 4 2 3" xfId="26080"/>
    <cellStyle name="20% - Accent1 4 2 3 2" xfId="26081"/>
    <cellStyle name="20% - Accent1 4 2 4" xfId="26082"/>
    <cellStyle name="20% - Accent1 4 2 4 2" xfId="26083"/>
    <cellStyle name="20% - Accent1 4 2 5" xfId="26084"/>
    <cellStyle name="20% - Accent1 4 3" xfId="26085"/>
    <cellStyle name="20% - Accent1 4 3 2" xfId="26086"/>
    <cellStyle name="20% - Accent1 4 3 2 2" xfId="26087"/>
    <cellStyle name="20% - Accent1 4 3 3" xfId="26088"/>
    <cellStyle name="20% - Accent1 4 4" xfId="26089"/>
    <cellStyle name="20% - Accent1 4 4 2" xfId="26090"/>
    <cellStyle name="20% - Accent1 4 5" xfId="26091"/>
    <cellStyle name="20% - Accent1 4 5 2" xfId="26092"/>
    <cellStyle name="20% - Accent1 4 6" xfId="26093"/>
    <cellStyle name="20% - Accent1 4 6 2" xfId="26094"/>
    <cellStyle name="20% - Accent1 4 7" xfId="26095"/>
    <cellStyle name="20% - Accent1 4 7 2" xfId="26096"/>
    <cellStyle name="20% - Accent1 4 8" xfId="26097"/>
    <cellStyle name="20% - Accent1 4 9" xfId="26098"/>
    <cellStyle name="20% - Accent1 5" xfId="26099"/>
    <cellStyle name="20% - Accent1 5 2" xfId="26100"/>
    <cellStyle name="20% - Accent1 5 2 2" xfId="26101"/>
    <cellStyle name="20% - Accent1 5 2 2 2" xfId="26102"/>
    <cellStyle name="20% - Accent1 5 2 3" xfId="26103"/>
    <cellStyle name="20% - Accent1 5 3" xfId="26104"/>
    <cellStyle name="20% - Accent1 5 3 2" xfId="26105"/>
    <cellStyle name="20% - Accent1 5 3 3" xfId="26106"/>
    <cellStyle name="20% - Accent1 5 4" xfId="26107"/>
    <cellStyle name="20% - Accent1 5 4 2" xfId="26108"/>
    <cellStyle name="20% - Accent1 5 4 3" xfId="26109"/>
    <cellStyle name="20% - Accent1 5 5" xfId="26110"/>
    <cellStyle name="20% - Accent1 6" xfId="26111"/>
    <cellStyle name="20% - Accent1 6 2" xfId="26112"/>
    <cellStyle name="20% - Accent1 6 2 2" xfId="26113"/>
    <cellStyle name="20% - Accent1 6 2 2 2" xfId="26114"/>
    <cellStyle name="20% - Accent1 6 2 3" xfId="26115"/>
    <cellStyle name="20% - Accent1 6 2 4" xfId="26116"/>
    <cellStyle name="20% - Accent1 6 3" xfId="26117"/>
    <cellStyle name="20% - Accent1 6 3 2" xfId="26118"/>
    <cellStyle name="20% - Accent1 6 3 3" xfId="26119"/>
    <cellStyle name="20% - Accent1 6 4" xfId="26120"/>
    <cellStyle name="20% - Accent1 6 4 2" xfId="26121"/>
    <cellStyle name="20% - Accent1 6 5" xfId="26122"/>
    <cellStyle name="20% - Accent1 7" xfId="26123"/>
    <cellStyle name="20% - Accent1 7 2" xfId="26124"/>
    <cellStyle name="20% - Accent1 7 2 2" xfId="26125"/>
    <cellStyle name="20% - Accent1 7 2 2 2" xfId="26126"/>
    <cellStyle name="20% - Accent1 7 2 3" xfId="26127"/>
    <cellStyle name="20% - Accent1 7 2 4" xfId="26128"/>
    <cellStyle name="20% - Accent1 7 3" xfId="26129"/>
    <cellStyle name="20% - Accent1 7 3 2" xfId="26130"/>
    <cellStyle name="20% - Accent1 7 4" xfId="26131"/>
    <cellStyle name="20% - Accent1 7 4 2" xfId="26132"/>
    <cellStyle name="20% - Accent1 7 5" xfId="26133"/>
    <cellStyle name="20% - Accent1 8" xfId="26134"/>
    <cellStyle name="20% - Accent1 8 2" xfId="26135"/>
    <cellStyle name="20% - Accent1 8 2 2" xfId="26136"/>
    <cellStyle name="20% - Accent1 8 2 3" xfId="26137"/>
    <cellStyle name="20% - Accent1 8 3" xfId="26138"/>
    <cellStyle name="20% - Accent1 9" xfId="26139"/>
    <cellStyle name="20% - Accent1 9 2" xfId="26140"/>
    <cellStyle name="20% - Accent1 9 2 2" xfId="26141"/>
    <cellStyle name="20% - Accent1 9 2 3" xfId="26142"/>
    <cellStyle name="20% - Accent1 9 3" xfId="26143"/>
    <cellStyle name="20% - Accent1 9 4" xfId="26144"/>
    <cellStyle name="20% - Accent1 9 5" xfId="26145"/>
    <cellStyle name="20% - Accent2 10" xfId="26146"/>
    <cellStyle name="20% - Accent2 10 2" xfId="26147"/>
    <cellStyle name="20% - Accent2 10 2 2" xfId="26148"/>
    <cellStyle name="20% - Accent2 10 3" xfId="26149"/>
    <cellStyle name="20% - Accent2 10 4" xfId="26150"/>
    <cellStyle name="20% - Accent2 11" xfId="26151"/>
    <cellStyle name="20% - Accent2 11 2" xfId="26152"/>
    <cellStyle name="20% - Accent2 11 3" xfId="26153"/>
    <cellStyle name="20% - Accent2 12" xfId="26154"/>
    <cellStyle name="20% - Accent2 13" xfId="26155"/>
    <cellStyle name="20% - Accent2 2" xfId="1037"/>
    <cellStyle name="20% - Accent2 2 2" xfId="1038"/>
    <cellStyle name="20% - Accent2 2 2 2" xfId="26156"/>
    <cellStyle name="20% - Accent2 2 2 2 2" xfId="26157"/>
    <cellStyle name="20% - Accent2 2 2 2 2 2" xfId="26158"/>
    <cellStyle name="20% - Accent2 2 2 2 3" xfId="26159"/>
    <cellStyle name="20% - Accent2 2 2 2 3 2" xfId="26160"/>
    <cellStyle name="20% - Accent2 2 2 2 4" xfId="26161"/>
    <cellStyle name="20% - Accent2 2 2 3" xfId="26162"/>
    <cellStyle name="20% - Accent2 2 2 3 2" xfId="26163"/>
    <cellStyle name="20% - Accent2 2 2 3 2 2" xfId="26164"/>
    <cellStyle name="20% - Accent2 2 2 3 2 3" xfId="26165"/>
    <cellStyle name="20% - Accent2 2 2 3 3" xfId="26166"/>
    <cellStyle name="20% - Accent2 2 2 3 4" xfId="26167"/>
    <cellStyle name="20% - Accent2 2 2 4" xfId="26168"/>
    <cellStyle name="20% - Accent2 2 2 4 2" xfId="26169"/>
    <cellStyle name="20% - Accent2 2 2 4 3" xfId="26170"/>
    <cellStyle name="20% - Accent2 2 2 5" xfId="26171"/>
    <cellStyle name="20% - Accent2 2 2 5 2" xfId="26172"/>
    <cellStyle name="20% - Accent2 2 2 6" xfId="26173"/>
    <cellStyle name="20% - Accent2 2 3" xfId="1039"/>
    <cellStyle name="20% - Accent2 2 3 2" xfId="26174"/>
    <cellStyle name="20% - Accent2 2 3 2 2" xfId="26175"/>
    <cellStyle name="20% - Accent2 2 3 2 2 2" xfId="26176"/>
    <cellStyle name="20% - Accent2 2 3 2 3" xfId="26177"/>
    <cellStyle name="20% - Accent2 2 3 3" xfId="26178"/>
    <cellStyle name="20% - Accent2 2 3 3 2" xfId="26179"/>
    <cellStyle name="20% - Accent2 2 3 4" xfId="26180"/>
    <cellStyle name="20% - Accent2 2 3 4 2" xfId="26181"/>
    <cellStyle name="20% - Accent2 2 3 5" xfId="26182"/>
    <cellStyle name="20% - Accent2 2 4" xfId="26183"/>
    <cellStyle name="20% - Accent2 2 4 2" xfId="26184"/>
    <cellStyle name="20% - Accent2 2 4 2 2" xfId="26185"/>
    <cellStyle name="20% - Accent2 2 4 2 2 2" xfId="26186"/>
    <cellStyle name="20% - Accent2 2 4 2 3" xfId="26187"/>
    <cellStyle name="20% - Accent2 2 4 2 3 2" xfId="26188"/>
    <cellStyle name="20% - Accent2 2 4 3" xfId="26189"/>
    <cellStyle name="20% - Accent2 2 4 3 2" xfId="26190"/>
    <cellStyle name="20% - Accent2 2 4 3 2 2" xfId="26191"/>
    <cellStyle name="20% - Accent2 2 4 3 3" xfId="26192"/>
    <cellStyle name="20% - Accent2 2 4 4" xfId="26193"/>
    <cellStyle name="20% - Accent2 2 4 4 2" xfId="26194"/>
    <cellStyle name="20% - Accent2 2 4 5" xfId="26195"/>
    <cellStyle name="20% - Accent2 2 4 5 2" xfId="26196"/>
    <cellStyle name="20% - Accent2 2 5" xfId="26197"/>
    <cellStyle name="20% - Accent2 2 5 2" xfId="26198"/>
    <cellStyle name="20% - Accent2 2 5 2 2" xfId="26199"/>
    <cellStyle name="20% - Accent2 2 5 3" xfId="26200"/>
    <cellStyle name="20% - Accent2 2 6" xfId="26201"/>
    <cellStyle name="20% - Accent2 2 6 2" xfId="26202"/>
    <cellStyle name="20% - Accent2 2 6 2 2" xfId="26203"/>
    <cellStyle name="20% - Accent2 2 6 3" xfId="26204"/>
    <cellStyle name="20% - Accent2 2 7" xfId="26205"/>
    <cellStyle name="20% - Accent2 2 7 2" xfId="26206"/>
    <cellStyle name="20% - Accent2 2 8" xfId="26207"/>
    <cellStyle name="20% - Accent2 2 9" xfId="26208"/>
    <cellStyle name="20% - Accent2 2_12PCORC Wind Vestas and Royalties" xfId="26209"/>
    <cellStyle name="20% - Accent2 3" xfId="1040"/>
    <cellStyle name="20% - Accent2 3 2" xfId="1041"/>
    <cellStyle name="20% - Accent2 3 2 2" xfId="26210"/>
    <cellStyle name="20% - Accent2 3 2 2 2" xfId="26211"/>
    <cellStyle name="20% - Accent2 3 2 3" xfId="26212"/>
    <cellStyle name="20% - Accent2 3 2 3 2" xfId="26213"/>
    <cellStyle name="20% - Accent2 3 2 4" xfId="26214"/>
    <cellStyle name="20% - Accent2 3 2 4 2" xfId="26215"/>
    <cellStyle name="20% - Accent2 3 2 5" xfId="26216"/>
    <cellStyle name="20% - Accent2 3 2 6" xfId="26217"/>
    <cellStyle name="20% - Accent2 3 3" xfId="26218"/>
    <cellStyle name="20% - Accent2 3 3 2" xfId="26219"/>
    <cellStyle name="20% - Accent2 3 3 2 2" xfId="26220"/>
    <cellStyle name="20% - Accent2 3 3 2 2 2" xfId="26221"/>
    <cellStyle name="20% - Accent2 3 3 2 3" xfId="26222"/>
    <cellStyle name="20% - Accent2 3 3 2 4" xfId="26223"/>
    <cellStyle name="20% - Accent2 3 3 2 5" xfId="26224"/>
    <cellStyle name="20% - Accent2 3 3 3" xfId="26225"/>
    <cellStyle name="20% - Accent2 3 3 3 2" xfId="26226"/>
    <cellStyle name="20% - Accent2 3 3 4" xfId="26227"/>
    <cellStyle name="20% - Accent2 3 4" xfId="26228"/>
    <cellStyle name="20% - Accent2 3 4 2" xfId="26229"/>
    <cellStyle name="20% - Accent2 3 4 2 2" xfId="26230"/>
    <cellStyle name="20% - Accent2 3 4 3" xfId="26231"/>
    <cellStyle name="20% - Accent2 3 4 4" xfId="26232"/>
    <cellStyle name="20% - Accent2 3 5" xfId="26233"/>
    <cellStyle name="20% - Accent2 3 5 2" xfId="26234"/>
    <cellStyle name="20% - Accent2 3 6" xfId="26235"/>
    <cellStyle name="20% - Accent2 3 7" xfId="26236"/>
    <cellStyle name="20% - Accent2 4" xfId="1042"/>
    <cellStyle name="20% - Accent2 4 2" xfId="26237"/>
    <cellStyle name="20% - Accent2 4 2 2" xfId="26238"/>
    <cellStyle name="20% - Accent2 4 2 2 2" xfId="26239"/>
    <cellStyle name="20% - Accent2 4 2 3" xfId="26240"/>
    <cellStyle name="20% - Accent2 4 2 3 2" xfId="26241"/>
    <cellStyle name="20% - Accent2 4 2 4" xfId="26242"/>
    <cellStyle name="20% - Accent2 4 2 4 2" xfId="26243"/>
    <cellStyle name="20% - Accent2 4 2 5" xfId="26244"/>
    <cellStyle name="20% - Accent2 4 3" xfId="26245"/>
    <cellStyle name="20% - Accent2 4 3 2" xfId="26246"/>
    <cellStyle name="20% - Accent2 4 3 2 2" xfId="26247"/>
    <cellStyle name="20% - Accent2 4 3 3" xfId="26248"/>
    <cellStyle name="20% - Accent2 4 4" xfId="26249"/>
    <cellStyle name="20% - Accent2 4 4 2" xfId="26250"/>
    <cellStyle name="20% - Accent2 4 5" xfId="26251"/>
    <cellStyle name="20% - Accent2 4 5 2" xfId="26252"/>
    <cellStyle name="20% - Accent2 4 6" xfId="26253"/>
    <cellStyle name="20% - Accent2 4 6 2" xfId="26254"/>
    <cellStyle name="20% - Accent2 4 7" xfId="26255"/>
    <cellStyle name="20% - Accent2 4 7 2" xfId="26256"/>
    <cellStyle name="20% - Accent2 4 8" xfId="26257"/>
    <cellStyle name="20% - Accent2 4 9" xfId="26258"/>
    <cellStyle name="20% - Accent2 5" xfId="26259"/>
    <cellStyle name="20% - Accent2 5 2" xfId="26260"/>
    <cellStyle name="20% - Accent2 5 2 2" xfId="26261"/>
    <cellStyle name="20% - Accent2 5 2 2 2" xfId="26262"/>
    <cellStyle name="20% - Accent2 5 2 3" xfId="26263"/>
    <cellStyle name="20% - Accent2 5 3" xfId="26264"/>
    <cellStyle name="20% - Accent2 5 3 2" xfId="26265"/>
    <cellStyle name="20% - Accent2 5 3 3" xfId="26266"/>
    <cellStyle name="20% - Accent2 5 4" xfId="26267"/>
    <cellStyle name="20% - Accent2 5 4 2" xfId="26268"/>
    <cellStyle name="20% - Accent2 5 4 3" xfId="26269"/>
    <cellStyle name="20% - Accent2 5 5" xfId="26270"/>
    <cellStyle name="20% - Accent2 6" xfId="26271"/>
    <cellStyle name="20% - Accent2 6 2" xfId="26272"/>
    <cellStyle name="20% - Accent2 6 2 2" xfId="26273"/>
    <cellStyle name="20% - Accent2 6 2 2 2" xfId="26274"/>
    <cellStyle name="20% - Accent2 6 2 3" xfId="26275"/>
    <cellStyle name="20% - Accent2 6 2 4" xfId="26276"/>
    <cellStyle name="20% - Accent2 6 3" xfId="26277"/>
    <cellStyle name="20% - Accent2 6 3 2" xfId="26278"/>
    <cellStyle name="20% - Accent2 6 3 3" xfId="26279"/>
    <cellStyle name="20% - Accent2 6 4" xfId="26280"/>
    <cellStyle name="20% - Accent2 6 4 2" xfId="26281"/>
    <cellStyle name="20% - Accent2 6 5" xfId="26282"/>
    <cellStyle name="20% - Accent2 7" xfId="26283"/>
    <cellStyle name="20% - Accent2 7 2" xfId="26284"/>
    <cellStyle name="20% - Accent2 7 2 2" xfId="26285"/>
    <cellStyle name="20% - Accent2 7 2 2 2" xfId="26286"/>
    <cellStyle name="20% - Accent2 7 2 3" xfId="26287"/>
    <cellStyle name="20% - Accent2 7 2 4" xfId="26288"/>
    <cellStyle name="20% - Accent2 7 3" xfId="26289"/>
    <cellStyle name="20% - Accent2 7 3 2" xfId="26290"/>
    <cellStyle name="20% - Accent2 7 4" xfId="26291"/>
    <cellStyle name="20% - Accent2 7 4 2" xfId="26292"/>
    <cellStyle name="20% - Accent2 7 5" xfId="26293"/>
    <cellStyle name="20% - Accent2 8" xfId="26294"/>
    <cellStyle name="20% - Accent2 8 2" xfId="26295"/>
    <cellStyle name="20% - Accent2 8 2 2" xfId="26296"/>
    <cellStyle name="20% - Accent2 8 2 3" xfId="26297"/>
    <cellStyle name="20% - Accent2 8 3" xfId="26298"/>
    <cellStyle name="20% - Accent2 9" xfId="26299"/>
    <cellStyle name="20% - Accent2 9 2" xfId="26300"/>
    <cellStyle name="20% - Accent2 9 2 2" xfId="26301"/>
    <cellStyle name="20% - Accent2 9 2 3" xfId="26302"/>
    <cellStyle name="20% - Accent2 9 3" xfId="26303"/>
    <cellStyle name="20% - Accent2 9 4" xfId="26304"/>
    <cellStyle name="20% - Accent2 9 5" xfId="26305"/>
    <cellStyle name="20% - Accent3 10" xfId="26306"/>
    <cellStyle name="20% - Accent3 10 2" xfId="26307"/>
    <cellStyle name="20% - Accent3 10 2 2" xfId="26308"/>
    <cellStyle name="20% - Accent3 10 3" xfId="26309"/>
    <cellStyle name="20% - Accent3 10 4" xfId="26310"/>
    <cellStyle name="20% - Accent3 11" xfId="26311"/>
    <cellStyle name="20% - Accent3 11 2" xfId="26312"/>
    <cellStyle name="20% - Accent3 11 3" xfId="26313"/>
    <cellStyle name="20% - Accent3 12" xfId="26314"/>
    <cellStyle name="20% - Accent3 13" xfId="26315"/>
    <cellStyle name="20% - Accent3 2" xfId="1043"/>
    <cellStyle name="20% - Accent3 2 2" xfId="1044"/>
    <cellStyle name="20% - Accent3 2 2 2" xfId="26316"/>
    <cellStyle name="20% - Accent3 2 2 2 2" xfId="26317"/>
    <cellStyle name="20% - Accent3 2 2 2 2 2" xfId="26318"/>
    <cellStyle name="20% - Accent3 2 2 2 3" xfId="26319"/>
    <cellStyle name="20% - Accent3 2 2 2 3 2" xfId="26320"/>
    <cellStyle name="20% - Accent3 2 2 2 4" xfId="26321"/>
    <cellStyle name="20% - Accent3 2 2 3" xfId="26322"/>
    <cellStyle name="20% - Accent3 2 2 3 2" xfId="26323"/>
    <cellStyle name="20% - Accent3 2 2 3 2 2" xfId="26324"/>
    <cellStyle name="20% - Accent3 2 2 3 2 3" xfId="26325"/>
    <cellStyle name="20% - Accent3 2 2 3 3" xfId="26326"/>
    <cellStyle name="20% - Accent3 2 2 3 4" xfId="26327"/>
    <cellStyle name="20% - Accent3 2 2 4" xfId="26328"/>
    <cellStyle name="20% - Accent3 2 2 4 2" xfId="26329"/>
    <cellStyle name="20% - Accent3 2 2 4 3" xfId="26330"/>
    <cellStyle name="20% - Accent3 2 2 5" xfId="26331"/>
    <cellStyle name="20% - Accent3 2 2 5 2" xfId="26332"/>
    <cellStyle name="20% - Accent3 2 2 6" xfId="26333"/>
    <cellStyle name="20% - Accent3 2 3" xfId="1045"/>
    <cellStyle name="20% - Accent3 2 3 2" xfId="26334"/>
    <cellStyle name="20% - Accent3 2 3 2 2" xfId="26335"/>
    <cellStyle name="20% - Accent3 2 3 2 2 2" xfId="26336"/>
    <cellStyle name="20% - Accent3 2 3 2 3" xfId="26337"/>
    <cellStyle name="20% - Accent3 2 3 3" xfId="26338"/>
    <cellStyle name="20% - Accent3 2 3 3 2" xfId="26339"/>
    <cellStyle name="20% - Accent3 2 3 4" xfId="26340"/>
    <cellStyle name="20% - Accent3 2 3 4 2" xfId="26341"/>
    <cellStyle name="20% - Accent3 2 3 5" xfId="26342"/>
    <cellStyle name="20% - Accent3 2 4" xfId="26343"/>
    <cellStyle name="20% - Accent3 2 4 2" xfId="26344"/>
    <cellStyle name="20% - Accent3 2 4 2 2" xfId="26345"/>
    <cellStyle name="20% - Accent3 2 4 2 2 2" xfId="26346"/>
    <cellStyle name="20% - Accent3 2 4 2 3" xfId="26347"/>
    <cellStyle name="20% - Accent3 2 4 2 3 2" xfId="26348"/>
    <cellStyle name="20% - Accent3 2 4 3" xfId="26349"/>
    <cellStyle name="20% - Accent3 2 4 3 2" xfId="26350"/>
    <cellStyle name="20% - Accent3 2 4 3 2 2" xfId="26351"/>
    <cellStyle name="20% - Accent3 2 4 3 3" xfId="26352"/>
    <cellStyle name="20% - Accent3 2 4 4" xfId="26353"/>
    <cellStyle name="20% - Accent3 2 4 4 2" xfId="26354"/>
    <cellStyle name="20% - Accent3 2 4 5" xfId="26355"/>
    <cellStyle name="20% - Accent3 2 4 5 2" xfId="26356"/>
    <cellStyle name="20% - Accent3 2 5" xfId="26357"/>
    <cellStyle name="20% - Accent3 2 5 2" xfId="26358"/>
    <cellStyle name="20% - Accent3 2 5 2 2" xfId="26359"/>
    <cellStyle name="20% - Accent3 2 5 3" xfId="26360"/>
    <cellStyle name="20% - Accent3 2 6" xfId="26361"/>
    <cellStyle name="20% - Accent3 2 6 2" xfId="26362"/>
    <cellStyle name="20% - Accent3 2 6 2 2" xfId="26363"/>
    <cellStyle name="20% - Accent3 2 6 3" xfId="26364"/>
    <cellStyle name="20% - Accent3 2 7" xfId="26365"/>
    <cellStyle name="20% - Accent3 2 7 2" xfId="26366"/>
    <cellStyle name="20% - Accent3 2 8" xfId="26367"/>
    <cellStyle name="20% - Accent3 2 9" xfId="26368"/>
    <cellStyle name="20% - Accent3 2_12PCORC Wind Vestas and Royalties" xfId="26369"/>
    <cellStyle name="20% - Accent3 3" xfId="1046"/>
    <cellStyle name="20% - Accent3 3 2" xfId="1047"/>
    <cellStyle name="20% - Accent3 3 2 2" xfId="26370"/>
    <cellStyle name="20% - Accent3 3 2 2 2" xfId="26371"/>
    <cellStyle name="20% - Accent3 3 2 3" xfId="26372"/>
    <cellStyle name="20% - Accent3 3 2 3 2" xfId="26373"/>
    <cellStyle name="20% - Accent3 3 2 4" xfId="26374"/>
    <cellStyle name="20% - Accent3 3 2 4 2" xfId="26375"/>
    <cellStyle name="20% - Accent3 3 2 5" xfId="26376"/>
    <cellStyle name="20% - Accent3 3 2 6" xfId="26377"/>
    <cellStyle name="20% - Accent3 3 3" xfId="26378"/>
    <cellStyle name="20% - Accent3 3 3 2" xfId="26379"/>
    <cellStyle name="20% - Accent3 3 3 2 2" xfId="26380"/>
    <cellStyle name="20% - Accent3 3 3 2 2 2" xfId="26381"/>
    <cellStyle name="20% - Accent3 3 3 2 3" xfId="26382"/>
    <cellStyle name="20% - Accent3 3 3 2 4" xfId="26383"/>
    <cellStyle name="20% - Accent3 3 3 2 5" xfId="26384"/>
    <cellStyle name="20% - Accent3 3 3 3" xfId="26385"/>
    <cellStyle name="20% - Accent3 3 3 3 2" xfId="26386"/>
    <cellStyle name="20% - Accent3 3 3 4" xfId="26387"/>
    <cellStyle name="20% - Accent3 3 4" xfId="26388"/>
    <cellStyle name="20% - Accent3 3 4 2" xfId="26389"/>
    <cellStyle name="20% - Accent3 3 4 2 2" xfId="26390"/>
    <cellStyle name="20% - Accent3 3 4 3" xfId="26391"/>
    <cellStyle name="20% - Accent3 3 4 4" xfId="26392"/>
    <cellStyle name="20% - Accent3 3 5" xfId="26393"/>
    <cellStyle name="20% - Accent3 3 5 2" xfId="26394"/>
    <cellStyle name="20% - Accent3 3 6" xfId="26395"/>
    <cellStyle name="20% - Accent3 3 7" xfId="26396"/>
    <cellStyle name="20% - Accent3 4" xfId="1048"/>
    <cellStyle name="20% - Accent3 4 2" xfId="26397"/>
    <cellStyle name="20% - Accent3 4 2 2" xfId="26398"/>
    <cellStyle name="20% - Accent3 4 2 2 2" xfId="26399"/>
    <cellStyle name="20% - Accent3 4 2 3" xfId="26400"/>
    <cellStyle name="20% - Accent3 4 2 3 2" xfId="26401"/>
    <cellStyle name="20% - Accent3 4 2 4" xfId="26402"/>
    <cellStyle name="20% - Accent3 4 2 4 2" xfId="26403"/>
    <cellStyle name="20% - Accent3 4 2 5" xfId="26404"/>
    <cellStyle name="20% - Accent3 4 3" xfId="26405"/>
    <cellStyle name="20% - Accent3 4 3 2" xfId="26406"/>
    <cellStyle name="20% - Accent3 4 3 2 2" xfId="26407"/>
    <cellStyle name="20% - Accent3 4 3 3" xfId="26408"/>
    <cellStyle name="20% - Accent3 4 4" xfId="26409"/>
    <cellStyle name="20% - Accent3 4 4 2" xfId="26410"/>
    <cellStyle name="20% - Accent3 4 5" xfId="26411"/>
    <cellStyle name="20% - Accent3 4 5 2" xfId="26412"/>
    <cellStyle name="20% - Accent3 4 6" xfId="26413"/>
    <cellStyle name="20% - Accent3 4 6 2" xfId="26414"/>
    <cellStyle name="20% - Accent3 4 7" xfId="26415"/>
    <cellStyle name="20% - Accent3 4 7 2" xfId="26416"/>
    <cellStyle name="20% - Accent3 4 8" xfId="26417"/>
    <cellStyle name="20% - Accent3 4 9" xfId="26418"/>
    <cellStyle name="20% - Accent3 5" xfId="26419"/>
    <cellStyle name="20% - Accent3 5 2" xfId="26420"/>
    <cellStyle name="20% - Accent3 5 2 2" xfId="26421"/>
    <cellStyle name="20% - Accent3 5 2 2 2" xfId="26422"/>
    <cellStyle name="20% - Accent3 5 2 3" xfId="26423"/>
    <cellStyle name="20% - Accent3 5 3" xfId="26424"/>
    <cellStyle name="20% - Accent3 5 3 2" xfId="26425"/>
    <cellStyle name="20% - Accent3 5 3 3" xfId="26426"/>
    <cellStyle name="20% - Accent3 5 4" xfId="26427"/>
    <cellStyle name="20% - Accent3 5 4 2" xfId="26428"/>
    <cellStyle name="20% - Accent3 5 4 3" xfId="26429"/>
    <cellStyle name="20% - Accent3 5 5" xfId="26430"/>
    <cellStyle name="20% - Accent3 6" xfId="26431"/>
    <cellStyle name="20% - Accent3 6 2" xfId="26432"/>
    <cellStyle name="20% - Accent3 6 2 2" xfId="26433"/>
    <cellStyle name="20% - Accent3 6 2 2 2" xfId="26434"/>
    <cellStyle name="20% - Accent3 6 2 3" xfId="26435"/>
    <cellStyle name="20% - Accent3 6 2 4" xfId="26436"/>
    <cellStyle name="20% - Accent3 6 3" xfId="26437"/>
    <cellStyle name="20% - Accent3 6 3 2" xfId="26438"/>
    <cellStyle name="20% - Accent3 6 3 3" xfId="26439"/>
    <cellStyle name="20% - Accent3 6 4" xfId="26440"/>
    <cellStyle name="20% - Accent3 6 4 2" xfId="26441"/>
    <cellStyle name="20% - Accent3 6 5" xfId="26442"/>
    <cellStyle name="20% - Accent3 7" xfId="26443"/>
    <cellStyle name="20% - Accent3 7 2" xfId="26444"/>
    <cellStyle name="20% - Accent3 7 2 2" xfId="26445"/>
    <cellStyle name="20% - Accent3 7 2 2 2" xfId="26446"/>
    <cellStyle name="20% - Accent3 7 2 3" xfId="26447"/>
    <cellStyle name="20% - Accent3 7 2 4" xfId="26448"/>
    <cellStyle name="20% - Accent3 7 3" xfId="26449"/>
    <cellStyle name="20% - Accent3 7 3 2" xfId="26450"/>
    <cellStyle name="20% - Accent3 7 4" xfId="26451"/>
    <cellStyle name="20% - Accent3 7 4 2" xfId="26452"/>
    <cellStyle name="20% - Accent3 7 5" xfId="26453"/>
    <cellStyle name="20% - Accent3 8" xfId="26454"/>
    <cellStyle name="20% - Accent3 8 2" xfId="26455"/>
    <cellStyle name="20% - Accent3 8 2 2" xfId="26456"/>
    <cellStyle name="20% - Accent3 8 2 3" xfId="26457"/>
    <cellStyle name="20% - Accent3 8 3" xfId="26458"/>
    <cellStyle name="20% - Accent3 9" xfId="26459"/>
    <cellStyle name="20% - Accent3 9 2" xfId="26460"/>
    <cellStyle name="20% - Accent3 9 2 2" xfId="26461"/>
    <cellStyle name="20% - Accent3 9 2 3" xfId="26462"/>
    <cellStyle name="20% - Accent3 9 3" xfId="26463"/>
    <cellStyle name="20% - Accent3 9 4" xfId="26464"/>
    <cellStyle name="20% - Accent3 9 5" xfId="26465"/>
    <cellStyle name="20% - Accent4 10" xfId="26466"/>
    <cellStyle name="20% - Accent4 10 2" xfId="26467"/>
    <cellStyle name="20% - Accent4 10 2 2" xfId="26468"/>
    <cellStyle name="20% - Accent4 10 3" xfId="26469"/>
    <cellStyle name="20% - Accent4 10 4" xfId="26470"/>
    <cellStyle name="20% - Accent4 11" xfId="26471"/>
    <cellStyle name="20% - Accent4 11 2" xfId="26472"/>
    <cellStyle name="20% - Accent4 11 3" xfId="26473"/>
    <cellStyle name="20% - Accent4 12" xfId="26474"/>
    <cellStyle name="20% - Accent4 13" xfId="26475"/>
    <cellStyle name="20% - Accent4 2" xfId="1049"/>
    <cellStyle name="20% - Accent4 2 2" xfId="1050"/>
    <cellStyle name="20% - Accent4 2 2 2" xfId="26476"/>
    <cellStyle name="20% - Accent4 2 2 2 2" xfId="26477"/>
    <cellStyle name="20% - Accent4 2 2 2 2 2" xfId="26478"/>
    <cellStyle name="20% - Accent4 2 2 2 3" xfId="26479"/>
    <cellStyle name="20% - Accent4 2 2 2 3 2" xfId="26480"/>
    <cellStyle name="20% - Accent4 2 2 2 4" xfId="26481"/>
    <cellStyle name="20% - Accent4 2 2 3" xfId="26482"/>
    <cellStyle name="20% - Accent4 2 2 3 2" xfId="26483"/>
    <cellStyle name="20% - Accent4 2 2 3 2 2" xfId="26484"/>
    <cellStyle name="20% - Accent4 2 2 3 2 3" xfId="26485"/>
    <cellStyle name="20% - Accent4 2 2 3 3" xfId="26486"/>
    <cellStyle name="20% - Accent4 2 2 3 4" xfId="26487"/>
    <cellStyle name="20% - Accent4 2 2 4" xfId="26488"/>
    <cellStyle name="20% - Accent4 2 2 4 2" xfId="26489"/>
    <cellStyle name="20% - Accent4 2 2 4 3" xfId="26490"/>
    <cellStyle name="20% - Accent4 2 2 5" xfId="26491"/>
    <cellStyle name="20% - Accent4 2 2 5 2" xfId="26492"/>
    <cellStyle name="20% - Accent4 2 2 6" xfId="26493"/>
    <cellStyle name="20% - Accent4 2 3" xfId="1051"/>
    <cellStyle name="20% - Accent4 2 3 2" xfId="26494"/>
    <cellStyle name="20% - Accent4 2 3 2 2" xfId="26495"/>
    <cellStyle name="20% - Accent4 2 3 2 2 2" xfId="26496"/>
    <cellStyle name="20% - Accent4 2 3 2 3" xfId="26497"/>
    <cellStyle name="20% - Accent4 2 3 3" xfId="26498"/>
    <cellStyle name="20% - Accent4 2 3 3 2" xfId="26499"/>
    <cellStyle name="20% - Accent4 2 3 4" xfId="26500"/>
    <cellStyle name="20% - Accent4 2 3 4 2" xfId="26501"/>
    <cellStyle name="20% - Accent4 2 3 5" xfId="26502"/>
    <cellStyle name="20% - Accent4 2 4" xfId="26503"/>
    <cellStyle name="20% - Accent4 2 4 2" xfId="26504"/>
    <cellStyle name="20% - Accent4 2 4 2 2" xfId="26505"/>
    <cellStyle name="20% - Accent4 2 4 2 2 2" xfId="26506"/>
    <cellStyle name="20% - Accent4 2 4 2 3" xfId="26507"/>
    <cellStyle name="20% - Accent4 2 4 2 3 2" xfId="26508"/>
    <cellStyle name="20% - Accent4 2 4 3" xfId="26509"/>
    <cellStyle name="20% - Accent4 2 4 3 2" xfId="26510"/>
    <cellStyle name="20% - Accent4 2 4 3 2 2" xfId="26511"/>
    <cellStyle name="20% - Accent4 2 4 3 3" xfId="26512"/>
    <cellStyle name="20% - Accent4 2 4 4" xfId="26513"/>
    <cellStyle name="20% - Accent4 2 4 4 2" xfId="26514"/>
    <cellStyle name="20% - Accent4 2 4 5" xfId="26515"/>
    <cellStyle name="20% - Accent4 2 4 5 2" xfId="26516"/>
    <cellStyle name="20% - Accent4 2 5" xfId="26517"/>
    <cellStyle name="20% - Accent4 2 5 2" xfId="26518"/>
    <cellStyle name="20% - Accent4 2 5 2 2" xfId="26519"/>
    <cellStyle name="20% - Accent4 2 5 3" xfId="26520"/>
    <cellStyle name="20% - Accent4 2 6" xfId="26521"/>
    <cellStyle name="20% - Accent4 2 6 2" xfId="26522"/>
    <cellStyle name="20% - Accent4 2 6 2 2" xfId="26523"/>
    <cellStyle name="20% - Accent4 2 6 3" xfId="26524"/>
    <cellStyle name="20% - Accent4 2 7" xfId="26525"/>
    <cellStyle name="20% - Accent4 2 7 2" xfId="26526"/>
    <cellStyle name="20% - Accent4 2 8" xfId="26527"/>
    <cellStyle name="20% - Accent4 2 9" xfId="26528"/>
    <cellStyle name="20% - Accent4 2_12PCORC Wind Vestas and Royalties" xfId="26529"/>
    <cellStyle name="20% - Accent4 3" xfId="1052"/>
    <cellStyle name="20% - Accent4 3 2" xfId="1053"/>
    <cellStyle name="20% - Accent4 3 2 2" xfId="26530"/>
    <cellStyle name="20% - Accent4 3 2 2 2" xfId="26531"/>
    <cellStyle name="20% - Accent4 3 2 3" xfId="26532"/>
    <cellStyle name="20% - Accent4 3 2 3 2" xfId="26533"/>
    <cellStyle name="20% - Accent4 3 2 4" xfId="26534"/>
    <cellStyle name="20% - Accent4 3 2 4 2" xfId="26535"/>
    <cellStyle name="20% - Accent4 3 2 5" xfId="26536"/>
    <cellStyle name="20% - Accent4 3 2 6" xfId="26537"/>
    <cellStyle name="20% - Accent4 3 3" xfId="26538"/>
    <cellStyle name="20% - Accent4 3 3 2" xfId="26539"/>
    <cellStyle name="20% - Accent4 3 3 2 2" xfId="26540"/>
    <cellStyle name="20% - Accent4 3 3 2 2 2" xfId="26541"/>
    <cellStyle name="20% - Accent4 3 3 2 3" xfId="26542"/>
    <cellStyle name="20% - Accent4 3 3 2 4" xfId="26543"/>
    <cellStyle name="20% - Accent4 3 3 2 5" xfId="26544"/>
    <cellStyle name="20% - Accent4 3 3 3" xfId="26545"/>
    <cellStyle name="20% - Accent4 3 3 3 2" xfId="26546"/>
    <cellStyle name="20% - Accent4 3 3 4" xfId="26547"/>
    <cellStyle name="20% - Accent4 3 4" xfId="26548"/>
    <cellStyle name="20% - Accent4 3 4 2" xfId="26549"/>
    <cellStyle name="20% - Accent4 3 4 2 2" xfId="26550"/>
    <cellStyle name="20% - Accent4 3 4 3" xfId="26551"/>
    <cellStyle name="20% - Accent4 3 4 4" xfId="26552"/>
    <cellStyle name="20% - Accent4 3 5" xfId="26553"/>
    <cellStyle name="20% - Accent4 3 5 2" xfId="26554"/>
    <cellStyle name="20% - Accent4 3 6" xfId="26555"/>
    <cellStyle name="20% - Accent4 3 7" xfId="26556"/>
    <cellStyle name="20% - Accent4 4" xfId="1054"/>
    <cellStyle name="20% - Accent4 4 2" xfId="26557"/>
    <cellStyle name="20% - Accent4 4 2 2" xfId="26558"/>
    <cellStyle name="20% - Accent4 4 2 2 2" xfId="26559"/>
    <cellStyle name="20% - Accent4 4 2 3" xfId="26560"/>
    <cellStyle name="20% - Accent4 4 2 3 2" xfId="26561"/>
    <cellStyle name="20% - Accent4 4 2 4" xfId="26562"/>
    <cellStyle name="20% - Accent4 4 2 4 2" xfId="26563"/>
    <cellStyle name="20% - Accent4 4 2 5" xfId="26564"/>
    <cellStyle name="20% - Accent4 4 3" xfId="26565"/>
    <cellStyle name="20% - Accent4 4 3 2" xfId="26566"/>
    <cellStyle name="20% - Accent4 4 3 2 2" xfId="26567"/>
    <cellStyle name="20% - Accent4 4 3 3" xfId="26568"/>
    <cellStyle name="20% - Accent4 4 4" xfId="26569"/>
    <cellStyle name="20% - Accent4 4 4 2" xfId="26570"/>
    <cellStyle name="20% - Accent4 4 5" xfId="26571"/>
    <cellStyle name="20% - Accent4 4 5 2" xfId="26572"/>
    <cellStyle name="20% - Accent4 4 6" xfId="26573"/>
    <cellStyle name="20% - Accent4 4 6 2" xfId="26574"/>
    <cellStyle name="20% - Accent4 4 7" xfId="26575"/>
    <cellStyle name="20% - Accent4 4 7 2" xfId="26576"/>
    <cellStyle name="20% - Accent4 4 8" xfId="26577"/>
    <cellStyle name="20% - Accent4 4 9" xfId="26578"/>
    <cellStyle name="20% - Accent4 5" xfId="26579"/>
    <cellStyle name="20% - Accent4 5 2" xfId="26580"/>
    <cellStyle name="20% - Accent4 5 2 2" xfId="26581"/>
    <cellStyle name="20% - Accent4 5 2 2 2" xfId="26582"/>
    <cellStyle name="20% - Accent4 5 2 3" xfId="26583"/>
    <cellStyle name="20% - Accent4 5 3" xfId="26584"/>
    <cellStyle name="20% - Accent4 5 3 2" xfId="26585"/>
    <cellStyle name="20% - Accent4 5 3 3" xfId="26586"/>
    <cellStyle name="20% - Accent4 5 4" xfId="26587"/>
    <cellStyle name="20% - Accent4 5 4 2" xfId="26588"/>
    <cellStyle name="20% - Accent4 5 4 3" xfId="26589"/>
    <cellStyle name="20% - Accent4 5 5" xfId="26590"/>
    <cellStyle name="20% - Accent4 6" xfId="26591"/>
    <cellStyle name="20% - Accent4 6 2" xfId="26592"/>
    <cellStyle name="20% - Accent4 6 2 2" xfId="26593"/>
    <cellStyle name="20% - Accent4 6 2 2 2" xfId="26594"/>
    <cellStyle name="20% - Accent4 6 2 3" xfId="26595"/>
    <cellStyle name="20% - Accent4 6 2 4" xfId="26596"/>
    <cellStyle name="20% - Accent4 6 3" xfId="26597"/>
    <cellStyle name="20% - Accent4 6 3 2" xfId="26598"/>
    <cellStyle name="20% - Accent4 6 3 3" xfId="26599"/>
    <cellStyle name="20% - Accent4 6 4" xfId="26600"/>
    <cellStyle name="20% - Accent4 6 4 2" xfId="26601"/>
    <cellStyle name="20% - Accent4 6 5" xfId="26602"/>
    <cellStyle name="20% - Accent4 7" xfId="26603"/>
    <cellStyle name="20% - Accent4 7 2" xfId="26604"/>
    <cellStyle name="20% - Accent4 7 2 2" xfId="26605"/>
    <cellStyle name="20% - Accent4 7 2 2 2" xfId="26606"/>
    <cellStyle name="20% - Accent4 7 2 3" xfId="26607"/>
    <cellStyle name="20% - Accent4 7 2 4" xfId="26608"/>
    <cellStyle name="20% - Accent4 7 3" xfId="26609"/>
    <cellStyle name="20% - Accent4 7 3 2" xfId="26610"/>
    <cellStyle name="20% - Accent4 7 4" xfId="26611"/>
    <cellStyle name="20% - Accent4 7 4 2" xfId="26612"/>
    <cellStyle name="20% - Accent4 7 5" xfId="26613"/>
    <cellStyle name="20% - Accent4 8" xfId="26614"/>
    <cellStyle name="20% - Accent4 8 2" xfId="26615"/>
    <cellStyle name="20% - Accent4 8 2 2" xfId="26616"/>
    <cellStyle name="20% - Accent4 8 2 3" xfId="26617"/>
    <cellStyle name="20% - Accent4 8 3" xfId="26618"/>
    <cellStyle name="20% - Accent4 9" xfId="26619"/>
    <cellStyle name="20% - Accent4 9 2" xfId="26620"/>
    <cellStyle name="20% - Accent4 9 2 2" xfId="26621"/>
    <cellStyle name="20% - Accent4 9 2 3" xfId="26622"/>
    <cellStyle name="20% - Accent4 9 3" xfId="26623"/>
    <cellStyle name="20% - Accent4 9 4" xfId="26624"/>
    <cellStyle name="20% - Accent4 9 5" xfId="26625"/>
    <cellStyle name="20% - Accent5 10" xfId="26626"/>
    <cellStyle name="20% - Accent5 10 2" xfId="26627"/>
    <cellStyle name="20% - Accent5 10 2 2" xfId="26628"/>
    <cellStyle name="20% - Accent5 10 3" xfId="26629"/>
    <cellStyle name="20% - Accent5 11" xfId="26630"/>
    <cellStyle name="20% - Accent5 11 2" xfId="26631"/>
    <cellStyle name="20% - Accent5 11 3" xfId="26632"/>
    <cellStyle name="20% - Accent5 12" xfId="26633"/>
    <cellStyle name="20% - Accent5 13" xfId="26634"/>
    <cellStyle name="20% - Accent5 2" xfId="1055"/>
    <cellStyle name="20% - Accent5 2 2" xfId="1056"/>
    <cellStyle name="20% - Accent5 2 2 2" xfId="26635"/>
    <cellStyle name="20% - Accent5 2 2 2 2" xfId="26636"/>
    <cellStyle name="20% - Accent5 2 2 2 2 2" xfId="26637"/>
    <cellStyle name="20% - Accent5 2 2 2 3" xfId="26638"/>
    <cellStyle name="20% - Accent5 2 2 2 3 2" xfId="26639"/>
    <cellStyle name="20% - Accent5 2 2 2 4" xfId="26640"/>
    <cellStyle name="20% - Accent5 2 2 3" xfId="26641"/>
    <cellStyle name="20% - Accent5 2 2 3 2" xfId="26642"/>
    <cellStyle name="20% - Accent5 2 2 3 2 2" xfId="26643"/>
    <cellStyle name="20% - Accent5 2 2 3 2 3" xfId="26644"/>
    <cellStyle name="20% - Accent5 2 2 3 3" xfId="26645"/>
    <cellStyle name="20% - Accent5 2 2 3 4" xfId="26646"/>
    <cellStyle name="20% - Accent5 2 2 4" xfId="26647"/>
    <cellStyle name="20% - Accent5 2 2 4 2" xfId="26648"/>
    <cellStyle name="20% - Accent5 2 2 4 3" xfId="26649"/>
    <cellStyle name="20% - Accent5 2 2 5" xfId="26650"/>
    <cellStyle name="20% - Accent5 2 2 5 2" xfId="26651"/>
    <cellStyle name="20% - Accent5 2 2 6" xfId="26652"/>
    <cellStyle name="20% - Accent5 2 3" xfId="26653"/>
    <cellStyle name="20% - Accent5 2 3 2" xfId="26654"/>
    <cellStyle name="20% - Accent5 2 3 2 2" xfId="26655"/>
    <cellStyle name="20% - Accent5 2 3 2 2 2" xfId="26656"/>
    <cellStyle name="20% - Accent5 2 3 2 3" xfId="26657"/>
    <cellStyle name="20% - Accent5 2 3 3" xfId="26658"/>
    <cellStyle name="20% - Accent5 2 3 3 2" xfId="26659"/>
    <cellStyle name="20% - Accent5 2 3 4" xfId="26660"/>
    <cellStyle name="20% - Accent5 2 3 4 2" xfId="26661"/>
    <cellStyle name="20% - Accent5 2 3 5" xfId="26662"/>
    <cellStyle name="20% - Accent5 2 4" xfId="26663"/>
    <cellStyle name="20% - Accent5 2 4 2" xfId="26664"/>
    <cellStyle name="20% - Accent5 2 4 2 2" xfId="26665"/>
    <cellStyle name="20% - Accent5 2 4 2 2 2" xfId="26666"/>
    <cellStyle name="20% - Accent5 2 4 2 3" xfId="26667"/>
    <cellStyle name="20% - Accent5 2 4 3" xfId="26668"/>
    <cellStyle name="20% - Accent5 2 4 3 2" xfId="26669"/>
    <cellStyle name="20% - Accent5 2 4 3 3" xfId="26670"/>
    <cellStyle name="20% - Accent5 2 4 4" xfId="26671"/>
    <cellStyle name="20% - Accent5 2 4 4 2" xfId="26672"/>
    <cellStyle name="20% - Accent5 2 4 5" xfId="26673"/>
    <cellStyle name="20% - Accent5 2 5" xfId="26674"/>
    <cellStyle name="20% - Accent5 2 5 2" xfId="26675"/>
    <cellStyle name="20% - Accent5 2 5 2 2" xfId="26676"/>
    <cellStyle name="20% - Accent5 2 5 3" xfId="26677"/>
    <cellStyle name="20% - Accent5 2 6" xfId="26678"/>
    <cellStyle name="20% - Accent5 2 6 2" xfId="26679"/>
    <cellStyle name="20% - Accent5 2 6 2 2" xfId="26680"/>
    <cellStyle name="20% - Accent5 2 6 3" xfId="26681"/>
    <cellStyle name="20% - Accent5 2 7" xfId="26682"/>
    <cellStyle name="20% - Accent5 2 7 2" xfId="26683"/>
    <cellStyle name="20% - Accent5 2 8" xfId="26684"/>
    <cellStyle name="20% - Accent5 2 9" xfId="26685"/>
    <cellStyle name="20% - Accent5 2_12PCORC Wind Vestas and Royalties" xfId="26686"/>
    <cellStyle name="20% - Accent5 3" xfId="1057"/>
    <cellStyle name="20% - Accent5 3 2" xfId="1058"/>
    <cellStyle name="20% - Accent5 3 2 2" xfId="26687"/>
    <cellStyle name="20% - Accent5 3 2 2 2" xfId="26688"/>
    <cellStyle name="20% - Accent5 3 2 3" xfId="26689"/>
    <cellStyle name="20% - Accent5 3 2 3 2" xfId="26690"/>
    <cellStyle name="20% - Accent5 3 2 4" xfId="26691"/>
    <cellStyle name="20% - Accent5 3 2 4 2" xfId="26692"/>
    <cellStyle name="20% - Accent5 3 2 5" xfId="26693"/>
    <cellStyle name="20% - Accent5 3 2 6" xfId="26694"/>
    <cellStyle name="20% - Accent5 3 3" xfId="26695"/>
    <cellStyle name="20% - Accent5 3 3 2" xfId="26696"/>
    <cellStyle name="20% - Accent5 3 3 2 2" xfId="26697"/>
    <cellStyle name="20% - Accent5 3 3 2 2 2" xfId="26698"/>
    <cellStyle name="20% - Accent5 3 3 2 3" xfId="26699"/>
    <cellStyle name="20% - Accent5 3 3 2 4" xfId="26700"/>
    <cellStyle name="20% - Accent5 3 3 2 5" xfId="26701"/>
    <cellStyle name="20% - Accent5 3 3 3" xfId="26702"/>
    <cellStyle name="20% - Accent5 3 3 3 2" xfId="26703"/>
    <cellStyle name="20% - Accent5 3 3 4" xfId="26704"/>
    <cellStyle name="20% - Accent5 3 4" xfId="26705"/>
    <cellStyle name="20% - Accent5 3 4 2" xfId="26706"/>
    <cellStyle name="20% - Accent5 3 4 2 2" xfId="26707"/>
    <cellStyle name="20% - Accent5 3 4 3" xfId="26708"/>
    <cellStyle name="20% - Accent5 3 4 4" xfId="26709"/>
    <cellStyle name="20% - Accent5 3 5" xfId="26710"/>
    <cellStyle name="20% - Accent5 3 5 2" xfId="26711"/>
    <cellStyle name="20% - Accent5 3 6" xfId="26712"/>
    <cellStyle name="20% - Accent5 4" xfId="1059"/>
    <cellStyle name="20% - Accent5 4 2" xfId="26713"/>
    <cellStyle name="20% - Accent5 4 2 2" xfId="26714"/>
    <cellStyle name="20% - Accent5 4 2 2 2" xfId="26715"/>
    <cellStyle name="20% - Accent5 4 2 3" xfId="26716"/>
    <cellStyle name="20% - Accent5 4 3" xfId="26717"/>
    <cellStyle name="20% - Accent5 4 3 2" xfId="26718"/>
    <cellStyle name="20% - Accent5 4 4" xfId="26719"/>
    <cellStyle name="20% - Accent5 4 4 2" xfId="26720"/>
    <cellStyle name="20% - Accent5 4 5" xfId="26721"/>
    <cellStyle name="20% - Accent5 5" xfId="26722"/>
    <cellStyle name="20% - Accent5 5 2" xfId="26723"/>
    <cellStyle name="20% - Accent5 5 2 2" xfId="26724"/>
    <cellStyle name="20% - Accent5 5 2 2 2" xfId="26725"/>
    <cellStyle name="20% - Accent5 5 2 3" xfId="26726"/>
    <cellStyle name="20% - Accent5 5 3" xfId="26727"/>
    <cellStyle name="20% - Accent5 5 3 2" xfId="26728"/>
    <cellStyle name="20% - Accent5 5 3 3" xfId="26729"/>
    <cellStyle name="20% - Accent5 5 4" xfId="26730"/>
    <cellStyle name="20% - Accent5 5 4 2" xfId="26731"/>
    <cellStyle name="20% - Accent5 6" xfId="26732"/>
    <cellStyle name="20% - Accent5 6 2" xfId="26733"/>
    <cellStyle name="20% - Accent5 6 2 2" xfId="26734"/>
    <cellStyle name="20% - Accent5 6 2 2 2" xfId="26735"/>
    <cellStyle name="20% - Accent5 6 2 3" xfId="26736"/>
    <cellStyle name="20% - Accent5 6 2 4" xfId="26737"/>
    <cellStyle name="20% - Accent5 6 3" xfId="26738"/>
    <cellStyle name="20% - Accent5 6 3 2" xfId="26739"/>
    <cellStyle name="20% - Accent5 6 3 3" xfId="26740"/>
    <cellStyle name="20% - Accent5 6 4" xfId="26741"/>
    <cellStyle name="20% - Accent5 6 4 2" xfId="26742"/>
    <cellStyle name="20% - Accent5 6 5" xfId="26743"/>
    <cellStyle name="20% - Accent5 7" xfId="26744"/>
    <cellStyle name="20% - Accent5 7 2" xfId="26745"/>
    <cellStyle name="20% - Accent5 7 2 2" xfId="26746"/>
    <cellStyle name="20% - Accent5 7 2 2 2" xfId="26747"/>
    <cellStyle name="20% - Accent5 7 2 3" xfId="26748"/>
    <cellStyle name="20% - Accent5 7 2 4" xfId="26749"/>
    <cellStyle name="20% - Accent5 7 3" xfId="26750"/>
    <cellStyle name="20% - Accent5 7 3 2" xfId="26751"/>
    <cellStyle name="20% - Accent5 7 4" xfId="26752"/>
    <cellStyle name="20% - Accent5 7 4 2" xfId="26753"/>
    <cellStyle name="20% - Accent5 7 5" xfId="26754"/>
    <cellStyle name="20% - Accent5 8" xfId="26755"/>
    <cellStyle name="20% - Accent5 8 2" xfId="26756"/>
    <cellStyle name="20% - Accent5 8 2 2" xfId="26757"/>
    <cellStyle name="20% - Accent5 8 2 3" xfId="26758"/>
    <cellStyle name="20% - Accent5 8 3" xfId="26759"/>
    <cellStyle name="20% - Accent5 9" xfId="26760"/>
    <cellStyle name="20% - Accent5 9 2" xfId="26761"/>
    <cellStyle name="20% - Accent5 9 2 2" xfId="26762"/>
    <cellStyle name="20% - Accent5 9 2 3" xfId="26763"/>
    <cellStyle name="20% - Accent5 9 3" xfId="26764"/>
    <cellStyle name="20% - Accent5 9 4" xfId="26765"/>
    <cellStyle name="20% - Accent5 9 5" xfId="26766"/>
    <cellStyle name="20% - Accent6 10" xfId="26767"/>
    <cellStyle name="20% - Accent6 10 2" xfId="26768"/>
    <cellStyle name="20% - Accent6 10 2 2" xfId="26769"/>
    <cellStyle name="20% - Accent6 10 3" xfId="26770"/>
    <cellStyle name="20% - Accent6 10 4" xfId="26771"/>
    <cellStyle name="20% - Accent6 11" xfId="26772"/>
    <cellStyle name="20% - Accent6 11 2" xfId="26773"/>
    <cellStyle name="20% - Accent6 11 3" xfId="26774"/>
    <cellStyle name="20% - Accent6 12" xfId="26775"/>
    <cellStyle name="20% - Accent6 13" xfId="26776"/>
    <cellStyle name="20% - Accent6 2" xfId="1060"/>
    <cellStyle name="20% - Accent6 2 2" xfId="1061"/>
    <cellStyle name="20% - Accent6 2 2 2" xfId="26777"/>
    <cellStyle name="20% - Accent6 2 2 2 2" xfId="26778"/>
    <cellStyle name="20% - Accent6 2 2 2 2 2" xfId="26779"/>
    <cellStyle name="20% - Accent6 2 2 2 3" xfId="26780"/>
    <cellStyle name="20% - Accent6 2 2 2 3 2" xfId="26781"/>
    <cellStyle name="20% - Accent6 2 2 2 4" xfId="26782"/>
    <cellStyle name="20% - Accent6 2 2 3" xfId="26783"/>
    <cellStyle name="20% - Accent6 2 2 3 2" xfId="26784"/>
    <cellStyle name="20% - Accent6 2 2 3 2 2" xfId="26785"/>
    <cellStyle name="20% - Accent6 2 2 3 2 3" xfId="26786"/>
    <cellStyle name="20% - Accent6 2 2 3 3" xfId="26787"/>
    <cellStyle name="20% - Accent6 2 2 3 4" xfId="26788"/>
    <cellStyle name="20% - Accent6 2 2 4" xfId="26789"/>
    <cellStyle name="20% - Accent6 2 2 4 2" xfId="26790"/>
    <cellStyle name="20% - Accent6 2 2 4 3" xfId="26791"/>
    <cellStyle name="20% - Accent6 2 2 5" xfId="26792"/>
    <cellStyle name="20% - Accent6 2 2 5 2" xfId="26793"/>
    <cellStyle name="20% - Accent6 2 2 6" xfId="26794"/>
    <cellStyle name="20% - Accent6 2 3" xfId="1062"/>
    <cellStyle name="20% - Accent6 2 3 2" xfId="26795"/>
    <cellStyle name="20% - Accent6 2 3 2 2" xfId="26796"/>
    <cellStyle name="20% - Accent6 2 3 2 2 2" xfId="26797"/>
    <cellStyle name="20% - Accent6 2 3 2 3" xfId="26798"/>
    <cellStyle name="20% - Accent6 2 3 3" xfId="26799"/>
    <cellStyle name="20% - Accent6 2 3 3 2" xfId="26800"/>
    <cellStyle name="20% - Accent6 2 3 4" xfId="26801"/>
    <cellStyle name="20% - Accent6 2 3 4 2" xfId="26802"/>
    <cellStyle name="20% - Accent6 2 3 5" xfId="26803"/>
    <cellStyle name="20% - Accent6 2 4" xfId="26804"/>
    <cellStyle name="20% - Accent6 2 4 2" xfId="26805"/>
    <cellStyle name="20% - Accent6 2 4 2 2" xfId="26806"/>
    <cellStyle name="20% - Accent6 2 4 2 2 2" xfId="26807"/>
    <cellStyle name="20% - Accent6 2 4 2 3" xfId="26808"/>
    <cellStyle name="20% - Accent6 2 4 3" xfId="26809"/>
    <cellStyle name="20% - Accent6 2 4 3 2" xfId="26810"/>
    <cellStyle name="20% - Accent6 2 4 3 3" xfId="26811"/>
    <cellStyle name="20% - Accent6 2 4 4" xfId="26812"/>
    <cellStyle name="20% - Accent6 2 4 4 2" xfId="26813"/>
    <cellStyle name="20% - Accent6 2 4 5" xfId="26814"/>
    <cellStyle name="20% - Accent6 2 5" xfId="26815"/>
    <cellStyle name="20% - Accent6 2 5 2" xfId="26816"/>
    <cellStyle name="20% - Accent6 2 5 2 2" xfId="26817"/>
    <cellStyle name="20% - Accent6 2 5 3" xfId="26818"/>
    <cellStyle name="20% - Accent6 2 6" xfId="26819"/>
    <cellStyle name="20% - Accent6 2 6 2" xfId="26820"/>
    <cellStyle name="20% - Accent6 2 6 2 2" xfId="26821"/>
    <cellStyle name="20% - Accent6 2 6 3" xfId="26822"/>
    <cellStyle name="20% - Accent6 2 7" xfId="26823"/>
    <cellStyle name="20% - Accent6 2 7 2" xfId="26824"/>
    <cellStyle name="20% - Accent6 2 8" xfId="26825"/>
    <cellStyle name="20% - Accent6 2 9" xfId="26826"/>
    <cellStyle name="20% - Accent6 2_12PCORC Wind Vestas and Royalties" xfId="26827"/>
    <cellStyle name="20% - Accent6 3" xfId="1063"/>
    <cellStyle name="20% - Accent6 3 2" xfId="1064"/>
    <cellStyle name="20% - Accent6 3 2 2" xfId="26828"/>
    <cellStyle name="20% - Accent6 3 2 2 2" xfId="26829"/>
    <cellStyle name="20% - Accent6 3 2 3" xfId="26830"/>
    <cellStyle name="20% - Accent6 3 2 3 2" xfId="26831"/>
    <cellStyle name="20% - Accent6 3 2 4" xfId="26832"/>
    <cellStyle name="20% - Accent6 3 2 4 2" xfId="26833"/>
    <cellStyle name="20% - Accent6 3 2 5" xfId="26834"/>
    <cellStyle name="20% - Accent6 3 2 6" xfId="26835"/>
    <cellStyle name="20% - Accent6 3 3" xfId="26836"/>
    <cellStyle name="20% - Accent6 3 3 2" xfId="26837"/>
    <cellStyle name="20% - Accent6 3 3 2 2" xfId="26838"/>
    <cellStyle name="20% - Accent6 3 3 2 2 2" xfId="26839"/>
    <cellStyle name="20% - Accent6 3 3 2 3" xfId="26840"/>
    <cellStyle name="20% - Accent6 3 3 2 4" xfId="26841"/>
    <cellStyle name="20% - Accent6 3 3 2 5" xfId="26842"/>
    <cellStyle name="20% - Accent6 3 3 3" xfId="26843"/>
    <cellStyle name="20% - Accent6 3 3 3 2" xfId="26844"/>
    <cellStyle name="20% - Accent6 3 3 4" xfId="26845"/>
    <cellStyle name="20% - Accent6 3 4" xfId="26846"/>
    <cellStyle name="20% - Accent6 3 4 2" xfId="26847"/>
    <cellStyle name="20% - Accent6 3 4 2 2" xfId="26848"/>
    <cellStyle name="20% - Accent6 3 4 3" xfId="26849"/>
    <cellStyle name="20% - Accent6 3 4 4" xfId="26850"/>
    <cellStyle name="20% - Accent6 3 5" xfId="26851"/>
    <cellStyle name="20% - Accent6 3 5 2" xfId="26852"/>
    <cellStyle name="20% - Accent6 3 6" xfId="26853"/>
    <cellStyle name="20% - Accent6 3 7" xfId="26854"/>
    <cellStyle name="20% - Accent6 4" xfId="1065"/>
    <cellStyle name="20% - Accent6 4 2" xfId="26855"/>
    <cellStyle name="20% - Accent6 4 2 2" xfId="26856"/>
    <cellStyle name="20% - Accent6 4 2 2 2" xfId="26857"/>
    <cellStyle name="20% - Accent6 4 2 3" xfId="26858"/>
    <cellStyle name="20% - Accent6 4 2 3 2" xfId="26859"/>
    <cellStyle name="20% - Accent6 4 2 4" xfId="26860"/>
    <cellStyle name="20% - Accent6 4 2 4 2" xfId="26861"/>
    <cellStyle name="20% - Accent6 4 2 5" xfId="26862"/>
    <cellStyle name="20% - Accent6 4 3" xfId="26863"/>
    <cellStyle name="20% - Accent6 4 3 2" xfId="26864"/>
    <cellStyle name="20% - Accent6 4 3 2 2" xfId="26865"/>
    <cellStyle name="20% - Accent6 4 3 3" xfId="26866"/>
    <cellStyle name="20% - Accent6 4 4" xfId="26867"/>
    <cellStyle name="20% - Accent6 4 4 2" xfId="26868"/>
    <cellStyle name="20% - Accent6 4 5" xfId="26869"/>
    <cellStyle name="20% - Accent6 4 5 2" xfId="26870"/>
    <cellStyle name="20% - Accent6 4 6" xfId="26871"/>
    <cellStyle name="20% - Accent6 4 6 2" xfId="26872"/>
    <cellStyle name="20% - Accent6 4 7" xfId="26873"/>
    <cellStyle name="20% - Accent6 4 7 2" xfId="26874"/>
    <cellStyle name="20% - Accent6 4 8" xfId="26875"/>
    <cellStyle name="20% - Accent6 4 9" xfId="26876"/>
    <cellStyle name="20% - Accent6 5" xfId="26877"/>
    <cellStyle name="20% - Accent6 5 2" xfId="26878"/>
    <cellStyle name="20% - Accent6 5 2 2" xfId="26879"/>
    <cellStyle name="20% - Accent6 5 2 2 2" xfId="26880"/>
    <cellStyle name="20% - Accent6 5 2 3" xfId="26881"/>
    <cellStyle name="20% - Accent6 5 3" xfId="26882"/>
    <cellStyle name="20% - Accent6 5 3 2" xfId="26883"/>
    <cellStyle name="20% - Accent6 5 3 3" xfId="26884"/>
    <cellStyle name="20% - Accent6 5 4" xfId="26885"/>
    <cellStyle name="20% - Accent6 5 4 2" xfId="26886"/>
    <cellStyle name="20% - Accent6 5 4 3" xfId="26887"/>
    <cellStyle name="20% - Accent6 5 5" xfId="26888"/>
    <cellStyle name="20% - Accent6 6" xfId="26889"/>
    <cellStyle name="20% - Accent6 6 2" xfId="26890"/>
    <cellStyle name="20% - Accent6 6 2 2" xfId="26891"/>
    <cellStyle name="20% - Accent6 6 2 2 2" xfId="26892"/>
    <cellStyle name="20% - Accent6 6 2 3" xfId="26893"/>
    <cellStyle name="20% - Accent6 6 2 4" xfId="26894"/>
    <cellStyle name="20% - Accent6 6 3" xfId="26895"/>
    <cellStyle name="20% - Accent6 6 3 2" xfId="26896"/>
    <cellStyle name="20% - Accent6 6 3 3" xfId="26897"/>
    <cellStyle name="20% - Accent6 6 4" xfId="26898"/>
    <cellStyle name="20% - Accent6 6 4 2" xfId="26899"/>
    <cellStyle name="20% - Accent6 6 5" xfId="26900"/>
    <cellStyle name="20% - Accent6 7" xfId="26901"/>
    <cellStyle name="20% - Accent6 7 2" xfId="26902"/>
    <cellStyle name="20% - Accent6 7 2 2" xfId="26903"/>
    <cellStyle name="20% - Accent6 7 2 2 2" xfId="26904"/>
    <cellStyle name="20% - Accent6 7 2 3" xfId="26905"/>
    <cellStyle name="20% - Accent6 7 2 4" xfId="26906"/>
    <cellStyle name="20% - Accent6 7 3" xfId="26907"/>
    <cellStyle name="20% - Accent6 7 3 2" xfId="26908"/>
    <cellStyle name="20% - Accent6 7 4" xfId="26909"/>
    <cellStyle name="20% - Accent6 7 4 2" xfId="26910"/>
    <cellStyle name="20% - Accent6 7 5" xfId="26911"/>
    <cellStyle name="20% - Accent6 8" xfId="26912"/>
    <cellStyle name="20% - Accent6 8 2" xfId="26913"/>
    <cellStyle name="20% - Accent6 8 2 2" xfId="26914"/>
    <cellStyle name="20% - Accent6 8 2 3" xfId="26915"/>
    <cellStyle name="20% - Accent6 8 3" xfId="26916"/>
    <cellStyle name="20% - Accent6 9" xfId="26917"/>
    <cellStyle name="20% - Accent6 9 2" xfId="26918"/>
    <cellStyle name="20% - Accent6 9 2 2" xfId="26919"/>
    <cellStyle name="20% - Accent6 9 2 3" xfId="26920"/>
    <cellStyle name="20% - Accent6 9 3" xfId="26921"/>
    <cellStyle name="20% - Accent6 9 4" xfId="26922"/>
    <cellStyle name="20% - Accent6 9 5" xfId="26923"/>
    <cellStyle name="40% - Accent1 10" xfId="26924"/>
    <cellStyle name="40% - Accent1 10 2" xfId="26925"/>
    <cellStyle name="40% - Accent1 10 2 2" xfId="26926"/>
    <cellStyle name="40% - Accent1 10 3" xfId="26927"/>
    <cellStyle name="40% - Accent1 10 4" xfId="26928"/>
    <cellStyle name="40% - Accent1 11" xfId="26929"/>
    <cellStyle name="40% - Accent1 11 2" xfId="26930"/>
    <cellStyle name="40% - Accent1 11 3" xfId="26931"/>
    <cellStyle name="40% - Accent1 12" xfId="26932"/>
    <cellStyle name="40% - Accent1 13" xfId="26933"/>
    <cellStyle name="40% - Accent1 2" xfId="1066"/>
    <cellStyle name="40% - Accent1 2 2" xfId="1067"/>
    <cellStyle name="40% - Accent1 2 2 2" xfId="26934"/>
    <cellStyle name="40% - Accent1 2 2 2 2" xfId="26935"/>
    <cellStyle name="40% - Accent1 2 2 2 2 2" xfId="26936"/>
    <cellStyle name="40% - Accent1 2 2 2 3" xfId="26937"/>
    <cellStyle name="40% - Accent1 2 2 2 3 2" xfId="26938"/>
    <cellStyle name="40% - Accent1 2 2 2 4" xfId="26939"/>
    <cellStyle name="40% - Accent1 2 2 3" xfId="26940"/>
    <cellStyle name="40% - Accent1 2 2 3 2" xfId="26941"/>
    <cellStyle name="40% - Accent1 2 2 3 2 2" xfId="26942"/>
    <cellStyle name="40% - Accent1 2 2 3 2 3" xfId="26943"/>
    <cellStyle name="40% - Accent1 2 2 3 3" xfId="26944"/>
    <cellStyle name="40% - Accent1 2 2 3 4" xfId="26945"/>
    <cellStyle name="40% - Accent1 2 2 4" xfId="26946"/>
    <cellStyle name="40% - Accent1 2 2 4 2" xfId="26947"/>
    <cellStyle name="40% - Accent1 2 2 4 3" xfId="26948"/>
    <cellStyle name="40% - Accent1 2 2 5" xfId="26949"/>
    <cellStyle name="40% - Accent1 2 2 5 2" xfId="26950"/>
    <cellStyle name="40% - Accent1 2 2 6" xfId="26951"/>
    <cellStyle name="40% - Accent1 2 3" xfId="1068"/>
    <cellStyle name="40% - Accent1 2 3 2" xfId="26952"/>
    <cellStyle name="40% - Accent1 2 3 2 2" xfId="26953"/>
    <cellStyle name="40% - Accent1 2 3 2 2 2" xfId="26954"/>
    <cellStyle name="40% - Accent1 2 3 2 3" xfId="26955"/>
    <cellStyle name="40% - Accent1 2 3 3" xfId="26956"/>
    <cellStyle name="40% - Accent1 2 3 3 2" xfId="26957"/>
    <cellStyle name="40% - Accent1 2 3 4" xfId="26958"/>
    <cellStyle name="40% - Accent1 2 3 4 2" xfId="26959"/>
    <cellStyle name="40% - Accent1 2 3 5" xfId="26960"/>
    <cellStyle name="40% - Accent1 2 4" xfId="26961"/>
    <cellStyle name="40% - Accent1 2 4 2" xfId="26962"/>
    <cellStyle name="40% - Accent1 2 4 2 2" xfId="26963"/>
    <cellStyle name="40% - Accent1 2 4 2 2 2" xfId="26964"/>
    <cellStyle name="40% - Accent1 2 4 2 3" xfId="26965"/>
    <cellStyle name="40% - Accent1 2 4 2 3 2" xfId="26966"/>
    <cellStyle name="40% - Accent1 2 4 3" xfId="26967"/>
    <cellStyle name="40% - Accent1 2 4 3 2" xfId="26968"/>
    <cellStyle name="40% - Accent1 2 4 3 2 2" xfId="26969"/>
    <cellStyle name="40% - Accent1 2 4 3 3" xfId="26970"/>
    <cellStyle name="40% - Accent1 2 4 4" xfId="26971"/>
    <cellStyle name="40% - Accent1 2 4 4 2" xfId="26972"/>
    <cellStyle name="40% - Accent1 2 4 5" xfId="26973"/>
    <cellStyle name="40% - Accent1 2 4 5 2" xfId="26974"/>
    <cellStyle name="40% - Accent1 2 5" xfId="26975"/>
    <cellStyle name="40% - Accent1 2 5 2" xfId="26976"/>
    <cellStyle name="40% - Accent1 2 5 2 2" xfId="26977"/>
    <cellStyle name="40% - Accent1 2 5 3" xfId="26978"/>
    <cellStyle name="40% - Accent1 2 6" xfId="26979"/>
    <cellStyle name="40% - Accent1 2 6 2" xfId="26980"/>
    <cellStyle name="40% - Accent1 2 6 2 2" xfId="26981"/>
    <cellStyle name="40% - Accent1 2 6 3" xfId="26982"/>
    <cellStyle name="40% - Accent1 2 7" xfId="26983"/>
    <cellStyle name="40% - Accent1 2 7 2" xfId="26984"/>
    <cellStyle name="40% - Accent1 2 8" xfId="26985"/>
    <cellStyle name="40% - Accent1 2 9" xfId="26986"/>
    <cellStyle name="40% - Accent1 2_12PCORC Wind Vestas and Royalties" xfId="26987"/>
    <cellStyle name="40% - Accent1 3" xfId="1069"/>
    <cellStyle name="40% - Accent1 3 2" xfId="1070"/>
    <cellStyle name="40% - Accent1 3 2 2" xfId="26988"/>
    <cellStyle name="40% - Accent1 3 2 2 2" xfId="26989"/>
    <cellStyle name="40% - Accent1 3 2 3" xfId="26990"/>
    <cellStyle name="40% - Accent1 3 2 3 2" xfId="26991"/>
    <cellStyle name="40% - Accent1 3 2 4" xfId="26992"/>
    <cellStyle name="40% - Accent1 3 2 4 2" xfId="26993"/>
    <cellStyle name="40% - Accent1 3 2 5" xfId="26994"/>
    <cellStyle name="40% - Accent1 3 2 6" xfId="26995"/>
    <cellStyle name="40% - Accent1 3 3" xfId="26996"/>
    <cellStyle name="40% - Accent1 3 3 2" xfId="26997"/>
    <cellStyle name="40% - Accent1 3 3 2 2" xfId="26998"/>
    <cellStyle name="40% - Accent1 3 3 2 2 2" xfId="26999"/>
    <cellStyle name="40% - Accent1 3 3 2 3" xfId="27000"/>
    <cellStyle name="40% - Accent1 3 3 2 4" xfId="27001"/>
    <cellStyle name="40% - Accent1 3 3 2 5" xfId="27002"/>
    <cellStyle name="40% - Accent1 3 3 3" xfId="27003"/>
    <cellStyle name="40% - Accent1 3 3 3 2" xfId="27004"/>
    <cellStyle name="40% - Accent1 3 3 4" xfId="27005"/>
    <cellStyle name="40% - Accent1 3 4" xfId="27006"/>
    <cellStyle name="40% - Accent1 3 4 2" xfId="27007"/>
    <cellStyle name="40% - Accent1 3 4 2 2" xfId="27008"/>
    <cellStyle name="40% - Accent1 3 4 3" xfId="27009"/>
    <cellStyle name="40% - Accent1 3 4 4" xfId="27010"/>
    <cellStyle name="40% - Accent1 3 5" xfId="27011"/>
    <cellStyle name="40% - Accent1 3 5 2" xfId="27012"/>
    <cellStyle name="40% - Accent1 3 6" xfId="27013"/>
    <cellStyle name="40% - Accent1 3 7" xfId="27014"/>
    <cellStyle name="40% - Accent1 4" xfId="1071"/>
    <cellStyle name="40% - Accent1 4 2" xfId="27015"/>
    <cellStyle name="40% - Accent1 4 2 2" xfId="27016"/>
    <cellStyle name="40% - Accent1 4 2 2 2" xfId="27017"/>
    <cellStyle name="40% - Accent1 4 2 3" xfId="27018"/>
    <cellStyle name="40% - Accent1 4 2 3 2" xfId="27019"/>
    <cellStyle name="40% - Accent1 4 2 4" xfId="27020"/>
    <cellStyle name="40% - Accent1 4 2 4 2" xfId="27021"/>
    <cellStyle name="40% - Accent1 4 2 5" xfId="27022"/>
    <cellStyle name="40% - Accent1 4 3" xfId="27023"/>
    <cellStyle name="40% - Accent1 4 3 2" xfId="27024"/>
    <cellStyle name="40% - Accent1 4 3 2 2" xfId="27025"/>
    <cellStyle name="40% - Accent1 4 3 3" xfId="27026"/>
    <cellStyle name="40% - Accent1 4 4" xfId="27027"/>
    <cellStyle name="40% - Accent1 4 4 2" xfId="27028"/>
    <cellStyle name="40% - Accent1 4 5" xfId="27029"/>
    <cellStyle name="40% - Accent1 4 5 2" xfId="27030"/>
    <cellStyle name="40% - Accent1 4 6" xfId="27031"/>
    <cellStyle name="40% - Accent1 4 6 2" xfId="27032"/>
    <cellStyle name="40% - Accent1 4 7" xfId="27033"/>
    <cellStyle name="40% - Accent1 4 7 2" xfId="27034"/>
    <cellStyle name="40% - Accent1 4 8" xfId="27035"/>
    <cellStyle name="40% - Accent1 4 9" xfId="27036"/>
    <cellStyle name="40% - Accent1 5" xfId="27037"/>
    <cellStyle name="40% - Accent1 5 2" xfId="27038"/>
    <cellStyle name="40% - Accent1 5 2 2" xfId="27039"/>
    <cellStyle name="40% - Accent1 5 2 2 2" xfId="27040"/>
    <cellStyle name="40% - Accent1 5 2 3" xfId="27041"/>
    <cellStyle name="40% - Accent1 5 3" xfId="27042"/>
    <cellStyle name="40% - Accent1 5 3 2" xfId="27043"/>
    <cellStyle name="40% - Accent1 5 3 3" xfId="27044"/>
    <cellStyle name="40% - Accent1 5 4" xfId="27045"/>
    <cellStyle name="40% - Accent1 5 4 2" xfId="27046"/>
    <cellStyle name="40% - Accent1 5 4 3" xfId="27047"/>
    <cellStyle name="40% - Accent1 5 5" xfId="27048"/>
    <cellStyle name="40% - Accent1 6" xfId="27049"/>
    <cellStyle name="40% - Accent1 6 2" xfId="27050"/>
    <cellStyle name="40% - Accent1 6 2 2" xfId="27051"/>
    <cellStyle name="40% - Accent1 6 2 2 2" xfId="27052"/>
    <cellStyle name="40% - Accent1 6 2 3" xfId="27053"/>
    <cellStyle name="40% - Accent1 6 2 4" xfId="27054"/>
    <cellStyle name="40% - Accent1 6 3" xfId="27055"/>
    <cellStyle name="40% - Accent1 6 3 2" xfId="27056"/>
    <cellStyle name="40% - Accent1 6 3 3" xfId="27057"/>
    <cellStyle name="40% - Accent1 6 4" xfId="27058"/>
    <cellStyle name="40% - Accent1 6 4 2" xfId="27059"/>
    <cellStyle name="40% - Accent1 6 5" xfId="27060"/>
    <cellStyle name="40% - Accent1 7" xfId="27061"/>
    <cellStyle name="40% - Accent1 7 2" xfId="27062"/>
    <cellStyle name="40% - Accent1 7 2 2" xfId="27063"/>
    <cellStyle name="40% - Accent1 7 2 2 2" xfId="27064"/>
    <cellStyle name="40% - Accent1 7 2 3" xfId="27065"/>
    <cellStyle name="40% - Accent1 7 2 4" xfId="27066"/>
    <cellStyle name="40% - Accent1 7 3" xfId="27067"/>
    <cellStyle name="40% - Accent1 7 3 2" xfId="27068"/>
    <cellStyle name="40% - Accent1 7 4" xfId="27069"/>
    <cellStyle name="40% - Accent1 7 4 2" xfId="27070"/>
    <cellStyle name="40% - Accent1 7 5" xfId="27071"/>
    <cellStyle name="40% - Accent1 8" xfId="27072"/>
    <cellStyle name="40% - Accent1 8 2" xfId="27073"/>
    <cellStyle name="40% - Accent1 8 2 2" xfId="27074"/>
    <cellStyle name="40% - Accent1 8 2 3" xfId="27075"/>
    <cellStyle name="40% - Accent1 8 3" xfId="27076"/>
    <cellStyle name="40% - Accent1 9" xfId="27077"/>
    <cellStyle name="40% - Accent1 9 2" xfId="27078"/>
    <cellStyle name="40% - Accent1 9 2 2" xfId="27079"/>
    <cellStyle name="40% - Accent1 9 2 3" xfId="27080"/>
    <cellStyle name="40% - Accent1 9 3" xfId="27081"/>
    <cellStyle name="40% - Accent1 9 4" xfId="27082"/>
    <cellStyle name="40% - Accent1 9 5" xfId="27083"/>
    <cellStyle name="40% - Accent2 10" xfId="27084"/>
    <cellStyle name="40% - Accent2 10 2" xfId="27085"/>
    <cellStyle name="40% - Accent2 10 2 2" xfId="27086"/>
    <cellStyle name="40% - Accent2 10 3" xfId="27087"/>
    <cellStyle name="40% - Accent2 11" xfId="27088"/>
    <cellStyle name="40% - Accent2 11 2" xfId="27089"/>
    <cellStyle name="40% - Accent2 11 3" xfId="27090"/>
    <cellStyle name="40% - Accent2 12" xfId="27091"/>
    <cellStyle name="40% - Accent2 13" xfId="27092"/>
    <cellStyle name="40% - Accent2 2" xfId="1072"/>
    <cellStyle name="40% - Accent2 2 2" xfId="1073"/>
    <cellStyle name="40% - Accent2 2 2 2" xfId="27093"/>
    <cellStyle name="40% - Accent2 2 2 2 2" xfId="27094"/>
    <cellStyle name="40% - Accent2 2 2 2 2 2" xfId="27095"/>
    <cellStyle name="40% - Accent2 2 2 2 3" xfId="27096"/>
    <cellStyle name="40% - Accent2 2 2 2 3 2" xfId="27097"/>
    <cellStyle name="40% - Accent2 2 2 2 4" xfId="27098"/>
    <cellStyle name="40% - Accent2 2 2 3" xfId="27099"/>
    <cellStyle name="40% - Accent2 2 2 3 2" xfId="27100"/>
    <cellStyle name="40% - Accent2 2 2 3 2 2" xfId="27101"/>
    <cellStyle name="40% - Accent2 2 2 3 2 3" xfId="27102"/>
    <cellStyle name="40% - Accent2 2 2 3 3" xfId="27103"/>
    <cellStyle name="40% - Accent2 2 2 3 4" xfId="27104"/>
    <cellStyle name="40% - Accent2 2 2 4" xfId="27105"/>
    <cellStyle name="40% - Accent2 2 2 4 2" xfId="27106"/>
    <cellStyle name="40% - Accent2 2 2 4 3" xfId="27107"/>
    <cellStyle name="40% - Accent2 2 2 5" xfId="27108"/>
    <cellStyle name="40% - Accent2 2 2 5 2" xfId="27109"/>
    <cellStyle name="40% - Accent2 2 2 6" xfId="27110"/>
    <cellStyle name="40% - Accent2 2 3" xfId="27111"/>
    <cellStyle name="40% - Accent2 2 3 2" xfId="27112"/>
    <cellStyle name="40% - Accent2 2 3 2 2" xfId="27113"/>
    <cellStyle name="40% - Accent2 2 3 2 2 2" xfId="27114"/>
    <cellStyle name="40% - Accent2 2 3 2 3" xfId="27115"/>
    <cellStyle name="40% - Accent2 2 3 3" xfId="27116"/>
    <cellStyle name="40% - Accent2 2 3 3 2" xfId="27117"/>
    <cellStyle name="40% - Accent2 2 3 4" xfId="27118"/>
    <cellStyle name="40% - Accent2 2 3 4 2" xfId="27119"/>
    <cellStyle name="40% - Accent2 2 3 5" xfId="27120"/>
    <cellStyle name="40% - Accent2 2 4" xfId="27121"/>
    <cellStyle name="40% - Accent2 2 4 2" xfId="27122"/>
    <cellStyle name="40% - Accent2 2 4 2 2" xfId="27123"/>
    <cellStyle name="40% - Accent2 2 4 2 2 2" xfId="27124"/>
    <cellStyle name="40% - Accent2 2 4 2 3" xfId="27125"/>
    <cellStyle name="40% - Accent2 2 4 3" xfId="27126"/>
    <cellStyle name="40% - Accent2 2 4 3 2" xfId="27127"/>
    <cellStyle name="40% - Accent2 2 4 3 3" xfId="27128"/>
    <cellStyle name="40% - Accent2 2 4 4" xfId="27129"/>
    <cellStyle name="40% - Accent2 2 4 4 2" xfId="27130"/>
    <cellStyle name="40% - Accent2 2 4 5" xfId="27131"/>
    <cellStyle name="40% - Accent2 2 5" xfId="27132"/>
    <cellStyle name="40% - Accent2 2 5 2" xfId="27133"/>
    <cellStyle name="40% - Accent2 2 5 2 2" xfId="27134"/>
    <cellStyle name="40% - Accent2 2 5 3" xfId="27135"/>
    <cellStyle name="40% - Accent2 2 6" xfId="27136"/>
    <cellStyle name="40% - Accent2 2 6 2" xfId="27137"/>
    <cellStyle name="40% - Accent2 2 6 2 2" xfId="27138"/>
    <cellStyle name="40% - Accent2 2 6 3" xfId="27139"/>
    <cellStyle name="40% - Accent2 2 7" xfId="27140"/>
    <cellStyle name="40% - Accent2 2 7 2" xfId="27141"/>
    <cellStyle name="40% - Accent2 2 8" xfId="27142"/>
    <cellStyle name="40% - Accent2 2 9" xfId="27143"/>
    <cellStyle name="40% - Accent2 2_12PCORC Wind Vestas and Royalties" xfId="27144"/>
    <cellStyle name="40% - Accent2 3" xfId="1074"/>
    <cellStyle name="40% - Accent2 3 2" xfId="1075"/>
    <cellStyle name="40% - Accent2 3 2 2" xfId="27145"/>
    <cellStyle name="40% - Accent2 3 2 2 2" xfId="27146"/>
    <cellStyle name="40% - Accent2 3 2 3" xfId="27147"/>
    <cellStyle name="40% - Accent2 3 2 3 2" xfId="27148"/>
    <cellStyle name="40% - Accent2 3 2 4" xfId="27149"/>
    <cellStyle name="40% - Accent2 3 2 4 2" xfId="27150"/>
    <cellStyle name="40% - Accent2 3 2 5" xfId="27151"/>
    <cellStyle name="40% - Accent2 3 2 6" xfId="27152"/>
    <cellStyle name="40% - Accent2 3 3" xfId="27153"/>
    <cellStyle name="40% - Accent2 3 3 2" xfId="27154"/>
    <cellStyle name="40% - Accent2 3 3 2 2" xfId="27155"/>
    <cellStyle name="40% - Accent2 3 3 2 2 2" xfId="27156"/>
    <cellStyle name="40% - Accent2 3 3 2 3" xfId="27157"/>
    <cellStyle name="40% - Accent2 3 3 2 4" xfId="27158"/>
    <cellStyle name="40% - Accent2 3 3 2 5" xfId="27159"/>
    <cellStyle name="40% - Accent2 3 3 3" xfId="27160"/>
    <cellStyle name="40% - Accent2 3 3 3 2" xfId="27161"/>
    <cellStyle name="40% - Accent2 3 3 4" xfId="27162"/>
    <cellStyle name="40% - Accent2 3 4" xfId="27163"/>
    <cellStyle name="40% - Accent2 3 4 2" xfId="27164"/>
    <cellStyle name="40% - Accent2 3 4 2 2" xfId="27165"/>
    <cellStyle name="40% - Accent2 3 4 3" xfId="27166"/>
    <cellStyle name="40% - Accent2 3 4 4" xfId="27167"/>
    <cellStyle name="40% - Accent2 3 5" xfId="27168"/>
    <cellStyle name="40% - Accent2 3 5 2" xfId="27169"/>
    <cellStyle name="40% - Accent2 3 6" xfId="27170"/>
    <cellStyle name="40% - Accent2 4" xfId="1076"/>
    <cellStyle name="40% - Accent2 4 2" xfId="27171"/>
    <cellStyle name="40% - Accent2 4 2 2" xfId="27172"/>
    <cellStyle name="40% - Accent2 4 2 2 2" xfId="27173"/>
    <cellStyle name="40% - Accent2 4 2 3" xfId="27174"/>
    <cellStyle name="40% - Accent2 4 3" xfId="27175"/>
    <cellStyle name="40% - Accent2 4 3 2" xfId="27176"/>
    <cellStyle name="40% - Accent2 4 4" xfId="27177"/>
    <cellStyle name="40% - Accent2 4 4 2" xfId="27178"/>
    <cellStyle name="40% - Accent2 4 5" xfId="27179"/>
    <cellStyle name="40% - Accent2 5" xfId="27180"/>
    <cellStyle name="40% - Accent2 5 2" xfId="27181"/>
    <cellStyle name="40% - Accent2 5 2 2" xfId="27182"/>
    <cellStyle name="40% - Accent2 5 2 2 2" xfId="27183"/>
    <cellStyle name="40% - Accent2 5 2 3" xfId="27184"/>
    <cellStyle name="40% - Accent2 5 3" xfId="27185"/>
    <cellStyle name="40% - Accent2 5 3 2" xfId="27186"/>
    <cellStyle name="40% - Accent2 5 3 3" xfId="27187"/>
    <cellStyle name="40% - Accent2 5 4" xfId="27188"/>
    <cellStyle name="40% - Accent2 5 4 2" xfId="27189"/>
    <cellStyle name="40% - Accent2 6" xfId="27190"/>
    <cellStyle name="40% - Accent2 6 2" xfId="27191"/>
    <cellStyle name="40% - Accent2 6 2 2" xfId="27192"/>
    <cellStyle name="40% - Accent2 6 2 2 2" xfId="27193"/>
    <cellStyle name="40% - Accent2 6 2 3" xfId="27194"/>
    <cellStyle name="40% - Accent2 6 2 4" xfId="27195"/>
    <cellStyle name="40% - Accent2 6 3" xfId="27196"/>
    <cellStyle name="40% - Accent2 6 3 2" xfId="27197"/>
    <cellStyle name="40% - Accent2 6 3 3" xfId="27198"/>
    <cellStyle name="40% - Accent2 6 4" xfId="27199"/>
    <cellStyle name="40% - Accent2 6 4 2" xfId="27200"/>
    <cellStyle name="40% - Accent2 6 5" xfId="27201"/>
    <cellStyle name="40% - Accent2 7" xfId="27202"/>
    <cellStyle name="40% - Accent2 7 2" xfId="27203"/>
    <cellStyle name="40% - Accent2 7 2 2" xfId="27204"/>
    <cellStyle name="40% - Accent2 7 2 2 2" xfId="27205"/>
    <cellStyle name="40% - Accent2 7 2 3" xfId="27206"/>
    <cellStyle name="40% - Accent2 7 2 4" xfId="27207"/>
    <cellStyle name="40% - Accent2 7 3" xfId="27208"/>
    <cellStyle name="40% - Accent2 7 3 2" xfId="27209"/>
    <cellStyle name="40% - Accent2 7 4" xfId="27210"/>
    <cellStyle name="40% - Accent2 7 4 2" xfId="27211"/>
    <cellStyle name="40% - Accent2 7 5" xfId="27212"/>
    <cellStyle name="40% - Accent2 8" xfId="27213"/>
    <cellStyle name="40% - Accent2 8 2" xfId="27214"/>
    <cellStyle name="40% - Accent2 8 2 2" xfId="27215"/>
    <cellStyle name="40% - Accent2 8 2 3" xfId="27216"/>
    <cellStyle name="40% - Accent2 8 3" xfId="27217"/>
    <cellStyle name="40% - Accent2 9" xfId="27218"/>
    <cellStyle name="40% - Accent2 9 2" xfId="27219"/>
    <cellStyle name="40% - Accent2 9 2 2" xfId="27220"/>
    <cellStyle name="40% - Accent2 9 2 3" xfId="27221"/>
    <cellStyle name="40% - Accent2 9 3" xfId="27222"/>
    <cellStyle name="40% - Accent2 9 4" xfId="27223"/>
    <cellStyle name="40% - Accent2 9 5" xfId="27224"/>
    <cellStyle name="40% - Accent3 10" xfId="27225"/>
    <cellStyle name="40% - Accent3 10 2" xfId="27226"/>
    <cellStyle name="40% - Accent3 10 2 2" xfId="27227"/>
    <cellStyle name="40% - Accent3 10 3" xfId="27228"/>
    <cellStyle name="40% - Accent3 10 4" xfId="27229"/>
    <cellStyle name="40% - Accent3 11" xfId="27230"/>
    <cellStyle name="40% - Accent3 11 2" xfId="27231"/>
    <cellStyle name="40% - Accent3 11 3" xfId="27232"/>
    <cellStyle name="40% - Accent3 12" xfId="27233"/>
    <cellStyle name="40% - Accent3 13" xfId="27234"/>
    <cellStyle name="40% - Accent3 2" xfId="1077"/>
    <cellStyle name="40% - Accent3 2 2" xfId="1078"/>
    <cellStyle name="40% - Accent3 2 2 2" xfId="27235"/>
    <cellStyle name="40% - Accent3 2 2 2 2" xfId="27236"/>
    <cellStyle name="40% - Accent3 2 2 2 2 2" xfId="27237"/>
    <cellStyle name="40% - Accent3 2 2 2 3" xfId="27238"/>
    <cellStyle name="40% - Accent3 2 2 2 3 2" xfId="27239"/>
    <cellStyle name="40% - Accent3 2 2 2 4" xfId="27240"/>
    <cellStyle name="40% - Accent3 2 2 3" xfId="27241"/>
    <cellStyle name="40% - Accent3 2 2 3 2" xfId="27242"/>
    <cellStyle name="40% - Accent3 2 2 3 2 2" xfId="27243"/>
    <cellStyle name="40% - Accent3 2 2 3 2 3" xfId="27244"/>
    <cellStyle name="40% - Accent3 2 2 3 3" xfId="27245"/>
    <cellStyle name="40% - Accent3 2 2 3 4" xfId="27246"/>
    <cellStyle name="40% - Accent3 2 2 4" xfId="27247"/>
    <cellStyle name="40% - Accent3 2 2 4 2" xfId="27248"/>
    <cellStyle name="40% - Accent3 2 2 4 3" xfId="27249"/>
    <cellStyle name="40% - Accent3 2 2 5" xfId="27250"/>
    <cellStyle name="40% - Accent3 2 2 5 2" xfId="27251"/>
    <cellStyle name="40% - Accent3 2 2 6" xfId="27252"/>
    <cellStyle name="40% - Accent3 2 3" xfId="1079"/>
    <cellStyle name="40% - Accent3 2 3 2" xfId="27253"/>
    <cellStyle name="40% - Accent3 2 3 2 2" xfId="27254"/>
    <cellStyle name="40% - Accent3 2 3 2 2 2" xfId="27255"/>
    <cellStyle name="40% - Accent3 2 3 2 3" xfId="27256"/>
    <cellStyle name="40% - Accent3 2 3 3" xfId="27257"/>
    <cellStyle name="40% - Accent3 2 3 3 2" xfId="27258"/>
    <cellStyle name="40% - Accent3 2 3 4" xfId="27259"/>
    <cellStyle name="40% - Accent3 2 3 4 2" xfId="27260"/>
    <cellStyle name="40% - Accent3 2 3 5" xfId="27261"/>
    <cellStyle name="40% - Accent3 2 4" xfId="27262"/>
    <cellStyle name="40% - Accent3 2 4 2" xfId="27263"/>
    <cellStyle name="40% - Accent3 2 4 2 2" xfId="27264"/>
    <cellStyle name="40% - Accent3 2 4 2 2 2" xfId="27265"/>
    <cellStyle name="40% - Accent3 2 4 2 3" xfId="27266"/>
    <cellStyle name="40% - Accent3 2 4 2 3 2" xfId="27267"/>
    <cellStyle name="40% - Accent3 2 4 3" xfId="27268"/>
    <cellStyle name="40% - Accent3 2 4 3 2" xfId="27269"/>
    <cellStyle name="40% - Accent3 2 4 3 2 2" xfId="27270"/>
    <cellStyle name="40% - Accent3 2 4 3 3" xfId="27271"/>
    <cellStyle name="40% - Accent3 2 4 4" xfId="27272"/>
    <cellStyle name="40% - Accent3 2 4 4 2" xfId="27273"/>
    <cellStyle name="40% - Accent3 2 4 5" xfId="27274"/>
    <cellStyle name="40% - Accent3 2 4 5 2" xfId="27275"/>
    <cellStyle name="40% - Accent3 2 5" xfId="27276"/>
    <cellStyle name="40% - Accent3 2 5 2" xfId="27277"/>
    <cellStyle name="40% - Accent3 2 5 2 2" xfId="27278"/>
    <cellStyle name="40% - Accent3 2 5 3" xfId="27279"/>
    <cellStyle name="40% - Accent3 2 6" xfId="27280"/>
    <cellStyle name="40% - Accent3 2 6 2" xfId="27281"/>
    <cellStyle name="40% - Accent3 2 6 2 2" xfId="27282"/>
    <cellStyle name="40% - Accent3 2 6 3" xfId="27283"/>
    <cellStyle name="40% - Accent3 2 7" xfId="27284"/>
    <cellStyle name="40% - Accent3 2 7 2" xfId="27285"/>
    <cellStyle name="40% - Accent3 2 8" xfId="27286"/>
    <cellStyle name="40% - Accent3 2 9" xfId="27287"/>
    <cellStyle name="40% - Accent3 2_12PCORC Wind Vestas and Royalties" xfId="27288"/>
    <cellStyle name="40% - Accent3 3" xfId="1080"/>
    <cellStyle name="40% - Accent3 3 2" xfId="1081"/>
    <cellStyle name="40% - Accent3 3 2 2" xfId="27289"/>
    <cellStyle name="40% - Accent3 3 2 2 2" xfId="27290"/>
    <cellStyle name="40% - Accent3 3 2 3" xfId="27291"/>
    <cellStyle name="40% - Accent3 3 2 3 2" xfId="27292"/>
    <cellStyle name="40% - Accent3 3 2 4" xfId="27293"/>
    <cellStyle name="40% - Accent3 3 2 4 2" xfId="27294"/>
    <cellStyle name="40% - Accent3 3 2 5" xfId="27295"/>
    <cellStyle name="40% - Accent3 3 2 6" xfId="27296"/>
    <cellStyle name="40% - Accent3 3 3" xfId="27297"/>
    <cellStyle name="40% - Accent3 3 3 2" xfId="27298"/>
    <cellStyle name="40% - Accent3 3 3 2 2" xfId="27299"/>
    <cellStyle name="40% - Accent3 3 3 2 2 2" xfId="27300"/>
    <cellStyle name="40% - Accent3 3 3 2 3" xfId="27301"/>
    <cellStyle name="40% - Accent3 3 3 2 4" xfId="27302"/>
    <cellStyle name="40% - Accent3 3 3 2 5" xfId="27303"/>
    <cellStyle name="40% - Accent3 3 3 3" xfId="27304"/>
    <cellStyle name="40% - Accent3 3 3 3 2" xfId="27305"/>
    <cellStyle name="40% - Accent3 3 3 4" xfId="27306"/>
    <cellStyle name="40% - Accent3 3 4" xfId="27307"/>
    <cellStyle name="40% - Accent3 3 4 2" xfId="27308"/>
    <cellStyle name="40% - Accent3 3 4 2 2" xfId="27309"/>
    <cellStyle name="40% - Accent3 3 4 3" xfId="27310"/>
    <cellStyle name="40% - Accent3 3 4 4" xfId="27311"/>
    <cellStyle name="40% - Accent3 3 5" xfId="27312"/>
    <cellStyle name="40% - Accent3 3 5 2" xfId="27313"/>
    <cellStyle name="40% - Accent3 3 6" xfId="27314"/>
    <cellStyle name="40% - Accent3 3 7" xfId="27315"/>
    <cellStyle name="40% - Accent3 4" xfId="1082"/>
    <cellStyle name="40% - Accent3 4 2" xfId="27316"/>
    <cellStyle name="40% - Accent3 4 2 2" xfId="27317"/>
    <cellStyle name="40% - Accent3 4 2 2 2" xfId="27318"/>
    <cellStyle name="40% - Accent3 4 2 3" xfId="27319"/>
    <cellStyle name="40% - Accent3 4 2 3 2" xfId="27320"/>
    <cellStyle name="40% - Accent3 4 2 4" xfId="27321"/>
    <cellStyle name="40% - Accent3 4 2 4 2" xfId="27322"/>
    <cellStyle name="40% - Accent3 4 2 5" xfId="27323"/>
    <cellStyle name="40% - Accent3 4 3" xfId="27324"/>
    <cellStyle name="40% - Accent3 4 3 2" xfId="27325"/>
    <cellStyle name="40% - Accent3 4 3 2 2" xfId="27326"/>
    <cellStyle name="40% - Accent3 4 3 3" xfId="27327"/>
    <cellStyle name="40% - Accent3 4 4" xfId="27328"/>
    <cellStyle name="40% - Accent3 4 4 2" xfId="27329"/>
    <cellStyle name="40% - Accent3 4 5" xfId="27330"/>
    <cellStyle name="40% - Accent3 4 5 2" xfId="27331"/>
    <cellStyle name="40% - Accent3 4 6" xfId="27332"/>
    <cellStyle name="40% - Accent3 4 6 2" xfId="27333"/>
    <cellStyle name="40% - Accent3 4 7" xfId="27334"/>
    <cellStyle name="40% - Accent3 4 7 2" xfId="27335"/>
    <cellStyle name="40% - Accent3 4 8" xfId="27336"/>
    <cellStyle name="40% - Accent3 4 9" xfId="27337"/>
    <cellStyle name="40% - Accent3 5" xfId="27338"/>
    <cellStyle name="40% - Accent3 5 2" xfId="27339"/>
    <cellStyle name="40% - Accent3 5 2 2" xfId="27340"/>
    <cellStyle name="40% - Accent3 5 2 2 2" xfId="27341"/>
    <cellStyle name="40% - Accent3 5 2 3" xfId="27342"/>
    <cellStyle name="40% - Accent3 5 3" xfId="27343"/>
    <cellStyle name="40% - Accent3 5 3 2" xfId="27344"/>
    <cellStyle name="40% - Accent3 5 3 3" xfId="27345"/>
    <cellStyle name="40% - Accent3 5 4" xfId="27346"/>
    <cellStyle name="40% - Accent3 5 4 2" xfId="27347"/>
    <cellStyle name="40% - Accent3 5 4 3" xfId="27348"/>
    <cellStyle name="40% - Accent3 5 5" xfId="27349"/>
    <cellStyle name="40% - Accent3 6" xfId="27350"/>
    <cellStyle name="40% - Accent3 6 2" xfId="27351"/>
    <cellStyle name="40% - Accent3 6 2 2" xfId="27352"/>
    <cellStyle name="40% - Accent3 6 2 2 2" xfId="27353"/>
    <cellStyle name="40% - Accent3 6 2 3" xfId="27354"/>
    <cellStyle name="40% - Accent3 6 2 4" xfId="27355"/>
    <cellStyle name="40% - Accent3 6 3" xfId="27356"/>
    <cellStyle name="40% - Accent3 6 3 2" xfId="27357"/>
    <cellStyle name="40% - Accent3 6 3 3" xfId="27358"/>
    <cellStyle name="40% - Accent3 6 4" xfId="27359"/>
    <cellStyle name="40% - Accent3 6 4 2" xfId="27360"/>
    <cellStyle name="40% - Accent3 6 5" xfId="27361"/>
    <cellStyle name="40% - Accent3 7" xfId="27362"/>
    <cellStyle name="40% - Accent3 7 2" xfId="27363"/>
    <cellStyle name="40% - Accent3 7 2 2" xfId="27364"/>
    <cellStyle name="40% - Accent3 7 2 2 2" xfId="27365"/>
    <cellStyle name="40% - Accent3 7 2 3" xfId="27366"/>
    <cellStyle name="40% - Accent3 7 2 4" xfId="27367"/>
    <cellStyle name="40% - Accent3 7 3" xfId="27368"/>
    <cellStyle name="40% - Accent3 7 3 2" xfId="27369"/>
    <cellStyle name="40% - Accent3 7 4" xfId="27370"/>
    <cellStyle name="40% - Accent3 7 4 2" xfId="27371"/>
    <cellStyle name="40% - Accent3 7 5" xfId="27372"/>
    <cellStyle name="40% - Accent3 8" xfId="27373"/>
    <cellStyle name="40% - Accent3 8 2" xfId="27374"/>
    <cellStyle name="40% - Accent3 8 2 2" xfId="27375"/>
    <cellStyle name="40% - Accent3 8 2 3" xfId="27376"/>
    <cellStyle name="40% - Accent3 8 3" xfId="27377"/>
    <cellStyle name="40% - Accent3 9" xfId="27378"/>
    <cellStyle name="40% - Accent3 9 2" xfId="27379"/>
    <cellStyle name="40% - Accent3 9 2 2" xfId="27380"/>
    <cellStyle name="40% - Accent3 9 2 3" xfId="27381"/>
    <cellStyle name="40% - Accent3 9 3" xfId="27382"/>
    <cellStyle name="40% - Accent3 9 4" xfId="27383"/>
    <cellStyle name="40% - Accent3 9 5" xfId="27384"/>
    <cellStyle name="40% - Accent4 10" xfId="27385"/>
    <cellStyle name="40% - Accent4 10 2" xfId="27386"/>
    <cellStyle name="40% - Accent4 10 2 2" xfId="27387"/>
    <cellStyle name="40% - Accent4 10 3" xfId="27388"/>
    <cellStyle name="40% - Accent4 10 4" xfId="27389"/>
    <cellStyle name="40% - Accent4 11" xfId="27390"/>
    <cellStyle name="40% - Accent4 11 2" xfId="27391"/>
    <cellStyle name="40% - Accent4 11 3" xfId="27392"/>
    <cellStyle name="40% - Accent4 12" xfId="27393"/>
    <cellStyle name="40% - Accent4 13" xfId="27394"/>
    <cellStyle name="40% - Accent4 2" xfId="1083"/>
    <cellStyle name="40% - Accent4 2 2" xfId="1084"/>
    <cellStyle name="40% - Accent4 2 2 2" xfId="27395"/>
    <cellStyle name="40% - Accent4 2 2 2 2" xfId="27396"/>
    <cellStyle name="40% - Accent4 2 2 2 2 2" xfId="27397"/>
    <cellStyle name="40% - Accent4 2 2 2 3" xfId="27398"/>
    <cellStyle name="40% - Accent4 2 2 2 3 2" xfId="27399"/>
    <cellStyle name="40% - Accent4 2 2 2 4" xfId="27400"/>
    <cellStyle name="40% - Accent4 2 2 3" xfId="27401"/>
    <cellStyle name="40% - Accent4 2 2 3 2" xfId="27402"/>
    <cellStyle name="40% - Accent4 2 2 3 2 2" xfId="27403"/>
    <cellStyle name="40% - Accent4 2 2 3 2 3" xfId="27404"/>
    <cellStyle name="40% - Accent4 2 2 3 3" xfId="27405"/>
    <cellStyle name="40% - Accent4 2 2 3 4" xfId="27406"/>
    <cellStyle name="40% - Accent4 2 2 4" xfId="27407"/>
    <cellStyle name="40% - Accent4 2 2 4 2" xfId="27408"/>
    <cellStyle name="40% - Accent4 2 2 4 3" xfId="27409"/>
    <cellStyle name="40% - Accent4 2 2 5" xfId="27410"/>
    <cellStyle name="40% - Accent4 2 2 5 2" xfId="27411"/>
    <cellStyle name="40% - Accent4 2 2 6" xfId="27412"/>
    <cellStyle name="40% - Accent4 2 3" xfId="1085"/>
    <cellStyle name="40% - Accent4 2 3 2" xfId="27413"/>
    <cellStyle name="40% - Accent4 2 3 2 2" xfId="27414"/>
    <cellStyle name="40% - Accent4 2 3 2 2 2" xfId="27415"/>
    <cellStyle name="40% - Accent4 2 3 2 3" xfId="27416"/>
    <cellStyle name="40% - Accent4 2 3 3" xfId="27417"/>
    <cellStyle name="40% - Accent4 2 3 3 2" xfId="27418"/>
    <cellStyle name="40% - Accent4 2 3 4" xfId="27419"/>
    <cellStyle name="40% - Accent4 2 3 4 2" xfId="27420"/>
    <cellStyle name="40% - Accent4 2 3 5" xfId="27421"/>
    <cellStyle name="40% - Accent4 2 4" xfId="27422"/>
    <cellStyle name="40% - Accent4 2 4 2" xfId="27423"/>
    <cellStyle name="40% - Accent4 2 4 2 2" xfId="27424"/>
    <cellStyle name="40% - Accent4 2 4 2 2 2" xfId="27425"/>
    <cellStyle name="40% - Accent4 2 4 2 3" xfId="27426"/>
    <cellStyle name="40% - Accent4 2 4 2 3 2" xfId="27427"/>
    <cellStyle name="40% - Accent4 2 4 3" xfId="27428"/>
    <cellStyle name="40% - Accent4 2 4 3 2" xfId="27429"/>
    <cellStyle name="40% - Accent4 2 4 3 2 2" xfId="27430"/>
    <cellStyle name="40% - Accent4 2 4 3 3" xfId="27431"/>
    <cellStyle name="40% - Accent4 2 4 4" xfId="27432"/>
    <cellStyle name="40% - Accent4 2 4 4 2" xfId="27433"/>
    <cellStyle name="40% - Accent4 2 4 5" xfId="27434"/>
    <cellStyle name="40% - Accent4 2 4 5 2" xfId="27435"/>
    <cellStyle name="40% - Accent4 2 5" xfId="27436"/>
    <cellStyle name="40% - Accent4 2 5 2" xfId="27437"/>
    <cellStyle name="40% - Accent4 2 5 2 2" xfId="27438"/>
    <cellStyle name="40% - Accent4 2 5 3" xfId="27439"/>
    <cellStyle name="40% - Accent4 2 6" xfId="27440"/>
    <cellStyle name="40% - Accent4 2 6 2" xfId="27441"/>
    <cellStyle name="40% - Accent4 2 6 2 2" xfId="27442"/>
    <cellStyle name="40% - Accent4 2 6 3" xfId="27443"/>
    <cellStyle name="40% - Accent4 2 7" xfId="27444"/>
    <cellStyle name="40% - Accent4 2 7 2" xfId="27445"/>
    <cellStyle name="40% - Accent4 2 8" xfId="27446"/>
    <cellStyle name="40% - Accent4 2 9" xfId="27447"/>
    <cellStyle name="40% - Accent4 2_12PCORC Wind Vestas and Royalties" xfId="27448"/>
    <cellStyle name="40% - Accent4 3" xfId="1086"/>
    <cellStyle name="40% - Accent4 3 2" xfId="1087"/>
    <cellStyle name="40% - Accent4 3 2 2" xfId="27449"/>
    <cellStyle name="40% - Accent4 3 2 2 2" xfId="27450"/>
    <cellStyle name="40% - Accent4 3 2 3" xfId="27451"/>
    <cellStyle name="40% - Accent4 3 2 3 2" xfId="27452"/>
    <cellStyle name="40% - Accent4 3 2 4" xfId="27453"/>
    <cellStyle name="40% - Accent4 3 2 4 2" xfId="27454"/>
    <cellStyle name="40% - Accent4 3 2 5" xfId="27455"/>
    <cellStyle name="40% - Accent4 3 2 6" xfId="27456"/>
    <cellStyle name="40% - Accent4 3 3" xfId="27457"/>
    <cellStyle name="40% - Accent4 3 3 2" xfId="27458"/>
    <cellStyle name="40% - Accent4 3 3 2 2" xfId="27459"/>
    <cellStyle name="40% - Accent4 3 3 2 2 2" xfId="27460"/>
    <cellStyle name="40% - Accent4 3 3 2 3" xfId="27461"/>
    <cellStyle name="40% - Accent4 3 3 2 4" xfId="27462"/>
    <cellStyle name="40% - Accent4 3 3 2 5" xfId="27463"/>
    <cellStyle name="40% - Accent4 3 3 3" xfId="27464"/>
    <cellStyle name="40% - Accent4 3 3 3 2" xfId="27465"/>
    <cellStyle name="40% - Accent4 3 3 4" xfId="27466"/>
    <cellStyle name="40% - Accent4 3 4" xfId="27467"/>
    <cellStyle name="40% - Accent4 3 4 2" xfId="27468"/>
    <cellStyle name="40% - Accent4 3 4 2 2" xfId="27469"/>
    <cellStyle name="40% - Accent4 3 4 3" xfId="27470"/>
    <cellStyle name="40% - Accent4 3 4 4" xfId="27471"/>
    <cellStyle name="40% - Accent4 3 5" xfId="27472"/>
    <cellStyle name="40% - Accent4 3 5 2" xfId="27473"/>
    <cellStyle name="40% - Accent4 3 6" xfId="27474"/>
    <cellStyle name="40% - Accent4 3 7" xfId="27475"/>
    <cellStyle name="40% - Accent4 4" xfId="1088"/>
    <cellStyle name="40% - Accent4 4 2" xfId="27476"/>
    <cellStyle name="40% - Accent4 4 2 2" xfId="27477"/>
    <cellStyle name="40% - Accent4 4 2 2 2" xfId="27478"/>
    <cellStyle name="40% - Accent4 4 2 3" xfId="27479"/>
    <cellStyle name="40% - Accent4 4 2 3 2" xfId="27480"/>
    <cellStyle name="40% - Accent4 4 2 4" xfId="27481"/>
    <cellStyle name="40% - Accent4 4 2 4 2" xfId="27482"/>
    <cellStyle name="40% - Accent4 4 2 5" xfId="27483"/>
    <cellStyle name="40% - Accent4 4 3" xfId="27484"/>
    <cellStyle name="40% - Accent4 4 3 2" xfId="27485"/>
    <cellStyle name="40% - Accent4 4 3 2 2" xfId="27486"/>
    <cellStyle name="40% - Accent4 4 3 3" xfId="27487"/>
    <cellStyle name="40% - Accent4 4 4" xfId="27488"/>
    <cellStyle name="40% - Accent4 4 4 2" xfId="27489"/>
    <cellStyle name="40% - Accent4 4 5" xfId="27490"/>
    <cellStyle name="40% - Accent4 4 5 2" xfId="27491"/>
    <cellStyle name="40% - Accent4 4 6" xfId="27492"/>
    <cellStyle name="40% - Accent4 4 6 2" xfId="27493"/>
    <cellStyle name="40% - Accent4 4 7" xfId="27494"/>
    <cellStyle name="40% - Accent4 4 7 2" xfId="27495"/>
    <cellStyle name="40% - Accent4 4 8" xfId="27496"/>
    <cellStyle name="40% - Accent4 4 9" xfId="27497"/>
    <cellStyle name="40% - Accent4 5" xfId="27498"/>
    <cellStyle name="40% - Accent4 5 2" xfId="27499"/>
    <cellStyle name="40% - Accent4 5 2 2" xfId="27500"/>
    <cellStyle name="40% - Accent4 5 2 2 2" xfId="27501"/>
    <cellStyle name="40% - Accent4 5 2 3" xfId="27502"/>
    <cellStyle name="40% - Accent4 5 3" xfId="27503"/>
    <cellStyle name="40% - Accent4 5 3 2" xfId="27504"/>
    <cellStyle name="40% - Accent4 5 3 3" xfId="27505"/>
    <cellStyle name="40% - Accent4 5 4" xfId="27506"/>
    <cellStyle name="40% - Accent4 5 4 2" xfId="27507"/>
    <cellStyle name="40% - Accent4 5 4 3" xfId="27508"/>
    <cellStyle name="40% - Accent4 5 5" xfId="27509"/>
    <cellStyle name="40% - Accent4 6" xfId="27510"/>
    <cellStyle name="40% - Accent4 6 2" xfId="27511"/>
    <cellStyle name="40% - Accent4 6 2 2" xfId="27512"/>
    <cellStyle name="40% - Accent4 6 2 2 2" xfId="27513"/>
    <cellStyle name="40% - Accent4 6 2 3" xfId="27514"/>
    <cellStyle name="40% - Accent4 6 2 4" xfId="27515"/>
    <cellStyle name="40% - Accent4 6 3" xfId="27516"/>
    <cellStyle name="40% - Accent4 6 3 2" xfId="27517"/>
    <cellStyle name="40% - Accent4 6 3 3" xfId="27518"/>
    <cellStyle name="40% - Accent4 6 4" xfId="27519"/>
    <cellStyle name="40% - Accent4 6 4 2" xfId="27520"/>
    <cellStyle name="40% - Accent4 6 5" xfId="27521"/>
    <cellStyle name="40% - Accent4 7" xfId="27522"/>
    <cellStyle name="40% - Accent4 7 2" xfId="27523"/>
    <cellStyle name="40% - Accent4 7 2 2" xfId="27524"/>
    <cellStyle name="40% - Accent4 7 2 2 2" xfId="27525"/>
    <cellStyle name="40% - Accent4 7 2 3" xfId="27526"/>
    <cellStyle name="40% - Accent4 7 2 4" xfId="27527"/>
    <cellStyle name="40% - Accent4 7 3" xfId="27528"/>
    <cellStyle name="40% - Accent4 7 3 2" xfId="27529"/>
    <cellStyle name="40% - Accent4 7 4" xfId="27530"/>
    <cellStyle name="40% - Accent4 7 4 2" xfId="27531"/>
    <cellStyle name="40% - Accent4 7 5" xfId="27532"/>
    <cellStyle name="40% - Accent4 8" xfId="27533"/>
    <cellStyle name="40% - Accent4 8 2" xfId="27534"/>
    <cellStyle name="40% - Accent4 8 2 2" xfId="27535"/>
    <cellStyle name="40% - Accent4 8 2 3" xfId="27536"/>
    <cellStyle name="40% - Accent4 8 3" xfId="27537"/>
    <cellStyle name="40% - Accent4 9" xfId="27538"/>
    <cellStyle name="40% - Accent4 9 2" xfId="27539"/>
    <cellStyle name="40% - Accent4 9 2 2" xfId="27540"/>
    <cellStyle name="40% - Accent4 9 2 3" xfId="27541"/>
    <cellStyle name="40% - Accent4 9 3" xfId="27542"/>
    <cellStyle name="40% - Accent4 9 4" xfId="27543"/>
    <cellStyle name="40% - Accent4 9 5" xfId="27544"/>
    <cellStyle name="40% - Accent5 10" xfId="27545"/>
    <cellStyle name="40% - Accent5 10 2" xfId="27546"/>
    <cellStyle name="40% - Accent5 10 2 2" xfId="27547"/>
    <cellStyle name="40% - Accent5 10 3" xfId="27548"/>
    <cellStyle name="40% - Accent5 10 4" xfId="27549"/>
    <cellStyle name="40% - Accent5 11" xfId="27550"/>
    <cellStyle name="40% - Accent5 11 2" xfId="27551"/>
    <cellStyle name="40% - Accent5 11 3" xfId="27552"/>
    <cellStyle name="40% - Accent5 12" xfId="27553"/>
    <cellStyle name="40% - Accent5 13" xfId="27554"/>
    <cellStyle name="40% - Accent5 2" xfId="1089"/>
    <cellStyle name="40% - Accent5 2 2" xfId="1090"/>
    <cellStyle name="40% - Accent5 2 2 2" xfId="27555"/>
    <cellStyle name="40% - Accent5 2 2 2 2" xfId="27556"/>
    <cellStyle name="40% - Accent5 2 2 2 2 2" xfId="27557"/>
    <cellStyle name="40% - Accent5 2 2 2 3" xfId="27558"/>
    <cellStyle name="40% - Accent5 2 2 2 3 2" xfId="27559"/>
    <cellStyle name="40% - Accent5 2 2 2 4" xfId="27560"/>
    <cellStyle name="40% - Accent5 2 2 3" xfId="27561"/>
    <cellStyle name="40% - Accent5 2 2 3 2" xfId="27562"/>
    <cellStyle name="40% - Accent5 2 2 3 2 2" xfId="27563"/>
    <cellStyle name="40% - Accent5 2 2 3 2 3" xfId="27564"/>
    <cellStyle name="40% - Accent5 2 2 3 3" xfId="27565"/>
    <cellStyle name="40% - Accent5 2 2 3 4" xfId="27566"/>
    <cellStyle name="40% - Accent5 2 2 4" xfId="27567"/>
    <cellStyle name="40% - Accent5 2 2 4 2" xfId="27568"/>
    <cellStyle name="40% - Accent5 2 2 4 3" xfId="27569"/>
    <cellStyle name="40% - Accent5 2 2 5" xfId="27570"/>
    <cellStyle name="40% - Accent5 2 2 5 2" xfId="27571"/>
    <cellStyle name="40% - Accent5 2 2 6" xfId="27572"/>
    <cellStyle name="40% - Accent5 2 3" xfId="1091"/>
    <cellStyle name="40% - Accent5 2 3 2" xfId="27573"/>
    <cellStyle name="40% - Accent5 2 3 2 2" xfId="27574"/>
    <cellStyle name="40% - Accent5 2 3 2 2 2" xfId="27575"/>
    <cellStyle name="40% - Accent5 2 3 2 3" xfId="27576"/>
    <cellStyle name="40% - Accent5 2 3 3" xfId="27577"/>
    <cellStyle name="40% - Accent5 2 3 3 2" xfId="27578"/>
    <cellStyle name="40% - Accent5 2 3 4" xfId="27579"/>
    <cellStyle name="40% - Accent5 2 3 4 2" xfId="27580"/>
    <cellStyle name="40% - Accent5 2 3 5" xfId="27581"/>
    <cellStyle name="40% - Accent5 2 4" xfId="27582"/>
    <cellStyle name="40% - Accent5 2 4 2" xfId="27583"/>
    <cellStyle name="40% - Accent5 2 4 2 2" xfId="27584"/>
    <cellStyle name="40% - Accent5 2 4 2 2 2" xfId="27585"/>
    <cellStyle name="40% - Accent5 2 4 2 3" xfId="27586"/>
    <cellStyle name="40% - Accent5 2 4 3" xfId="27587"/>
    <cellStyle name="40% - Accent5 2 4 3 2" xfId="27588"/>
    <cellStyle name="40% - Accent5 2 4 3 3" xfId="27589"/>
    <cellStyle name="40% - Accent5 2 4 4" xfId="27590"/>
    <cellStyle name="40% - Accent5 2 4 4 2" xfId="27591"/>
    <cellStyle name="40% - Accent5 2 4 5" xfId="27592"/>
    <cellStyle name="40% - Accent5 2 5" xfId="27593"/>
    <cellStyle name="40% - Accent5 2 5 2" xfId="27594"/>
    <cellStyle name="40% - Accent5 2 5 2 2" xfId="27595"/>
    <cellStyle name="40% - Accent5 2 5 3" xfId="27596"/>
    <cellStyle name="40% - Accent5 2 6" xfId="27597"/>
    <cellStyle name="40% - Accent5 2 6 2" xfId="27598"/>
    <cellStyle name="40% - Accent5 2 6 2 2" xfId="27599"/>
    <cellStyle name="40% - Accent5 2 6 3" xfId="27600"/>
    <cellStyle name="40% - Accent5 2 7" xfId="27601"/>
    <cellStyle name="40% - Accent5 2 7 2" xfId="27602"/>
    <cellStyle name="40% - Accent5 2 8" xfId="27603"/>
    <cellStyle name="40% - Accent5 2 9" xfId="27604"/>
    <cellStyle name="40% - Accent5 2_12PCORC Wind Vestas and Royalties" xfId="27605"/>
    <cellStyle name="40% - Accent5 3" xfId="1092"/>
    <cellStyle name="40% - Accent5 3 2" xfId="1093"/>
    <cellStyle name="40% - Accent5 3 2 2" xfId="27606"/>
    <cellStyle name="40% - Accent5 3 2 2 2" xfId="27607"/>
    <cellStyle name="40% - Accent5 3 2 3" xfId="27608"/>
    <cellStyle name="40% - Accent5 3 2 3 2" xfId="27609"/>
    <cellStyle name="40% - Accent5 3 2 4" xfId="27610"/>
    <cellStyle name="40% - Accent5 3 2 4 2" xfId="27611"/>
    <cellStyle name="40% - Accent5 3 2 5" xfId="27612"/>
    <cellStyle name="40% - Accent5 3 2 6" xfId="27613"/>
    <cellStyle name="40% - Accent5 3 3" xfId="27614"/>
    <cellStyle name="40% - Accent5 3 3 2" xfId="27615"/>
    <cellStyle name="40% - Accent5 3 3 2 2" xfId="27616"/>
    <cellStyle name="40% - Accent5 3 3 2 2 2" xfId="27617"/>
    <cellStyle name="40% - Accent5 3 3 2 3" xfId="27618"/>
    <cellStyle name="40% - Accent5 3 3 2 4" xfId="27619"/>
    <cellStyle name="40% - Accent5 3 3 2 5" xfId="27620"/>
    <cellStyle name="40% - Accent5 3 3 3" xfId="27621"/>
    <cellStyle name="40% - Accent5 3 3 3 2" xfId="27622"/>
    <cellStyle name="40% - Accent5 3 3 4" xfId="27623"/>
    <cellStyle name="40% - Accent5 3 4" xfId="27624"/>
    <cellStyle name="40% - Accent5 3 4 2" xfId="27625"/>
    <cellStyle name="40% - Accent5 3 4 2 2" xfId="27626"/>
    <cellStyle name="40% - Accent5 3 4 3" xfId="27627"/>
    <cellStyle name="40% - Accent5 3 4 4" xfId="27628"/>
    <cellStyle name="40% - Accent5 3 5" xfId="27629"/>
    <cellStyle name="40% - Accent5 3 5 2" xfId="27630"/>
    <cellStyle name="40% - Accent5 3 6" xfId="27631"/>
    <cellStyle name="40% - Accent5 3 7" xfId="27632"/>
    <cellStyle name="40% - Accent5 4" xfId="1094"/>
    <cellStyle name="40% - Accent5 4 2" xfId="27633"/>
    <cellStyle name="40% - Accent5 4 2 2" xfId="27634"/>
    <cellStyle name="40% - Accent5 4 2 2 2" xfId="27635"/>
    <cellStyle name="40% - Accent5 4 2 3" xfId="27636"/>
    <cellStyle name="40% - Accent5 4 2 3 2" xfId="27637"/>
    <cellStyle name="40% - Accent5 4 2 4" xfId="27638"/>
    <cellStyle name="40% - Accent5 4 2 4 2" xfId="27639"/>
    <cellStyle name="40% - Accent5 4 2 5" xfId="27640"/>
    <cellStyle name="40% - Accent5 4 3" xfId="27641"/>
    <cellStyle name="40% - Accent5 4 3 2" xfId="27642"/>
    <cellStyle name="40% - Accent5 4 3 2 2" xfId="27643"/>
    <cellStyle name="40% - Accent5 4 3 3" xfId="27644"/>
    <cellStyle name="40% - Accent5 4 4" xfId="27645"/>
    <cellStyle name="40% - Accent5 4 4 2" xfId="27646"/>
    <cellStyle name="40% - Accent5 4 5" xfId="27647"/>
    <cellStyle name="40% - Accent5 4 5 2" xfId="27648"/>
    <cellStyle name="40% - Accent5 4 6" xfId="27649"/>
    <cellStyle name="40% - Accent5 4 6 2" xfId="27650"/>
    <cellStyle name="40% - Accent5 4 7" xfId="27651"/>
    <cellStyle name="40% - Accent5 4 7 2" xfId="27652"/>
    <cellStyle name="40% - Accent5 4 8" xfId="27653"/>
    <cellStyle name="40% - Accent5 4 9" xfId="27654"/>
    <cellStyle name="40% - Accent5 5" xfId="27655"/>
    <cellStyle name="40% - Accent5 5 2" xfId="27656"/>
    <cellStyle name="40% - Accent5 5 2 2" xfId="27657"/>
    <cellStyle name="40% - Accent5 5 2 2 2" xfId="27658"/>
    <cellStyle name="40% - Accent5 5 2 3" xfId="27659"/>
    <cellStyle name="40% - Accent5 5 3" xfId="27660"/>
    <cellStyle name="40% - Accent5 5 3 2" xfId="27661"/>
    <cellStyle name="40% - Accent5 5 3 3" xfId="27662"/>
    <cellStyle name="40% - Accent5 5 4" xfId="27663"/>
    <cellStyle name="40% - Accent5 5 4 2" xfId="27664"/>
    <cellStyle name="40% - Accent5 5 4 3" xfId="27665"/>
    <cellStyle name="40% - Accent5 5 5" xfId="27666"/>
    <cellStyle name="40% - Accent5 6" xfId="27667"/>
    <cellStyle name="40% - Accent5 6 2" xfId="27668"/>
    <cellStyle name="40% - Accent5 6 2 2" xfId="27669"/>
    <cellStyle name="40% - Accent5 6 2 2 2" xfId="27670"/>
    <cellStyle name="40% - Accent5 6 2 3" xfId="27671"/>
    <cellStyle name="40% - Accent5 6 2 4" xfId="27672"/>
    <cellStyle name="40% - Accent5 6 3" xfId="27673"/>
    <cellStyle name="40% - Accent5 6 3 2" xfId="27674"/>
    <cellStyle name="40% - Accent5 6 3 3" xfId="27675"/>
    <cellStyle name="40% - Accent5 6 4" xfId="27676"/>
    <cellStyle name="40% - Accent5 6 4 2" xfId="27677"/>
    <cellStyle name="40% - Accent5 6 5" xfId="27678"/>
    <cellStyle name="40% - Accent5 7" xfId="27679"/>
    <cellStyle name="40% - Accent5 7 2" xfId="27680"/>
    <cellStyle name="40% - Accent5 7 2 2" xfId="27681"/>
    <cellStyle name="40% - Accent5 7 2 2 2" xfId="27682"/>
    <cellStyle name="40% - Accent5 7 2 3" xfId="27683"/>
    <cellStyle name="40% - Accent5 7 2 4" xfId="27684"/>
    <cellStyle name="40% - Accent5 7 3" xfId="27685"/>
    <cellStyle name="40% - Accent5 7 3 2" xfId="27686"/>
    <cellStyle name="40% - Accent5 7 4" xfId="27687"/>
    <cellStyle name="40% - Accent5 7 4 2" xfId="27688"/>
    <cellStyle name="40% - Accent5 7 5" xfId="27689"/>
    <cellStyle name="40% - Accent5 8" xfId="27690"/>
    <cellStyle name="40% - Accent5 8 2" xfId="27691"/>
    <cellStyle name="40% - Accent5 8 2 2" xfId="27692"/>
    <cellStyle name="40% - Accent5 8 2 3" xfId="27693"/>
    <cellStyle name="40% - Accent5 8 3" xfId="27694"/>
    <cellStyle name="40% - Accent5 9" xfId="27695"/>
    <cellStyle name="40% - Accent5 9 2" xfId="27696"/>
    <cellStyle name="40% - Accent5 9 2 2" xfId="27697"/>
    <cellStyle name="40% - Accent5 9 2 3" xfId="27698"/>
    <cellStyle name="40% - Accent5 9 3" xfId="27699"/>
    <cellStyle name="40% - Accent5 9 4" xfId="27700"/>
    <cellStyle name="40% - Accent5 9 5" xfId="27701"/>
    <cellStyle name="40% - Accent6 10" xfId="27702"/>
    <cellStyle name="40% - Accent6 10 2" xfId="27703"/>
    <cellStyle name="40% - Accent6 10 2 2" xfId="27704"/>
    <cellStyle name="40% - Accent6 10 3" xfId="27705"/>
    <cellStyle name="40% - Accent6 10 4" xfId="27706"/>
    <cellStyle name="40% - Accent6 11" xfId="27707"/>
    <cellStyle name="40% - Accent6 11 2" xfId="27708"/>
    <cellStyle name="40% - Accent6 11 3" xfId="27709"/>
    <cellStyle name="40% - Accent6 12" xfId="27710"/>
    <cellStyle name="40% - Accent6 13" xfId="27711"/>
    <cellStyle name="40% - Accent6 2" xfId="1095"/>
    <cellStyle name="40% - Accent6 2 2" xfId="1096"/>
    <cellStyle name="40% - Accent6 2 2 2" xfId="27712"/>
    <cellStyle name="40% - Accent6 2 2 2 2" xfId="27713"/>
    <cellStyle name="40% - Accent6 2 2 2 2 2" xfId="27714"/>
    <cellStyle name="40% - Accent6 2 2 2 3" xfId="27715"/>
    <cellStyle name="40% - Accent6 2 2 2 3 2" xfId="27716"/>
    <cellStyle name="40% - Accent6 2 2 2 4" xfId="27717"/>
    <cellStyle name="40% - Accent6 2 2 3" xfId="27718"/>
    <cellStyle name="40% - Accent6 2 2 3 2" xfId="27719"/>
    <cellStyle name="40% - Accent6 2 2 3 2 2" xfId="27720"/>
    <cellStyle name="40% - Accent6 2 2 3 2 3" xfId="27721"/>
    <cellStyle name="40% - Accent6 2 2 3 3" xfId="27722"/>
    <cellStyle name="40% - Accent6 2 2 3 4" xfId="27723"/>
    <cellStyle name="40% - Accent6 2 2 4" xfId="27724"/>
    <cellStyle name="40% - Accent6 2 2 4 2" xfId="27725"/>
    <cellStyle name="40% - Accent6 2 2 4 3" xfId="27726"/>
    <cellStyle name="40% - Accent6 2 2 5" xfId="27727"/>
    <cellStyle name="40% - Accent6 2 2 5 2" xfId="27728"/>
    <cellStyle name="40% - Accent6 2 2 6" xfId="27729"/>
    <cellStyle name="40% - Accent6 2 3" xfId="1097"/>
    <cellStyle name="40% - Accent6 2 3 2" xfId="27730"/>
    <cellStyle name="40% - Accent6 2 3 2 2" xfId="27731"/>
    <cellStyle name="40% - Accent6 2 3 2 2 2" xfId="27732"/>
    <cellStyle name="40% - Accent6 2 3 2 3" xfId="27733"/>
    <cellStyle name="40% - Accent6 2 3 3" xfId="27734"/>
    <cellStyle name="40% - Accent6 2 3 3 2" xfId="27735"/>
    <cellStyle name="40% - Accent6 2 3 4" xfId="27736"/>
    <cellStyle name="40% - Accent6 2 3 4 2" xfId="27737"/>
    <cellStyle name="40% - Accent6 2 3 5" xfId="27738"/>
    <cellStyle name="40% - Accent6 2 4" xfId="27739"/>
    <cellStyle name="40% - Accent6 2 4 2" xfId="27740"/>
    <cellStyle name="40% - Accent6 2 4 2 2" xfId="27741"/>
    <cellStyle name="40% - Accent6 2 4 2 2 2" xfId="27742"/>
    <cellStyle name="40% - Accent6 2 4 2 3" xfId="27743"/>
    <cellStyle name="40% - Accent6 2 4 2 3 2" xfId="27744"/>
    <cellStyle name="40% - Accent6 2 4 3" xfId="27745"/>
    <cellStyle name="40% - Accent6 2 4 3 2" xfId="27746"/>
    <cellStyle name="40% - Accent6 2 4 3 2 2" xfId="27747"/>
    <cellStyle name="40% - Accent6 2 4 3 3" xfId="27748"/>
    <cellStyle name="40% - Accent6 2 4 4" xfId="27749"/>
    <cellStyle name="40% - Accent6 2 4 4 2" xfId="27750"/>
    <cellStyle name="40% - Accent6 2 4 5" xfId="27751"/>
    <cellStyle name="40% - Accent6 2 4 5 2" xfId="27752"/>
    <cellStyle name="40% - Accent6 2 5" xfId="27753"/>
    <cellStyle name="40% - Accent6 2 5 2" xfId="27754"/>
    <cellStyle name="40% - Accent6 2 5 2 2" xfId="27755"/>
    <cellStyle name="40% - Accent6 2 5 3" xfId="27756"/>
    <cellStyle name="40% - Accent6 2 6" xfId="27757"/>
    <cellStyle name="40% - Accent6 2 6 2" xfId="27758"/>
    <cellStyle name="40% - Accent6 2 6 2 2" xfId="27759"/>
    <cellStyle name="40% - Accent6 2 6 3" xfId="27760"/>
    <cellStyle name="40% - Accent6 2 7" xfId="27761"/>
    <cellStyle name="40% - Accent6 2 7 2" xfId="27762"/>
    <cellStyle name="40% - Accent6 2 8" xfId="27763"/>
    <cellStyle name="40% - Accent6 2 9" xfId="27764"/>
    <cellStyle name="40% - Accent6 2_12PCORC Wind Vestas and Royalties" xfId="27765"/>
    <cellStyle name="40% - Accent6 3" xfId="1098"/>
    <cellStyle name="40% - Accent6 3 2" xfId="1099"/>
    <cellStyle name="40% - Accent6 3 2 2" xfId="27766"/>
    <cellStyle name="40% - Accent6 3 2 2 2" xfId="27767"/>
    <cellStyle name="40% - Accent6 3 2 3" xfId="27768"/>
    <cellStyle name="40% - Accent6 3 2 3 2" xfId="27769"/>
    <cellStyle name="40% - Accent6 3 2 4" xfId="27770"/>
    <cellStyle name="40% - Accent6 3 2 4 2" xfId="27771"/>
    <cellStyle name="40% - Accent6 3 2 5" xfId="27772"/>
    <cellStyle name="40% - Accent6 3 2 6" xfId="27773"/>
    <cellStyle name="40% - Accent6 3 3" xfId="27774"/>
    <cellStyle name="40% - Accent6 3 3 2" xfId="27775"/>
    <cellStyle name="40% - Accent6 3 3 2 2" xfId="27776"/>
    <cellStyle name="40% - Accent6 3 3 2 2 2" xfId="27777"/>
    <cellStyle name="40% - Accent6 3 3 2 3" xfId="27778"/>
    <cellStyle name="40% - Accent6 3 3 2 4" xfId="27779"/>
    <cellStyle name="40% - Accent6 3 3 2 5" xfId="27780"/>
    <cellStyle name="40% - Accent6 3 3 3" xfId="27781"/>
    <cellStyle name="40% - Accent6 3 3 3 2" xfId="27782"/>
    <cellStyle name="40% - Accent6 3 3 4" xfId="27783"/>
    <cellStyle name="40% - Accent6 3 4" xfId="27784"/>
    <cellStyle name="40% - Accent6 3 4 2" xfId="27785"/>
    <cellStyle name="40% - Accent6 3 4 2 2" xfId="27786"/>
    <cellStyle name="40% - Accent6 3 4 3" xfId="27787"/>
    <cellStyle name="40% - Accent6 3 4 4" xfId="27788"/>
    <cellStyle name="40% - Accent6 3 5" xfId="27789"/>
    <cellStyle name="40% - Accent6 3 5 2" xfId="27790"/>
    <cellStyle name="40% - Accent6 3 6" xfId="27791"/>
    <cellStyle name="40% - Accent6 3 7" xfId="27792"/>
    <cellStyle name="40% - Accent6 4" xfId="1100"/>
    <cellStyle name="40% - Accent6 4 2" xfId="27793"/>
    <cellStyle name="40% - Accent6 4 2 2" xfId="27794"/>
    <cellStyle name="40% - Accent6 4 2 2 2" xfId="27795"/>
    <cellStyle name="40% - Accent6 4 2 3" xfId="27796"/>
    <cellStyle name="40% - Accent6 4 2 3 2" xfId="27797"/>
    <cellStyle name="40% - Accent6 4 2 4" xfId="27798"/>
    <cellStyle name="40% - Accent6 4 2 4 2" xfId="27799"/>
    <cellStyle name="40% - Accent6 4 2 5" xfId="27800"/>
    <cellStyle name="40% - Accent6 4 3" xfId="27801"/>
    <cellStyle name="40% - Accent6 4 3 2" xfId="27802"/>
    <cellStyle name="40% - Accent6 4 3 2 2" xfId="27803"/>
    <cellStyle name="40% - Accent6 4 3 3" xfId="27804"/>
    <cellStyle name="40% - Accent6 4 4" xfId="27805"/>
    <cellStyle name="40% - Accent6 4 4 2" xfId="27806"/>
    <cellStyle name="40% - Accent6 4 5" xfId="27807"/>
    <cellStyle name="40% - Accent6 4 5 2" xfId="27808"/>
    <cellStyle name="40% - Accent6 4 6" xfId="27809"/>
    <cellStyle name="40% - Accent6 4 6 2" xfId="27810"/>
    <cellStyle name="40% - Accent6 4 7" xfId="27811"/>
    <cellStyle name="40% - Accent6 4 7 2" xfId="27812"/>
    <cellStyle name="40% - Accent6 4 8" xfId="27813"/>
    <cellStyle name="40% - Accent6 4 9" xfId="27814"/>
    <cellStyle name="40% - Accent6 5" xfId="27815"/>
    <cellStyle name="40% - Accent6 5 2" xfId="27816"/>
    <cellStyle name="40% - Accent6 5 2 2" xfId="27817"/>
    <cellStyle name="40% - Accent6 5 2 2 2" xfId="27818"/>
    <cellStyle name="40% - Accent6 5 2 3" xfId="27819"/>
    <cellStyle name="40% - Accent6 5 3" xfId="27820"/>
    <cellStyle name="40% - Accent6 5 3 2" xfId="27821"/>
    <cellStyle name="40% - Accent6 5 3 3" xfId="27822"/>
    <cellStyle name="40% - Accent6 5 4" xfId="27823"/>
    <cellStyle name="40% - Accent6 5 4 2" xfId="27824"/>
    <cellStyle name="40% - Accent6 5 4 3" xfId="27825"/>
    <cellStyle name="40% - Accent6 5 5" xfId="27826"/>
    <cellStyle name="40% - Accent6 6" xfId="27827"/>
    <cellStyle name="40% - Accent6 6 2" xfId="27828"/>
    <cellStyle name="40% - Accent6 6 2 2" xfId="27829"/>
    <cellStyle name="40% - Accent6 6 2 2 2" xfId="27830"/>
    <cellStyle name="40% - Accent6 6 2 3" xfId="27831"/>
    <cellStyle name="40% - Accent6 6 2 4" xfId="27832"/>
    <cellStyle name="40% - Accent6 6 3" xfId="27833"/>
    <cellStyle name="40% - Accent6 6 3 2" xfId="27834"/>
    <cellStyle name="40% - Accent6 6 3 3" xfId="27835"/>
    <cellStyle name="40% - Accent6 6 4" xfId="27836"/>
    <cellStyle name="40% - Accent6 6 4 2" xfId="27837"/>
    <cellStyle name="40% - Accent6 6 5" xfId="27838"/>
    <cellStyle name="40% - Accent6 7" xfId="27839"/>
    <cellStyle name="40% - Accent6 7 2" xfId="27840"/>
    <cellStyle name="40% - Accent6 7 2 2" xfId="27841"/>
    <cellStyle name="40% - Accent6 7 2 2 2" xfId="27842"/>
    <cellStyle name="40% - Accent6 7 2 3" xfId="27843"/>
    <cellStyle name="40% - Accent6 7 2 4" xfId="27844"/>
    <cellStyle name="40% - Accent6 7 3" xfId="27845"/>
    <cellStyle name="40% - Accent6 7 3 2" xfId="27846"/>
    <cellStyle name="40% - Accent6 7 4" xfId="27847"/>
    <cellStyle name="40% - Accent6 7 4 2" xfId="27848"/>
    <cellStyle name="40% - Accent6 7 5" xfId="27849"/>
    <cellStyle name="40% - Accent6 8" xfId="27850"/>
    <cellStyle name="40% - Accent6 8 2" xfId="27851"/>
    <cellStyle name="40% - Accent6 8 2 2" xfId="27852"/>
    <cellStyle name="40% - Accent6 8 2 3" xfId="27853"/>
    <cellStyle name="40% - Accent6 8 3" xfId="27854"/>
    <cellStyle name="40% - Accent6 9" xfId="27855"/>
    <cellStyle name="40% - Accent6 9 2" xfId="27856"/>
    <cellStyle name="40% - Accent6 9 2 2" xfId="27857"/>
    <cellStyle name="40% - Accent6 9 2 3" xfId="27858"/>
    <cellStyle name="40% - Accent6 9 3" xfId="27859"/>
    <cellStyle name="40% - Accent6 9 4" xfId="27860"/>
    <cellStyle name="40% - Accent6 9 5" xfId="27861"/>
    <cellStyle name="60% - Accent1 2" xfId="1101"/>
    <cellStyle name="60% - Accent1 2 2" xfId="1102"/>
    <cellStyle name="60% - Accent1 2 2 2" xfId="27862"/>
    <cellStyle name="60% - Accent1 2 2 2 2" xfId="27863"/>
    <cellStyle name="60% - Accent1 2 2 2 2 2" xfId="27864"/>
    <cellStyle name="60% - Accent1 2 2 2 3" xfId="27865"/>
    <cellStyle name="60% - Accent1 2 2 3" xfId="27866"/>
    <cellStyle name="60% - Accent1 2 2 3 2" xfId="27867"/>
    <cellStyle name="60% - Accent1 2 2 4" xfId="27868"/>
    <cellStyle name="60% - Accent1 2 2 4 2" xfId="27869"/>
    <cellStyle name="60% - Accent1 2 2 5" xfId="27870"/>
    <cellStyle name="60% - Accent1 2 3" xfId="27871"/>
    <cellStyle name="60% - Accent1 2 3 2" xfId="27872"/>
    <cellStyle name="60% - Accent1 2 3 2 2" xfId="27873"/>
    <cellStyle name="60% - Accent1 2 3 2 2 2" xfId="27874"/>
    <cellStyle name="60% - Accent1 2 3 2 3" xfId="27875"/>
    <cellStyle name="60% - Accent1 2 3 2 4" xfId="27876"/>
    <cellStyle name="60% - Accent1 2 3 3" xfId="27877"/>
    <cellStyle name="60% - Accent1 2 3 3 2" xfId="27878"/>
    <cellStyle name="60% - Accent1 2 3 3 3" xfId="27879"/>
    <cellStyle name="60% - Accent1 2 3 4" xfId="27880"/>
    <cellStyle name="60% - Accent1 2 3 4 2" xfId="27881"/>
    <cellStyle name="60% - Accent1 2 3 5" xfId="27882"/>
    <cellStyle name="60% - Accent1 2 3 6" xfId="27883"/>
    <cellStyle name="60% - Accent1 2 4" xfId="27884"/>
    <cellStyle name="60% - Accent1 2 4 2" xfId="27885"/>
    <cellStyle name="60% - Accent1 2 4 2 2" xfId="27886"/>
    <cellStyle name="60% - Accent1 2 4 3" xfId="27887"/>
    <cellStyle name="60% - Accent1 2 4 4" xfId="27888"/>
    <cellStyle name="60% - Accent1 2 4 5" xfId="27889"/>
    <cellStyle name="60% - Accent1 2 5" xfId="27890"/>
    <cellStyle name="60% - Accent1 2 5 2" xfId="27891"/>
    <cellStyle name="60% - Accent1 2 6" xfId="27892"/>
    <cellStyle name="60% - Accent1 2 6 2" xfId="27893"/>
    <cellStyle name="60% - Accent1 2 7" xfId="27894"/>
    <cellStyle name="60% - Accent1 3" xfId="1103"/>
    <cellStyle name="60% - Accent1 3 2" xfId="27895"/>
    <cellStyle name="60% - Accent1 3 2 2" xfId="27896"/>
    <cellStyle name="60% - Accent1 3 2 2 2" xfId="27897"/>
    <cellStyle name="60% - Accent1 3 2 3" xfId="27898"/>
    <cellStyle name="60% - Accent1 3 3" xfId="27899"/>
    <cellStyle name="60% - Accent1 3 3 2" xfId="27900"/>
    <cellStyle name="60% - Accent1 3 4" xfId="27901"/>
    <cellStyle name="60% - Accent1 3 4 2" xfId="27902"/>
    <cellStyle name="60% - Accent1 3 5" xfId="27903"/>
    <cellStyle name="60% - Accent1 3 6" xfId="27904"/>
    <cellStyle name="60% - Accent1 4" xfId="1104"/>
    <cellStyle name="60% - Accent1 4 2" xfId="27905"/>
    <cellStyle name="60% - Accent1 4 2 2" xfId="27906"/>
    <cellStyle name="60% - Accent1 4 2 2 2" xfId="27907"/>
    <cellStyle name="60% - Accent1 4 2 3" xfId="27908"/>
    <cellStyle name="60% - Accent1 4 2 4" xfId="27909"/>
    <cellStyle name="60% - Accent1 4 3" xfId="27910"/>
    <cellStyle name="60% - Accent1 4 3 2" xfId="27911"/>
    <cellStyle name="60% - Accent1 4 4" xfId="27912"/>
    <cellStyle name="60% - Accent1 4 4 2" xfId="27913"/>
    <cellStyle name="60% - Accent1 5" xfId="27914"/>
    <cellStyle name="60% - Accent1 5 2" xfId="27915"/>
    <cellStyle name="60% - Accent1 5 2 2" xfId="27916"/>
    <cellStyle name="60% - Accent1 5 2 3" xfId="27917"/>
    <cellStyle name="60% - Accent1 5 3" xfId="27918"/>
    <cellStyle name="60% - Accent1 6" xfId="27919"/>
    <cellStyle name="60% - Accent1 6 2" xfId="27920"/>
    <cellStyle name="60% - Accent1 6 2 2" xfId="27921"/>
    <cellStyle name="60% - Accent1 6 3" xfId="27922"/>
    <cellStyle name="60% - Accent1 6 4" xfId="27923"/>
    <cellStyle name="60% - Accent1 6 5" xfId="27924"/>
    <cellStyle name="60% - Accent1 7" xfId="27925"/>
    <cellStyle name="60% - Accent1 7 2" xfId="27926"/>
    <cellStyle name="60% - Accent1 7 3" xfId="27927"/>
    <cellStyle name="60% - Accent1 8" xfId="27928"/>
    <cellStyle name="60% - Accent1 9" xfId="27929"/>
    <cellStyle name="60% - Accent2 2" xfId="1105"/>
    <cellStyle name="60% - Accent2 2 2" xfId="1106"/>
    <cellStyle name="60% - Accent2 2 2 2" xfId="27930"/>
    <cellStyle name="60% - Accent2 2 2 2 2" xfId="27931"/>
    <cellStyle name="60% - Accent2 2 2 2 2 2" xfId="27932"/>
    <cellStyle name="60% - Accent2 2 2 2 3" xfId="27933"/>
    <cellStyle name="60% - Accent2 2 2 3" xfId="27934"/>
    <cellStyle name="60% - Accent2 2 2 3 2" xfId="27935"/>
    <cellStyle name="60% - Accent2 2 2 4" xfId="27936"/>
    <cellStyle name="60% - Accent2 2 2 4 2" xfId="27937"/>
    <cellStyle name="60% - Accent2 2 2 5" xfId="27938"/>
    <cellStyle name="60% - Accent2 2 3" xfId="27939"/>
    <cellStyle name="60% - Accent2 2 3 2" xfId="27940"/>
    <cellStyle name="60% - Accent2 2 3 2 2" xfId="27941"/>
    <cellStyle name="60% - Accent2 2 3 2 2 2" xfId="27942"/>
    <cellStyle name="60% - Accent2 2 3 2 3" xfId="27943"/>
    <cellStyle name="60% - Accent2 2 3 2 4" xfId="27944"/>
    <cellStyle name="60% - Accent2 2 3 3" xfId="27945"/>
    <cellStyle name="60% - Accent2 2 3 3 2" xfId="27946"/>
    <cellStyle name="60% - Accent2 2 3 3 3" xfId="27947"/>
    <cellStyle name="60% - Accent2 2 3 4" xfId="27948"/>
    <cellStyle name="60% - Accent2 2 3 4 2" xfId="27949"/>
    <cellStyle name="60% - Accent2 2 3 5" xfId="27950"/>
    <cellStyle name="60% - Accent2 2 3 6" xfId="27951"/>
    <cellStyle name="60% - Accent2 2 4" xfId="27952"/>
    <cellStyle name="60% - Accent2 2 4 2" xfId="27953"/>
    <cellStyle name="60% - Accent2 2 4 2 2" xfId="27954"/>
    <cellStyle name="60% - Accent2 2 4 3" xfId="27955"/>
    <cellStyle name="60% - Accent2 2 4 4" xfId="27956"/>
    <cellStyle name="60% - Accent2 2 4 5" xfId="27957"/>
    <cellStyle name="60% - Accent2 2 5" xfId="27958"/>
    <cellStyle name="60% - Accent2 2 5 2" xfId="27959"/>
    <cellStyle name="60% - Accent2 2 6" xfId="27960"/>
    <cellStyle name="60% - Accent2 2 6 2" xfId="27961"/>
    <cellStyle name="60% - Accent2 2 7" xfId="27962"/>
    <cellStyle name="60% - Accent2 3" xfId="1107"/>
    <cellStyle name="60% - Accent2 3 2" xfId="27963"/>
    <cellStyle name="60% - Accent2 3 2 2" xfId="27964"/>
    <cellStyle name="60% - Accent2 3 2 2 2" xfId="27965"/>
    <cellStyle name="60% - Accent2 3 2 3" xfId="27966"/>
    <cellStyle name="60% - Accent2 3 3" xfId="27967"/>
    <cellStyle name="60% - Accent2 3 3 2" xfId="27968"/>
    <cellStyle name="60% - Accent2 3 4" xfId="27969"/>
    <cellStyle name="60% - Accent2 3 4 2" xfId="27970"/>
    <cellStyle name="60% - Accent2 3 5" xfId="27971"/>
    <cellStyle name="60% - Accent2 3 6" xfId="27972"/>
    <cellStyle name="60% - Accent2 4" xfId="1108"/>
    <cellStyle name="60% - Accent2 4 2" xfId="27973"/>
    <cellStyle name="60% - Accent2 4 2 2" xfId="27974"/>
    <cellStyle name="60% - Accent2 4 2 2 2" xfId="27975"/>
    <cellStyle name="60% - Accent2 4 2 3" xfId="27976"/>
    <cellStyle name="60% - Accent2 4 2 4" xfId="27977"/>
    <cellStyle name="60% - Accent2 4 3" xfId="27978"/>
    <cellStyle name="60% - Accent2 4 3 2" xfId="27979"/>
    <cellStyle name="60% - Accent2 4 4" xfId="27980"/>
    <cellStyle name="60% - Accent2 4 4 2" xfId="27981"/>
    <cellStyle name="60% - Accent2 5" xfId="27982"/>
    <cellStyle name="60% - Accent2 5 2" xfId="27983"/>
    <cellStyle name="60% - Accent2 5 2 2" xfId="27984"/>
    <cellStyle name="60% - Accent2 5 2 3" xfId="27985"/>
    <cellStyle name="60% - Accent2 5 3" xfId="27986"/>
    <cellStyle name="60% - Accent2 6" xfId="27987"/>
    <cellStyle name="60% - Accent2 6 2" xfId="27988"/>
    <cellStyle name="60% - Accent2 6 2 2" xfId="27989"/>
    <cellStyle name="60% - Accent2 6 3" xfId="27990"/>
    <cellStyle name="60% - Accent2 6 4" xfId="27991"/>
    <cellStyle name="60% - Accent2 6 5" xfId="27992"/>
    <cellStyle name="60% - Accent2 7" xfId="27993"/>
    <cellStyle name="60% - Accent2 7 2" xfId="27994"/>
    <cellStyle name="60% - Accent2 7 3" xfId="27995"/>
    <cellStyle name="60% - Accent2 8" xfId="27996"/>
    <cellStyle name="60% - Accent2 9" xfId="27997"/>
    <cellStyle name="60% - Accent3 2" xfId="1109"/>
    <cellStyle name="60% - Accent3 2 2" xfId="1110"/>
    <cellStyle name="60% - Accent3 2 2 2" xfId="27998"/>
    <cellStyle name="60% - Accent3 2 2 2 2" xfId="27999"/>
    <cellStyle name="60% - Accent3 2 2 2 2 2" xfId="28000"/>
    <cellStyle name="60% - Accent3 2 2 2 3" xfId="28001"/>
    <cellStyle name="60% - Accent3 2 2 3" xfId="28002"/>
    <cellStyle name="60% - Accent3 2 2 3 2" xfId="28003"/>
    <cellStyle name="60% - Accent3 2 2 4" xfId="28004"/>
    <cellStyle name="60% - Accent3 2 2 4 2" xfId="28005"/>
    <cellStyle name="60% - Accent3 2 2 5" xfId="28006"/>
    <cellStyle name="60% - Accent3 2 3" xfId="28007"/>
    <cellStyle name="60% - Accent3 2 3 2" xfId="28008"/>
    <cellStyle name="60% - Accent3 2 3 2 2" xfId="28009"/>
    <cellStyle name="60% - Accent3 2 3 2 2 2" xfId="28010"/>
    <cellStyle name="60% - Accent3 2 3 2 3" xfId="28011"/>
    <cellStyle name="60% - Accent3 2 3 2 4" xfId="28012"/>
    <cellStyle name="60% - Accent3 2 3 3" xfId="28013"/>
    <cellStyle name="60% - Accent3 2 3 3 2" xfId="28014"/>
    <cellStyle name="60% - Accent3 2 3 3 3" xfId="28015"/>
    <cellStyle name="60% - Accent3 2 3 4" xfId="28016"/>
    <cellStyle name="60% - Accent3 2 3 4 2" xfId="28017"/>
    <cellStyle name="60% - Accent3 2 3 5" xfId="28018"/>
    <cellStyle name="60% - Accent3 2 3 6" xfId="28019"/>
    <cellStyle name="60% - Accent3 2 4" xfId="28020"/>
    <cellStyle name="60% - Accent3 2 4 2" xfId="28021"/>
    <cellStyle name="60% - Accent3 2 4 2 2" xfId="28022"/>
    <cellStyle name="60% - Accent3 2 4 3" xfId="28023"/>
    <cellStyle name="60% - Accent3 2 4 4" xfId="28024"/>
    <cellStyle name="60% - Accent3 2 4 5" xfId="28025"/>
    <cellStyle name="60% - Accent3 2 5" xfId="28026"/>
    <cellStyle name="60% - Accent3 2 5 2" xfId="28027"/>
    <cellStyle name="60% - Accent3 2 6" xfId="28028"/>
    <cellStyle name="60% - Accent3 2 6 2" xfId="28029"/>
    <cellStyle name="60% - Accent3 2 7" xfId="28030"/>
    <cellStyle name="60% - Accent3 3" xfId="1111"/>
    <cellStyle name="60% - Accent3 3 2" xfId="28031"/>
    <cellStyle name="60% - Accent3 3 2 2" xfId="28032"/>
    <cellStyle name="60% - Accent3 3 2 2 2" xfId="28033"/>
    <cellStyle name="60% - Accent3 3 2 3" xfId="28034"/>
    <cellStyle name="60% - Accent3 3 3" xfId="28035"/>
    <cellStyle name="60% - Accent3 3 3 2" xfId="28036"/>
    <cellStyle name="60% - Accent3 3 4" xfId="28037"/>
    <cellStyle name="60% - Accent3 3 4 2" xfId="28038"/>
    <cellStyle name="60% - Accent3 3 5" xfId="28039"/>
    <cellStyle name="60% - Accent3 3 6" xfId="28040"/>
    <cellStyle name="60% - Accent3 4" xfId="1112"/>
    <cellStyle name="60% - Accent3 4 2" xfId="28041"/>
    <cellStyle name="60% - Accent3 4 2 2" xfId="28042"/>
    <cellStyle name="60% - Accent3 4 2 2 2" xfId="28043"/>
    <cellStyle name="60% - Accent3 4 2 3" xfId="28044"/>
    <cellStyle name="60% - Accent3 4 2 4" xfId="28045"/>
    <cellStyle name="60% - Accent3 4 3" xfId="28046"/>
    <cellStyle name="60% - Accent3 4 3 2" xfId="28047"/>
    <cellStyle name="60% - Accent3 4 4" xfId="28048"/>
    <cellStyle name="60% - Accent3 4 4 2" xfId="28049"/>
    <cellStyle name="60% - Accent3 5" xfId="28050"/>
    <cellStyle name="60% - Accent3 5 2" xfId="28051"/>
    <cellStyle name="60% - Accent3 5 2 2" xfId="28052"/>
    <cellStyle name="60% - Accent3 5 2 3" xfId="28053"/>
    <cellStyle name="60% - Accent3 5 3" xfId="28054"/>
    <cellStyle name="60% - Accent3 6" xfId="28055"/>
    <cellStyle name="60% - Accent3 6 2" xfId="28056"/>
    <cellStyle name="60% - Accent3 6 2 2" xfId="28057"/>
    <cellStyle name="60% - Accent3 6 3" xfId="28058"/>
    <cellStyle name="60% - Accent3 6 4" xfId="28059"/>
    <cellStyle name="60% - Accent3 6 5" xfId="28060"/>
    <cellStyle name="60% - Accent3 7" xfId="28061"/>
    <cellStyle name="60% - Accent3 7 2" xfId="28062"/>
    <cellStyle name="60% - Accent3 7 3" xfId="28063"/>
    <cellStyle name="60% - Accent3 8" xfId="28064"/>
    <cellStyle name="60% - Accent3 9" xfId="28065"/>
    <cellStyle name="60% - Accent4 2" xfId="1113"/>
    <cellStyle name="60% - Accent4 2 2" xfId="1114"/>
    <cellStyle name="60% - Accent4 2 2 2" xfId="28066"/>
    <cellStyle name="60% - Accent4 2 2 2 2" xfId="28067"/>
    <cellStyle name="60% - Accent4 2 2 2 2 2" xfId="28068"/>
    <cellStyle name="60% - Accent4 2 2 2 3" xfId="28069"/>
    <cellStyle name="60% - Accent4 2 2 3" xfId="28070"/>
    <cellStyle name="60% - Accent4 2 2 3 2" xfId="28071"/>
    <cellStyle name="60% - Accent4 2 2 4" xfId="28072"/>
    <cellStyle name="60% - Accent4 2 2 4 2" xfId="28073"/>
    <cellStyle name="60% - Accent4 2 2 5" xfId="28074"/>
    <cellStyle name="60% - Accent4 2 3" xfId="28075"/>
    <cellStyle name="60% - Accent4 2 3 2" xfId="28076"/>
    <cellStyle name="60% - Accent4 2 3 2 2" xfId="28077"/>
    <cellStyle name="60% - Accent4 2 3 2 2 2" xfId="28078"/>
    <cellStyle name="60% - Accent4 2 3 2 3" xfId="28079"/>
    <cellStyle name="60% - Accent4 2 3 2 4" xfId="28080"/>
    <cellStyle name="60% - Accent4 2 3 3" xfId="28081"/>
    <cellStyle name="60% - Accent4 2 3 3 2" xfId="28082"/>
    <cellStyle name="60% - Accent4 2 3 3 3" xfId="28083"/>
    <cellStyle name="60% - Accent4 2 3 4" xfId="28084"/>
    <cellStyle name="60% - Accent4 2 3 4 2" xfId="28085"/>
    <cellStyle name="60% - Accent4 2 3 5" xfId="28086"/>
    <cellStyle name="60% - Accent4 2 3 6" xfId="28087"/>
    <cellStyle name="60% - Accent4 2 4" xfId="28088"/>
    <cellStyle name="60% - Accent4 2 4 2" xfId="28089"/>
    <cellStyle name="60% - Accent4 2 4 2 2" xfId="28090"/>
    <cellStyle name="60% - Accent4 2 4 3" xfId="28091"/>
    <cellStyle name="60% - Accent4 2 4 4" xfId="28092"/>
    <cellStyle name="60% - Accent4 2 4 5" xfId="28093"/>
    <cellStyle name="60% - Accent4 2 5" xfId="28094"/>
    <cellStyle name="60% - Accent4 2 5 2" xfId="28095"/>
    <cellStyle name="60% - Accent4 2 6" xfId="28096"/>
    <cellStyle name="60% - Accent4 2 6 2" xfId="28097"/>
    <cellStyle name="60% - Accent4 2 7" xfId="28098"/>
    <cellStyle name="60% - Accent4 3" xfId="1115"/>
    <cellStyle name="60% - Accent4 3 2" xfId="28099"/>
    <cellStyle name="60% - Accent4 3 2 2" xfId="28100"/>
    <cellStyle name="60% - Accent4 3 2 2 2" xfId="28101"/>
    <cellStyle name="60% - Accent4 3 2 3" xfId="28102"/>
    <cellStyle name="60% - Accent4 3 3" xfId="28103"/>
    <cellStyle name="60% - Accent4 3 3 2" xfId="28104"/>
    <cellStyle name="60% - Accent4 3 4" xfId="28105"/>
    <cellStyle name="60% - Accent4 3 4 2" xfId="28106"/>
    <cellStyle name="60% - Accent4 3 5" xfId="28107"/>
    <cellStyle name="60% - Accent4 3 6" xfId="28108"/>
    <cellStyle name="60% - Accent4 4" xfId="1116"/>
    <cellStyle name="60% - Accent4 4 2" xfId="28109"/>
    <cellStyle name="60% - Accent4 4 2 2" xfId="28110"/>
    <cellStyle name="60% - Accent4 4 2 2 2" xfId="28111"/>
    <cellStyle name="60% - Accent4 4 2 3" xfId="28112"/>
    <cellStyle name="60% - Accent4 4 2 4" xfId="28113"/>
    <cellStyle name="60% - Accent4 4 3" xfId="28114"/>
    <cellStyle name="60% - Accent4 4 3 2" xfId="28115"/>
    <cellStyle name="60% - Accent4 4 4" xfId="28116"/>
    <cellStyle name="60% - Accent4 4 4 2" xfId="28117"/>
    <cellStyle name="60% - Accent4 5" xfId="28118"/>
    <cellStyle name="60% - Accent4 5 2" xfId="28119"/>
    <cellStyle name="60% - Accent4 5 2 2" xfId="28120"/>
    <cellStyle name="60% - Accent4 5 2 3" xfId="28121"/>
    <cellStyle name="60% - Accent4 5 3" xfId="28122"/>
    <cellStyle name="60% - Accent4 6" xfId="28123"/>
    <cellStyle name="60% - Accent4 6 2" xfId="28124"/>
    <cellStyle name="60% - Accent4 6 2 2" xfId="28125"/>
    <cellStyle name="60% - Accent4 6 3" xfId="28126"/>
    <cellStyle name="60% - Accent4 6 4" xfId="28127"/>
    <cellStyle name="60% - Accent4 6 5" xfId="28128"/>
    <cellStyle name="60% - Accent4 7" xfId="28129"/>
    <cellStyle name="60% - Accent4 7 2" xfId="28130"/>
    <cellStyle name="60% - Accent4 7 3" xfId="28131"/>
    <cellStyle name="60% - Accent4 8" xfId="28132"/>
    <cellStyle name="60% - Accent4 9" xfId="28133"/>
    <cellStyle name="60% - Accent5 2" xfId="1117"/>
    <cellStyle name="60% - Accent5 2 2" xfId="1118"/>
    <cellStyle name="60% - Accent5 2 2 2" xfId="28134"/>
    <cellStyle name="60% - Accent5 2 2 2 2" xfId="28135"/>
    <cellStyle name="60% - Accent5 2 2 2 2 2" xfId="28136"/>
    <cellStyle name="60% - Accent5 2 2 2 3" xfId="28137"/>
    <cellStyle name="60% - Accent5 2 2 3" xfId="28138"/>
    <cellStyle name="60% - Accent5 2 2 3 2" xfId="28139"/>
    <cellStyle name="60% - Accent5 2 2 4" xfId="28140"/>
    <cellStyle name="60% - Accent5 2 2 4 2" xfId="28141"/>
    <cellStyle name="60% - Accent5 2 2 5" xfId="28142"/>
    <cellStyle name="60% - Accent5 2 3" xfId="28143"/>
    <cellStyle name="60% - Accent5 2 3 2" xfId="28144"/>
    <cellStyle name="60% - Accent5 2 3 2 2" xfId="28145"/>
    <cellStyle name="60% - Accent5 2 3 2 2 2" xfId="28146"/>
    <cellStyle name="60% - Accent5 2 3 2 3" xfId="28147"/>
    <cellStyle name="60% - Accent5 2 3 2 4" xfId="28148"/>
    <cellStyle name="60% - Accent5 2 3 3" xfId="28149"/>
    <cellStyle name="60% - Accent5 2 3 3 2" xfId="28150"/>
    <cellStyle name="60% - Accent5 2 3 3 3" xfId="28151"/>
    <cellStyle name="60% - Accent5 2 3 4" xfId="28152"/>
    <cellStyle name="60% - Accent5 2 3 4 2" xfId="28153"/>
    <cellStyle name="60% - Accent5 2 3 5" xfId="28154"/>
    <cellStyle name="60% - Accent5 2 3 6" xfId="28155"/>
    <cellStyle name="60% - Accent5 2 4" xfId="28156"/>
    <cellStyle name="60% - Accent5 2 4 2" xfId="28157"/>
    <cellStyle name="60% - Accent5 2 4 2 2" xfId="28158"/>
    <cellStyle name="60% - Accent5 2 4 3" xfId="28159"/>
    <cellStyle name="60% - Accent5 2 4 4" xfId="28160"/>
    <cellStyle name="60% - Accent5 2 4 5" xfId="28161"/>
    <cellStyle name="60% - Accent5 2 5" xfId="28162"/>
    <cellStyle name="60% - Accent5 2 5 2" xfId="28163"/>
    <cellStyle name="60% - Accent5 2 6" xfId="28164"/>
    <cellStyle name="60% - Accent5 2 6 2" xfId="28165"/>
    <cellStyle name="60% - Accent5 2 7" xfId="28166"/>
    <cellStyle name="60% - Accent5 3" xfId="1119"/>
    <cellStyle name="60% - Accent5 3 2" xfId="28167"/>
    <cellStyle name="60% - Accent5 3 2 2" xfId="28168"/>
    <cellStyle name="60% - Accent5 3 2 2 2" xfId="28169"/>
    <cellStyle name="60% - Accent5 3 2 3" xfId="28170"/>
    <cellStyle name="60% - Accent5 3 3" xfId="28171"/>
    <cellStyle name="60% - Accent5 3 3 2" xfId="28172"/>
    <cellStyle name="60% - Accent5 3 4" xfId="28173"/>
    <cellStyle name="60% - Accent5 3 4 2" xfId="28174"/>
    <cellStyle name="60% - Accent5 3 5" xfId="28175"/>
    <cellStyle name="60% - Accent5 3 6" xfId="28176"/>
    <cellStyle name="60% - Accent5 4" xfId="1120"/>
    <cellStyle name="60% - Accent5 4 2" xfId="28177"/>
    <cellStyle name="60% - Accent5 4 2 2" xfId="28178"/>
    <cellStyle name="60% - Accent5 4 2 2 2" xfId="28179"/>
    <cellStyle name="60% - Accent5 4 2 3" xfId="28180"/>
    <cellStyle name="60% - Accent5 4 2 4" xfId="28181"/>
    <cellStyle name="60% - Accent5 4 3" xfId="28182"/>
    <cellStyle name="60% - Accent5 4 3 2" xfId="28183"/>
    <cellStyle name="60% - Accent5 4 4" xfId="28184"/>
    <cellStyle name="60% - Accent5 4 4 2" xfId="28185"/>
    <cellStyle name="60% - Accent5 5" xfId="28186"/>
    <cellStyle name="60% - Accent5 5 2" xfId="28187"/>
    <cellStyle name="60% - Accent5 5 2 2" xfId="28188"/>
    <cellStyle name="60% - Accent5 5 2 3" xfId="28189"/>
    <cellStyle name="60% - Accent5 5 3" xfId="28190"/>
    <cellStyle name="60% - Accent5 6" xfId="28191"/>
    <cellStyle name="60% - Accent5 6 2" xfId="28192"/>
    <cellStyle name="60% - Accent5 6 2 2" xfId="28193"/>
    <cellStyle name="60% - Accent5 6 3" xfId="28194"/>
    <cellStyle name="60% - Accent5 6 4" xfId="28195"/>
    <cellStyle name="60% - Accent5 6 5" xfId="28196"/>
    <cellStyle name="60% - Accent5 7" xfId="28197"/>
    <cellStyle name="60% - Accent5 7 2" xfId="28198"/>
    <cellStyle name="60% - Accent5 7 3" xfId="28199"/>
    <cellStyle name="60% - Accent5 8" xfId="28200"/>
    <cellStyle name="60% - Accent5 9" xfId="28201"/>
    <cellStyle name="60% - Accent6 2" xfId="1121"/>
    <cellStyle name="60% - Accent6 2 2" xfId="1122"/>
    <cellStyle name="60% - Accent6 2 2 2" xfId="28202"/>
    <cellStyle name="60% - Accent6 2 2 2 2" xfId="28203"/>
    <cellStyle name="60% - Accent6 2 2 2 2 2" xfId="28204"/>
    <cellStyle name="60% - Accent6 2 2 2 3" xfId="28205"/>
    <cellStyle name="60% - Accent6 2 2 3" xfId="28206"/>
    <cellStyle name="60% - Accent6 2 2 3 2" xfId="28207"/>
    <cellStyle name="60% - Accent6 2 2 4" xfId="28208"/>
    <cellStyle name="60% - Accent6 2 2 4 2" xfId="28209"/>
    <cellStyle name="60% - Accent6 2 2 5" xfId="28210"/>
    <cellStyle name="60% - Accent6 2 3" xfId="28211"/>
    <cellStyle name="60% - Accent6 2 3 2" xfId="28212"/>
    <cellStyle name="60% - Accent6 2 3 2 2" xfId="28213"/>
    <cellStyle name="60% - Accent6 2 3 2 2 2" xfId="28214"/>
    <cellStyle name="60% - Accent6 2 3 2 3" xfId="28215"/>
    <cellStyle name="60% - Accent6 2 3 2 4" xfId="28216"/>
    <cellStyle name="60% - Accent6 2 3 3" xfId="28217"/>
    <cellStyle name="60% - Accent6 2 3 3 2" xfId="28218"/>
    <cellStyle name="60% - Accent6 2 3 3 3" xfId="28219"/>
    <cellStyle name="60% - Accent6 2 3 4" xfId="28220"/>
    <cellStyle name="60% - Accent6 2 3 4 2" xfId="28221"/>
    <cellStyle name="60% - Accent6 2 3 5" xfId="28222"/>
    <cellStyle name="60% - Accent6 2 3 6" xfId="28223"/>
    <cellStyle name="60% - Accent6 2 4" xfId="28224"/>
    <cellStyle name="60% - Accent6 2 4 2" xfId="28225"/>
    <cellStyle name="60% - Accent6 2 4 2 2" xfId="28226"/>
    <cellStyle name="60% - Accent6 2 4 3" xfId="28227"/>
    <cellStyle name="60% - Accent6 2 4 4" xfId="28228"/>
    <cellStyle name="60% - Accent6 2 4 5" xfId="28229"/>
    <cellStyle name="60% - Accent6 2 5" xfId="28230"/>
    <cellStyle name="60% - Accent6 2 5 2" xfId="28231"/>
    <cellStyle name="60% - Accent6 2 6" xfId="28232"/>
    <cellStyle name="60% - Accent6 2 6 2" xfId="28233"/>
    <cellStyle name="60% - Accent6 2 7" xfId="28234"/>
    <cellStyle name="60% - Accent6 3" xfId="1123"/>
    <cellStyle name="60% - Accent6 3 2" xfId="28235"/>
    <cellStyle name="60% - Accent6 3 2 2" xfId="28236"/>
    <cellStyle name="60% - Accent6 3 2 2 2" xfId="28237"/>
    <cellStyle name="60% - Accent6 3 2 3" xfId="28238"/>
    <cellStyle name="60% - Accent6 3 3" xfId="28239"/>
    <cellStyle name="60% - Accent6 3 3 2" xfId="28240"/>
    <cellStyle name="60% - Accent6 3 4" xfId="28241"/>
    <cellStyle name="60% - Accent6 3 4 2" xfId="28242"/>
    <cellStyle name="60% - Accent6 3 5" xfId="28243"/>
    <cellStyle name="60% - Accent6 3 6" xfId="28244"/>
    <cellStyle name="60% - Accent6 4" xfId="1124"/>
    <cellStyle name="60% - Accent6 4 2" xfId="28245"/>
    <cellStyle name="60% - Accent6 4 2 2" xfId="28246"/>
    <cellStyle name="60% - Accent6 4 2 2 2" xfId="28247"/>
    <cellStyle name="60% - Accent6 4 2 3" xfId="28248"/>
    <cellStyle name="60% - Accent6 4 2 4" xfId="28249"/>
    <cellStyle name="60% - Accent6 4 3" xfId="28250"/>
    <cellStyle name="60% - Accent6 4 3 2" xfId="28251"/>
    <cellStyle name="60% - Accent6 4 4" xfId="28252"/>
    <cellStyle name="60% - Accent6 4 4 2" xfId="28253"/>
    <cellStyle name="60% - Accent6 5" xfId="28254"/>
    <cellStyle name="60% - Accent6 5 2" xfId="28255"/>
    <cellStyle name="60% - Accent6 5 2 2" xfId="28256"/>
    <cellStyle name="60% - Accent6 5 2 3" xfId="28257"/>
    <cellStyle name="60% - Accent6 5 3" xfId="28258"/>
    <cellStyle name="60% - Accent6 6" xfId="28259"/>
    <cellStyle name="60% - Accent6 6 2" xfId="28260"/>
    <cellStyle name="60% - Accent6 6 2 2" xfId="28261"/>
    <cellStyle name="60% - Accent6 6 3" xfId="28262"/>
    <cellStyle name="60% - Accent6 6 4" xfId="28263"/>
    <cellStyle name="60% - Accent6 6 5" xfId="28264"/>
    <cellStyle name="60% - Accent6 7" xfId="28265"/>
    <cellStyle name="60% - Accent6 7 2" xfId="28266"/>
    <cellStyle name="60% - Accent6 7 3" xfId="28267"/>
    <cellStyle name="60% - Accent6 8" xfId="28268"/>
    <cellStyle name="60% - Accent6 9" xfId="28269"/>
    <cellStyle name="Accent1 - 20%" xfId="1125"/>
    <cellStyle name="Accent1 - 20% 2" xfId="28270"/>
    <cellStyle name="Accent1 - 20% 2 2" xfId="28271"/>
    <cellStyle name="Accent1 - 20% 3" xfId="28272"/>
    <cellStyle name="Accent1 - 40%" xfId="1126"/>
    <cellStyle name="Accent1 - 40% 2" xfId="28273"/>
    <cellStyle name="Accent1 - 40% 2 2" xfId="28274"/>
    <cellStyle name="Accent1 - 40% 3" xfId="28275"/>
    <cellStyle name="Accent1 - 60%" xfId="1127"/>
    <cellStyle name="Accent1 - 60% 2" xfId="28276"/>
    <cellStyle name="Accent1 - 60% 3" xfId="28277"/>
    <cellStyle name="Accent1 10" xfId="28278"/>
    <cellStyle name="Accent1 10 2" xfId="28279"/>
    <cellStyle name="Accent1 11" xfId="28280"/>
    <cellStyle name="Accent1 11 2" xfId="28281"/>
    <cellStyle name="Accent1 12" xfId="28282"/>
    <cellStyle name="Accent1 12 2" xfId="28283"/>
    <cellStyle name="Accent1 13" xfId="28284"/>
    <cellStyle name="Accent1 13 2" xfId="28285"/>
    <cellStyle name="Accent1 14" xfId="28286"/>
    <cellStyle name="Accent1 14 2" xfId="28287"/>
    <cellStyle name="Accent1 15" xfId="28288"/>
    <cellStyle name="Accent1 15 2" xfId="28289"/>
    <cellStyle name="Accent1 16" xfId="28290"/>
    <cellStyle name="Accent1 16 2" xfId="28291"/>
    <cellStyle name="Accent1 17" xfId="28292"/>
    <cellStyle name="Accent1 17 2" xfId="28293"/>
    <cellStyle name="Accent1 18" xfId="28294"/>
    <cellStyle name="Accent1 18 2" xfId="28295"/>
    <cellStyle name="Accent1 19" xfId="28296"/>
    <cellStyle name="Accent1 2" xfId="1128"/>
    <cellStyle name="Accent1 2 2" xfId="1129"/>
    <cellStyle name="Accent1 2 2 2" xfId="28297"/>
    <cellStyle name="Accent1 2 2 2 2" xfId="28298"/>
    <cellStyle name="Accent1 2 2 2 2 2" xfId="28299"/>
    <cellStyle name="Accent1 2 2 2 3" xfId="28300"/>
    <cellStyle name="Accent1 2 2 3" xfId="28301"/>
    <cellStyle name="Accent1 2 2 3 2" xfId="28302"/>
    <cellStyle name="Accent1 2 2 4" xfId="28303"/>
    <cellStyle name="Accent1 2 2 4 2" xfId="28304"/>
    <cellStyle name="Accent1 2 2 5" xfId="28305"/>
    <cellStyle name="Accent1 2 3" xfId="28306"/>
    <cellStyle name="Accent1 2 3 2" xfId="28307"/>
    <cellStyle name="Accent1 2 3 2 2" xfId="28308"/>
    <cellStyle name="Accent1 2 3 2 2 2" xfId="28309"/>
    <cellStyle name="Accent1 2 3 2 3" xfId="28310"/>
    <cellStyle name="Accent1 2 3 2 4" xfId="28311"/>
    <cellStyle name="Accent1 2 3 3" xfId="28312"/>
    <cellStyle name="Accent1 2 3 3 2" xfId="28313"/>
    <cellStyle name="Accent1 2 3 3 3" xfId="28314"/>
    <cellStyle name="Accent1 2 3 4" xfId="28315"/>
    <cellStyle name="Accent1 2 3 4 2" xfId="28316"/>
    <cellStyle name="Accent1 2 3 5" xfId="28317"/>
    <cellStyle name="Accent1 2 3 6" xfId="28318"/>
    <cellStyle name="Accent1 2 4" xfId="28319"/>
    <cellStyle name="Accent1 2 4 2" xfId="28320"/>
    <cellStyle name="Accent1 2 4 2 2" xfId="28321"/>
    <cellStyle name="Accent1 2 4 3" xfId="28322"/>
    <cellStyle name="Accent1 2 4 4" xfId="28323"/>
    <cellStyle name="Accent1 2 4 5" xfId="28324"/>
    <cellStyle name="Accent1 2 5" xfId="28325"/>
    <cellStyle name="Accent1 2 5 2" xfId="28326"/>
    <cellStyle name="Accent1 2 6" xfId="28327"/>
    <cellStyle name="Accent1 2 6 2" xfId="28328"/>
    <cellStyle name="Accent1 2 7" xfId="28329"/>
    <cellStyle name="Accent1 20" xfId="28330"/>
    <cellStyle name="Accent1 21" xfId="28331"/>
    <cellStyle name="Accent1 22" xfId="28332"/>
    <cellStyle name="Accent1 23" xfId="28333"/>
    <cellStyle name="Accent1 24" xfId="28334"/>
    <cellStyle name="Accent1 3" xfId="1130"/>
    <cellStyle name="Accent1 3 2" xfId="28335"/>
    <cellStyle name="Accent1 3 2 2" xfId="28336"/>
    <cellStyle name="Accent1 3 2 2 2" xfId="28337"/>
    <cellStyle name="Accent1 3 2 3" xfId="28338"/>
    <cellStyle name="Accent1 3 3" xfId="28339"/>
    <cellStyle name="Accent1 3 3 2" xfId="28340"/>
    <cellStyle name="Accent1 3 4" xfId="28341"/>
    <cellStyle name="Accent1 3 4 2" xfId="28342"/>
    <cellStyle name="Accent1 3 5" xfId="28343"/>
    <cellStyle name="Accent1 3 6" xfId="28344"/>
    <cellStyle name="Accent1 4" xfId="1131"/>
    <cellStyle name="Accent1 4 2" xfId="28345"/>
    <cellStyle name="Accent1 4 2 2" xfId="28346"/>
    <cellStyle name="Accent1 4 2 2 2" xfId="28347"/>
    <cellStyle name="Accent1 4 2 3" xfId="28348"/>
    <cellStyle name="Accent1 4 2 4" xfId="28349"/>
    <cellStyle name="Accent1 4 3" xfId="28350"/>
    <cellStyle name="Accent1 4 3 2" xfId="28351"/>
    <cellStyle name="Accent1 4 4" xfId="28352"/>
    <cellStyle name="Accent1 4 4 2" xfId="28353"/>
    <cellStyle name="Accent1 5" xfId="1132"/>
    <cellStyle name="Accent1 5 2" xfId="28354"/>
    <cellStyle name="Accent1 5 2 2" xfId="28355"/>
    <cellStyle name="Accent1 5 2 3" xfId="28356"/>
    <cellStyle name="Accent1 5 3" xfId="28357"/>
    <cellStyle name="Accent1 6" xfId="1133"/>
    <cellStyle name="Accent1 6 2" xfId="28358"/>
    <cellStyle name="Accent1 6 2 2" xfId="28359"/>
    <cellStyle name="Accent1 6 3" xfId="28360"/>
    <cellStyle name="Accent1 6 4" xfId="28361"/>
    <cellStyle name="Accent1 6 5" xfId="28362"/>
    <cellStyle name="Accent1 7" xfId="1134"/>
    <cellStyle name="Accent1 7 2" xfId="28363"/>
    <cellStyle name="Accent1 7 3" xfId="28364"/>
    <cellStyle name="Accent1 8" xfId="28365"/>
    <cellStyle name="Accent1 8 2" xfId="28366"/>
    <cellStyle name="Accent1 8 3" xfId="28367"/>
    <cellStyle name="Accent1 9" xfId="28368"/>
    <cellStyle name="Accent1 9 2" xfId="28369"/>
    <cellStyle name="Accent1 9 3" xfId="28370"/>
    <cellStyle name="Accent2 - 20%" xfId="1135"/>
    <cellStyle name="Accent2 - 20% 2" xfId="28371"/>
    <cellStyle name="Accent2 - 20% 2 2" xfId="28372"/>
    <cellStyle name="Accent2 - 20% 3" xfId="28373"/>
    <cellStyle name="Accent2 - 40%" xfId="1136"/>
    <cellStyle name="Accent2 - 40% 2" xfId="28374"/>
    <cellStyle name="Accent2 - 40% 2 2" xfId="28375"/>
    <cellStyle name="Accent2 - 40% 3" xfId="28376"/>
    <cellStyle name="Accent2 - 60%" xfId="1137"/>
    <cellStyle name="Accent2 - 60% 2" xfId="28377"/>
    <cellStyle name="Accent2 - 60% 3" xfId="28378"/>
    <cellStyle name="Accent2 10" xfId="28379"/>
    <cellStyle name="Accent2 10 2" xfId="28380"/>
    <cellStyle name="Accent2 11" xfId="28381"/>
    <cellStyle name="Accent2 11 2" xfId="28382"/>
    <cellStyle name="Accent2 12" xfId="28383"/>
    <cellStyle name="Accent2 12 2" xfId="28384"/>
    <cellStyle name="Accent2 13" xfId="28385"/>
    <cellStyle name="Accent2 13 2" xfId="28386"/>
    <cellStyle name="Accent2 14" xfId="28387"/>
    <cellStyle name="Accent2 14 2" xfId="28388"/>
    <cellStyle name="Accent2 15" xfId="28389"/>
    <cellStyle name="Accent2 15 2" xfId="28390"/>
    <cellStyle name="Accent2 16" xfId="28391"/>
    <cellStyle name="Accent2 16 2" xfId="28392"/>
    <cellStyle name="Accent2 17" xfId="28393"/>
    <cellStyle name="Accent2 17 2" xfId="28394"/>
    <cellStyle name="Accent2 18" xfId="28395"/>
    <cellStyle name="Accent2 18 2" xfId="28396"/>
    <cellStyle name="Accent2 19" xfId="28397"/>
    <cellStyle name="Accent2 2" xfId="1138"/>
    <cellStyle name="Accent2 2 2" xfId="1139"/>
    <cellStyle name="Accent2 2 2 2" xfId="28398"/>
    <cellStyle name="Accent2 2 2 2 2" xfId="28399"/>
    <cellStyle name="Accent2 2 2 2 2 2" xfId="28400"/>
    <cellStyle name="Accent2 2 2 2 3" xfId="28401"/>
    <cellStyle name="Accent2 2 2 3" xfId="28402"/>
    <cellStyle name="Accent2 2 2 3 2" xfId="28403"/>
    <cellStyle name="Accent2 2 2 4" xfId="28404"/>
    <cellStyle name="Accent2 2 2 4 2" xfId="28405"/>
    <cellStyle name="Accent2 2 2 5" xfId="28406"/>
    <cellStyle name="Accent2 2 3" xfId="28407"/>
    <cellStyle name="Accent2 2 3 2" xfId="28408"/>
    <cellStyle name="Accent2 2 3 2 2" xfId="28409"/>
    <cellStyle name="Accent2 2 3 2 2 2" xfId="28410"/>
    <cellStyle name="Accent2 2 3 2 3" xfId="28411"/>
    <cellStyle name="Accent2 2 3 2 4" xfId="28412"/>
    <cellStyle name="Accent2 2 3 3" xfId="28413"/>
    <cellStyle name="Accent2 2 3 3 2" xfId="28414"/>
    <cellStyle name="Accent2 2 3 3 3" xfId="28415"/>
    <cellStyle name="Accent2 2 3 4" xfId="28416"/>
    <cellStyle name="Accent2 2 3 4 2" xfId="28417"/>
    <cellStyle name="Accent2 2 3 5" xfId="28418"/>
    <cellStyle name="Accent2 2 3 6" xfId="28419"/>
    <cellStyle name="Accent2 2 4" xfId="28420"/>
    <cellStyle name="Accent2 2 4 2" xfId="28421"/>
    <cellStyle name="Accent2 2 4 2 2" xfId="28422"/>
    <cellStyle name="Accent2 2 4 3" xfId="28423"/>
    <cellStyle name="Accent2 2 4 4" xfId="28424"/>
    <cellStyle name="Accent2 2 4 5" xfId="28425"/>
    <cellStyle name="Accent2 2 5" xfId="28426"/>
    <cellStyle name="Accent2 2 5 2" xfId="28427"/>
    <cellStyle name="Accent2 2 6" xfId="28428"/>
    <cellStyle name="Accent2 2 6 2" xfId="28429"/>
    <cellStyle name="Accent2 2 7" xfId="28430"/>
    <cellStyle name="Accent2 20" xfId="28431"/>
    <cellStyle name="Accent2 21" xfId="28432"/>
    <cellStyle name="Accent2 22" xfId="28433"/>
    <cellStyle name="Accent2 23" xfId="28434"/>
    <cellStyle name="Accent2 24" xfId="28435"/>
    <cellStyle name="Accent2 3" xfId="1140"/>
    <cellStyle name="Accent2 3 2" xfId="28436"/>
    <cellStyle name="Accent2 3 2 2" xfId="28437"/>
    <cellStyle name="Accent2 3 2 2 2" xfId="28438"/>
    <cellStyle name="Accent2 3 2 3" xfId="28439"/>
    <cellStyle name="Accent2 3 3" xfId="28440"/>
    <cellStyle name="Accent2 3 3 2" xfId="28441"/>
    <cellStyle name="Accent2 3 4" xfId="28442"/>
    <cellStyle name="Accent2 3 4 2" xfId="28443"/>
    <cellStyle name="Accent2 3 5" xfId="28444"/>
    <cellStyle name="Accent2 3 6" xfId="28445"/>
    <cellStyle name="Accent2 4" xfId="1141"/>
    <cellStyle name="Accent2 4 2" xfId="28446"/>
    <cellStyle name="Accent2 4 2 2" xfId="28447"/>
    <cellStyle name="Accent2 4 2 2 2" xfId="28448"/>
    <cellStyle name="Accent2 4 2 3" xfId="28449"/>
    <cellStyle name="Accent2 4 2 4" xfId="28450"/>
    <cellStyle name="Accent2 4 3" xfId="28451"/>
    <cellStyle name="Accent2 4 3 2" xfId="28452"/>
    <cellStyle name="Accent2 4 4" xfId="28453"/>
    <cellStyle name="Accent2 4 4 2" xfId="28454"/>
    <cellStyle name="Accent2 5" xfId="1142"/>
    <cellStyle name="Accent2 5 2" xfId="28455"/>
    <cellStyle name="Accent2 5 2 2" xfId="28456"/>
    <cellStyle name="Accent2 5 2 3" xfId="28457"/>
    <cellStyle name="Accent2 5 3" xfId="28458"/>
    <cellStyle name="Accent2 6" xfId="1143"/>
    <cellStyle name="Accent2 6 2" xfId="28459"/>
    <cellStyle name="Accent2 6 2 2" xfId="28460"/>
    <cellStyle name="Accent2 6 3" xfId="28461"/>
    <cellStyle name="Accent2 6 4" xfId="28462"/>
    <cellStyle name="Accent2 6 5" xfId="28463"/>
    <cellStyle name="Accent2 7" xfId="1144"/>
    <cellStyle name="Accent2 7 2" xfId="28464"/>
    <cellStyle name="Accent2 7 3" xfId="28465"/>
    <cellStyle name="Accent2 8" xfId="28466"/>
    <cellStyle name="Accent2 8 2" xfId="28467"/>
    <cellStyle name="Accent2 8 3" xfId="28468"/>
    <cellStyle name="Accent2 9" xfId="28469"/>
    <cellStyle name="Accent2 9 2" xfId="28470"/>
    <cellStyle name="Accent2 9 3" xfId="28471"/>
    <cellStyle name="Accent3 - 20%" xfId="1145"/>
    <cellStyle name="Accent3 - 20% 2" xfId="28472"/>
    <cellStyle name="Accent3 - 20% 2 2" xfId="28473"/>
    <cellStyle name="Accent3 - 20% 3" xfId="28474"/>
    <cellStyle name="Accent3 - 40%" xfId="1146"/>
    <cellStyle name="Accent3 - 40% 2" xfId="28475"/>
    <cellStyle name="Accent3 - 40% 2 2" xfId="28476"/>
    <cellStyle name="Accent3 - 40% 3" xfId="28477"/>
    <cellStyle name="Accent3 - 60%" xfId="1147"/>
    <cellStyle name="Accent3 - 60% 2" xfId="28478"/>
    <cellStyle name="Accent3 - 60% 3" xfId="28479"/>
    <cellStyle name="Accent3 10" xfId="28480"/>
    <cellStyle name="Accent3 10 2" xfId="28481"/>
    <cellStyle name="Accent3 11" xfId="28482"/>
    <cellStyle name="Accent3 11 2" xfId="28483"/>
    <cellStyle name="Accent3 12" xfId="28484"/>
    <cellStyle name="Accent3 12 2" xfId="28485"/>
    <cellStyle name="Accent3 13" xfId="28486"/>
    <cellStyle name="Accent3 13 2" xfId="28487"/>
    <cellStyle name="Accent3 14" xfId="28488"/>
    <cellStyle name="Accent3 14 2" xfId="28489"/>
    <cellStyle name="Accent3 15" xfId="28490"/>
    <cellStyle name="Accent3 15 2" xfId="28491"/>
    <cellStyle name="Accent3 16" xfId="28492"/>
    <cellStyle name="Accent3 16 2" xfId="28493"/>
    <cellStyle name="Accent3 17" xfId="28494"/>
    <cellStyle name="Accent3 17 2" xfId="28495"/>
    <cellStyle name="Accent3 18" xfId="28496"/>
    <cellStyle name="Accent3 18 2" xfId="28497"/>
    <cellStyle name="Accent3 19" xfId="28498"/>
    <cellStyle name="Accent3 2" xfId="1148"/>
    <cellStyle name="Accent3 2 2" xfId="1149"/>
    <cellStyle name="Accent3 2 2 2" xfId="28499"/>
    <cellStyle name="Accent3 2 2 2 2" xfId="28500"/>
    <cellStyle name="Accent3 2 2 2 2 2" xfId="28501"/>
    <cellStyle name="Accent3 2 2 2 3" xfId="28502"/>
    <cellStyle name="Accent3 2 2 3" xfId="28503"/>
    <cellStyle name="Accent3 2 2 3 2" xfId="28504"/>
    <cellStyle name="Accent3 2 2 4" xfId="28505"/>
    <cellStyle name="Accent3 2 2 4 2" xfId="28506"/>
    <cellStyle name="Accent3 2 2 5" xfId="28507"/>
    <cellStyle name="Accent3 2 3" xfId="28508"/>
    <cellStyle name="Accent3 2 3 2" xfId="28509"/>
    <cellStyle name="Accent3 2 3 2 2" xfId="28510"/>
    <cellStyle name="Accent3 2 3 2 2 2" xfId="28511"/>
    <cellStyle name="Accent3 2 3 2 3" xfId="28512"/>
    <cellStyle name="Accent3 2 3 2 4" xfId="28513"/>
    <cellStyle name="Accent3 2 3 3" xfId="28514"/>
    <cellStyle name="Accent3 2 3 3 2" xfId="28515"/>
    <cellStyle name="Accent3 2 3 3 3" xfId="28516"/>
    <cellStyle name="Accent3 2 3 4" xfId="28517"/>
    <cellStyle name="Accent3 2 3 4 2" xfId="28518"/>
    <cellStyle name="Accent3 2 3 5" xfId="28519"/>
    <cellStyle name="Accent3 2 3 6" xfId="28520"/>
    <cellStyle name="Accent3 2 4" xfId="28521"/>
    <cellStyle name="Accent3 2 4 2" xfId="28522"/>
    <cellStyle name="Accent3 2 4 2 2" xfId="28523"/>
    <cellStyle name="Accent3 2 4 3" xfId="28524"/>
    <cellStyle name="Accent3 2 4 4" xfId="28525"/>
    <cellStyle name="Accent3 2 4 5" xfId="28526"/>
    <cellStyle name="Accent3 2 5" xfId="28527"/>
    <cellStyle name="Accent3 2 5 2" xfId="28528"/>
    <cellStyle name="Accent3 2 6" xfId="28529"/>
    <cellStyle name="Accent3 2 6 2" xfId="28530"/>
    <cellStyle name="Accent3 2 7" xfId="28531"/>
    <cellStyle name="Accent3 20" xfId="28532"/>
    <cellStyle name="Accent3 21" xfId="28533"/>
    <cellStyle name="Accent3 22" xfId="28534"/>
    <cellStyle name="Accent3 23" xfId="28535"/>
    <cellStyle name="Accent3 24" xfId="28536"/>
    <cellStyle name="Accent3 3" xfId="1150"/>
    <cellStyle name="Accent3 3 2" xfId="28537"/>
    <cellStyle name="Accent3 3 2 2" xfId="28538"/>
    <cellStyle name="Accent3 3 2 2 2" xfId="28539"/>
    <cellStyle name="Accent3 3 2 3" xfId="28540"/>
    <cellStyle name="Accent3 3 3" xfId="28541"/>
    <cellStyle name="Accent3 3 3 2" xfId="28542"/>
    <cellStyle name="Accent3 3 4" xfId="28543"/>
    <cellStyle name="Accent3 3 4 2" xfId="28544"/>
    <cellStyle name="Accent3 3 5" xfId="28545"/>
    <cellStyle name="Accent3 3 6" xfId="28546"/>
    <cellStyle name="Accent3 4" xfId="1151"/>
    <cellStyle name="Accent3 4 2" xfId="28547"/>
    <cellStyle name="Accent3 4 2 2" xfId="28548"/>
    <cellStyle name="Accent3 4 2 2 2" xfId="28549"/>
    <cellStyle name="Accent3 4 2 3" xfId="28550"/>
    <cellStyle name="Accent3 4 2 4" xfId="28551"/>
    <cellStyle name="Accent3 4 3" xfId="28552"/>
    <cellStyle name="Accent3 4 3 2" xfId="28553"/>
    <cellStyle name="Accent3 4 4" xfId="28554"/>
    <cellStyle name="Accent3 4 4 2" xfId="28555"/>
    <cellStyle name="Accent3 5" xfId="1152"/>
    <cellStyle name="Accent3 5 2" xfId="28556"/>
    <cellStyle name="Accent3 5 2 2" xfId="28557"/>
    <cellStyle name="Accent3 5 2 3" xfId="28558"/>
    <cellStyle name="Accent3 5 3" xfId="28559"/>
    <cellStyle name="Accent3 6" xfId="1153"/>
    <cellStyle name="Accent3 6 2" xfId="28560"/>
    <cellStyle name="Accent3 6 2 2" xfId="28561"/>
    <cellStyle name="Accent3 6 3" xfId="28562"/>
    <cellStyle name="Accent3 6 4" xfId="28563"/>
    <cellStyle name="Accent3 6 5" xfId="28564"/>
    <cellStyle name="Accent3 7" xfId="1154"/>
    <cellStyle name="Accent3 7 2" xfId="28565"/>
    <cellStyle name="Accent3 7 3" xfId="28566"/>
    <cellStyle name="Accent3 8" xfId="28567"/>
    <cellStyle name="Accent3 8 2" xfId="28568"/>
    <cellStyle name="Accent3 8 3" xfId="28569"/>
    <cellStyle name="Accent3 9" xfId="28570"/>
    <cellStyle name="Accent3 9 2" xfId="28571"/>
    <cellStyle name="Accent3 9 3" xfId="28572"/>
    <cellStyle name="Accent4 - 20%" xfId="1155"/>
    <cellStyle name="Accent4 - 20% 2" xfId="28573"/>
    <cellStyle name="Accent4 - 20% 2 2" xfId="28574"/>
    <cellStyle name="Accent4 - 20% 3" xfId="28575"/>
    <cellStyle name="Accent4 - 40%" xfId="1156"/>
    <cellStyle name="Accent4 - 40% 2" xfId="28576"/>
    <cellStyle name="Accent4 - 40% 2 2" xfId="28577"/>
    <cellStyle name="Accent4 - 40% 3" xfId="28578"/>
    <cellStyle name="Accent4 - 60%" xfId="1157"/>
    <cellStyle name="Accent4 - 60% 2" xfId="28579"/>
    <cellStyle name="Accent4 - 60% 3" xfId="28580"/>
    <cellStyle name="Accent4 10" xfId="28581"/>
    <cellStyle name="Accent4 10 2" xfId="28582"/>
    <cellStyle name="Accent4 11" xfId="28583"/>
    <cellStyle name="Accent4 11 2" xfId="28584"/>
    <cellStyle name="Accent4 12" xfId="28585"/>
    <cellStyle name="Accent4 12 2" xfId="28586"/>
    <cellStyle name="Accent4 13" xfId="28587"/>
    <cellStyle name="Accent4 13 2" xfId="28588"/>
    <cellStyle name="Accent4 14" xfId="28589"/>
    <cellStyle name="Accent4 14 2" xfId="28590"/>
    <cellStyle name="Accent4 15" xfId="28591"/>
    <cellStyle name="Accent4 15 2" xfId="28592"/>
    <cellStyle name="Accent4 16" xfId="28593"/>
    <cellStyle name="Accent4 16 2" xfId="28594"/>
    <cellStyle name="Accent4 17" xfId="28595"/>
    <cellStyle name="Accent4 17 2" xfId="28596"/>
    <cellStyle name="Accent4 18" xfId="28597"/>
    <cellStyle name="Accent4 18 2" xfId="28598"/>
    <cellStyle name="Accent4 19" xfId="28599"/>
    <cellStyle name="Accent4 2" xfId="1158"/>
    <cellStyle name="Accent4 2 2" xfId="1159"/>
    <cellStyle name="Accent4 2 2 2" xfId="28600"/>
    <cellStyle name="Accent4 2 2 2 2" xfId="28601"/>
    <cellStyle name="Accent4 2 2 2 2 2" xfId="28602"/>
    <cellStyle name="Accent4 2 2 2 3" xfId="28603"/>
    <cellStyle name="Accent4 2 2 3" xfId="28604"/>
    <cellStyle name="Accent4 2 2 3 2" xfId="28605"/>
    <cellStyle name="Accent4 2 2 4" xfId="28606"/>
    <cellStyle name="Accent4 2 2 4 2" xfId="28607"/>
    <cellStyle name="Accent4 2 2 5" xfId="28608"/>
    <cellStyle name="Accent4 2 3" xfId="28609"/>
    <cellStyle name="Accent4 2 3 2" xfId="28610"/>
    <cellStyle name="Accent4 2 3 2 2" xfId="28611"/>
    <cellStyle name="Accent4 2 3 2 2 2" xfId="28612"/>
    <cellStyle name="Accent4 2 3 2 3" xfId="28613"/>
    <cellStyle name="Accent4 2 3 2 4" xfId="28614"/>
    <cellStyle name="Accent4 2 3 3" xfId="28615"/>
    <cellStyle name="Accent4 2 3 3 2" xfId="28616"/>
    <cellStyle name="Accent4 2 3 4" xfId="28617"/>
    <cellStyle name="Accent4 2 3 4 2" xfId="28618"/>
    <cellStyle name="Accent4 2 3 5" xfId="28619"/>
    <cellStyle name="Accent4 2 3 6" xfId="28620"/>
    <cellStyle name="Accent4 2 4" xfId="28621"/>
    <cellStyle name="Accent4 2 4 2" xfId="28622"/>
    <cellStyle name="Accent4 2 4 2 2" xfId="28623"/>
    <cellStyle name="Accent4 2 4 3" xfId="28624"/>
    <cellStyle name="Accent4 2 4 4" xfId="28625"/>
    <cellStyle name="Accent4 2 4 5" xfId="28626"/>
    <cellStyle name="Accent4 2 5" xfId="28627"/>
    <cellStyle name="Accent4 2 5 2" xfId="28628"/>
    <cellStyle name="Accent4 2 6" xfId="28629"/>
    <cellStyle name="Accent4 2 6 2" xfId="28630"/>
    <cellStyle name="Accent4 2 7" xfId="28631"/>
    <cellStyle name="Accent4 20" xfId="28632"/>
    <cellStyle name="Accent4 21" xfId="28633"/>
    <cellStyle name="Accent4 22" xfId="28634"/>
    <cellStyle name="Accent4 23" xfId="28635"/>
    <cellStyle name="Accent4 24" xfId="28636"/>
    <cellStyle name="Accent4 3" xfId="1160"/>
    <cellStyle name="Accent4 3 2" xfId="28637"/>
    <cellStyle name="Accent4 3 2 2" xfId="28638"/>
    <cellStyle name="Accent4 3 2 2 2" xfId="28639"/>
    <cellStyle name="Accent4 3 2 3" xfId="28640"/>
    <cellStyle name="Accent4 3 3" xfId="28641"/>
    <cellStyle name="Accent4 3 3 2" xfId="28642"/>
    <cellStyle name="Accent4 3 4" xfId="28643"/>
    <cellStyle name="Accent4 3 4 2" xfId="28644"/>
    <cellStyle name="Accent4 3 5" xfId="28645"/>
    <cellStyle name="Accent4 3 6" xfId="28646"/>
    <cellStyle name="Accent4 4" xfId="1161"/>
    <cellStyle name="Accent4 4 2" xfId="28647"/>
    <cellStyle name="Accent4 4 2 2" xfId="28648"/>
    <cellStyle name="Accent4 4 2 2 2" xfId="28649"/>
    <cellStyle name="Accent4 4 2 3" xfId="28650"/>
    <cellStyle name="Accent4 4 2 4" xfId="28651"/>
    <cellStyle name="Accent4 4 3" xfId="28652"/>
    <cellStyle name="Accent4 4 3 2" xfId="28653"/>
    <cellStyle name="Accent4 4 4" xfId="28654"/>
    <cellStyle name="Accent4 4 4 2" xfId="28655"/>
    <cellStyle name="Accent4 5" xfId="1162"/>
    <cellStyle name="Accent4 5 2" xfId="28656"/>
    <cellStyle name="Accent4 5 2 2" xfId="28657"/>
    <cellStyle name="Accent4 5 2 3" xfId="28658"/>
    <cellStyle name="Accent4 5 3" xfId="28659"/>
    <cellStyle name="Accent4 6" xfId="1163"/>
    <cellStyle name="Accent4 6 2" xfId="28660"/>
    <cellStyle name="Accent4 6 2 2" xfId="28661"/>
    <cellStyle name="Accent4 6 3" xfId="28662"/>
    <cellStyle name="Accent4 6 4" xfId="28663"/>
    <cellStyle name="Accent4 6 5" xfId="28664"/>
    <cellStyle name="Accent4 7" xfId="1164"/>
    <cellStyle name="Accent4 7 2" xfId="28665"/>
    <cellStyle name="Accent4 7 3" xfId="28666"/>
    <cellStyle name="Accent4 8" xfId="28667"/>
    <cellStyle name="Accent4 8 2" xfId="28668"/>
    <cellStyle name="Accent4 8 3" xfId="28669"/>
    <cellStyle name="Accent4 9" xfId="28670"/>
    <cellStyle name="Accent4 9 2" xfId="28671"/>
    <cellStyle name="Accent4 9 3" xfId="28672"/>
    <cellStyle name="Accent5 - 20%" xfId="1165"/>
    <cellStyle name="Accent5 - 20% 2" xfId="28673"/>
    <cellStyle name="Accent5 - 20% 2 2" xfId="28674"/>
    <cellStyle name="Accent5 - 20% 3" xfId="28675"/>
    <cellStyle name="Accent5 - 40%" xfId="1166"/>
    <cellStyle name="Accent5 - 40% 2" xfId="28676"/>
    <cellStyle name="Accent5 - 40% 2 2" xfId="28677"/>
    <cellStyle name="Accent5 - 40% 3" xfId="28678"/>
    <cellStyle name="Accent5 - 60%" xfId="1167"/>
    <cellStyle name="Accent5 - 60% 2" xfId="28679"/>
    <cellStyle name="Accent5 - 60% 3" xfId="28680"/>
    <cellStyle name="Accent5 10" xfId="28681"/>
    <cellStyle name="Accent5 10 2" xfId="28682"/>
    <cellStyle name="Accent5 11" xfId="28683"/>
    <cellStyle name="Accent5 11 2" xfId="28684"/>
    <cellStyle name="Accent5 12" xfId="28685"/>
    <cellStyle name="Accent5 12 2" xfId="28686"/>
    <cellStyle name="Accent5 13" xfId="28687"/>
    <cellStyle name="Accent5 13 2" xfId="28688"/>
    <cellStyle name="Accent5 14" xfId="28689"/>
    <cellStyle name="Accent5 14 2" xfId="28690"/>
    <cellStyle name="Accent5 15" xfId="28691"/>
    <cellStyle name="Accent5 15 2" xfId="28692"/>
    <cellStyle name="Accent5 16" xfId="28693"/>
    <cellStyle name="Accent5 16 2" xfId="28694"/>
    <cellStyle name="Accent5 17" xfId="28695"/>
    <cellStyle name="Accent5 17 2" xfId="28696"/>
    <cellStyle name="Accent5 18" xfId="28697"/>
    <cellStyle name="Accent5 18 2" xfId="28698"/>
    <cellStyle name="Accent5 19" xfId="28699"/>
    <cellStyle name="Accent5 19 2" xfId="28700"/>
    <cellStyle name="Accent5 2" xfId="1168"/>
    <cellStyle name="Accent5 2 2" xfId="1169"/>
    <cellStyle name="Accent5 2 2 2" xfId="28701"/>
    <cellStyle name="Accent5 2 2 2 2" xfId="28702"/>
    <cellStyle name="Accent5 2 2 2 2 2" xfId="28703"/>
    <cellStyle name="Accent5 2 2 2 3" xfId="28704"/>
    <cellStyle name="Accent5 2 2 3" xfId="28705"/>
    <cellStyle name="Accent5 2 2 3 2" xfId="28706"/>
    <cellStyle name="Accent5 2 2 4" xfId="28707"/>
    <cellStyle name="Accent5 2 2 4 2" xfId="28708"/>
    <cellStyle name="Accent5 2 2 5" xfId="28709"/>
    <cellStyle name="Accent5 2 3" xfId="28710"/>
    <cellStyle name="Accent5 2 3 2" xfId="28711"/>
    <cellStyle name="Accent5 2 3 2 2" xfId="28712"/>
    <cellStyle name="Accent5 2 3 2 2 2" xfId="28713"/>
    <cellStyle name="Accent5 2 3 2 3" xfId="28714"/>
    <cellStyle name="Accent5 2 3 2 4" xfId="28715"/>
    <cellStyle name="Accent5 2 3 3" xfId="28716"/>
    <cellStyle name="Accent5 2 3 3 2" xfId="28717"/>
    <cellStyle name="Accent5 2 3 4" xfId="28718"/>
    <cellStyle name="Accent5 2 3 4 2" xfId="28719"/>
    <cellStyle name="Accent5 2 3 5" xfId="28720"/>
    <cellStyle name="Accent5 2 3 6" xfId="28721"/>
    <cellStyle name="Accent5 2 4" xfId="28722"/>
    <cellStyle name="Accent5 2 4 2" xfId="28723"/>
    <cellStyle name="Accent5 2 4 2 2" xfId="28724"/>
    <cellStyle name="Accent5 2 4 3" xfId="28725"/>
    <cellStyle name="Accent5 2 4 4" xfId="28726"/>
    <cellStyle name="Accent5 2 5" xfId="28727"/>
    <cellStyle name="Accent5 2 5 2" xfId="28728"/>
    <cellStyle name="Accent5 2 6" xfId="28729"/>
    <cellStyle name="Accent5 2 6 2" xfId="28730"/>
    <cellStyle name="Accent5 2 7" xfId="28731"/>
    <cellStyle name="Accent5 20" xfId="28732"/>
    <cellStyle name="Accent5 20 2" xfId="28733"/>
    <cellStyle name="Accent5 21" xfId="28734"/>
    <cellStyle name="Accent5 21 2" xfId="28735"/>
    <cellStyle name="Accent5 22" xfId="28736"/>
    <cellStyle name="Accent5 22 2" xfId="28737"/>
    <cellStyle name="Accent5 23" xfId="28738"/>
    <cellStyle name="Accent5 23 2" xfId="28739"/>
    <cellStyle name="Accent5 24" xfId="28740"/>
    <cellStyle name="Accent5 24 2" xfId="28741"/>
    <cellStyle name="Accent5 25" xfId="28742"/>
    <cellStyle name="Accent5 25 2" xfId="28743"/>
    <cellStyle name="Accent5 26" xfId="28744"/>
    <cellStyle name="Accent5 26 2" xfId="28745"/>
    <cellStyle name="Accent5 27" xfId="28746"/>
    <cellStyle name="Accent5 27 2" xfId="28747"/>
    <cellStyle name="Accent5 28" xfId="28748"/>
    <cellStyle name="Accent5 28 2" xfId="28749"/>
    <cellStyle name="Accent5 29" xfId="28750"/>
    <cellStyle name="Accent5 29 2" xfId="28751"/>
    <cellStyle name="Accent5 3" xfId="1170"/>
    <cellStyle name="Accent5 3 2" xfId="28752"/>
    <cellStyle name="Accent5 3 2 2" xfId="28753"/>
    <cellStyle name="Accent5 3 2 2 2" xfId="28754"/>
    <cellStyle name="Accent5 3 2 3" xfId="28755"/>
    <cellStyle name="Accent5 3 3" xfId="28756"/>
    <cellStyle name="Accent5 3 3 2" xfId="28757"/>
    <cellStyle name="Accent5 3 4" xfId="28758"/>
    <cellStyle name="Accent5 3 4 2" xfId="28759"/>
    <cellStyle name="Accent5 3 5" xfId="28760"/>
    <cellStyle name="Accent5 30" xfId="28761"/>
    <cellStyle name="Accent5 30 2" xfId="28762"/>
    <cellStyle name="Accent5 31" xfId="28763"/>
    <cellStyle name="Accent5 32" xfId="28764"/>
    <cellStyle name="Accent5 33" xfId="28765"/>
    <cellStyle name="Accent5 4" xfId="1171"/>
    <cellStyle name="Accent5 4 2" xfId="28766"/>
    <cellStyle name="Accent5 4 2 2" xfId="28767"/>
    <cellStyle name="Accent5 4 2 2 2" xfId="28768"/>
    <cellStyle name="Accent5 4 2 3" xfId="28769"/>
    <cellStyle name="Accent5 4 2 4" xfId="28770"/>
    <cellStyle name="Accent5 4 3" xfId="28771"/>
    <cellStyle name="Accent5 4 3 2" xfId="28772"/>
    <cellStyle name="Accent5 4 4" xfId="28773"/>
    <cellStyle name="Accent5 4 4 2" xfId="28774"/>
    <cellStyle name="Accent5 5" xfId="1172"/>
    <cellStyle name="Accent5 5 2" xfId="28775"/>
    <cellStyle name="Accent5 5 2 2" xfId="28776"/>
    <cellStyle name="Accent5 6" xfId="1173"/>
    <cellStyle name="Accent5 6 2" xfId="28777"/>
    <cellStyle name="Accent5 6 2 2" xfId="28778"/>
    <cellStyle name="Accent5 6 3" xfId="28779"/>
    <cellStyle name="Accent5 6 4" xfId="28780"/>
    <cellStyle name="Accent5 6 5" xfId="28781"/>
    <cellStyle name="Accent5 7" xfId="1174"/>
    <cellStyle name="Accent5 7 2" xfId="28782"/>
    <cellStyle name="Accent5 7 3" xfId="28783"/>
    <cellStyle name="Accent5 8" xfId="28784"/>
    <cellStyle name="Accent5 8 2" xfId="28785"/>
    <cellStyle name="Accent5 8 3" xfId="28786"/>
    <cellStyle name="Accent5 9" xfId="28787"/>
    <cellStyle name="Accent5 9 2" xfId="28788"/>
    <cellStyle name="Accent6 - 20%" xfId="1175"/>
    <cellStyle name="Accent6 - 20% 2" xfId="28789"/>
    <cellStyle name="Accent6 - 20% 2 2" xfId="28790"/>
    <cellStyle name="Accent6 - 20% 3" xfId="28791"/>
    <cellStyle name="Accent6 - 40%" xfId="1176"/>
    <cellStyle name="Accent6 - 40% 2" xfId="28792"/>
    <cellStyle name="Accent6 - 40% 2 2" xfId="28793"/>
    <cellStyle name="Accent6 - 40% 3" xfId="28794"/>
    <cellStyle name="Accent6 - 60%" xfId="1177"/>
    <cellStyle name="Accent6 - 60% 2" xfId="28795"/>
    <cellStyle name="Accent6 - 60% 3" xfId="28796"/>
    <cellStyle name="Accent6 10" xfId="28797"/>
    <cellStyle name="Accent6 10 2" xfId="28798"/>
    <cellStyle name="Accent6 11" xfId="28799"/>
    <cellStyle name="Accent6 11 2" xfId="28800"/>
    <cellStyle name="Accent6 12" xfId="28801"/>
    <cellStyle name="Accent6 12 2" xfId="28802"/>
    <cellStyle name="Accent6 13" xfId="28803"/>
    <cellStyle name="Accent6 13 2" xfId="28804"/>
    <cellStyle name="Accent6 14" xfId="28805"/>
    <cellStyle name="Accent6 14 2" xfId="28806"/>
    <cellStyle name="Accent6 15" xfId="28807"/>
    <cellStyle name="Accent6 15 2" xfId="28808"/>
    <cellStyle name="Accent6 16" xfId="28809"/>
    <cellStyle name="Accent6 16 2" xfId="28810"/>
    <cellStyle name="Accent6 17" xfId="28811"/>
    <cellStyle name="Accent6 17 2" xfId="28812"/>
    <cellStyle name="Accent6 18" xfId="28813"/>
    <cellStyle name="Accent6 18 2" xfId="28814"/>
    <cellStyle name="Accent6 19" xfId="28815"/>
    <cellStyle name="Accent6 2" xfId="1178"/>
    <cellStyle name="Accent6 2 2" xfId="1179"/>
    <cellStyle name="Accent6 2 2 2" xfId="28816"/>
    <cellStyle name="Accent6 2 2 2 2" xfId="28817"/>
    <cellStyle name="Accent6 2 2 2 2 2" xfId="28818"/>
    <cellStyle name="Accent6 2 2 2 3" xfId="28819"/>
    <cellStyle name="Accent6 2 2 3" xfId="28820"/>
    <cellStyle name="Accent6 2 2 3 2" xfId="28821"/>
    <cellStyle name="Accent6 2 2 4" xfId="28822"/>
    <cellStyle name="Accent6 2 2 4 2" xfId="28823"/>
    <cellStyle name="Accent6 2 2 5" xfId="28824"/>
    <cellStyle name="Accent6 2 3" xfId="28825"/>
    <cellStyle name="Accent6 2 3 2" xfId="28826"/>
    <cellStyle name="Accent6 2 3 2 2" xfId="28827"/>
    <cellStyle name="Accent6 2 3 2 2 2" xfId="28828"/>
    <cellStyle name="Accent6 2 3 2 3" xfId="28829"/>
    <cellStyle name="Accent6 2 3 2 4" xfId="28830"/>
    <cellStyle name="Accent6 2 3 3" xfId="28831"/>
    <cellStyle name="Accent6 2 3 3 2" xfId="28832"/>
    <cellStyle name="Accent6 2 3 3 3" xfId="28833"/>
    <cellStyle name="Accent6 2 3 4" xfId="28834"/>
    <cellStyle name="Accent6 2 3 4 2" xfId="28835"/>
    <cellStyle name="Accent6 2 3 5" xfId="28836"/>
    <cellStyle name="Accent6 2 3 6" xfId="28837"/>
    <cellStyle name="Accent6 2 4" xfId="28838"/>
    <cellStyle name="Accent6 2 4 2" xfId="28839"/>
    <cellStyle name="Accent6 2 4 2 2" xfId="28840"/>
    <cellStyle name="Accent6 2 4 3" xfId="28841"/>
    <cellStyle name="Accent6 2 4 4" xfId="28842"/>
    <cellStyle name="Accent6 2 4 5" xfId="28843"/>
    <cellStyle name="Accent6 2 5" xfId="28844"/>
    <cellStyle name="Accent6 2 5 2" xfId="28845"/>
    <cellStyle name="Accent6 2 6" xfId="28846"/>
    <cellStyle name="Accent6 2 6 2" xfId="28847"/>
    <cellStyle name="Accent6 2 7" xfId="28848"/>
    <cellStyle name="Accent6 20" xfId="28849"/>
    <cellStyle name="Accent6 21" xfId="28850"/>
    <cellStyle name="Accent6 22" xfId="28851"/>
    <cellStyle name="Accent6 23" xfId="28852"/>
    <cellStyle name="Accent6 24" xfId="28853"/>
    <cellStyle name="Accent6 3" xfId="1180"/>
    <cellStyle name="Accent6 3 2" xfId="28854"/>
    <cellStyle name="Accent6 3 2 2" xfId="28855"/>
    <cellStyle name="Accent6 3 2 2 2" xfId="28856"/>
    <cellStyle name="Accent6 3 2 3" xfId="28857"/>
    <cellStyle name="Accent6 3 3" xfId="28858"/>
    <cellStyle name="Accent6 3 3 2" xfId="28859"/>
    <cellStyle name="Accent6 3 4" xfId="28860"/>
    <cellStyle name="Accent6 3 4 2" xfId="28861"/>
    <cellStyle name="Accent6 3 5" xfId="28862"/>
    <cellStyle name="Accent6 3 6" xfId="28863"/>
    <cellStyle name="Accent6 4" xfId="1181"/>
    <cellStyle name="Accent6 4 2" xfId="28864"/>
    <cellStyle name="Accent6 4 2 2" xfId="28865"/>
    <cellStyle name="Accent6 4 2 2 2" xfId="28866"/>
    <cellStyle name="Accent6 4 2 3" xfId="28867"/>
    <cellStyle name="Accent6 4 2 4" xfId="28868"/>
    <cellStyle name="Accent6 4 3" xfId="28869"/>
    <cellStyle name="Accent6 4 3 2" xfId="28870"/>
    <cellStyle name="Accent6 4 4" xfId="28871"/>
    <cellStyle name="Accent6 4 4 2" xfId="28872"/>
    <cellStyle name="Accent6 5" xfId="1182"/>
    <cellStyle name="Accent6 5 2" xfId="28873"/>
    <cellStyle name="Accent6 5 2 2" xfId="28874"/>
    <cellStyle name="Accent6 5 2 3" xfId="28875"/>
    <cellStyle name="Accent6 5 3" xfId="28876"/>
    <cellStyle name="Accent6 6" xfId="1183"/>
    <cellStyle name="Accent6 6 2" xfId="28877"/>
    <cellStyle name="Accent6 6 2 2" xfId="28878"/>
    <cellStyle name="Accent6 6 3" xfId="28879"/>
    <cellStyle name="Accent6 6 4" xfId="28880"/>
    <cellStyle name="Accent6 6 5" xfId="28881"/>
    <cellStyle name="Accent6 7" xfId="1184"/>
    <cellStyle name="Accent6 7 2" xfId="28882"/>
    <cellStyle name="Accent6 7 3" xfId="28883"/>
    <cellStyle name="Accent6 8" xfId="28884"/>
    <cellStyle name="Accent6 8 2" xfId="28885"/>
    <cellStyle name="Accent6 8 3" xfId="28886"/>
    <cellStyle name="Accent6 9" xfId="28887"/>
    <cellStyle name="Accent6 9 2" xfId="28888"/>
    <cellStyle name="Accent6 9 3" xfId="28889"/>
    <cellStyle name="Bad 2" xfId="1185"/>
    <cellStyle name="Bad 2 2" xfId="1186"/>
    <cellStyle name="Bad 2 2 2" xfId="28890"/>
    <cellStyle name="Bad 2 2 2 2" xfId="28891"/>
    <cellStyle name="Bad 2 2 2 2 2" xfId="28892"/>
    <cellStyle name="Bad 2 2 2 3" xfId="28893"/>
    <cellStyle name="Bad 2 2 3" xfId="28894"/>
    <cellStyle name="Bad 2 2 3 2" xfId="28895"/>
    <cellStyle name="Bad 2 2 4" xfId="28896"/>
    <cellStyle name="Bad 2 2 4 2" xfId="28897"/>
    <cellStyle name="Bad 2 2 5" xfId="28898"/>
    <cellStyle name="Bad 2 3" xfId="28899"/>
    <cellStyle name="Bad 2 3 2" xfId="28900"/>
    <cellStyle name="Bad 2 3 2 2" xfId="28901"/>
    <cellStyle name="Bad 2 3 2 2 2" xfId="28902"/>
    <cellStyle name="Bad 2 3 2 3" xfId="28903"/>
    <cellStyle name="Bad 2 3 2 4" xfId="28904"/>
    <cellStyle name="Bad 2 3 3" xfId="28905"/>
    <cellStyle name="Bad 2 3 3 2" xfId="28906"/>
    <cellStyle name="Bad 2 3 3 3" xfId="28907"/>
    <cellStyle name="Bad 2 3 4" xfId="28908"/>
    <cellStyle name="Bad 2 3 4 2" xfId="28909"/>
    <cellStyle name="Bad 2 3 5" xfId="28910"/>
    <cellStyle name="Bad 2 3 6" xfId="28911"/>
    <cellStyle name="Bad 2 4" xfId="28912"/>
    <cellStyle name="Bad 2 4 2" xfId="28913"/>
    <cellStyle name="Bad 2 4 2 2" xfId="28914"/>
    <cellStyle name="Bad 2 4 3" xfId="28915"/>
    <cellStyle name="Bad 2 4 4" xfId="28916"/>
    <cellStyle name="Bad 2 4 5" xfId="28917"/>
    <cellStyle name="Bad 2 5" xfId="28918"/>
    <cellStyle name="Bad 2 5 2" xfId="28919"/>
    <cellStyle name="Bad 2 6" xfId="28920"/>
    <cellStyle name="Bad 2 6 2" xfId="28921"/>
    <cellStyle name="Bad 2 7" xfId="28922"/>
    <cellStyle name="Bad 3" xfId="1187"/>
    <cellStyle name="Bad 3 2" xfId="28923"/>
    <cellStyle name="Bad 3 2 2" xfId="28924"/>
    <cellStyle name="Bad 3 2 2 2" xfId="28925"/>
    <cellStyle name="Bad 3 2 3" xfId="28926"/>
    <cellStyle name="Bad 3 3" xfId="28927"/>
    <cellStyle name="Bad 3 3 2" xfId="28928"/>
    <cellStyle name="Bad 3 4" xfId="28929"/>
    <cellStyle name="Bad 3 4 2" xfId="28930"/>
    <cellStyle name="Bad 3 5" xfId="28931"/>
    <cellStyle name="Bad 3 6" xfId="28932"/>
    <cellStyle name="Bad 4" xfId="1188"/>
    <cellStyle name="Bad 4 2" xfId="28933"/>
    <cellStyle name="Bad 4 2 2" xfId="28934"/>
    <cellStyle name="Bad 4 2 2 2" xfId="28935"/>
    <cellStyle name="Bad 4 2 3" xfId="28936"/>
    <cellStyle name="Bad 4 2 4" xfId="28937"/>
    <cellStyle name="Bad 4 3" xfId="28938"/>
    <cellStyle name="Bad 4 3 2" xfId="28939"/>
    <cellStyle name="Bad 4 4" xfId="28940"/>
    <cellStyle name="Bad 4 4 2" xfId="28941"/>
    <cellStyle name="Bad 5" xfId="28942"/>
    <cellStyle name="Bad 5 2" xfId="28943"/>
    <cellStyle name="Bad 5 2 2" xfId="28944"/>
    <cellStyle name="Bad 5 2 3" xfId="28945"/>
    <cellStyle name="Bad 5 3" xfId="28946"/>
    <cellStyle name="Bad 6" xfId="28947"/>
    <cellStyle name="Bad 6 2" xfId="28948"/>
    <cellStyle name="Bad 6 2 2" xfId="28949"/>
    <cellStyle name="Bad 6 3" xfId="28950"/>
    <cellStyle name="Bad 6 4" xfId="28951"/>
    <cellStyle name="Bad 6 5" xfId="28952"/>
    <cellStyle name="Bad 7" xfId="28953"/>
    <cellStyle name="Bad 7 2" xfId="28954"/>
    <cellStyle name="Bad 7 3" xfId="28955"/>
    <cellStyle name="Bad 8" xfId="28956"/>
    <cellStyle name="Bad 9" xfId="28957"/>
    <cellStyle name="Band 2" xfId="28958"/>
    <cellStyle name="blank" xfId="1189"/>
    <cellStyle name="blank 2" xfId="28959"/>
    <cellStyle name="bld-li - Style4" xfId="28960"/>
    <cellStyle name="C06_Main text" xfId="28961"/>
    <cellStyle name="C07_Main text Bold Green" xfId="28962"/>
    <cellStyle name="C08_2001 Col heads" xfId="28963"/>
    <cellStyle name="C10_2001 Figs Black" xfId="28964"/>
    <cellStyle name="C11_2002 Figs Bold Green" xfId="28965"/>
    <cellStyle name="C13_2001 Figs 1 decimals" xfId="28966"/>
    <cellStyle name="C15_Main text Bold Black" xfId="28967"/>
    <cellStyle name="Calc Currency (0)" xfId="1190"/>
    <cellStyle name="Calc Currency (0) 2" xfId="28968"/>
    <cellStyle name="Calc Currency (0) 2 2" xfId="28969"/>
    <cellStyle name="Calc Currency (0) 2 2 2" xfId="28970"/>
    <cellStyle name="Calc Currency (0) 2 2 2 2" xfId="28971"/>
    <cellStyle name="Calc Currency (0) 2 2 3" xfId="28972"/>
    <cellStyle name="Calc Currency (0) 2 2 4" xfId="28973"/>
    <cellStyle name="Calc Currency (0) 2 2 5" xfId="28974"/>
    <cellStyle name="Calc Currency (0) 2 3" xfId="28975"/>
    <cellStyle name="Calc Currency (0) 2 3 2" xfId="28976"/>
    <cellStyle name="Calc Currency (0) 2 3 3" xfId="28977"/>
    <cellStyle name="Calc Currency (0) 2 4" xfId="28978"/>
    <cellStyle name="Calc Currency (0) 2 4 2" xfId="28979"/>
    <cellStyle name="Calc Currency (0) 2 5" xfId="28980"/>
    <cellStyle name="Calc Currency (0) 3" xfId="28981"/>
    <cellStyle name="Calc Currency (0) 3 2" xfId="28982"/>
    <cellStyle name="Calc Currency (0) 3 2 2" xfId="28983"/>
    <cellStyle name="Calc Currency (0) 3 3" xfId="28984"/>
    <cellStyle name="Calc Currency (0) 4" xfId="28985"/>
    <cellStyle name="Calc Currency (0) 4 2" xfId="28986"/>
    <cellStyle name="Calc Currency (0) 5" xfId="28987"/>
    <cellStyle name="Calc Currency (0) 5 2" xfId="28988"/>
    <cellStyle name="Calc Currency (0) 6" xfId="28989"/>
    <cellStyle name="Calculation 10" xfId="28990"/>
    <cellStyle name="Calculation 10 2" xfId="28991"/>
    <cellStyle name="Calculation 11" xfId="28992"/>
    <cellStyle name="Calculation 12" xfId="28993"/>
    <cellStyle name="Calculation 2" xfId="1191"/>
    <cellStyle name="Calculation 2 2" xfId="1192"/>
    <cellStyle name="Calculation 2 2 2" xfId="28994"/>
    <cellStyle name="Calculation 2 2 2 2" xfId="28995"/>
    <cellStyle name="Calculation 2 2 2 2 2" xfId="28996"/>
    <cellStyle name="Calculation 2 2 2 3" xfId="28997"/>
    <cellStyle name="Calculation 2 2 2 4" xfId="28998"/>
    <cellStyle name="Calculation 2 2 2 5" xfId="28999"/>
    <cellStyle name="Calculation 2 2 2 6" xfId="29000"/>
    <cellStyle name="Calculation 2 2 2 7" xfId="29001"/>
    <cellStyle name="Calculation 2 2 2 8" xfId="29002"/>
    <cellStyle name="Calculation 2 2 3" xfId="29003"/>
    <cellStyle name="Calculation 2 2 3 2" xfId="29004"/>
    <cellStyle name="Calculation 2 2 3 3" xfId="29005"/>
    <cellStyle name="Calculation 2 2 4" xfId="29006"/>
    <cellStyle name="Calculation 2 2 4 2" xfId="29007"/>
    <cellStyle name="Calculation 2 2 5" xfId="29008"/>
    <cellStyle name="Calculation 2 2 6" xfId="29009"/>
    <cellStyle name="Calculation 2 3" xfId="1193"/>
    <cellStyle name="Calculation 2 3 2" xfId="29010"/>
    <cellStyle name="Calculation 2 3 2 2" xfId="29011"/>
    <cellStyle name="Calculation 2 3 2 2 2" xfId="29012"/>
    <cellStyle name="Calculation 2 3 2 3" xfId="29013"/>
    <cellStyle name="Calculation 2 3 2 4" xfId="29014"/>
    <cellStyle name="Calculation 2 3 2 5" xfId="29015"/>
    <cellStyle name="Calculation 2 3 3" xfId="29016"/>
    <cellStyle name="Calculation 2 3 3 2" xfId="29017"/>
    <cellStyle name="Calculation 2 3 4" xfId="29018"/>
    <cellStyle name="Calculation 2 3 4 2" xfId="29019"/>
    <cellStyle name="Calculation 2 3 5" xfId="29020"/>
    <cellStyle name="Calculation 2 3 6" xfId="29021"/>
    <cellStyle name="Calculation 2 4" xfId="29022"/>
    <cellStyle name="Calculation 2 4 2" xfId="29023"/>
    <cellStyle name="Calculation 2 4 2 2" xfId="29024"/>
    <cellStyle name="Calculation 2 4 3" xfId="29025"/>
    <cellStyle name="Calculation 2 5" xfId="29026"/>
    <cellStyle name="Calculation 2 5 2" xfId="29027"/>
    <cellStyle name="Calculation 2 5 2 2" xfId="29028"/>
    <cellStyle name="Calculation 2 5 3" xfId="29029"/>
    <cellStyle name="Calculation 2 6" xfId="29030"/>
    <cellStyle name="Calculation 2 6 2" xfId="29031"/>
    <cellStyle name="Calculation 2 6 2 2" xfId="29032"/>
    <cellStyle name="Calculation 2 6 3" xfId="29033"/>
    <cellStyle name="Calculation 2 7" xfId="29034"/>
    <cellStyle name="Calculation 2 7 2" xfId="29035"/>
    <cellStyle name="Calculation 2 8" xfId="29036"/>
    <cellStyle name="Calculation 2 9" xfId="29037"/>
    <cellStyle name="Calculation 3" xfId="1194"/>
    <cellStyle name="Calculation 3 2" xfId="1195"/>
    <cellStyle name="Calculation 3 2 2" xfId="29038"/>
    <cellStyle name="Calculation 3 2 2 2" xfId="29039"/>
    <cellStyle name="Calculation 3 2 2 3" xfId="29040"/>
    <cellStyle name="Calculation 3 2 3" xfId="29041"/>
    <cellStyle name="Calculation 3 2 3 2" xfId="29042"/>
    <cellStyle name="Calculation 3 2 4" xfId="29043"/>
    <cellStyle name="Calculation 3 2 5" xfId="29044"/>
    <cellStyle name="Calculation 3 3" xfId="29045"/>
    <cellStyle name="Calculation 3 3 2" xfId="29046"/>
    <cellStyle name="Calculation 3 3 2 2" xfId="29047"/>
    <cellStyle name="Calculation 3 3 3" xfId="29048"/>
    <cellStyle name="Calculation 3 3 4" xfId="29049"/>
    <cellStyle name="Calculation 3 4" xfId="29050"/>
    <cellStyle name="Calculation 3 4 2" xfId="29051"/>
    <cellStyle name="Calculation 3 4 2 2" xfId="29052"/>
    <cellStyle name="Calculation 3 4 3" xfId="29053"/>
    <cellStyle name="Calculation 3 5" xfId="29054"/>
    <cellStyle name="Calculation 3 5 2" xfId="29055"/>
    <cellStyle name="Calculation 3 6" xfId="29056"/>
    <cellStyle name="Calculation 3 7" xfId="29057"/>
    <cellStyle name="Calculation 4" xfId="1196"/>
    <cellStyle name="Calculation 4 2" xfId="29058"/>
    <cellStyle name="Calculation 4 2 2" xfId="29059"/>
    <cellStyle name="Calculation 4 2 2 2" xfId="29060"/>
    <cellStyle name="Calculation 4 2 3" xfId="29061"/>
    <cellStyle name="Calculation 4 2 4" xfId="29062"/>
    <cellStyle name="Calculation 4 3" xfId="29063"/>
    <cellStyle name="Calculation 4 3 2" xfId="29064"/>
    <cellStyle name="Calculation 4 3 2 2" xfId="29065"/>
    <cellStyle name="Calculation 4 3 3" xfId="29066"/>
    <cellStyle name="Calculation 4 4" xfId="29067"/>
    <cellStyle name="Calculation 4 4 2" xfId="29068"/>
    <cellStyle name="Calculation 4 4 2 2" xfId="29069"/>
    <cellStyle name="Calculation 4 4 3" xfId="29070"/>
    <cellStyle name="Calculation 4 5" xfId="29071"/>
    <cellStyle name="Calculation 4 5 2" xfId="29072"/>
    <cellStyle name="Calculation 4 6" xfId="29073"/>
    <cellStyle name="Calculation 5" xfId="29074"/>
    <cellStyle name="Calculation 5 2" xfId="29075"/>
    <cellStyle name="Calculation 5 2 2" xfId="29076"/>
    <cellStyle name="Calculation 5 2 2 2" xfId="29077"/>
    <cellStyle name="Calculation 5 2 2 2 2" xfId="29078"/>
    <cellStyle name="Calculation 5 2 3" xfId="29079"/>
    <cellStyle name="Calculation 5 2 3 2" xfId="29080"/>
    <cellStyle name="Calculation 5 2 4" xfId="29081"/>
    <cellStyle name="Calculation 5 2 4 2" xfId="29082"/>
    <cellStyle name="Calculation 5 2 5" xfId="29083"/>
    <cellStyle name="Calculation 5 3" xfId="29084"/>
    <cellStyle name="Calculation 5 3 2" xfId="29085"/>
    <cellStyle name="Calculation 5 3 2 2" xfId="29086"/>
    <cellStyle name="Calculation 5 4" xfId="29087"/>
    <cellStyle name="Calculation 5 4 2" xfId="29088"/>
    <cellStyle name="Calculation 5 4 2 2" xfId="29089"/>
    <cellStyle name="Calculation 5 4 3" xfId="29090"/>
    <cellStyle name="Calculation 5 5" xfId="29091"/>
    <cellStyle name="Calculation 5 5 2" xfId="29092"/>
    <cellStyle name="Calculation 5 6" xfId="29093"/>
    <cellStyle name="Calculation 5 6 2" xfId="29094"/>
    <cellStyle name="Calculation 5 7" xfId="29095"/>
    <cellStyle name="Calculation 6" xfId="29096"/>
    <cellStyle name="Calculation 6 2" xfId="29097"/>
    <cellStyle name="Calculation 6 2 2" xfId="29098"/>
    <cellStyle name="Calculation 6 2 2 2" xfId="29099"/>
    <cellStyle name="Calculation 6 2 3" xfId="29100"/>
    <cellStyle name="Calculation 6 2 4" xfId="29101"/>
    <cellStyle name="Calculation 6 3" xfId="29102"/>
    <cellStyle name="Calculation 6 3 2" xfId="29103"/>
    <cellStyle name="Calculation 6 3 3" xfId="29104"/>
    <cellStyle name="Calculation 6 4" xfId="29105"/>
    <cellStyle name="Calculation 6 4 2" xfId="29106"/>
    <cellStyle name="Calculation 7" xfId="29107"/>
    <cellStyle name="Calculation 7 2" xfId="29108"/>
    <cellStyle name="Calculation 7 2 2" xfId="29109"/>
    <cellStyle name="Calculation 7 3" xfId="29110"/>
    <cellStyle name="Calculation 7 3 2" xfId="29111"/>
    <cellStyle name="Calculation 8" xfId="29112"/>
    <cellStyle name="Calculation 8 2" xfId="29113"/>
    <cellStyle name="Calculation 8 2 2" xfId="29114"/>
    <cellStyle name="Calculation 8 3" xfId="29115"/>
    <cellStyle name="Calculation 9" xfId="29116"/>
    <cellStyle name="Calculation 9 2" xfId="29117"/>
    <cellStyle name="Calculation 9 2 2" xfId="29118"/>
    <cellStyle name="Calculation 9 3" xfId="29119"/>
    <cellStyle name="Check Cell 2" xfId="1197"/>
    <cellStyle name="Check Cell 2 2" xfId="1198"/>
    <cellStyle name="Check Cell 2 2 2" xfId="29120"/>
    <cellStyle name="Check Cell 2 2 2 10" xfId="29121"/>
    <cellStyle name="Check Cell 2 2 2 2" xfId="29122"/>
    <cellStyle name="Check Cell 2 2 2 2 2" xfId="29123"/>
    <cellStyle name="Check Cell 2 2 2 3" xfId="29124"/>
    <cellStyle name="Check Cell 2 2 2 4" xfId="29125"/>
    <cellStyle name="Check Cell 2 2 2 5" xfId="29126"/>
    <cellStyle name="Check Cell 2 2 2 6" xfId="29127"/>
    <cellStyle name="Check Cell 2 2 2 7" xfId="29128"/>
    <cellStyle name="Check Cell 2 2 2 8" xfId="29129"/>
    <cellStyle name="Check Cell 2 2 2 9" xfId="29130"/>
    <cellStyle name="Check Cell 2 2 3" xfId="29131"/>
    <cellStyle name="Check Cell 2 2 3 2" xfId="29132"/>
    <cellStyle name="Check Cell 2 2 4" xfId="29133"/>
    <cellStyle name="Check Cell 2 2 4 2" xfId="29134"/>
    <cellStyle name="Check Cell 2 2 5" xfId="29135"/>
    <cellStyle name="Check Cell 2 3" xfId="29136"/>
    <cellStyle name="Check Cell 2 3 2" xfId="29137"/>
    <cellStyle name="Check Cell 2 3 2 2" xfId="29138"/>
    <cellStyle name="Check Cell 2 3 2 2 2" xfId="29139"/>
    <cellStyle name="Check Cell 2 3 2 3" xfId="29140"/>
    <cellStyle name="Check Cell 2 3 2 4" xfId="29141"/>
    <cellStyle name="Check Cell 2 3 3" xfId="29142"/>
    <cellStyle name="Check Cell 2 3 3 2" xfId="29143"/>
    <cellStyle name="Check Cell 2 3 4" xfId="29144"/>
    <cellStyle name="Check Cell 2 3 4 2" xfId="29145"/>
    <cellStyle name="Check Cell 2 3 5" xfId="29146"/>
    <cellStyle name="Check Cell 2 3 6" xfId="29147"/>
    <cellStyle name="Check Cell 2 4" xfId="29148"/>
    <cellStyle name="Check Cell 2 4 2" xfId="29149"/>
    <cellStyle name="Check Cell 2 4 2 2" xfId="29150"/>
    <cellStyle name="Check Cell 2 4 3" xfId="29151"/>
    <cellStyle name="Check Cell 2 4 4" xfId="29152"/>
    <cellStyle name="Check Cell 2 5" xfId="29153"/>
    <cellStyle name="Check Cell 2 5 2" xfId="29154"/>
    <cellStyle name="Check Cell 2 6" xfId="29155"/>
    <cellStyle name="Check Cell 2 6 2" xfId="29156"/>
    <cellStyle name="Check Cell 2 7" xfId="29157"/>
    <cellStyle name="Check Cell 3" xfId="1199"/>
    <cellStyle name="Check Cell 3 2" xfId="29158"/>
    <cellStyle name="Check Cell 3 2 2" xfId="29159"/>
    <cellStyle name="Check Cell 3 2 2 2" xfId="29160"/>
    <cellStyle name="Check Cell 3 2 3" xfId="29161"/>
    <cellStyle name="Check Cell 3 3" xfId="29162"/>
    <cellStyle name="Check Cell 3 3 2" xfId="29163"/>
    <cellStyle name="Check Cell 3 4" xfId="29164"/>
    <cellStyle name="Check Cell 3 4 2" xfId="29165"/>
    <cellStyle name="Check Cell 3 5" xfId="29166"/>
    <cellStyle name="Check Cell 3 6" xfId="29167"/>
    <cellStyle name="Check Cell 3 7" xfId="29168"/>
    <cellStyle name="Check Cell 3 8" xfId="29169"/>
    <cellStyle name="Check Cell 3 9" xfId="29170"/>
    <cellStyle name="Check Cell 4" xfId="1200"/>
    <cellStyle name="Check Cell 4 2" xfId="29171"/>
    <cellStyle name="Check Cell 4 2 2" xfId="29172"/>
    <cellStyle name="Check Cell 4 2 2 2" xfId="29173"/>
    <cellStyle name="Check Cell 4 2 3" xfId="29174"/>
    <cellStyle name="Check Cell 4 2 4" xfId="29175"/>
    <cellStyle name="Check Cell 4 3" xfId="29176"/>
    <cellStyle name="Check Cell 4 3 2" xfId="29177"/>
    <cellStyle name="Check Cell 4 4" xfId="29178"/>
    <cellStyle name="Check Cell 4 4 2" xfId="29179"/>
    <cellStyle name="Check Cell 5" xfId="29180"/>
    <cellStyle name="Check Cell 5 2" xfId="29181"/>
    <cellStyle name="Check Cell 5 2 2" xfId="29182"/>
    <cellStyle name="Check Cell 6" xfId="29183"/>
    <cellStyle name="Check Cell 6 2" xfId="29184"/>
    <cellStyle name="Check Cell 6 2 2" xfId="29185"/>
    <cellStyle name="Check Cell 6 3" xfId="29186"/>
    <cellStyle name="Check Cell 6 4" xfId="29187"/>
    <cellStyle name="Check Cell 6 5" xfId="29188"/>
    <cellStyle name="Check Cell 7" xfId="29189"/>
    <cellStyle name="Check Cell 7 2" xfId="29190"/>
    <cellStyle name="Check Cell 8" xfId="29191"/>
    <cellStyle name="Check Cell 9" xfId="29192"/>
    <cellStyle name="CheckCell" xfId="1201"/>
    <cellStyle name="CheckCell 2" xfId="29193"/>
    <cellStyle name="CheckCell 2 2" xfId="29194"/>
    <cellStyle name="CheckCell 2 2 2" xfId="29195"/>
    <cellStyle name="CheckCell 2 2 2 2" xfId="29196"/>
    <cellStyle name="CheckCell 2 2 2 2 2" xfId="29197"/>
    <cellStyle name="CheckCell 2 2 3" xfId="29198"/>
    <cellStyle name="CheckCell 2 2 3 2" xfId="29199"/>
    <cellStyle name="CheckCell 2 2 4" xfId="29200"/>
    <cellStyle name="CheckCell 2 2 4 2" xfId="29201"/>
    <cellStyle name="CheckCell 2 2 5" xfId="29202"/>
    <cellStyle name="CheckCell 2 3" xfId="29203"/>
    <cellStyle name="CheckCell 2 3 2" xfId="29204"/>
    <cellStyle name="CheckCell 2 3 2 2" xfId="29205"/>
    <cellStyle name="CheckCell 2 4" xfId="29206"/>
    <cellStyle name="CheckCell 2 4 2" xfId="29207"/>
    <cellStyle name="CheckCell 2 4 2 2" xfId="29208"/>
    <cellStyle name="CheckCell 2 4 3" xfId="29209"/>
    <cellStyle name="CheckCell 2 5" xfId="29210"/>
    <cellStyle name="CheckCell 2 5 2" xfId="29211"/>
    <cellStyle name="CheckCell 2 6" xfId="29212"/>
    <cellStyle name="CheckCell 2 6 2" xfId="29213"/>
    <cellStyle name="CheckCell 2 7" xfId="29214"/>
    <cellStyle name="CheckCell 3" xfId="29215"/>
    <cellStyle name="CheckCell 3 2" xfId="29216"/>
    <cellStyle name="CheckCell 3 2 2" xfId="29217"/>
    <cellStyle name="CheckCell 3 2 2 2" xfId="29218"/>
    <cellStyle name="CheckCell 3 3" xfId="29219"/>
    <cellStyle name="CheckCell 3 3 2" xfId="29220"/>
    <cellStyle name="CheckCell 3 4" xfId="29221"/>
    <cellStyle name="CheckCell 3 4 2" xfId="29222"/>
    <cellStyle name="CheckCell 3 5" xfId="29223"/>
    <cellStyle name="CheckCell 4" xfId="29224"/>
    <cellStyle name="CheckCell 4 2" xfId="29225"/>
    <cellStyle name="CheckCell 4 2 2" xfId="29226"/>
    <cellStyle name="CheckCell 4 3" xfId="29227"/>
    <cellStyle name="CheckCell 5" xfId="29228"/>
    <cellStyle name="CheckCell 5 2" xfId="29229"/>
    <cellStyle name="CheckCell 5 2 2" xfId="29230"/>
    <cellStyle name="CheckCell 5 3" xfId="29231"/>
    <cellStyle name="CheckCell 6" xfId="29232"/>
    <cellStyle name="CheckCell 6 2" xfId="29233"/>
    <cellStyle name="CheckCell 7" xfId="29234"/>
    <cellStyle name="CheckCell 7 2" xfId="29235"/>
    <cellStyle name="CheckCell 8" xfId="29236"/>
    <cellStyle name="CheckCell_Electric Rev Req Model (2009 GRC) Rebuttal" xfId="29237"/>
    <cellStyle name="ColumnHeading" xfId="29238"/>
    <cellStyle name="ColumnHeadings" xfId="29239"/>
    <cellStyle name="ColumnHeadings2" xfId="29240"/>
    <cellStyle name="Comma" xfId="1202" builtinId="3"/>
    <cellStyle name="Comma  - Style1" xfId="29241"/>
    <cellStyle name="Comma  - Style2" xfId="29242"/>
    <cellStyle name="Comma  - Style3" xfId="29243"/>
    <cellStyle name="Comma  - Style4" xfId="29244"/>
    <cellStyle name="Comma  - Style5" xfId="29245"/>
    <cellStyle name="Comma  - Style6" xfId="29246"/>
    <cellStyle name="Comma  - Style7" xfId="29247"/>
    <cellStyle name="Comma  - Style8" xfId="29248"/>
    <cellStyle name="Comma [0] 2" xfId="29249"/>
    <cellStyle name="Comma [0] 2 2" xfId="42397"/>
    <cellStyle name="Comma [0] 3" xfId="29250"/>
    <cellStyle name="Comma [0] 4" xfId="42388"/>
    <cellStyle name="Comma [0] 5" xfId="42389"/>
    <cellStyle name="Comma 10" xfId="1203"/>
    <cellStyle name="Comma 10 2" xfId="1204"/>
    <cellStyle name="Comma 10 2 2" xfId="1205"/>
    <cellStyle name="Comma 10 2 2 2" xfId="29251"/>
    <cellStyle name="Comma 10 2 2 2 2" xfId="29252"/>
    <cellStyle name="Comma 10 2 2 3" xfId="29253"/>
    <cellStyle name="Comma 10 2 2 4" xfId="29254"/>
    <cellStyle name="Comma 10 2 3" xfId="29255"/>
    <cellStyle name="Comma 10 2 3 2" xfId="29256"/>
    <cellStyle name="Comma 10 2 3 2 2" xfId="29257"/>
    <cellStyle name="Comma 10 2 3 3" xfId="29258"/>
    <cellStyle name="Comma 10 2 4" xfId="29259"/>
    <cellStyle name="Comma 10 2 4 2" xfId="29260"/>
    <cellStyle name="Comma 10 2 5" xfId="29261"/>
    <cellStyle name="Comma 10 2 5 2" xfId="29262"/>
    <cellStyle name="Comma 10 2 6" xfId="29263"/>
    <cellStyle name="Comma 10 3" xfId="1206"/>
    <cellStyle name="Comma 10 3 2" xfId="29264"/>
    <cellStyle name="Comma 10 3 2 2" xfId="29265"/>
    <cellStyle name="Comma 10 3 3" xfId="29266"/>
    <cellStyle name="Comma 10 3 4" xfId="29267"/>
    <cellStyle name="Comma 10 4" xfId="29268"/>
    <cellStyle name="Comma 10 4 2" xfId="29269"/>
    <cellStyle name="Comma 10 4 2 2" xfId="29270"/>
    <cellStyle name="Comma 10 4 3" xfId="29271"/>
    <cellStyle name="Comma 10 5" xfId="29272"/>
    <cellStyle name="Comma 10 5 2" xfId="29273"/>
    <cellStyle name="Comma 10 6" xfId="29274"/>
    <cellStyle name="Comma 10 6 2" xfId="29275"/>
    <cellStyle name="Comma 10 7" xfId="29276"/>
    <cellStyle name="Comma 10 7 2" xfId="29277"/>
    <cellStyle name="Comma 10 8" xfId="29278"/>
    <cellStyle name="Comma 11" xfId="1207"/>
    <cellStyle name="Comma 11 2" xfId="1208"/>
    <cellStyle name="Comma 11 2 2" xfId="29279"/>
    <cellStyle name="Comma 11 2 2 2" xfId="29280"/>
    <cellStyle name="Comma 11 2 3" xfId="29281"/>
    <cellStyle name="Comma 11 3" xfId="1209"/>
    <cellStyle name="Comma 11 3 2" xfId="29282"/>
    <cellStyle name="Comma 11 3 2 2" xfId="29283"/>
    <cellStyle name="Comma 11 3 3" xfId="29284"/>
    <cellStyle name="Comma 11 3 4" xfId="29285"/>
    <cellStyle name="Comma 11 4" xfId="1767"/>
    <cellStyle name="Comma 11 4 2" xfId="29286"/>
    <cellStyle name="Comma 11 4 2 2" xfId="29287"/>
    <cellStyle name="Comma 11 4 3" xfId="29288"/>
    <cellStyle name="Comma 11 5" xfId="29289"/>
    <cellStyle name="Comma 11 5 2" xfId="29290"/>
    <cellStyle name="Comma 11 6" xfId="29291"/>
    <cellStyle name="Comma 12" xfId="1210"/>
    <cellStyle name="Comma 12 2" xfId="1211"/>
    <cellStyle name="Comma 12 2 2" xfId="29292"/>
    <cellStyle name="Comma 12 2 2 2" xfId="29293"/>
    <cellStyle name="Comma 12 2 2 2 2" xfId="29294"/>
    <cellStyle name="Comma 12 2 2 3" xfId="29295"/>
    <cellStyle name="Comma 12 2 3" xfId="29296"/>
    <cellStyle name="Comma 12 2 3 2" xfId="29297"/>
    <cellStyle name="Comma 12 2 4" xfId="29298"/>
    <cellStyle name="Comma 12 2 4 2" xfId="29299"/>
    <cellStyle name="Comma 12 2 5" xfId="29300"/>
    <cellStyle name="Comma 12 3" xfId="1212"/>
    <cellStyle name="Comma 12 3 2" xfId="29301"/>
    <cellStyle name="Comma 12 3 2 2" xfId="29302"/>
    <cellStyle name="Comma 12 3 3" xfId="29303"/>
    <cellStyle name="Comma 12 3 4" xfId="29304"/>
    <cellStyle name="Comma 12 4" xfId="29305"/>
    <cellStyle name="Comma 12 4 2" xfId="29306"/>
    <cellStyle name="Comma 12 4 2 2" xfId="29307"/>
    <cellStyle name="Comma 12 4 3" xfId="29308"/>
    <cellStyle name="Comma 12 5" xfId="29309"/>
    <cellStyle name="Comma 12 5 2" xfId="29310"/>
    <cellStyle name="Comma 12 6" xfId="29311"/>
    <cellStyle name="Comma 12 6 2" xfId="29312"/>
    <cellStyle name="Comma 12 7" xfId="29313"/>
    <cellStyle name="Comma 13" xfId="1213"/>
    <cellStyle name="Comma 13 2" xfId="1214"/>
    <cellStyle name="Comma 13 2 2" xfId="29314"/>
    <cellStyle name="Comma 13 2 2 2" xfId="29315"/>
    <cellStyle name="Comma 13 2 2 2 2" xfId="29316"/>
    <cellStyle name="Comma 13 2 2 3" xfId="29317"/>
    <cellStyle name="Comma 13 2 3" xfId="29318"/>
    <cellStyle name="Comma 13 2 3 2" xfId="29319"/>
    <cellStyle name="Comma 13 2 4" xfId="29320"/>
    <cellStyle name="Comma 13 2 4 2" xfId="29321"/>
    <cellStyle name="Comma 13 2 5" xfId="29322"/>
    <cellStyle name="Comma 13 3" xfId="29323"/>
    <cellStyle name="Comma 13 3 2" xfId="29324"/>
    <cellStyle name="Comma 13 3 2 2" xfId="29325"/>
    <cellStyle name="Comma 13 3 3" xfId="29326"/>
    <cellStyle name="Comma 13 3 4" xfId="29327"/>
    <cellStyle name="Comma 13 4" xfId="29328"/>
    <cellStyle name="Comma 13 4 2" xfId="29329"/>
    <cellStyle name="Comma 13 4 2 2" xfId="29330"/>
    <cellStyle name="Comma 13 4 3" xfId="29331"/>
    <cellStyle name="Comma 13 5" xfId="29332"/>
    <cellStyle name="Comma 13 5 2" xfId="29333"/>
    <cellStyle name="Comma 13 6" xfId="29334"/>
    <cellStyle name="Comma 13 6 2" xfId="29335"/>
    <cellStyle name="Comma 13 7" xfId="29336"/>
    <cellStyle name="Comma 14" xfId="1215"/>
    <cellStyle name="Comma 14 2" xfId="1216"/>
    <cellStyle name="Comma 14 2 2" xfId="29337"/>
    <cellStyle name="Comma 14 2 2 2" xfId="29338"/>
    <cellStyle name="Comma 14 2 2 2 2" xfId="29339"/>
    <cellStyle name="Comma 14 2 2 3" xfId="29340"/>
    <cellStyle name="Comma 14 2 3" xfId="29341"/>
    <cellStyle name="Comma 14 2 3 2" xfId="29342"/>
    <cellStyle name="Comma 14 2 4" xfId="29343"/>
    <cellStyle name="Comma 14 2 4 2" xfId="29344"/>
    <cellStyle name="Comma 14 2 5" xfId="29345"/>
    <cellStyle name="Comma 14 3" xfId="1217"/>
    <cellStyle name="Comma 14 3 2" xfId="29346"/>
    <cellStyle name="Comma 14 3 2 2" xfId="29347"/>
    <cellStyle name="Comma 14 3 3" xfId="29348"/>
    <cellStyle name="Comma 14 3 4" xfId="29349"/>
    <cellStyle name="Comma 14 4" xfId="29350"/>
    <cellStyle name="Comma 14 4 2" xfId="29351"/>
    <cellStyle name="Comma 14 4 2 2" xfId="29352"/>
    <cellStyle name="Comma 14 4 3" xfId="29353"/>
    <cellStyle name="Comma 14 5" xfId="29354"/>
    <cellStyle name="Comma 14 5 2" xfId="29355"/>
    <cellStyle name="Comma 14 6" xfId="29356"/>
    <cellStyle name="Comma 14 6 2" xfId="29357"/>
    <cellStyle name="Comma 14 7" xfId="29358"/>
    <cellStyle name="Comma 15" xfId="1218"/>
    <cellStyle name="Comma 15 2" xfId="1219"/>
    <cellStyle name="Comma 15 2 2" xfId="29359"/>
    <cellStyle name="Comma 15 2 2 2" xfId="29360"/>
    <cellStyle name="Comma 15 2 2 3" xfId="29361"/>
    <cellStyle name="Comma 15 2 3" xfId="29362"/>
    <cellStyle name="Comma 15 2 4" xfId="29363"/>
    <cellStyle name="Comma 15 3" xfId="29364"/>
    <cellStyle name="Comma 15 3 2" xfId="29365"/>
    <cellStyle name="Comma 15 3 2 2" xfId="29366"/>
    <cellStyle name="Comma 15 3 3" xfId="29367"/>
    <cellStyle name="Comma 15 3 4" xfId="29368"/>
    <cellStyle name="Comma 15 4" xfId="29369"/>
    <cellStyle name="Comma 15 4 2" xfId="29370"/>
    <cellStyle name="Comma 15 4 3" xfId="29371"/>
    <cellStyle name="Comma 15 5" xfId="29372"/>
    <cellStyle name="Comma 15 5 2" xfId="29373"/>
    <cellStyle name="Comma 15 6" xfId="29374"/>
    <cellStyle name="Comma 16" xfId="1220"/>
    <cellStyle name="Comma 16 2" xfId="1221"/>
    <cellStyle name="Comma 16 2 2" xfId="29375"/>
    <cellStyle name="Comma 16 2 2 2" xfId="29376"/>
    <cellStyle name="Comma 16 2 2 2 2" xfId="29377"/>
    <cellStyle name="Comma 16 2 2 3" xfId="29378"/>
    <cellStyle name="Comma 16 2 3" xfId="29379"/>
    <cellStyle name="Comma 16 2 3 2" xfId="29380"/>
    <cellStyle name="Comma 16 2 3 2 2" xfId="29381"/>
    <cellStyle name="Comma 16 2 3 3" xfId="29382"/>
    <cellStyle name="Comma 16 2 4" xfId="29383"/>
    <cellStyle name="Comma 16 2 4 2" xfId="29384"/>
    <cellStyle name="Comma 16 2 5" xfId="29385"/>
    <cellStyle name="Comma 16 3" xfId="29386"/>
    <cellStyle name="Comma 16 3 2" xfId="29387"/>
    <cellStyle name="Comma 16 3 2 2" xfId="29388"/>
    <cellStyle name="Comma 16 3 3" xfId="29389"/>
    <cellStyle name="Comma 16 4" xfId="29390"/>
    <cellStyle name="Comma 16 4 2" xfId="29391"/>
    <cellStyle name="Comma 16 4 2 2" xfId="29392"/>
    <cellStyle name="Comma 16 4 3" xfId="29393"/>
    <cellStyle name="Comma 16 5" xfId="29394"/>
    <cellStyle name="Comma 16 5 2" xfId="29395"/>
    <cellStyle name="Comma 16 6" xfId="29396"/>
    <cellStyle name="Comma 16 6 2" xfId="29397"/>
    <cellStyle name="Comma 16 7" xfId="29398"/>
    <cellStyle name="Comma 17" xfId="1222"/>
    <cellStyle name="Comma 17 2" xfId="29399"/>
    <cellStyle name="Comma 17 2 2" xfId="29400"/>
    <cellStyle name="Comma 17 2 2 2" xfId="29401"/>
    <cellStyle name="Comma 17 2 2 2 2" xfId="29402"/>
    <cellStyle name="Comma 17 2 2 3" xfId="29403"/>
    <cellStyle name="Comma 17 2 3" xfId="29404"/>
    <cellStyle name="Comma 17 2 3 2" xfId="29405"/>
    <cellStyle name="Comma 17 2 4" xfId="29406"/>
    <cellStyle name="Comma 17 2 4 2" xfId="29407"/>
    <cellStyle name="Comma 17 2 5" xfId="29408"/>
    <cellStyle name="Comma 17 3" xfId="29409"/>
    <cellStyle name="Comma 17 3 2" xfId="29410"/>
    <cellStyle name="Comma 17 3 2 2" xfId="29411"/>
    <cellStyle name="Comma 17 3 3" xfId="29412"/>
    <cellStyle name="Comma 17 3 4" xfId="29413"/>
    <cellStyle name="Comma 17 4" xfId="29414"/>
    <cellStyle name="Comma 17 4 2" xfId="29415"/>
    <cellStyle name="Comma 17 4 2 2" xfId="29416"/>
    <cellStyle name="Comma 17 4 3" xfId="29417"/>
    <cellStyle name="Comma 17 5" xfId="29418"/>
    <cellStyle name="Comma 17 5 2" xfId="29419"/>
    <cellStyle name="Comma 17 6" xfId="29420"/>
    <cellStyle name="Comma 17 6 2" xfId="29421"/>
    <cellStyle name="Comma 17 7" xfId="29422"/>
    <cellStyle name="Comma 18" xfId="1223"/>
    <cellStyle name="Comma 18 2" xfId="1224"/>
    <cellStyle name="Comma 18 2 2" xfId="29423"/>
    <cellStyle name="Comma 18 2 2 2" xfId="29424"/>
    <cellStyle name="Comma 18 2 2 2 2" xfId="29425"/>
    <cellStyle name="Comma 18 2 2 3" xfId="29426"/>
    <cellStyle name="Comma 18 2 3" xfId="29427"/>
    <cellStyle name="Comma 18 2 3 2" xfId="29428"/>
    <cellStyle name="Comma 18 2 3 2 2" xfId="29429"/>
    <cellStyle name="Comma 18 2 3 3" xfId="29430"/>
    <cellStyle name="Comma 18 2 4" xfId="29431"/>
    <cellStyle name="Comma 18 2 4 2" xfId="29432"/>
    <cellStyle name="Comma 18 2 5" xfId="29433"/>
    <cellStyle name="Comma 18 2 6" xfId="29434"/>
    <cellStyle name="Comma 18 3" xfId="29435"/>
    <cellStyle name="Comma 18 3 2" xfId="29436"/>
    <cellStyle name="Comma 18 3 2 2" xfId="29437"/>
    <cellStyle name="Comma 18 3 2 3" xfId="29438"/>
    <cellStyle name="Comma 18 3 3" xfId="29439"/>
    <cellStyle name="Comma 18 3 4" xfId="29440"/>
    <cellStyle name="Comma 18 4" xfId="29441"/>
    <cellStyle name="Comma 18 4 2" xfId="29442"/>
    <cellStyle name="Comma 18 4 2 2" xfId="29443"/>
    <cellStyle name="Comma 18 4 3" xfId="29444"/>
    <cellStyle name="Comma 18 5" xfId="29445"/>
    <cellStyle name="Comma 18 5 2" xfId="29446"/>
    <cellStyle name="Comma 18 5 2 2" xfId="29447"/>
    <cellStyle name="Comma 18 5 3" xfId="29448"/>
    <cellStyle name="Comma 18 6" xfId="29449"/>
    <cellStyle name="Comma 18 6 2" xfId="29450"/>
    <cellStyle name="Comma 18 7" xfId="29451"/>
    <cellStyle name="Comma 18 8" xfId="29452"/>
    <cellStyle name="Comma 18 9" xfId="29453"/>
    <cellStyle name="Comma 19" xfId="1225"/>
    <cellStyle name="Comma 19 2" xfId="29454"/>
    <cellStyle name="Comma 19 2 2" xfId="29455"/>
    <cellStyle name="Comma 19 2 2 2" xfId="29456"/>
    <cellStyle name="Comma 19 2 2 2 2" xfId="29457"/>
    <cellStyle name="Comma 19 2 2 2 3" xfId="29458"/>
    <cellStyle name="Comma 19 2 2 3" xfId="29459"/>
    <cellStyle name="Comma 19 2 3" xfId="29460"/>
    <cellStyle name="Comma 19 2 3 2" xfId="29461"/>
    <cellStyle name="Comma 19 2 3 3" xfId="29462"/>
    <cellStyle name="Comma 19 2 4" xfId="29463"/>
    <cellStyle name="Comma 19 2 4 2" xfId="29464"/>
    <cellStyle name="Comma 19 2 5" xfId="29465"/>
    <cellStyle name="Comma 19 2 6" xfId="29466"/>
    <cellStyle name="Comma 19 2 7" xfId="29467"/>
    <cellStyle name="Comma 19 3" xfId="29468"/>
    <cellStyle name="Comma 19 3 2" xfId="29469"/>
    <cellStyle name="Comma 19 3 2 2" xfId="29470"/>
    <cellStyle name="Comma 19 3 2 2 2" xfId="29471"/>
    <cellStyle name="Comma 19 3 2 3" xfId="29472"/>
    <cellStyle name="Comma 19 3 3" xfId="29473"/>
    <cellStyle name="Comma 19 3 4" xfId="29474"/>
    <cellStyle name="Comma 19 4" xfId="29475"/>
    <cellStyle name="Comma 19 4 2" xfId="29476"/>
    <cellStyle name="Comma 19 4 2 2" xfId="29477"/>
    <cellStyle name="Comma 19 4 3" xfId="29478"/>
    <cellStyle name="Comma 19 4 4" xfId="29479"/>
    <cellStyle name="Comma 19 5" xfId="29480"/>
    <cellStyle name="Comma 19 5 2" xfId="29481"/>
    <cellStyle name="Comma 19 6" xfId="29482"/>
    <cellStyle name="Comma 19 7" xfId="29483"/>
    <cellStyle name="Comma 2" xfId="1226"/>
    <cellStyle name="Comma 2 10" xfId="29484"/>
    <cellStyle name="Comma 2 10 2" xfId="29485"/>
    <cellStyle name="Comma 2 10 2 2" xfId="29486"/>
    <cellStyle name="Comma 2 10 3" xfId="29487"/>
    <cellStyle name="Comma 2 11" xfId="29488"/>
    <cellStyle name="Comma 2 11 2" xfId="29489"/>
    <cellStyle name="Comma 2 12" xfId="29490"/>
    <cellStyle name="Comma 2 12 2" xfId="29491"/>
    <cellStyle name="Comma 2 13" xfId="29492"/>
    <cellStyle name="Comma 2 13 2" xfId="29493"/>
    <cellStyle name="Comma 2 14" xfId="29494"/>
    <cellStyle name="Comma 2 2" xfId="1227"/>
    <cellStyle name="Comma 2 2 2" xfId="1228"/>
    <cellStyle name="Comma 2 2 2 2" xfId="1229"/>
    <cellStyle name="Comma 2 2 2 2 2" xfId="29495"/>
    <cellStyle name="Comma 2 2 2 2 2 2" xfId="29496"/>
    <cellStyle name="Comma 2 2 2 2 3" xfId="29497"/>
    <cellStyle name="Comma 2 2 2 2 4" xfId="29498"/>
    <cellStyle name="Comma 2 2 2 2 5" xfId="29499"/>
    <cellStyle name="Comma 2 2 2 3" xfId="29500"/>
    <cellStyle name="Comma 2 2 2 3 2" xfId="29501"/>
    <cellStyle name="Comma 2 2 2 3 2 2" xfId="29502"/>
    <cellStyle name="Comma 2 2 2 3 3" xfId="29503"/>
    <cellStyle name="Comma 2 2 2 3 4" xfId="29504"/>
    <cellStyle name="Comma 2 2 2 4" xfId="29505"/>
    <cellStyle name="Comma 2 2 2 4 2" xfId="29506"/>
    <cellStyle name="Comma 2 2 2 4 2 2" xfId="29507"/>
    <cellStyle name="Comma 2 2 2 4 3" xfId="29508"/>
    <cellStyle name="Comma 2 2 2 5" xfId="29509"/>
    <cellStyle name="Comma 2 2 2 5 2" xfId="29510"/>
    <cellStyle name="Comma 2 2 2 6" xfId="29511"/>
    <cellStyle name="Comma 2 2 2 7" xfId="29512"/>
    <cellStyle name="Comma 2 2 3" xfId="29513"/>
    <cellStyle name="Comma 2 2 3 2" xfId="29514"/>
    <cellStyle name="Comma 2 2 3 2 2" xfId="29515"/>
    <cellStyle name="Comma 2 2 3 2 2 2" xfId="29516"/>
    <cellStyle name="Comma 2 2 3 2 3" xfId="29517"/>
    <cellStyle name="Comma 2 2 3 3" xfId="29518"/>
    <cellStyle name="Comma 2 2 3 3 2" xfId="29519"/>
    <cellStyle name="Comma 2 2 3 3 2 2" xfId="29520"/>
    <cellStyle name="Comma 2 2 3 3 3" xfId="29521"/>
    <cellStyle name="Comma 2 2 3 4" xfId="29522"/>
    <cellStyle name="Comma 2 2 3 4 2" xfId="29523"/>
    <cellStyle name="Comma 2 2 3 5" xfId="29524"/>
    <cellStyle name="Comma 2 2 3 5 2" xfId="29525"/>
    <cellStyle name="Comma 2 2 3 6" xfId="29526"/>
    <cellStyle name="Comma 2 2 4" xfId="29527"/>
    <cellStyle name="Comma 2 2 4 2" xfId="29528"/>
    <cellStyle name="Comma 2 2 4 2 2" xfId="29529"/>
    <cellStyle name="Comma 2 2 4 3" xfId="29530"/>
    <cellStyle name="Comma 2 2 5" xfId="29531"/>
    <cellStyle name="Comma 2 2 5 2" xfId="29532"/>
    <cellStyle name="Comma 2 2 5 2 2" xfId="29533"/>
    <cellStyle name="Comma 2 2 5 3" xfId="29534"/>
    <cellStyle name="Comma 2 2 5 4" xfId="29535"/>
    <cellStyle name="Comma 2 2 6" xfId="29536"/>
    <cellStyle name="Comma 2 2 6 2" xfId="29537"/>
    <cellStyle name="Comma 2 2 7" xfId="29538"/>
    <cellStyle name="Comma 2 2 7 2" xfId="29539"/>
    <cellStyle name="Comma 2 2 8" xfId="29540"/>
    <cellStyle name="Comma 2 2_DEM-WP(C) Chelan Power Costs" xfId="29541"/>
    <cellStyle name="Comma 2 3" xfId="1230"/>
    <cellStyle name="Comma 2 3 2" xfId="1231"/>
    <cellStyle name="Comma 2 3 2 2" xfId="29542"/>
    <cellStyle name="Comma 2 3 2 2 2" xfId="29543"/>
    <cellStyle name="Comma 2 3 2 2 3" xfId="29544"/>
    <cellStyle name="Comma 2 3 2 2 4" xfId="29545"/>
    <cellStyle name="Comma 2 3 2 3" xfId="29546"/>
    <cellStyle name="Comma 2 3 2 4" xfId="29547"/>
    <cellStyle name="Comma 2 3 2 5" xfId="29548"/>
    <cellStyle name="Comma 2 3 2 6" xfId="29549"/>
    <cellStyle name="Comma 2 3 3" xfId="29550"/>
    <cellStyle name="Comma 2 3 3 2" xfId="29551"/>
    <cellStyle name="Comma 2 3 3 2 2" xfId="29552"/>
    <cellStyle name="Comma 2 3 3 3" xfId="29553"/>
    <cellStyle name="Comma 2 3 3 4" xfId="29554"/>
    <cellStyle name="Comma 2 3 4" xfId="29555"/>
    <cellStyle name="Comma 2 3 4 2" xfId="29556"/>
    <cellStyle name="Comma 2 3 5" xfId="29557"/>
    <cellStyle name="Comma 2 3 6" xfId="29558"/>
    <cellStyle name="Comma 2 4" xfId="1232"/>
    <cellStyle name="Comma 2 4 2" xfId="1233"/>
    <cellStyle name="Comma 2 4 2 2" xfId="29559"/>
    <cellStyle name="Comma 2 4 2 2 2" xfId="29560"/>
    <cellStyle name="Comma 2 4 2 3" xfId="29561"/>
    <cellStyle name="Comma 2 4 2 4" xfId="29562"/>
    <cellStyle name="Comma 2 4 2 5" xfId="29563"/>
    <cellStyle name="Comma 2 4 3" xfId="1234"/>
    <cellStyle name="Comma 2 4 3 2" xfId="29564"/>
    <cellStyle name="Comma 2 4 3 2 2" xfId="29565"/>
    <cellStyle name="Comma 2 4 3 3" xfId="29566"/>
    <cellStyle name="Comma 2 4 4" xfId="29567"/>
    <cellStyle name="Comma 2 4 4 2" xfId="29568"/>
    <cellStyle name="Comma 2 4 5" xfId="29569"/>
    <cellStyle name="Comma 2 4 5 2" xfId="29570"/>
    <cellStyle name="Comma 2 4 6" xfId="29571"/>
    <cellStyle name="Comma 2 4 7" xfId="29572"/>
    <cellStyle name="Comma 2 5" xfId="1235"/>
    <cellStyle name="Comma 2 5 2" xfId="29573"/>
    <cellStyle name="Comma 2 5 2 2" xfId="29574"/>
    <cellStyle name="Comma 2 5 2 2 2" xfId="29575"/>
    <cellStyle name="Comma 2 5 2 3" xfId="29576"/>
    <cellStyle name="Comma 2 5 2 4" xfId="29577"/>
    <cellStyle name="Comma 2 5 3" xfId="29578"/>
    <cellStyle name="Comma 2 5 3 2" xfId="29579"/>
    <cellStyle name="Comma 2 5 3 2 2" xfId="29580"/>
    <cellStyle name="Comma 2 5 3 3" xfId="29581"/>
    <cellStyle name="Comma 2 5 4" xfId="29582"/>
    <cellStyle name="Comma 2 5 4 2" xfId="29583"/>
    <cellStyle name="Comma 2 5 5" xfId="29584"/>
    <cellStyle name="Comma 2 5 5 2" xfId="29585"/>
    <cellStyle name="Comma 2 5 6" xfId="29586"/>
    <cellStyle name="Comma 2 5 7" xfId="29587"/>
    <cellStyle name="Comma 2 6" xfId="1236"/>
    <cellStyle name="Comma 2 6 2" xfId="29588"/>
    <cellStyle name="Comma 2 6 2 2" xfId="29589"/>
    <cellStyle name="Comma 2 6 2 2 2" xfId="29590"/>
    <cellStyle name="Comma 2 6 2 3" xfId="29591"/>
    <cellStyle name="Comma 2 6 3" xfId="29592"/>
    <cellStyle name="Comma 2 6 3 2" xfId="29593"/>
    <cellStyle name="Comma 2 6 3 2 2" xfId="29594"/>
    <cellStyle name="Comma 2 6 3 3" xfId="29595"/>
    <cellStyle name="Comma 2 6 3 4" xfId="29596"/>
    <cellStyle name="Comma 2 6 4" xfId="29597"/>
    <cellStyle name="Comma 2 6 4 2" xfId="29598"/>
    <cellStyle name="Comma 2 6 5" xfId="29599"/>
    <cellStyle name="Comma 2 6 5 2" xfId="29600"/>
    <cellStyle name="Comma 2 6 6" xfId="29601"/>
    <cellStyle name="Comma 2 6 7" xfId="29602"/>
    <cellStyle name="Comma 2 7" xfId="1237"/>
    <cellStyle name="Comma 2 7 2" xfId="29603"/>
    <cellStyle name="Comma 2 7 2 2" xfId="29604"/>
    <cellStyle name="Comma 2 7 2 2 2" xfId="29605"/>
    <cellStyle name="Comma 2 7 2 3" xfId="29606"/>
    <cellStyle name="Comma 2 7 3" xfId="29607"/>
    <cellStyle name="Comma 2 7 3 2" xfId="29608"/>
    <cellStyle name="Comma 2 7 3 2 2" xfId="29609"/>
    <cellStyle name="Comma 2 7 3 3" xfId="29610"/>
    <cellStyle name="Comma 2 7 3 4" xfId="29611"/>
    <cellStyle name="Comma 2 7 4" xfId="29612"/>
    <cellStyle name="Comma 2 7 4 2" xfId="29613"/>
    <cellStyle name="Comma 2 7 5" xfId="29614"/>
    <cellStyle name="Comma 2 7 5 2" xfId="29615"/>
    <cellStyle name="Comma 2 7 6" xfId="29616"/>
    <cellStyle name="Comma 2 7 7" xfId="29617"/>
    <cellStyle name="Comma 2 8" xfId="1238"/>
    <cellStyle name="Comma 2 8 2" xfId="29618"/>
    <cellStyle name="Comma 2 8 2 2" xfId="29619"/>
    <cellStyle name="Comma 2 8 2 2 2" xfId="29620"/>
    <cellStyle name="Comma 2 8 2 3" xfId="29621"/>
    <cellStyle name="Comma 2 8 3" xfId="29622"/>
    <cellStyle name="Comma 2 8 3 2" xfId="29623"/>
    <cellStyle name="Comma 2 8 3 2 2" xfId="29624"/>
    <cellStyle name="Comma 2 8 3 3" xfId="29625"/>
    <cellStyle name="Comma 2 8 4" xfId="29626"/>
    <cellStyle name="Comma 2 8 4 2" xfId="29627"/>
    <cellStyle name="Comma 2 8 5" xfId="29628"/>
    <cellStyle name="Comma 2 8 5 2" xfId="29629"/>
    <cellStyle name="Comma 2 8 6" xfId="29630"/>
    <cellStyle name="Comma 2 9" xfId="1239"/>
    <cellStyle name="Comma 2 9 2" xfId="29631"/>
    <cellStyle name="Comma 2 9 2 2" xfId="29632"/>
    <cellStyle name="Comma 2 9 2 3" xfId="29633"/>
    <cellStyle name="Comma 2 9 3" xfId="29634"/>
    <cellStyle name="Comma 2 9 4" xfId="29635"/>
    <cellStyle name="Comma 2_4 31E Reg Asset  Liab and EXH D" xfId="29636"/>
    <cellStyle name="Comma 20" xfId="1240"/>
    <cellStyle name="Comma 20 2" xfId="29637"/>
    <cellStyle name="Comma 20 2 2" xfId="29638"/>
    <cellStyle name="Comma 20 2 2 2" xfId="29639"/>
    <cellStyle name="Comma 20 2 2 3" xfId="29640"/>
    <cellStyle name="Comma 20 2 3" xfId="29641"/>
    <cellStyle name="Comma 20 2 3 2" xfId="29642"/>
    <cellStyle name="Comma 20 2 4" xfId="29643"/>
    <cellStyle name="Comma 20 3" xfId="29644"/>
    <cellStyle name="Comma 20 3 2" xfId="29645"/>
    <cellStyle name="Comma 20 3 3" xfId="29646"/>
    <cellStyle name="Comma 20 4" xfId="29647"/>
    <cellStyle name="Comma 20 4 2" xfId="29648"/>
    <cellStyle name="Comma 20 5" xfId="29649"/>
    <cellStyle name="Comma 21" xfId="1241"/>
    <cellStyle name="Comma 21 2" xfId="29650"/>
    <cellStyle name="Comma 21 2 2" xfId="29651"/>
    <cellStyle name="Comma 21 2 2 2" xfId="29652"/>
    <cellStyle name="Comma 21 2 2 3" xfId="29653"/>
    <cellStyle name="Comma 21 2 3" xfId="29654"/>
    <cellStyle name="Comma 21 3" xfId="29655"/>
    <cellStyle name="Comma 21 3 2" xfId="29656"/>
    <cellStyle name="Comma 21 3 3" xfId="29657"/>
    <cellStyle name="Comma 21 4" xfId="29658"/>
    <cellStyle name="Comma 21 4 2" xfId="29659"/>
    <cellStyle name="Comma 21 5" xfId="29660"/>
    <cellStyle name="Comma 22" xfId="1242"/>
    <cellStyle name="Comma 22 2" xfId="29661"/>
    <cellStyle name="Comma 22 2 2" xfId="29662"/>
    <cellStyle name="Comma 22 2 2 2" xfId="29663"/>
    <cellStyle name="Comma 22 2 3" xfId="29664"/>
    <cellStyle name="Comma 22 3" xfId="29665"/>
    <cellStyle name="Comma 22 3 2" xfId="29666"/>
    <cellStyle name="Comma 22 4" xfId="29667"/>
    <cellStyle name="Comma 23" xfId="1243"/>
    <cellStyle name="Comma 23 2" xfId="29668"/>
    <cellStyle name="Comma 23 2 2" xfId="29669"/>
    <cellStyle name="Comma 23 2 3" xfId="29670"/>
    <cellStyle name="Comma 23 3" xfId="29671"/>
    <cellStyle name="Comma 23 4" xfId="29672"/>
    <cellStyle name="Comma 23 5" xfId="29673"/>
    <cellStyle name="Comma 24" xfId="1244"/>
    <cellStyle name="Comma 24 2" xfId="29674"/>
    <cellStyle name="Comma 24 2 2" xfId="29675"/>
    <cellStyle name="Comma 24 2 3" xfId="29676"/>
    <cellStyle name="Comma 24 3" xfId="29677"/>
    <cellStyle name="Comma 25" xfId="1245"/>
    <cellStyle name="Comma 25 2" xfId="29678"/>
    <cellStyle name="Comma 25 2 2" xfId="29679"/>
    <cellStyle name="Comma 25 3" xfId="29680"/>
    <cellStyle name="Comma 25 4" xfId="42386"/>
    <cellStyle name="Comma 26" xfId="1246"/>
    <cellStyle name="Comma 26 2" xfId="29681"/>
    <cellStyle name="Comma 26 2 2" xfId="29682"/>
    <cellStyle name="Comma 26 2 2 2" xfId="29683"/>
    <cellStyle name="Comma 26 2 3" xfId="29684"/>
    <cellStyle name="Comma 26 3" xfId="29685"/>
    <cellStyle name="Comma 26 3 2" xfId="29686"/>
    <cellStyle name="Comma 26 3 2 2" xfId="29687"/>
    <cellStyle name="Comma 26 3 3" xfId="29688"/>
    <cellStyle name="Comma 26 4" xfId="29689"/>
    <cellStyle name="Comma 26 4 2" xfId="29690"/>
    <cellStyle name="Comma 26 5" xfId="29691"/>
    <cellStyle name="Comma 26 5 2" xfId="29692"/>
    <cellStyle name="Comma 26 6" xfId="29693"/>
    <cellStyle name="Comma 26 7" xfId="29694"/>
    <cellStyle name="Comma 27" xfId="1247"/>
    <cellStyle name="Comma 27 2" xfId="29695"/>
    <cellStyle name="Comma 27 2 2" xfId="29696"/>
    <cellStyle name="Comma 27 2 2 2" xfId="29697"/>
    <cellStyle name="Comma 27 2 3" xfId="29698"/>
    <cellStyle name="Comma 27 3" xfId="29699"/>
    <cellStyle name="Comma 27 3 2" xfId="29700"/>
    <cellStyle name="Comma 27 3 2 2" xfId="29701"/>
    <cellStyle name="Comma 27 3 3" xfId="29702"/>
    <cellStyle name="Comma 27 4" xfId="29703"/>
    <cellStyle name="Comma 27 4 2" xfId="29704"/>
    <cellStyle name="Comma 27 5" xfId="29705"/>
    <cellStyle name="Comma 27 5 2" xfId="29706"/>
    <cellStyle name="Comma 27 6" xfId="29707"/>
    <cellStyle name="Comma 27 7" xfId="29708"/>
    <cellStyle name="Comma 28" xfId="1248"/>
    <cellStyle name="Comma 28 2" xfId="29709"/>
    <cellStyle name="Comma 28 2 2" xfId="29710"/>
    <cellStyle name="Comma 28 2 2 2" xfId="29711"/>
    <cellStyle name="Comma 28 2 3" xfId="29712"/>
    <cellStyle name="Comma 28 3" xfId="29713"/>
    <cellStyle name="Comma 28 3 2" xfId="29714"/>
    <cellStyle name="Comma 28 3 2 2" xfId="29715"/>
    <cellStyle name="Comma 28 3 3" xfId="29716"/>
    <cellStyle name="Comma 28 4" xfId="29717"/>
    <cellStyle name="Comma 28 4 2" xfId="29718"/>
    <cellStyle name="Comma 28 5" xfId="29719"/>
    <cellStyle name="Comma 28 5 2" xfId="29720"/>
    <cellStyle name="Comma 28 6" xfId="29721"/>
    <cellStyle name="Comma 29" xfId="29722"/>
    <cellStyle name="Comma 29 2" xfId="29723"/>
    <cellStyle name="Comma 29 2 2" xfId="29724"/>
    <cellStyle name="Comma 29 2 3" xfId="29725"/>
    <cellStyle name="Comma 29 3" xfId="29726"/>
    <cellStyle name="Comma 29 4" xfId="29727"/>
    <cellStyle name="Comma 3" xfId="1249"/>
    <cellStyle name="Comma 3 2" xfId="1250"/>
    <cellStyle name="Comma 3 2 2" xfId="29728"/>
    <cellStyle name="Comma 3 2 2 2" xfId="29729"/>
    <cellStyle name="Comma 3 2 2 2 2" xfId="29730"/>
    <cellStyle name="Comma 3 2 2 3" xfId="29731"/>
    <cellStyle name="Comma 3 2 2 4" xfId="29732"/>
    <cellStyle name="Comma 3 2 3" xfId="29733"/>
    <cellStyle name="Comma 3 2 3 2" xfId="29734"/>
    <cellStyle name="Comma 3 2 3 2 2" xfId="29735"/>
    <cellStyle name="Comma 3 2 3 3" xfId="29736"/>
    <cellStyle name="Comma 3 2 4" xfId="29737"/>
    <cellStyle name="Comma 3 2 4 2" xfId="29738"/>
    <cellStyle name="Comma 3 2 5" xfId="29739"/>
    <cellStyle name="Comma 3 2 5 2" xfId="29740"/>
    <cellStyle name="Comma 3 2 6" xfId="29741"/>
    <cellStyle name="Comma 3 3" xfId="29742"/>
    <cellStyle name="Comma 3 3 2" xfId="29743"/>
    <cellStyle name="Comma 3 3 2 2" xfId="29744"/>
    <cellStyle name="Comma 3 3 2 2 2" xfId="29745"/>
    <cellStyle name="Comma 3 3 2 3" xfId="29746"/>
    <cellStyle name="Comma 3 3 3" xfId="29747"/>
    <cellStyle name="Comma 3 3 3 2" xfId="29748"/>
    <cellStyle name="Comma 3 3 3 2 2" xfId="29749"/>
    <cellStyle name="Comma 3 3 3 3" xfId="29750"/>
    <cellStyle name="Comma 3 3 4" xfId="29751"/>
    <cellStyle name="Comma 3 3 4 2" xfId="29752"/>
    <cellStyle name="Comma 3 3 5" xfId="29753"/>
    <cellStyle name="Comma 3 3 5 2" xfId="29754"/>
    <cellStyle name="Comma 3 3 6" xfId="29755"/>
    <cellStyle name="Comma 3 4" xfId="29756"/>
    <cellStyle name="Comma 3 4 2" xfId="29757"/>
    <cellStyle name="Comma 3 4 2 2" xfId="29758"/>
    <cellStyle name="Comma 3 4 3" xfId="29759"/>
    <cellStyle name="Comma 3 4 4" xfId="29760"/>
    <cellStyle name="Comma 3 4 5" xfId="29761"/>
    <cellStyle name="Comma 3 5" xfId="29762"/>
    <cellStyle name="Comma 3 5 2" xfId="29763"/>
    <cellStyle name="Comma 3 5 2 2" xfId="29764"/>
    <cellStyle name="Comma 3 5 3" xfId="29765"/>
    <cellStyle name="Comma 3 5 4" xfId="29766"/>
    <cellStyle name="Comma 3 6" xfId="29767"/>
    <cellStyle name="Comma 3 6 2" xfId="29768"/>
    <cellStyle name="Comma 3 7" xfId="29769"/>
    <cellStyle name="Comma 3 7 2" xfId="29770"/>
    <cellStyle name="Comma 3 8" xfId="29771"/>
    <cellStyle name="Comma 3 8 2" xfId="29772"/>
    <cellStyle name="Comma 3 8 3" xfId="29773"/>
    <cellStyle name="Comma 3 9" xfId="29774"/>
    <cellStyle name="Comma 30" xfId="29775"/>
    <cellStyle name="Comma 30 2" xfId="29776"/>
    <cellStyle name="Comma 30 2 2" xfId="29777"/>
    <cellStyle name="Comma 30 2 2 2" xfId="29778"/>
    <cellStyle name="Comma 30 2 3" xfId="29779"/>
    <cellStyle name="Comma 30 3" xfId="29780"/>
    <cellStyle name="Comma 30 3 2" xfId="29781"/>
    <cellStyle name="Comma 30 4" xfId="29782"/>
    <cellStyle name="Comma 31" xfId="29783"/>
    <cellStyle name="Comma 31 2" xfId="29784"/>
    <cellStyle name="Comma 31 2 2" xfId="29785"/>
    <cellStyle name="Comma 31 3" xfId="29786"/>
    <cellStyle name="Comma 32" xfId="29787"/>
    <cellStyle name="Comma 32 2" xfId="1251"/>
    <cellStyle name="Comma 32 2 2" xfId="42391"/>
    <cellStyle name="Comma 33" xfId="29788"/>
    <cellStyle name="Comma 33 2" xfId="29789"/>
    <cellStyle name="Comma 34" xfId="29790"/>
    <cellStyle name="Comma 34 2" xfId="29791"/>
    <cellStyle name="Comma 34 3" xfId="29792"/>
    <cellStyle name="Comma 35" xfId="29793"/>
    <cellStyle name="Comma 35 2" xfId="29794"/>
    <cellStyle name="Comma 35 3" xfId="29795"/>
    <cellStyle name="Comma 35 4" xfId="29796"/>
    <cellStyle name="Comma 35 5" xfId="29797"/>
    <cellStyle name="Comma 35 6" xfId="29798"/>
    <cellStyle name="Comma 36" xfId="29799"/>
    <cellStyle name="Comma 36 2" xfId="29800"/>
    <cellStyle name="Comma 36 3" xfId="29801"/>
    <cellStyle name="Comma 36 4" xfId="29802"/>
    <cellStyle name="Comma 36 5" xfId="29803"/>
    <cellStyle name="Comma 36 6" xfId="29804"/>
    <cellStyle name="Comma 37" xfId="29805"/>
    <cellStyle name="Comma 37 2" xfId="29806"/>
    <cellStyle name="Comma 37 3" xfId="29807"/>
    <cellStyle name="Comma 37 4" xfId="29808"/>
    <cellStyle name="Comma 37 5" xfId="29809"/>
    <cellStyle name="Comma 37 6" xfId="29810"/>
    <cellStyle name="Comma 38" xfId="29811"/>
    <cellStyle name="Comma 38 2" xfId="29812"/>
    <cellStyle name="Comma 38 3" xfId="29813"/>
    <cellStyle name="Comma 38 4" xfId="29814"/>
    <cellStyle name="Comma 38 5" xfId="29815"/>
    <cellStyle name="Comma 38 6" xfId="29816"/>
    <cellStyle name="Comma 39" xfId="29817"/>
    <cellStyle name="Comma 39 2" xfId="29818"/>
    <cellStyle name="Comma 39 3" xfId="29819"/>
    <cellStyle name="Comma 39 4" xfId="29820"/>
    <cellStyle name="Comma 39 5" xfId="29821"/>
    <cellStyle name="Comma 39 6" xfId="29822"/>
    <cellStyle name="Comma 4" xfId="1252"/>
    <cellStyle name="Comma 4 2" xfId="1253"/>
    <cellStyle name="Comma 4 2 2" xfId="29823"/>
    <cellStyle name="Comma 4 2 2 2" xfId="29824"/>
    <cellStyle name="Comma 4 2 2 2 2" xfId="29825"/>
    <cellStyle name="Comma 4 2 2 3" xfId="29826"/>
    <cellStyle name="Comma 4 2 2 3 2" xfId="29827"/>
    <cellStyle name="Comma 4 2 2 4" xfId="29828"/>
    <cellStyle name="Comma 4 2 3" xfId="29829"/>
    <cellStyle name="Comma 4 2 3 2" xfId="29830"/>
    <cellStyle name="Comma 4 2 3 2 2" xfId="29831"/>
    <cellStyle name="Comma 4 2 3 3" xfId="29832"/>
    <cellStyle name="Comma 4 2 4" xfId="29833"/>
    <cellStyle name="Comma 4 2 4 2" xfId="29834"/>
    <cellStyle name="Comma 4 2 5" xfId="29835"/>
    <cellStyle name="Comma 4 2 5 2" xfId="29836"/>
    <cellStyle name="Comma 4 2 6" xfId="29837"/>
    <cellStyle name="Comma 4 3" xfId="1254"/>
    <cellStyle name="Comma 4 3 2" xfId="29838"/>
    <cellStyle name="Comma 4 3 2 2" xfId="29839"/>
    <cellStyle name="Comma 4 3 2 2 2" xfId="29840"/>
    <cellStyle name="Comma 4 3 2 3" xfId="29841"/>
    <cellStyle name="Comma 4 3 3" xfId="29842"/>
    <cellStyle name="Comma 4 3 3 2" xfId="29843"/>
    <cellStyle name="Comma 4 3 4" xfId="29844"/>
    <cellStyle name="Comma 4 3 4 2" xfId="29845"/>
    <cellStyle name="Comma 4 3 5" xfId="29846"/>
    <cellStyle name="Comma 4 4" xfId="29847"/>
    <cellStyle name="Comma 4 4 2" xfId="29848"/>
    <cellStyle name="Comma 4 4 2 2" xfId="29849"/>
    <cellStyle name="Comma 4 4 3" xfId="29850"/>
    <cellStyle name="Comma 4 4 4" xfId="29851"/>
    <cellStyle name="Comma 4 5" xfId="29852"/>
    <cellStyle name="Comma 4 5 2" xfId="29853"/>
    <cellStyle name="Comma 4 5 2 2" xfId="29854"/>
    <cellStyle name="Comma 4 5 3" xfId="29855"/>
    <cellStyle name="Comma 4 6" xfId="29856"/>
    <cellStyle name="Comma 4 6 2" xfId="29857"/>
    <cellStyle name="Comma 4 7" xfId="29858"/>
    <cellStyle name="Comma 4 7 2" xfId="29859"/>
    <cellStyle name="Comma 4 8" xfId="29860"/>
    <cellStyle name="Comma 40" xfId="29861"/>
    <cellStyle name="Comma 40 2" xfId="29862"/>
    <cellStyle name="Comma 40 3" xfId="29863"/>
    <cellStyle name="Comma 40 4" xfId="29864"/>
    <cellStyle name="Comma 40 5" xfId="29865"/>
    <cellStyle name="Comma 41" xfId="29866"/>
    <cellStyle name="Comma 41 2" xfId="29867"/>
    <cellStyle name="Comma 41 2 2" xfId="29868"/>
    <cellStyle name="Comma 41 3" xfId="29869"/>
    <cellStyle name="Comma 41 4" xfId="29870"/>
    <cellStyle name="Comma 41 5" xfId="29871"/>
    <cellStyle name="Comma 42" xfId="29872"/>
    <cellStyle name="Comma 42 2" xfId="29873"/>
    <cellStyle name="Comma 42 3" xfId="29874"/>
    <cellStyle name="Comma 42 4" xfId="29875"/>
    <cellStyle name="Comma 43" xfId="29876"/>
    <cellStyle name="Comma 43 2" xfId="29877"/>
    <cellStyle name="Comma 43 3" xfId="29878"/>
    <cellStyle name="Comma 44" xfId="29879"/>
    <cellStyle name="Comma 44 2" xfId="29880"/>
    <cellStyle name="Comma 44 3" xfId="29881"/>
    <cellStyle name="Comma 45" xfId="29882"/>
    <cellStyle name="Comma 46" xfId="29883"/>
    <cellStyle name="Comma 47" xfId="29884"/>
    <cellStyle name="Comma 47 2" xfId="29885"/>
    <cellStyle name="Comma 47 3" xfId="29886"/>
    <cellStyle name="Comma 48" xfId="29887"/>
    <cellStyle name="Comma 48 2" xfId="29888"/>
    <cellStyle name="Comma 49" xfId="29889"/>
    <cellStyle name="Comma 5" xfId="1255"/>
    <cellStyle name="Comma 5 2" xfId="1256"/>
    <cellStyle name="Comma 5 2 2" xfId="1257"/>
    <cellStyle name="Comma 5 2 2 2" xfId="29890"/>
    <cellStyle name="Comma 5 2 2 2 2" xfId="29891"/>
    <cellStyle name="Comma 5 2 2 3" xfId="29892"/>
    <cellStyle name="Comma 5 2 2 4" xfId="29893"/>
    <cellStyle name="Comma 5 2 3" xfId="29894"/>
    <cellStyle name="Comma 5 2 3 2" xfId="29895"/>
    <cellStyle name="Comma 5 2 3 2 2" xfId="29896"/>
    <cellStyle name="Comma 5 2 3 3" xfId="29897"/>
    <cellStyle name="Comma 5 2 4" xfId="29898"/>
    <cellStyle name="Comma 5 2 4 2" xfId="29899"/>
    <cellStyle name="Comma 5 2 5" xfId="29900"/>
    <cellStyle name="Comma 5 2 6" xfId="29901"/>
    <cellStyle name="Comma 5 2 7" xfId="29902"/>
    <cellStyle name="Comma 5 3" xfId="1258"/>
    <cellStyle name="Comma 5 3 2" xfId="29903"/>
    <cellStyle name="Comma 5 3 2 2" xfId="29904"/>
    <cellStyle name="Comma 5 3 3" xfId="29905"/>
    <cellStyle name="Comma 5 3 4" xfId="29906"/>
    <cellStyle name="Comma 5 4" xfId="29907"/>
    <cellStyle name="Comma 5 4 2" xfId="29908"/>
    <cellStyle name="Comma 5 4 2 2" xfId="29909"/>
    <cellStyle name="Comma 5 4 3" xfId="29910"/>
    <cellStyle name="Comma 5 5" xfId="29911"/>
    <cellStyle name="Comma 5 5 2" xfId="29912"/>
    <cellStyle name="Comma 5 6" xfId="29913"/>
    <cellStyle name="Comma 5 6 2" xfId="29914"/>
    <cellStyle name="Comma 5 7" xfId="29915"/>
    <cellStyle name="Comma 50" xfId="29916"/>
    <cellStyle name="Comma 51" xfId="29917"/>
    <cellStyle name="Comma 52" xfId="29918"/>
    <cellStyle name="Comma 53" xfId="29919"/>
    <cellStyle name="Comma 54" xfId="29920"/>
    <cellStyle name="Comma 6" xfId="1259"/>
    <cellStyle name="Comma 6 2" xfId="1260"/>
    <cellStyle name="Comma 6 2 2" xfId="29921"/>
    <cellStyle name="Comma 6 2 2 2" xfId="29922"/>
    <cellStyle name="Comma 6 2 2 2 2" xfId="29923"/>
    <cellStyle name="Comma 6 2 2 3" xfId="29924"/>
    <cellStyle name="Comma 6 2 2 4" xfId="29925"/>
    <cellStyle name="Comma 6 2 2 5" xfId="29926"/>
    <cellStyle name="Comma 6 2 3" xfId="29927"/>
    <cellStyle name="Comma 6 2 3 2" xfId="29928"/>
    <cellStyle name="Comma 6 2 3 2 2" xfId="29929"/>
    <cellStyle name="Comma 6 2 3 3" xfId="29930"/>
    <cellStyle name="Comma 6 2 3 4" xfId="29931"/>
    <cellStyle name="Comma 6 2 4" xfId="29932"/>
    <cellStyle name="Comma 6 2 4 2" xfId="29933"/>
    <cellStyle name="Comma 6 2 5" xfId="29934"/>
    <cellStyle name="Comma 6 2 6" xfId="29935"/>
    <cellStyle name="Comma 6 3" xfId="1261"/>
    <cellStyle name="Comma 6 3 2" xfId="29936"/>
    <cellStyle name="Comma 6 3 2 2" xfId="29937"/>
    <cellStyle name="Comma 6 3 3" xfId="29938"/>
    <cellStyle name="Comma 6 3 4" xfId="29939"/>
    <cellStyle name="Comma 6 3 5" xfId="29940"/>
    <cellStyle name="Comma 6 4" xfId="1262"/>
    <cellStyle name="Comma 6 4 2" xfId="29941"/>
    <cellStyle name="Comma 6 4 2 2" xfId="29942"/>
    <cellStyle name="Comma 6 4 3" xfId="29943"/>
    <cellStyle name="Comma 6 5" xfId="29944"/>
    <cellStyle name="Comma 6 5 2" xfId="29945"/>
    <cellStyle name="Comma 6 6" xfId="29946"/>
    <cellStyle name="Comma 6 6 2" xfId="29947"/>
    <cellStyle name="Comma 6 7" xfId="29948"/>
    <cellStyle name="Comma 7" xfId="1263"/>
    <cellStyle name="Comma 7 2" xfId="1264"/>
    <cellStyle name="Comma 7 2 2" xfId="1265"/>
    <cellStyle name="Comma 7 2 2 2" xfId="29949"/>
    <cellStyle name="Comma 7 2 2 2 2" xfId="29950"/>
    <cellStyle name="Comma 7 2 2 3" xfId="29951"/>
    <cellStyle name="Comma 7 2 3" xfId="29952"/>
    <cellStyle name="Comma 7 2 3 2" xfId="29953"/>
    <cellStyle name="Comma 7 2 4" xfId="29954"/>
    <cellStyle name="Comma 7 2 4 2" xfId="29955"/>
    <cellStyle name="Comma 7 2 5" xfId="29956"/>
    <cellStyle name="Comma 7 3" xfId="1266"/>
    <cellStyle name="Comma 7 3 2" xfId="29957"/>
    <cellStyle name="Comma 7 3 2 2" xfId="29958"/>
    <cellStyle name="Comma 7 3 3" xfId="29959"/>
    <cellStyle name="Comma 7 3 4" xfId="29960"/>
    <cellStyle name="Comma 7 4" xfId="29961"/>
    <cellStyle name="Comma 7 4 2" xfId="29962"/>
    <cellStyle name="Comma 7 4 2 2" xfId="29963"/>
    <cellStyle name="Comma 7 4 3" xfId="29964"/>
    <cellStyle name="Comma 7 5" xfId="29965"/>
    <cellStyle name="Comma 7 5 2" xfId="29966"/>
    <cellStyle name="Comma 7 6" xfId="29967"/>
    <cellStyle name="Comma 7 6 2" xfId="29968"/>
    <cellStyle name="Comma 7 7" xfId="29969"/>
    <cellStyle name="Comma 8" xfId="1267"/>
    <cellStyle name="Comma 8 2" xfId="1268"/>
    <cellStyle name="Comma 8 2 2" xfId="1269"/>
    <cellStyle name="Comma 8 2 2 2" xfId="29970"/>
    <cellStyle name="Comma 8 2 2 2 2" xfId="29971"/>
    <cellStyle name="Comma 8 2 2 3" xfId="29972"/>
    <cellStyle name="Comma 8 2 2 4" xfId="29973"/>
    <cellStyle name="Comma 8 2 3" xfId="29974"/>
    <cellStyle name="Comma 8 2 3 2" xfId="29975"/>
    <cellStyle name="Comma 8 2 4" xfId="29976"/>
    <cellStyle name="Comma 8 2 4 2" xfId="29977"/>
    <cellStyle name="Comma 8 2 5" xfId="29978"/>
    <cellStyle name="Comma 8 3" xfId="1270"/>
    <cellStyle name="Comma 8 3 2" xfId="29979"/>
    <cellStyle name="Comma 8 3 2 2" xfId="29980"/>
    <cellStyle name="Comma 8 3 3" xfId="29981"/>
    <cellStyle name="Comma 8 3 4" xfId="29982"/>
    <cellStyle name="Comma 8 4" xfId="29983"/>
    <cellStyle name="Comma 8 4 2" xfId="29984"/>
    <cellStyle name="Comma 8 4 2 2" xfId="29985"/>
    <cellStyle name="Comma 8 4 3" xfId="29986"/>
    <cellStyle name="Comma 8 5" xfId="29987"/>
    <cellStyle name="Comma 8 5 2" xfId="29988"/>
    <cellStyle name="Comma 8 6" xfId="29989"/>
    <cellStyle name="Comma 8 6 2" xfId="29990"/>
    <cellStyle name="Comma 8 7" xfId="29991"/>
    <cellStyle name="Comma 9" xfId="1271"/>
    <cellStyle name="Comma 9 10" xfId="29992"/>
    <cellStyle name="Comma 9 11" xfId="29993"/>
    <cellStyle name="Comma 9 2" xfId="1272"/>
    <cellStyle name="Comma 9 2 2" xfId="1273"/>
    <cellStyle name="Comma 9 2 2 2" xfId="29994"/>
    <cellStyle name="Comma 9 2 2 2 2" xfId="29995"/>
    <cellStyle name="Comma 9 2 2 3" xfId="29996"/>
    <cellStyle name="Comma 9 2 2 4" xfId="29997"/>
    <cellStyle name="Comma 9 2 3" xfId="29998"/>
    <cellStyle name="Comma 9 2 3 2" xfId="29999"/>
    <cellStyle name="Comma 9 2 4" xfId="30000"/>
    <cellStyle name="Comma 9 2 4 2" xfId="30001"/>
    <cellStyle name="Comma 9 2 5" xfId="30002"/>
    <cellStyle name="Comma 9 3" xfId="1274"/>
    <cellStyle name="Comma 9 3 2" xfId="30003"/>
    <cellStyle name="Comma 9 3 2 2" xfId="30004"/>
    <cellStyle name="Comma 9 3 3" xfId="30005"/>
    <cellStyle name="Comma 9 3 3 2" xfId="30006"/>
    <cellStyle name="Comma 9 3 4" xfId="30007"/>
    <cellStyle name="Comma 9 3 4 2" xfId="30008"/>
    <cellStyle name="Comma 9 3 5" xfId="30009"/>
    <cellStyle name="Comma 9 3 6" xfId="30010"/>
    <cellStyle name="Comma 9 4" xfId="30011"/>
    <cellStyle name="Comma 9 4 2" xfId="30012"/>
    <cellStyle name="Comma 9 4 2 2" xfId="30013"/>
    <cellStyle name="Comma 9 4 3" xfId="30014"/>
    <cellStyle name="Comma 9 5" xfId="30015"/>
    <cellStyle name="Comma 9 5 2" xfId="30016"/>
    <cellStyle name="Comma 9 5 2 2" xfId="30017"/>
    <cellStyle name="Comma 9 5 3" xfId="30018"/>
    <cellStyle name="Comma 9 6" xfId="30019"/>
    <cellStyle name="Comma 9 6 2" xfId="30020"/>
    <cellStyle name="Comma 9 7" xfId="30021"/>
    <cellStyle name="Comma 9 7 2" xfId="30022"/>
    <cellStyle name="Comma 9 8" xfId="30023"/>
    <cellStyle name="Comma 9 8 2" xfId="30024"/>
    <cellStyle name="Comma 9 9" xfId="30025"/>
    <cellStyle name="Comma0" xfId="1275"/>
    <cellStyle name="Comma0 - Style2" xfId="1276"/>
    <cellStyle name="Comma0 - Style2 2" xfId="30026"/>
    <cellStyle name="Comma0 - Style2 2 2" xfId="30027"/>
    <cellStyle name="Comma0 - Style2 2 2 2" xfId="30028"/>
    <cellStyle name="Comma0 - Style2 2 3" xfId="30029"/>
    <cellStyle name="Comma0 - Style2 3" xfId="30030"/>
    <cellStyle name="Comma0 - Style2 3 2" xfId="30031"/>
    <cellStyle name="Comma0 - Style2 4" xfId="30032"/>
    <cellStyle name="Comma0 - Style2 4 2" xfId="30033"/>
    <cellStyle name="Comma0 - Style2 5" xfId="30034"/>
    <cellStyle name="Comma0 - Style4" xfId="1277"/>
    <cellStyle name="Comma0 - Style4 2" xfId="30035"/>
    <cellStyle name="Comma0 - Style4 2 2" xfId="30036"/>
    <cellStyle name="Comma0 - Style4 2 2 2" xfId="30037"/>
    <cellStyle name="Comma0 - Style4 2 3" xfId="30038"/>
    <cellStyle name="Comma0 - Style4 3" xfId="30039"/>
    <cellStyle name="Comma0 - Style4 3 2" xfId="30040"/>
    <cellStyle name="Comma0 - Style4 4" xfId="30041"/>
    <cellStyle name="Comma0 - Style4 4 2" xfId="30042"/>
    <cellStyle name="Comma0 - Style4 5" xfId="30043"/>
    <cellStyle name="Comma0 - Style5" xfId="1278"/>
    <cellStyle name="Comma0 - Style5 2" xfId="30044"/>
    <cellStyle name="Comma0 - Style5 2 2" xfId="30045"/>
    <cellStyle name="Comma0 - Style5 2 2 2" xfId="30046"/>
    <cellStyle name="Comma0 - Style5 2 3" xfId="30047"/>
    <cellStyle name="Comma0 - Style5 2 4" xfId="30048"/>
    <cellStyle name="Comma0 - Style5 3" xfId="30049"/>
    <cellStyle name="Comma0 - Style5 3 2" xfId="30050"/>
    <cellStyle name="Comma0 - Style5 3 2 2" xfId="30051"/>
    <cellStyle name="Comma0 - Style5 3 3" xfId="30052"/>
    <cellStyle name="Comma0 - Style5 4" xfId="30053"/>
    <cellStyle name="Comma0 - Style5 4 2" xfId="30054"/>
    <cellStyle name="Comma0 - Style5 5" xfId="30055"/>
    <cellStyle name="Comma0 - Style5 6" xfId="30056"/>
    <cellStyle name="Comma0 - Style5_Electric Rev Req Model (2009 GRC) Rebuttal" xfId="30057"/>
    <cellStyle name="Comma0 10" xfId="30058"/>
    <cellStyle name="Comma0 10 2" xfId="30059"/>
    <cellStyle name="Comma0 10 2 2" xfId="30060"/>
    <cellStyle name="Comma0 10 3" xfId="30061"/>
    <cellStyle name="Comma0 11" xfId="30062"/>
    <cellStyle name="Comma0 11 2" xfId="30063"/>
    <cellStyle name="Comma0 11 2 2" xfId="30064"/>
    <cellStyle name="Comma0 11 3" xfId="30065"/>
    <cellStyle name="Comma0 12" xfId="30066"/>
    <cellStyle name="Comma0 12 2" xfId="30067"/>
    <cellStyle name="Comma0 12 2 2" xfId="30068"/>
    <cellStyle name="Comma0 12 3" xfId="30069"/>
    <cellStyle name="Comma0 13" xfId="30070"/>
    <cellStyle name="Comma0 13 2" xfId="30071"/>
    <cellStyle name="Comma0 13 2 2" xfId="30072"/>
    <cellStyle name="Comma0 13 3" xfId="30073"/>
    <cellStyle name="Comma0 14" xfId="30074"/>
    <cellStyle name="Comma0 14 2" xfId="30075"/>
    <cellStyle name="Comma0 14 2 2" xfId="30076"/>
    <cellStyle name="Comma0 14 3" xfId="30077"/>
    <cellStyle name="Comma0 15" xfId="30078"/>
    <cellStyle name="Comma0 15 2" xfId="30079"/>
    <cellStyle name="Comma0 15 2 2" xfId="30080"/>
    <cellStyle name="Comma0 15 3" xfId="30081"/>
    <cellStyle name="Comma0 16" xfId="30082"/>
    <cellStyle name="Comma0 16 2" xfId="30083"/>
    <cellStyle name="Comma0 16 2 2" xfId="30084"/>
    <cellStyle name="Comma0 16 3" xfId="30085"/>
    <cellStyle name="Comma0 17" xfId="30086"/>
    <cellStyle name="Comma0 17 2" xfId="30087"/>
    <cellStyle name="Comma0 18" xfId="30088"/>
    <cellStyle name="Comma0 18 2" xfId="30089"/>
    <cellStyle name="Comma0 19" xfId="30090"/>
    <cellStyle name="Comma0 19 2" xfId="30091"/>
    <cellStyle name="Comma0 2" xfId="1279"/>
    <cellStyle name="Comma0 2 2" xfId="30092"/>
    <cellStyle name="Comma0 2 2 2" xfId="30093"/>
    <cellStyle name="Comma0 2 2 2 2" xfId="30094"/>
    <cellStyle name="Comma0 2 2 3" xfId="30095"/>
    <cellStyle name="Comma0 2 3" xfId="30096"/>
    <cellStyle name="Comma0 2 3 2" xfId="30097"/>
    <cellStyle name="Comma0 2 4" xfId="30098"/>
    <cellStyle name="Comma0 2 4 2" xfId="30099"/>
    <cellStyle name="Comma0 2 5" xfId="30100"/>
    <cellStyle name="Comma0 20" xfId="30101"/>
    <cellStyle name="Comma0 20 2" xfId="30102"/>
    <cellStyle name="Comma0 21" xfId="30103"/>
    <cellStyle name="Comma0 21 2" xfId="30104"/>
    <cellStyle name="Comma0 22" xfId="30105"/>
    <cellStyle name="Comma0 22 2" xfId="30106"/>
    <cellStyle name="Comma0 23" xfId="30107"/>
    <cellStyle name="Comma0 23 2" xfId="30108"/>
    <cellStyle name="Comma0 24" xfId="30109"/>
    <cellStyle name="Comma0 24 2" xfId="30110"/>
    <cellStyle name="Comma0 25" xfId="30111"/>
    <cellStyle name="Comma0 25 2" xfId="30112"/>
    <cellStyle name="Comma0 26" xfId="30113"/>
    <cellStyle name="Comma0 26 2" xfId="30114"/>
    <cellStyle name="Comma0 27" xfId="30115"/>
    <cellStyle name="Comma0 27 2" xfId="30116"/>
    <cellStyle name="Comma0 28" xfId="30117"/>
    <cellStyle name="Comma0 28 2" xfId="30118"/>
    <cellStyle name="Comma0 29" xfId="30119"/>
    <cellStyle name="Comma0 29 2" xfId="30120"/>
    <cellStyle name="Comma0 3" xfId="1280"/>
    <cellStyle name="Comma0 3 2" xfId="30121"/>
    <cellStyle name="Comma0 3 2 2" xfId="30122"/>
    <cellStyle name="Comma0 3 2 2 2" xfId="30123"/>
    <cellStyle name="Comma0 3 2 3" xfId="30124"/>
    <cellStyle name="Comma0 3 3" xfId="30125"/>
    <cellStyle name="Comma0 3 3 2" xfId="30126"/>
    <cellStyle name="Comma0 3 4" xfId="30127"/>
    <cellStyle name="Comma0 3 4 2" xfId="30128"/>
    <cellStyle name="Comma0 3 5" xfId="30129"/>
    <cellStyle name="Comma0 30" xfId="30130"/>
    <cellStyle name="Comma0 30 2" xfId="30131"/>
    <cellStyle name="Comma0 31" xfId="30132"/>
    <cellStyle name="Comma0 31 2" xfId="30133"/>
    <cellStyle name="Comma0 32" xfId="30134"/>
    <cellStyle name="Comma0 32 2" xfId="30135"/>
    <cellStyle name="Comma0 33" xfId="30136"/>
    <cellStyle name="Comma0 33 2" xfId="30137"/>
    <cellStyle name="Comma0 34" xfId="30138"/>
    <cellStyle name="Comma0 34 2" xfId="30139"/>
    <cellStyle name="Comma0 35" xfId="30140"/>
    <cellStyle name="Comma0 35 2" xfId="30141"/>
    <cellStyle name="Comma0 36" xfId="30142"/>
    <cellStyle name="Comma0 36 2" xfId="30143"/>
    <cellStyle name="Comma0 37" xfId="30144"/>
    <cellStyle name="Comma0 4" xfId="1281"/>
    <cellStyle name="Comma0 4 2" xfId="30145"/>
    <cellStyle name="Comma0 4 2 2" xfId="30146"/>
    <cellStyle name="Comma0 4 2 2 2" xfId="30147"/>
    <cellStyle name="Comma0 4 2 3" xfId="30148"/>
    <cellStyle name="Comma0 4 3" xfId="30149"/>
    <cellStyle name="Comma0 4 3 2" xfId="30150"/>
    <cellStyle name="Comma0 4 4" xfId="30151"/>
    <cellStyle name="Comma0 4 4 2" xfId="30152"/>
    <cellStyle name="Comma0 4 5" xfId="30153"/>
    <cellStyle name="Comma0 5" xfId="30154"/>
    <cellStyle name="Comma0 5 2" xfId="30155"/>
    <cellStyle name="Comma0 5 2 2" xfId="30156"/>
    <cellStyle name="Comma0 5 2 3" xfId="30157"/>
    <cellStyle name="Comma0 5 2 4" xfId="30158"/>
    <cellStyle name="Comma0 5 3" xfId="30159"/>
    <cellStyle name="Comma0 5 4" xfId="30160"/>
    <cellStyle name="Comma0 5 5" xfId="30161"/>
    <cellStyle name="Comma0 6" xfId="30162"/>
    <cellStyle name="Comma0 6 2" xfId="30163"/>
    <cellStyle name="Comma0 6 2 2" xfId="30164"/>
    <cellStyle name="Comma0 6 3" xfId="30165"/>
    <cellStyle name="Comma0 7" xfId="30166"/>
    <cellStyle name="Comma0 7 2" xfId="30167"/>
    <cellStyle name="Comma0 7 2 2" xfId="30168"/>
    <cellStyle name="Comma0 7 3" xfId="30169"/>
    <cellStyle name="Comma0 8" xfId="30170"/>
    <cellStyle name="Comma0 8 2" xfId="30171"/>
    <cellStyle name="Comma0 8 2 2" xfId="30172"/>
    <cellStyle name="Comma0 8 3" xfId="30173"/>
    <cellStyle name="Comma0 9" xfId="30174"/>
    <cellStyle name="Comma0 9 2" xfId="30175"/>
    <cellStyle name="Comma0 9 2 2" xfId="30176"/>
    <cellStyle name="Comma0 9 3" xfId="30177"/>
    <cellStyle name="Comma0_00COS Ind Allocators" xfId="1282"/>
    <cellStyle name="Comma1 - Style1" xfId="1283"/>
    <cellStyle name="Comma1 - Style1 2" xfId="30178"/>
    <cellStyle name="Comma1 - Style1 2 2" xfId="30179"/>
    <cellStyle name="Comma1 - Style1 2 2 2" xfId="30180"/>
    <cellStyle name="Comma1 - Style1 2 3" xfId="30181"/>
    <cellStyle name="Comma1 - Style1 2 4" xfId="30182"/>
    <cellStyle name="Comma1 - Style1 3" xfId="30183"/>
    <cellStyle name="Comma1 - Style1 3 2" xfId="30184"/>
    <cellStyle name="Comma1 - Style1 3 2 2" xfId="30185"/>
    <cellStyle name="Comma1 - Style1 3 3" xfId="30186"/>
    <cellStyle name="Comma1 - Style1 4" xfId="30187"/>
    <cellStyle name="Comma1 - Style1 4 2" xfId="30188"/>
    <cellStyle name="Comma1 - Style1 5" xfId="30189"/>
    <cellStyle name="Comma1 - Style1 6" xfId="30190"/>
    <cellStyle name="Comma1 - Style1_Electric Rev Req Model (2009 GRC) Rebuttal" xfId="30191"/>
    <cellStyle name="Comment" xfId="30192"/>
    <cellStyle name="Copied" xfId="1284"/>
    <cellStyle name="Copied 2" xfId="30193"/>
    <cellStyle name="Copied 2 2" xfId="30194"/>
    <cellStyle name="Copied 2 2 2" xfId="30195"/>
    <cellStyle name="Copied 2 2 3" xfId="30196"/>
    <cellStyle name="Copied 2 2 4" xfId="30197"/>
    <cellStyle name="Copied 2 3" xfId="30198"/>
    <cellStyle name="Copied 2 4" xfId="30199"/>
    <cellStyle name="Copied 2 5" xfId="30200"/>
    <cellStyle name="Copied 3" xfId="30201"/>
    <cellStyle name="Copied 3 2" xfId="30202"/>
    <cellStyle name="Copied 4" xfId="30203"/>
    <cellStyle name="Copied 4 2" xfId="30204"/>
    <cellStyle name="Copied 5" xfId="30205"/>
    <cellStyle name="Copied 6" xfId="30206"/>
    <cellStyle name="COST1" xfId="1285"/>
    <cellStyle name="COST1 2" xfId="30207"/>
    <cellStyle name="COST1 2 2" xfId="30208"/>
    <cellStyle name="COST1 2 2 2" xfId="30209"/>
    <cellStyle name="COST1 2 2 3" xfId="30210"/>
    <cellStyle name="COST1 2 2 4" xfId="30211"/>
    <cellStyle name="COST1 2 3" xfId="30212"/>
    <cellStyle name="COST1 2 4" xfId="30213"/>
    <cellStyle name="COST1 2 5" xfId="30214"/>
    <cellStyle name="COST1 3" xfId="30215"/>
    <cellStyle name="COST1 3 2" xfId="30216"/>
    <cellStyle name="COST1 4" xfId="30217"/>
    <cellStyle name="COST1 4 2" xfId="30218"/>
    <cellStyle name="COST1 5" xfId="30219"/>
    <cellStyle name="COST1 6" xfId="30220"/>
    <cellStyle name="CountryTitle" xfId="30221"/>
    <cellStyle name="Curren - Style1" xfId="1286"/>
    <cellStyle name="Curren - Style1 2" xfId="30222"/>
    <cellStyle name="Curren - Style1 2 2" xfId="30223"/>
    <cellStyle name="Curren - Style1 2 2 2" xfId="30224"/>
    <cellStyle name="Curren - Style1 2 3" xfId="30225"/>
    <cellStyle name="Curren - Style1 3" xfId="30226"/>
    <cellStyle name="Curren - Style1 3 2" xfId="30227"/>
    <cellStyle name="Curren - Style1 4" xfId="30228"/>
    <cellStyle name="Curren - Style1 4 2" xfId="30229"/>
    <cellStyle name="Curren - Style1 5" xfId="30230"/>
    <cellStyle name="Curren - Style2" xfId="1287"/>
    <cellStyle name="Curren - Style2 2" xfId="30231"/>
    <cellStyle name="Curren - Style2 2 2" xfId="30232"/>
    <cellStyle name="Curren - Style2 2 2 2" xfId="30233"/>
    <cellStyle name="Curren - Style2 2 3" xfId="30234"/>
    <cellStyle name="Curren - Style2 2 4" xfId="30235"/>
    <cellStyle name="Curren - Style2 3" xfId="30236"/>
    <cellStyle name="Curren - Style2 3 2" xfId="30237"/>
    <cellStyle name="Curren - Style2 3 2 2" xfId="30238"/>
    <cellStyle name="Curren - Style2 3 3" xfId="30239"/>
    <cellStyle name="Curren - Style2 4" xfId="30240"/>
    <cellStyle name="Curren - Style2 4 2" xfId="30241"/>
    <cellStyle name="Curren - Style2 5" xfId="30242"/>
    <cellStyle name="Curren - Style2 6" xfId="30243"/>
    <cellStyle name="Curren - Style2_Electric Rev Req Model (2009 GRC) Rebuttal" xfId="30244"/>
    <cellStyle name="Curren - Style5" xfId="1288"/>
    <cellStyle name="Curren - Style5 2" xfId="30245"/>
    <cellStyle name="Curren - Style5 2 2" xfId="30246"/>
    <cellStyle name="Curren - Style5 2 2 2" xfId="30247"/>
    <cellStyle name="Curren - Style5 2 3" xfId="30248"/>
    <cellStyle name="Curren - Style5 3" xfId="30249"/>
    <cellStyle name="Curren - Style5 3 2" xfId="30250"/>
    <cellStyle name="Curren - Style5 4" xfId="30251"/>
    <cellStyle name="Curren - Style5 4 2" xfId="30252"/>
    <cellStyle name="Curren - Style5 5" xfId="30253"/>
    <cellStyle name="Curren - Style6" xfId="1289"/>
    <cellStyle name="Curren - Style6 2" xfId="30254"/>
    <cellStyle name="Curren - Style6 2 2" xfId="30255"/>
    <cellStyle name="Curren - Style6 2 2 2" xfId="30256"/>
    <cellStyle name="Curren - Style6 2 3" xfId="30257"/>
    <cellStyle name="Curren - Style6 2 4" xfId="30258"/>
    <cellStyle name="Curren - Style6 3" xfId="30259"/>
    <cellStyle name="Curren - Style6 3 2" xfId="30260"/>
    <cellStyle name="Curren - Style6 3 2 2" xfId="30261"/>
    <cellStyle name="Curren - Style6 3 3" xfId="30262"/>
    <cellStyle name="Curren - Style6 4" xfId="30263"/>
    <cellStyle name="Curren - Style6 4 2" xfId="30264"/>
    <cellStyle name="Curren - Style6 5" xfId="30265"/>
    <cellStyle name="Curren - Style6 6" xfId="30266"/>
    <cellStyle name="Curren - Style6_Electric Rev Req Model (2009 GRC) Rebuttal" xfId="30267"/>
    <cellStyle name="Currency" xfId="1290" builtinId="4"/>
    <cellStyle name="Currency [0] 2" xfId="42390"/>
    <cellStyle name="Currency 10" xfId="1291"/>
    <cellStyle name="Currency 10 2" xfId="30268"/>
    <cellStyle name="Currency 10 2 2" xfId="30269"/>
    <cellStyle name="Currency 10 2 2 2" xfId="30270"/>
    <cellStyle name="Currency 10 2 3" xfId="30271"/>
    <cellStyle name="Currency 10 3" xfId="30272"/>
    <cellStyle name="Currency 10 3 2" xfId="30273"/>
    <cellStyle name="Currency 10 3 2 2" xfId="30274"/>
    <cellStyle name="Currency 10 3 3" xfId="30275"/>
    <cellStyle name="Currency 10 3 4" xfId="1766"/>
    <cellStyle name="Currency 10 4" xfId="30276"/>
    <cellStyle name="Currency 10 4 2" xfId="30277"/>
    <cellStyle name="Currency 10 4 2 2" xfId="30278"/>
    <cellStyle name="Currency 10 4 3" xfId="30279"/>
    <cellStyle name="Currency 10 5" xfId="30280"/>
    <cellStyle name="Currency 10 5 2" xfId="30281"/>
    <cellStyle name="Currency 10 6" xfId="30282"/>
    <cellStyle name="Currency 10 6 2" xfId="30283"/>
    <cellStyle name="Currency 10 7" xfId="30284"/>
    <cellStyle name="Currency 11" xfId="1292"/>
    <cellStyle name="Currency 11 2" xfId="30285"/>
    <cellStyle name="Currency 11 2 2" xfId="30286"/>
    <cellStyle name="Currency 11 2 2 2" xfId="30287"/>
    <cellStyle name="Currency 11 2 2 2 2" xfId="30288"/>
    <cellStyle name="Currency 11 2 2 3" xfId="30289"/>
    <cellStyle name="Currency 11 2 3" xfId="30290"/>
    <cellStyle name="Currency 11 2 3 2" xfId="30291"/>
    <cellStyle name="Currency 11 2 4" xfId="30292"/>
    <cellStyle name="Currency 11 2 4 2" xfId="30293"/>
    <cellStyle name="Currency 11 2 5" xfId="30294"/>
    <cellStyle name="Currency 11 3" xfId="30295"/>
    <cellStyle name="Currency 11 3 2" xfId="30296"/>
    <cellStyle name="Currency 11 3 2 2" xfId="30297"/>
    <cellStyle name="Currency 11 3 3" xfId="30298"/>
    <cellStyle name="Currency 11 3 4" xfId="30299"/>
    <cellStyle name="Currency 11 4" xfId="30300"/>
    <cellStyle name="Currency 11 4 2" xfId="30301"/>
    <cellStyle name="Currency 11 4 2 2" xfId="30302"/>
    <cellStyle name="Currency 11 4 3" xfId="30303"/>
    <cellStyle name="Currency 11 5" xfId="30304"/>
    <cellStyle name="Currency 11 5 2" xfId="30305"/>
    <cellStyle name="Currency 11 6" xfId="30306"/>
    <cellStyle name="Currency 11 6 2" xfId="30307"/>
    <cellStyle name="Currency 11 7" xfId="30308"/>
    <cellStyle name="Currency 12" xfId="1293"/>
    <cellStyle name="Currency 12 2" xfId="1294"/>
    <cellStyle name="Currency 12 2 2" xfId="30309"/>
    <cellStyle name="Currency 12 2 2 2" xfId="30310"/>
    <cellStyle name="Currency 12 2 2 2 2" xfId="30311"/>
    <cellStyle name="Currency 12 2 2 3" xfId="30312"/>
    <cellStyle name="Currency 12 2 3" xfId="30313"/>
    <cellStyle name="Currency 12 2 3 2" xfId="30314"/>
    <cellStyle name="Currency 12 2 3 2 2" xfId="30315"/>
    <cellStyle name="Currency 12 2 3 3" xfId="30316"/>
    <cellStyle name="Currency 12 2 4" xfId="30317"/>
    <cellStyle name="Currency 12 2 4 2" xfId="30318"/>
    <cellStyle name="Currency 12 2 5" xfId="30319"/>
    <cellStyle name="Currency 12 2 5 2" xfId="30320"/>
    <cellStyle name="Currency 12 2 6" xfId="30321"/>
    <cellStyle name="Currency 12 3" xfId="1295"/>
    <cellStyle name="Currency 12 3 2" xfId="30322"/>
    <cellStyle name="Currency 12 3 2 2" xfId="30323"/>
    <cellStyle name="Currency 12 3 2 2 2" xfId="30324"/>
    <cellStyle name="Currency 12 3 2 3" xfId="30325"/>
    <cellStyle name="Currency 12 3 3" xfId="30326"/>
    <cellStyle name="Currency 12 3 3 2" xfId="30327"/>
    <cellStyle name="Currency 12 3 3 2 2" xfId="30328"/>
    <cellStyle name="Currency 12 3 3 3" xfId="30329"/>
    <cellStyle name="Currency 12 3 4" xfId="30330"/>
    <cellStyle name="Currency 12 3 4 2" xfId="30331"/>
    <cellStyle name="Currency 12 3 5" xfId="30332"/>
    <cellStyle name="Currency 12 3 5 2" xfId="30333"/>
    <cellStyle name="Currency 12 3 6" xfId="30334"/>
    <cellStyle name="Currency 12 4" xfId="1296"/>
    <cellStyle name="Currency 12 4 2" xfId="30335"/>
    <cellStyle name="Currency 12 4 2 2" xfId="30336"/>
    <cellStyle name="Currency 12 4 2 2 2" xfId="30337"/>
    <cellStyle name="Currency 12 4 2 3" xfId="30338"/>
    <cellStyle name="Currency 12 4 3" xfId="30339"/>
    <cellStyle name="Currency 12 4 3 2" xfId="30340"/>
    <cellStyle name="Currency 12 4 3 2 2" xfId="30341"/>
    <cellStyle name="Currency 12 4 3 3" xfId="30342"/>
    <cellStyle name="Currency 12 4 4" xfId="30343"/>
    <cellStyle name="Currency 12 4 4 2" xfId="30344"/>
    <cellStyle name="Currency 12 4 5" xfId="30345"/>
    <cellStyle name="Currency 12 4 5 2" xfId="30346"/>
    <cellStyle name="Currency 12 4 6" xfId="30347"/>
    <cellStyle name="Currency 12 5" xfId="30348"/>
    <cellStyle name="Currency 12 5 2" xfId="30349"/>
    <cellStyle name="Currency 12 5 2 2" xfId="30350"/>
    <cellStyle name="Currency 12 5 3" xfId="30351"/>
    <cellStyle name="Currency 12 6" xfId="30352"/>
    <cellStyle name="Currency 12 6 2" xfId="30353"/>
    <cellStyle name="Currency 12 6 2 2" xfId="30354"/>
    <cellStyle name="Currency 12 6 3" xfId="30355"/>
    <cellStyle name="Currency 12 7" xfId="30356"/>
    <cellStyle name="Currency 12 7 2" xfId="30357"/>
    <cellStyle name="Currency 12 8" xfId="30358"/>
    <cellStyle name="Currency 12 8 2" xfId="30359"/>
    <cellStyle name="Currency 12 9" xfId="30360"/>
    <cellStyle name="Currency 13" xfId="1297"/>
    <cellStyle name="Currency 13 2" xfId="1298"/>
    <cellStyle name="Currency 13 2 2" xfId="30361"/>
    <cellStyle name="Currency 13 2 2 2" xfId="30362"/>
    <cellStyle name="Currency 13 2 2 2 2" xfId="30363"/>
    <cellStyle name="Currency 13 2 2 3" xfId="30364"/>
    <cellStyle name="Currency 13 2 3" xfId="30365"/>
    <cellStyle name="Currency 13 2 3 2" xfId="30366"/>
    <cellStyle name="Currency 13 2 3 2 2" xfId="30367"/>
    <cellStyle name="Currency 13 2 3 3" xfId="30368"/>
    <cellStyle name="Currency 13 2 4" xfId="30369"/>
    <cellStyle name="Currency 13 2 4 2" xfId="30370"/>
    <cellStyle name="Currency 13 2 5" xfId="30371"/>
    <cellStyle name="Currency 13 2 6" xfId="30372"/>
    <cellStyle name="Currency 13 3" xfId="1299"/>
    <cellStyle name="Currency 13 3 2" xfId="30373"/>
    <cellStyle name="Currency 13 3 2 2" xfId="30374"/>
    <cellStyle name="Currency 13 3 2 3" xfId="30375"/>
    <cellStyle name="Currency 13 3 3" xfId="30376"/>
    <cellStyle name="Currency 13 3 3 2" xfId="30377"/>
    <cellStyle name="Currency 13 3 4" xfId="30378"/>
    <cellStyle name="Currency 13 3 5" xfId="30379"/>
    <cellStyle name="Currency 13 4" xfId="30380"/>
    <cellStyle name="Currency 13 4 2" xfId="30381"/>
    <cellStyle name="Currency 13 4 2 2" xfId="30382"/>
    <cellStyle name="Currency 13 4 3" xfId="30383"/>
    <cellStyle name="Currency 13 4 4" xfId="30384"/>
    <cellStyle name="Currency 13 5" xfId="30385"/>
    <cellStyle name="Currency 13 5 2" xfId="30386"/>
    <cellStyle name="Currency 13 5 2 2" xfId="30387"/>
    <cellStyle name="Currency 13 5 3" xfId="30388"/>
    <cellStyle name="Currency 13 6" xfId="30389"/>
    <cellStyle name="Currency 13 6 2" xfId="30390"/>
    <cellStyle name="Currency 13 7" xfId="30391"/>
    <cellStyle name="Currency 13 8" xfId="30392"/>
    <cellStyle name="Currency 13 9" xfId="30393"/>
    <cellStyle name="Currency 14" xfId="1300"/>
    <cellStyle name="Currency 14 2" xfId="30394"/>
    <cellStyle name="Currency 14 2 2" xfId="30395"/>
    <cellStyle name="Currency 14 2 2 2" xfId="30396"/>
    <cellStyle name="Currency 14 2 2 2 2" xfId="30397"/>
    <cellStyle name="Currency 14 2 3" xfId="30398"/>
    <cellStyle name="Currency 14 2 3 2" xfId="30399"/>
    <cellStyle name="Currency 14 2 4" xfId="30400"/>
    <cellStyle name="Currency 14 2 4 2" xfId="30401"/>
    <cellStyle name="Currency 14 2 5" xfId="30402"/>
    <cellStyle name="Currency 14 3" xfId="30403"/>
    <cellStyle name="Currency 14 3 2" xfId="30404"/>
    <cellStyle name="Currency 14 3 2 2" xfId="30405"/>
    <cellStyle name="Currency 14 3 3" xfId="30406"/>
    <cellStyle name="Currency 14 4" xfId="30407"/>
    <cellStyle name="Currency 14 4 2" xfId="30408"/>
    <cellStyle name="Currency 14 4 2 2" xfId="30409"/>
    <cellStyle name="Currency 14 4 3" xfId="30410"/>
    <cellStyle name="Currency 14 5" xfId="30411"/>
    <cellStyle name="Currency 14 5 2" xfId="30412"/>
    <cellStyle name="Currency 14 6" xfId="30413"/>
    <cellStyle name="Currency 15" xfId="1301"/>
    <cellStyle name="Currency 15 2" xfId="30414"/>
    <cellStyle name="Currency 15 2 2" xfId="30415"/>
    <cellStyle name="Currency 15 2 2 2" xfId="30416"/>
    <cellStyle name="Currency 15 3" xfId="30417"/>
    <cellStyle name="Currency 15 3 2" xfId="30418"/>
    <cellStyle name="Currency 15 3 2 2" xfId="30419"/>
    <cellStyle name="Currency 15 3 3" xfId="30420"/>
    <cellStyle name="Currency 15 3 4" xfId="30421"/>
    <cellStyle name="Currency 15 3 5" xfId="30422"/>
    <cellStyle name="Currency 15 4" xfId="30423"/>
    <cellStyle name="Currency 15 4 2" xfId="30424"/>
    <cellStyle name="Currency 15 5" xfId="30425"/>
    <cellStyle name="Currency 15 6" xfId="30426"/>
    <cellStyle name="Currency 15 7" xfId="30427"/>
    <cellStyle name="Currency 16" xfId="1302"/>
    <cellStyle name="Currency 16 2" xfId="30428"/>
    <cellStyle name="Currency 16 2 2" xfId="30429"/>
    <cellStyle name="Currency 16 2 2 2" xfId="30430"/>
    <cellStyle name="Currency 16 2 3" xfId="30431"/>
    <cellStyle name="Currency 16 3" xfId="30432"/>
    <cellStyle name="Currency 16 3 2" xfId="30433"/>
    <cellStyle name="Currency 16 4" xfId="30434"/>
    <cellStyle name="Currency 17" xfId="30435"/>
    <cellStyle name="Currency 17 2" xfId="30436"/>
    <cellStyle name="Currency 17 2 2" xfId="30437"/>
    <cellStyle name="Currency 17 3" xfId="30438"/>
    <cellStyle name="Currency 17 4" xfId="30439"/>
    <cellStyle name="Currency 18" xfId="30440"/>
    <cellStyle name="Currency 18 2" xfId="30441"/>
    <cellStyle name="Currency 18 2 2" xfId="30442"/>
    <cellStyle name="Currency 18 2 2 2" xfId="30443"/>
    <cellStyle name="Currency 18 2 3" xfId="30444"/>
    <cellStyle name="Currency 18 2 4" xfId="30445"/>
    <cellStyle name="Currency 18 3" xfId="30446"/>
    <cellStyle name="Currency 18 3 2" xfId="30447"/>
    <cellStyle name="Currency 18 4" xfId="30448"/>
    <cellStyle name="Currency 18 5" xfId="30449"/>
    <cellStyle name="Currency 19" xfId="30450"/>
    <cellStyle name="Currency 19 2" xfId="30451"/>
    <cellStyle name="Currency 19 2 2" xfId="30452"/>
    <cellStyle name="Currency 19 3" xfId="30453"/>
    <cellStyle name="Currency 19 4" xfId="30454"/>
    <cellStyle name="Currency 19 5" xfId="30455"/>
    <cellStyle name="Currency 2" xfId="1303"/>
    <cellStyle name="Currency 2 10" xfId="30456"/>
    <cellStyle name="Currency 2 10 2" xfId="30457"/>
    <cellStyle name="Currency 2 10 2 2" xfId="30458"/>
    <cellStyle name="Currency 2 10 3" xfId="30459"/>
    <cellStyle name="Currency 2 11" xfId="30460"/>
    <cellStyle name="Currency 2 11 2" xfId="30461"/>
    <cellStyle name="Currency 2 12" xfId="30462"/>
    <cellStyle name="Currency 2 12 2" xfId="30463"/>
    <cellStyle name="Currency 2 13" xfId="30464"/>
    <cellStyle name="Currency 2 13 2" xfId="30465"/>
    <cellStyle name="Currency 2 14" xfId="30466"/>
    <cellStyle name="Currency 2 2" xfId="1304"/>
    <cellStyle name="Currency 2 2 2" xfId="30467"/>
    <cellStyle name="Currency 2 2 2 2" xfId="30468"/>
    <cellStyle name="Currency 2 2 2 2 2" xfId="30469"/>
    <cellStyle name="Currency 2 2 2 2 2 2" xfId="30470"/>
    <cellStyle name="Currency 2 2 2 2 3" xfId="30471"/>
    <cellStyle name="Currency 2 2 2 3" xfId="30472"/>
    <cellStyle name="Currency 2 2 2 3 2" xfId="30473"/>
    <cellStyle name="Currency 2 2 2 4" xfId="30474"/>
    <cellStyle name="Currency 2 2 2 4 2" xfId="30475"/>
    <cellStyle name="Currency 2 2 2 5" xfId="30476"/>
    <cellStyle name="Currency 2 2 3" xfId="30477"/>
    <cellStyle name="Currency 2 2 3 2" xfId="30478"/>
    <cellStyle name="Currency 2 2 3 2 2" xfId="30479"/>
    <cellStyle name="Currency 2 2 3 3" xfId="30480"/>
    <cellStyle name="Currency 2 2 3 4" xfId="30481"/>
    <cellStyle name="Currency 2 2 4" xfId="30482"/>
    <cellStyle name="Currency 2 2 4 2" xfId="30483"/>
    <cellStyle name="Currency 2 2 4 2 2" xfId="30484"/>
    <cellStyle name="Currency 2 2 4 3" xfId="30485"/>
    <cellStyle name="Currency 2 2 5" xfId="30486"/>
    <cellStyle name="Currency 2 2 5 2" xfId="30487"/>
    <cellStyle name="Currency 2 2 6" xfId="30488"/>
    <cellStyle name="Currency 2 2 6 2" xfId="30489"/>
    <cellStyle name="Currency 2 2 7" xfId="30490"/>
    <cellStyle name="Currency 2 3" xfId="1305"/>
    <cellStyle name="Currency 2 3 2" xfId="30491"/>
    <cellStyle name="Currency 2 3 2 2" xfId="30492"/>
    <cellStyle name="Currency 2 3 2 2 2" xfId="30493"/>
    <cellStyle name="Currency 2 3 2 3" xfId="30494"/>
    <cellStyle name="Currency 2 3 2 4" xfId="30495"/>
    <cellStyle name="Currency 2 3 3" xfId="30496"/>
    <cellStyle name="Currency 2 3 3 2" xfId="30497"/>
    <cellStyle name="Currency 2 3 3 2 2" xfId="30498"/>
    <cellStyle name="Currency 2 3 3 3" xfId="30499"/>
    <cellStyle name="Currency 2 3 4" xfId="30500"/>
    <cellStyle name="Currency 2 3 4 2" xfId="30501"/>
    <cellStyle name="Currency 2 3 5" xfId="30502"/>
    <cellStyle name="Currency 2 3 5 2" xfId="30503"/>
    <cellStyle name="Currency 2 3 6" xfId="30504"/>
    <cellStyle name="Currency 2 4" xfId="1306"/>
    <cellStyle name="Currency 2 4 2" xfId="30505"/>
    <cellStyle name="Currency 2 4 2 2" xfId="30506"/>
    <cellStyle name="Currency 2 4 2 2 2" xfId="30507"/>
    <cellStyle name="Currency 2 4 2 3" xfId="30508"/>
    <cellStyle name="Currency 2 4 3" xfId="30509"/>
    <cellStyle name="Currency 2 4 3 2" xfId="30510"/>
    <cellStyle name="Currency 2 4 3 2 2" xfId="30511"/>
    <cellStyle name="Currency 2 4 3 3" xfId="30512"/>
    <cellStyle name="Currency 2 4 4" xfId="30513"/>
    <cellStyle name="Currency 2 4 4 2" xfId="30514"/>
    <cellStyle name="Currency 2 4 5" xfId="30515"/>
    <cellStyle name="Currency 2 4 5 2" xfId="30516"/>
    <cellStyle name="Currency 2 4 6" xfId="30517"/>
    <cellStyle name="Currency 2 5" xfId="1307"/>
    <cellStyle name="Currency 2 5 2" xfId="30518"/>
    <cellStyle name="Currency 2 5 2 2" xfId="30519"/>
    <cellStyle name="Currency 2 5 2 2 2" xfId="30520"/>
    <cellStyle name="Currency 2 5 2 3" xfId="30521"/>
    <cellStyle name="Currency 2 5 3" xfId="30522"/>
    <cellStyle name="Currency 2 5 3 2" xfId="30523"/>
    <cellStyle name="Currency 2 5 3 2 2" xfId="30524"/>
    <cellStyle name="Currency 2 5 3 3" xfId="30525"/>
    <cellStyle name="Currency 2 5 4" xfId="30526"/>
    <cellStyle name="Currency 2 5 4 2" xfId="30527"/>
    <cellStyle name="Currency 2 5 5" xfId="30528"/>
    <cellStyle name="Currency 2 5 5 2" xfId="30529"/>
    <cellStyle name="Currency 2 5 6" xfId="30530"/>
    <cellStyle name="Currency 2 6" xfId="1308"/>
    <cellStyle name="Currency 2 6 2" xfId="30531"/>
    <cellStyle name="Currency 2 6 2 2" xfId="30532"/>
    <cellStyle name="Currency 2 6 2 2 2" xfId="30533"/>
    <cellStyle name="Currency 2 6 2 3" xfId="30534"/>
    <cellStyle name="Currency 2 6 3" xfId="30535"/>
    <cellStyle name="Currency 2 6 3 2" xfId="30536"/>
    <cellStyle name="Currency 2 6 3 2 2" xfId="30537"/>
    <cellStyle name="Currency 2 6 3 3" xfId="30538"/>
    <cellStyle name="Currency 2 6 4" xfId="30539"/>
    <cellStyle name="Currency 2 6 4 2" xfId="30540"/>
    <cellStyle name="Currency 2 6 5" xfId="30541"/>
    <cellStyle name="Currency 2 6 5 2" xfId="30542"/>
    <cellStyle name="Currency 2 6 6" xfId="30543"/>
    <cellStyle name="Currency 2 7" xfId="1309"/>
    <cellStyle name="Currency 2 7 2" xfId="30544"/>
    <cellStyle name="Currency 2 7 2 2" xfId="30545"/>
    <cellStyle name="Currency 2 7 2 2 2" xfId="30546"/>
    <cellStyle name="Currency 2 7 2 3" xfId="30547"/>
    <cellStyle name="Currency 2 7 3" xfId="30548"/>
    <cellStyle name="Currency 2 7 3 2" xfId="30549"/>
    <cellStyle name="Currency 2 7 3 2 2" xfId="30550"/>
    <cellStyle name="Currency 2 7 3 3" xfId="30551"/>
    <cellStyle name="Currency 2 7 4" xfId="30552"/>
    <cellStyle name="Currency 2 7 4 2" xfId="30553"/>
    <cellStyle name="Currency 2 7 5" xfId="30554"/>
    <cellStyle name="Currency 2 7 5 2" xfId="30555"/>
    <cellStyle name="Currency 2 7 6" xfId="30556"/>
    <cellStyle name="Currency 2 8" xfId="1310"/>
    <cellStyle name="Currency 2 8 2" xfId="30557"/>
    <cellStyle name="Currency 2 8 2 2" xfId="30558"/>
    <cellStyle name="Currency 2 8 2 2 2" xfId="30559"/>
    <cellStyle name="Currency 2 8 2 3" xfId="30560"/>
    <cellStyle name="Currency 2 8 3" xfId="30561"/>
    <cellStyle name="Currency 2 8 3 2" xfId="30562"/>
    <cellStyle name="Currency 2 8 3 2 2" xfId="30563"/>
    <cellStyle name="Currency 2 8 3 3" xfId="30564"/>
    <cellStyle name="Currency 2 8 4" xfId="30565"/>
    <cellStyle name="Currency 2 8 4 2" xfId="30566"/>
    <cellStyle name="Currency 2 8 5" xfId="30567"/>
    <cellStyle name="Currency 2 8 5 2" xfId="30568"/>
    <cellStyle name="Currency 2 8 6" xfId="30569"/>
    <cellStyle name="Currency 2 9" xfId="30570"/>
    <cellStyle name="Currency 2 9 2" xfId="30571"/>
    <cellStyle name="Currency 2 9 2 2" xfId="30572"/>
    <cellStyle name="Currency 2 9 3" xfId="30573"/>
    <cellStyle name="Currency 20" xfId="30574"/>
    <cellStyle name="Currency 20 2" xfId="30575"/>
    <cellStyle name="Currency 20 2 2" xfId="30576"/>
    <cellStyle name="Currency 20 2 3" xfId="30577"/>
    <cellStyle name="Currency 20 2 4" xfId="30578"/>
    <cellStyle name="Currency 20 2 5" xfId="30579"/>
    <cellStyle name="Currency 20 3" xfId="30580"/>
    <cellStyle name="Currency 20 4" xfId="30581"/>
    <cellStyle name="Currency 20 5" xfId="30582"/>
    <cellStyle name="Currency 21" xfId="30583"/>
    <cellStyle name="Currency 21 2" xfId="30584"/>
    <cellStyle name="Currency 21 2 2" xfId="30585"/>
    <cellStyle name="Currency 21 2 3" xfId="30586"/>
    <cellStyle name="Currency 21 3" xfId="30587"/>
    <cellStyle name="Currency 21 4" xfId="30588"/>
    <cellStyle name="Currency 21 5" xfId="30589"/>
    <cellStyle name="Currency 22" xfId="30590"/>
    <cellStyle name="Currency 22 2" xfId="30591"/>
    <cellStyle name="Currency 22 3" xfId="30592"/>
    <cellStyle name="Currency 23" xfId="30593"/>
    <cellStyle name="Currency 24" xfId="30594"/>
    <cellStyle name="Currency 25" xfId="30595"/>
    <cellStyle name="Currency 26" xfId="30596"/>
    <cellStyle name="Currency 27" xfId="30597"/>
    <cellStyle name="Currency 3" xfId="1311"/>
    <cellStyle name="Currency 3 2" xfId="1312"/>
    <cellStyle name="Currency 3 2 2" xfId="30598"/>
    <cellStyle name="Currency 3 2 2 2" xfId="30599"/>
    <cellStyle name="Currency 3 2 2 2 2" xfId="30600"/>
    <cellStyle name="Currency 3 2 2 3" xfId="30601"/>
    <cellStyle name="Currency 3 2 2 4" xfId="30602"/>
    <cellStyle name="Currency 3 2 3" xfId="30603"/>
    <cellStyle name="Currency 3 2 3 2" xfId="30604"/>
    <cellStyle name="Currency 3 2 3 2 2" xfId="30605"/>
    <cellStyle name="Currency 3 2 3 3" xfId="30606"/>
    <cellStyle name="Currency 3 2 4" xfId="30607"/>
    <cellStyle name="Currency 3 2 4 2" xfId="30608"/>
    <cellStyle name="Currency 3 2 5" xfId="30609"/>
    <cellStyle name="Currency 3 2 5 2" xfId="30610"/>
    <cellStyle name="Currency 3 2 6" xfId="30611"/>
    <cellStyle name="Currency 3 3" xfId="1313"/>
    <cellStyle name="Currency 3 3 2" xfId="30612"/>
    <cellStyle name="Currency 3 3 2 2" xfId="30613"/>
    <cellStyle name="Currency 3 3 2 2 2" xfId="30614"/>
    <cellStyle name="Currency 3 3 2 3" xfId="30615"/>
    <cellStyle name="Currency 3 3 3" xfId="30616"/>
    <cellStyle name="Currency 3 3 3 2" xfId="30617"/>
    <cellStyle name="Currency 3 3 3 2 2" xfId="30618"/>
    <cellStyle name="Currency 3 3 3 3" xfId="30619"/>
    <cellStyle name="Currency 3 3 4" xfId="30620"/>
    <cellStyle name="Currency 3 3 4 2" xfId="30621"/>
    <cellStyle name="Currency 3 3 5" xfId="30622"/>
    <cellStyle name="Currency 3 3 5 2" xfId="30623"/>
    <cellStyle name="Currency 3 3 6" xfId="30624"/>
    <cellStyle name="Currency 3 4" xfId="30625"/>
    <cellStyle name="Currency 3 4 2" xfId="30626"/>
    <cellStyle name="Currency 3 4 2 2" xfId="30627"/>
    <cellStyle name="Currency 3 4 3" xfId="30628"/>
    <cellStyle name="Currency 3 4 4" xfId="30629"/>
    <cellStyle name="Currency 3 4 5" xfId="30630"/>
    <cellStyle name="Currency 3 5" xfId="30631"/>
    <cellStyle name="Currency 3 5 2" xfId="30632"/>
    <cellStyle name="Currency 3 5 2 2" xfId="30633"/>
    <cellStyle name="Currency 3 5 3" xfId="30634"/>
    <cellStyle name="Currency 3 6" xfId="30635"/>
    <cellStyle name="Currency 3 6 2" xfId="30636"/>
    <cellStyle name="Currency 3 7" xfId="30637"/>
    <cellStyle name="Currency 3 7 2" xfId="30638"/>
    <cellStyle name="Currency 3 8" xfId="30639"/>
    <cellStyle name="Currency 3 8 2" xfId="30640"/>
    <cellStyle name="Currency 3 8 3" xfId="30641"/>
    <cellStyle name="Currency 3 9" xfId="30642"/>
    <cellStyle name="Currency 4" xfId="1314"/>
    <cellStyle name="Currency 4 2" xfId="1315"/>
    <cellStyle name="Currency 4 2 2" xfId="30643"/>
    <cellStyle name="Currency 4 2 2 2" xfId="30644"/>
    <cellStyle name="Currency 4 2 2 2 2" xfId="30645"/>
    <cellStyle name="Currency 4 2 2 2 2 2" xfId="30646"/>
    <cellStyle name="Currency 4 2 2 2 3" xfId="30647"/>
    <cellStyle name="Currency 4 2 2 3" xfId="30648"/>
    <cellStyle name="Currency 4 2 2 3 2" xfId="30649"/>
    <cellStyle name="Currency 4 2 2 4" xfId="30650"/>
    <cellStyle name="Currency 4 2 2 4 2" xfId="30651"/>
    <cellStyle name="Currency 4 2 2 5" xfId="30652"/>
    <cellStyle name="Currency 4 2 3" xfId="30653"/>
    <cellStyle name="Currency 4 2 3 2" xfId="30654"/>
    <cellStyle name="Currency 4 2 3 2 2" xfId="30655"/>
    <cellStyle name="Currency 4 2 3 3" xfId="30656"/>
    <cellStyle name="Currency 4 2 3 4" xfId="30657"/>
    <cellStyle name="Currency 4 2 4" xfId="30658"/>
    <cellStyle name="Currency 4 2 4 2" xfId="30659"/>
    <cellStyle name="Currency 4 2 4 2 2" xfId="30660"/>
    <cellStyle name="Currency 4 2 4 3" xfId="30661"/>
    <cellStyle name="Currency 4 2 5" xfId="30662"/>
    <cellStyle name="Currency 4 2 5 2" xfId="30663"/>
    <cellStyle name="Currency 4 2 6" xfId="30664"/>
    <cellStyle name="Currency 4 2 6 2" xfId="30665"/>
    <cellStyle name="Currency 4 2 7" xfId="30666"/>
    <cellStyle name="Currency 4 3" xfId="30667"/>
    <cellStyle name="Currency 4 3 2" xfId="30668"/>
    <cellStyle name="Currency 4 3 2 2" xfId="30669"/>
    <cellStyle name="Currency 4 3 2 2 2" xfId="30670"/>
    <cellStyle name="Currency 4 3 2 3" xfId="30671"/>
    <cellStyle name="Currency 4 3 3" xfId="30672"/>
    <cellStyle name="Currency 4 3 3 2" xfId="30673"/>
    <cellStyle name="Currency 4 3 3 2 2" xfId="30674"/>
    <cellStyle name="Currency 4 3 3 3" xfId="30675"/>
    <cellStyle name="Currency 4 3 4" xfId="30676"/>
    <cellStyle name="Currency 4 3 4 2" xfId="30677"/>
    <cellStyle name="Currency 4 3 4 2 2" xfId="30678"/>
    <cellStyle name="Currency 4 3 4 3" xfId="30679"/>
    <cellStyle name="Currency 4 3 5" xfId="30680"/>
    <cellStyle name="Currency 4 3 6" xfId="30681"/>
    <cellStyle name="Currency 4 4" xfId="30682"/>
    <cellStyle name="Currency 4 4 2" xfId="30683"/>
    <cellStyle name="Currency 4 4 2 2" xfId="30684"/>
    <cellStyle name="Currency 4 4 3" xfId="30685"/>
    <cellStyle name="Currency 4 4 4" xfId="30686"/>
    <cellStyle name="Currency 4 5" xfId="30687"/>
    <cellStyle name="Currency 4 5 2" xfId="30688"/>
    <cellStyle name="Currency 4 5 2 2" xfId="30689"/>
    <cellStyle name="Currency 4 5 3" xfId="30690"/>
    <cellStyle name="Currency 4 6" xfId="30691"/>
    <cellStyle name="Currency 4 6 2" xfId="30692"/>
    <cellStyle name="Currency 4 7" xfId="30693"/>
    <cellStyle name="Currency 4_2009 GRC Compliance Filing (Electric) for Exh A-1" xfId="30694"/>
    <cellStyle name="Currency 5" xfId="1316"/>
    <cellStyle name="Currency 5 2" xfId="1317"/>
    <cellStyle name="Currency 5 2 2" xfId="1318"/>
    <cellStyle name="Currency 5 2 2 2" xfId="30695"/>
    <cellStyle name="Currency 5 2 2 2 2" xfId="30696"/>
    <cellStyle name="Currency 5 2 2 3" xfId="30697"/>
    <cellStyle name="Currency 5 2 3" xfId="30698"/>
    <cellStyle name="Currency 5 2 3 2" xfId="30699"/>
    <cellStyle name="Currency 5 2 4" xfId="30700"/>
    <cellStyle name="Currency 5 2 4 2" xfId="30701"/>
    <cellStyle name="Currency 5 2 5" xfId="30702"/>
    <cellStyle name="Currency 5 3" xfId="1319"/>
    <cellStyle name="Currency 5 3 2" xfId="30703"/>
    <cellStyle name="Currency 5 3 2 2" xfId="30704"/>
    <cellStyle name="Currency 5 3 3" xfId="30705"/>
    <cellStyle name="Currency 5 3 4" xfId="30706"/>
    <cellStyle name="Currency 5 4" xfId="30707"/>
    <cellStyle name="Currency 5 4 2" xfId="30708"/>
    <cellStyle name="Currency 5 4 2 2" xfId="30709"/>
    <cellStyle name="Currency 5 4 3" xfId="30710"/>
    <cellStyle name="Currency 5 5" xfId="30711"/>
    <cellStyle name="Currency 5 5 2" xfId="30712"/>
    <cellStyle name="Currency 5 6" xfId="30713"/>
    <cellStyle name="Currency 5 6 2" xfId="30714"/>
    <cellStyle name="Currency 5 7" xfId="30715"/>
    <cellStyle name="Currency 6" xfId="1320"/>
    <cellStyle name="Currency 6 2" xfId="1321"/>
    <cellStyle name="Currency 6 2 2" xfId="30716"/>
    <cellStyle name="Currency 6 2 2 2" xfId="30717"/>
    <cellStyle name="Currency 6 2 2 2 2" xfId="30718"/>
    <cellStyle name="Currency 6 2 2 3" xfId="30719"/>
    <cellStyle name="Currency 6 2 3" xfId="30720"/>
    <cellStyle name="Currency 6 2 3 2" xfId="30721"/>
    <cellStyle name="Currency 6 2 4" xfId="30722"/>
    <cellStyle name="Currency 6 2 4 2" xfId="30723"/>
    <cellStyle name="Currency 6 2 5" xfId="30724"/>
    <cellStyle name="Currency 6 3" xfId="1322"/>
    <cellStyle name="Currency 6 3 2" xfId="30725"/>
    <cellStyle name="Currency 6 3 2 2" xfId="30726"/>
    <cellStyle name="Currency 6 3 3" xfId="30727"/>
    <cellStyle name="Currency 6 3 4" xfId="30728"/>
    <cellStyle name="Currency 6 4" xfId="30729"/>
    <cellStyle name="Currency 6 4 2" xfId="30730"/>
    <cellStyle name="Currency 6 4 2 2" xfId="30731"/>
    <cellStyle name="Currency 6 4 3" xfId="30732"/>
    <cellStyle name="Currency 6 5" xfId="30733"/>
    <cellStyle name="Currency 6 5 2" xfId="30734"/>
    <cellStyle name="Currency 6 6" xfId="30735"/>
    <cellStyle name="Currency 6 6 2" xfId="30736"/>
    <cellStyle name="Currency 6 7" xfId="30737"/>
    <cellStyle name="Currency 7" xfId="1323"/>
    <cellStyle name="Currency 7 2" xfId="1324"/>
    <cellStyle name="Currency 7 2 2" xfId="30738"/>
    <cellStyle name="Currency 7 2 2 2" xfId="30739"/>
    <cellStyle name="Currency 7 2 2 2 2" xfId="30740"/>
    <cellStyle name="Currency 7 2 2 3" xfId="30741"/>
    <cellStyle name="Currency 7 2 3" xfId="30742"/>
    <cellStyle name="Currency 7 2 3 2" xfId="30743"/>
    <cellStyle name="Currency 7 2 4" xfId="30744"/>
    <cellStyle name="Currency 7 2 4 2" xfId="30745"/>
    <cellStyle name="Currency 7 2 5" xfId="30746"/>
    <cellStyle name="Currency 7 3" xfId="1325"/>
    <cellStyle name="Currency 7 3 2" xfId="30747"/>
    <cellStyle name="Currency 7 3 2 2" xfId="30748"/>
    <cellStyle name="Currency 7 3 3" xfId="30749"/>
    <cellStyle name="Currency 7 3 4" xfId="30750"/>
    <cellStyle name="Currency 7 4" xfId="30751"/>
    <cellStyle name="Currency 7 4 2" xfId="30752"/>
    <cellStyle name="Currency 7 4 2 2" xfId="30753"/>
    <cellStyle name="Currency 7 4 3" xfId="30754"/>
    <cellStyle name="Currency 7 5" xfId="30755"/>
    <cellStyle name="Currency 7 5 2" xfId="30756"/>
    <cellStyle name="Currency 7 6" xfId="30757"/>
    <cellStyle name="Currency 7 6 2" xfId="30758"/>
    <cellStyle name="Currency 7 7" xfId="30759"/>
    <cellStyle name="Currency 8" xfId="1326"/>
    <cellStyle name="Currency 8 2" xfId="1327"/>
    <cellStyle name="Currency 8 2 2" xfId="30760"/>
    <cellStyle name="Currency 8 2 2 2" xfId="30761"/>
    <cellStyle name="Currency 8 2 2 2 2" xfId="30762"/>
    <cellStyle name="Currency 8 2 2 3" xfId="30763"/>
    <cellStyle name="Currency 8 2 2 3 2" xfId="30764"/>
    <cellStyle name="Currency 8 2 2 4" xfId="30765"/>
    <cellStyle name="Currency 8 2 2 4 2" xfId="30766"/>
    <cellStyle name="Currency 8 2 2 5" xfId="30767"/>
    <cellStyle name="Currency 8 2 2 6" xfId="30768"/>
    <cellStyle name="Currency 8 2 3" xfId="30769"/>
    <cellStyle name="Currency 8 2 3 2" xfId="30770"/>
    <cellStyle name="Currency 8 2 3 2 2" xfId="30771"/>
    <cellStyle name="Currency 8 2 3 3" xfId="30772"/>
    <cellStyle name="Currency 8 2 4" xfId="30773"/>
    <cellStyle name="Currency 8 2 4 2" xfId="30774"/>
    <cellStyle name="Currency 8 2 5" xfId="30775"/>
    <cellStyle name="Currency 8 2 5 2" xfId="30776"/>
    <cellStyle name="Currency 8 2 6" xfId="30777"/>
    <cellStyle name="Currency 8 2 6 2" xfId="30778"/>
    <cellStyle name="Currency 8 2 7" xfId="30779"/>
    <cellStyle name="Currency 8 2 8" xfId="30780"/>
    <cellStyle name="Currency 8 3" xfId="30781"/>
    <cellStyle name="Currency 8 3 2" xfId="30782"/>
    <cellStyle name="Currency 8 3 2 2" xfId="30783"/>
    <cellStyle name="Currency 8 3 3" xfId="30784"/>
    <cellStyle name="Currency 8 3 4" xfId="30785"/>
    <cellStyle name="Currency 8 4" xfId="30786"/>
    <cellStyle name="Currency 8 4 2" xfId="30787"/>
    <cellStyle name="Currency 8 4 2 2" xfId="30788"/>
    <cellStyle name="Currency 8 4 3" xfId="30789"/>
    <cellStyle name="Currency 8 5" xfId="30790"/>
    <cellStyle name="Currency 8 5 2" xfId="30791"/>
    <cellStyle name="Currency 8 6" xfId="30792"/>
    <cellStyle name="Currency 8 6 2" xfId="30793"/>
    <cellStyle name="Currency 8 7" xfId="30794"/>
    <cellStyle name="Currency 9" xfId="1328"/>
    <cellStyle name="Currency 9 10" xfId="30795"/>
    <cellStyle name="Currency 9 2" xfId="1329"/>
    <cellStyle name="Currency 9 2 2" xfId="30796"/>
    <cellStyle name="Currency 9 2 2 2" xfId="30797"/>
    <cellStyle name="Currency 9 2 2 2 2" xfId="30798"/>
    <cellStyle name="Currency 9 2 2 3" xfId="30799"/>
    <cellStyle name="Currency 9 2 2 4" xfId="30800"/>
    <cellStyle name="Currency 9 2 3" xfId="30801"/>
    <cellStyle name="Currency 9 2 3 2" xfId="30802"/>
    <cellStyle name="Currency 9 2 4" xfId="30803"/>
    <cellStyle name="Currency 9 2 4 2" xfId="30804"/>
    <cellStyle name="Currency 9 2 5" xfId="30805"/>
    <cellStyle name="Currency 9 3" xfId="30806"/>
    <cellStyle name="Currency 9 3 2" xfId="30807"/>
    <cellStyle name="Currency 9 3 2 2" xfId="30808"/>
    <cellStyle name="Currency 9 3 3" xfId="30809"/>
    <cellStyle name="Currency 9 3 3 2" xfId="30810"/>
    <cellStyle name="Currency 9 3 4" xfId="30811"/>
    <cellStyle name="Currency 9 3 4 2" xfId="30812"/>
    <cellStyle name="Currency 9 3 5" xfId="30813"/>
    <cellStyle name="Currency 9 3 6" xfId="30814"/>
    <cellStyle name="Currency 9 4" xfId="30815"/>
    <cellStyle name="Currency 9 4 2" xfId="30816"/>
    <cellStyle name="Currency 9 4 2 2" xfId="30817"/>
    <cellStyle name="Currency 9 4 3" xfId="30818"/>
    <cellStyle name="Currency 9 5" xfId="30819"/>
    <cellStyle name="Currency 9 5 2" xfId="30820"/>
    <cellStyle name="Currency 9 5 2 2" xfId="30821"/>
    <cellStyle name="Currency 9 5 3" xfId="30822"/>
    <cellStyle name="Currency 9 6" xfId="30823"/>
    <cellStyle name="Currency 9 6 2" xfId="30824"/>
    <cellStyle name="Currency 9 7" xfId="30825"/>
    <cellStyle name="Currency 9 7 2" xfId="30826"/>
    <cellStyle name="Currency 9 8" xfId="30827"/>
    <cellStyle name="Currency 9 8 2" xfId="30828"/>
    <cellStyle name="Currency 9 9" xfId="30829"/>
    <cellStyle name="Currency0" xfId="1330"/>
    <cellStyle name="Currency0 10" xfId="30830"/>
    <cellStyle name="Currency0 10 2" xfId="30831"/>
    <cellStyle name="Currency0 10 2 2" xfId="30832"/>
    <cellStyle name="Currency0 10 2 2 2" xfId="30833"/>
    <cellStyle name="Currency0 10 2 3" xfId="30834"/>
    <cellStyle name="Currency0 10 3" xfId="30835"/>
    <cellStyle name="Currency0 10 3 2" xfId="30836"/>
    <cellStyle name="Currency0 10 4" xfId="30837"/>
    <cellStyle name="Currency0 11" xfId="30838"/>
    <cellStyle name="Currency0 11 2" xfId="30839"/>
    <cellStyle name="Currency0 12" xfId="30840"/>
    <cellStyle name="Currency0 12 2" xfId="30841"/>
    <cellStyle name="Currency0 13" xfId="30842"/>
    <cellStyle name="Currency0 13 2" xfId="30843"/>
    <cellStyle name="Currency0 13 3" xfId="30844"/>
    <cellStyle name="Currency0 14" xfId="30845"/>
    <cellStyle name="Currency0 15" xfId="30846"/>
    <cellStyle name="Currency0 2" xfId="1331"/>
    <cellStyle name="Currency0 2 2" xfId="30847"/>
    <cellStyle name="Currency0 2 2 2" xfId="30848"/>
    <cellStyle name="Currency0 2 2 2 2" xfId="30849"/>
    <cellStyle name="Currency0 2 2 2 2 2" xfId="30850"/>
    <cellStyle name="Currency0 2 2 2 3" xfId="30851"/>
    <cellStyle name="Currency0 2 2 2 4" xfId="30852"/>
    <cellStyle name="Currency0 2 2 3" xfId="30853"/>
    <cellStyle name="Currency0 2 2 3 2" xfId="30854"/>
    <cellStyle name="Currency0 2 2 4" xfId="30855"/>
    <cellStyle name="Currency0 2 2 4 2" xfId="30856"/>
    <cellStyle name="Currency0 2 2 5" xfId="30857"/>
    <cellStyle name="Currency0 2 2 6" xfId="30858"/>
    <cellStyle name="Currency0 2 3" xfId="30859"/>
    <cellStyle name="Currency0 2 3 2" xfId="30860"/>
    <cellStyle name="Currency0 2 3 2 2" xfId="30861"/>
    <cellStyle name="Currency0 2 3 3" xfId="30862"/>
    <cellStyle name="Currency0 2 3 4" xfId="30863"/>
    <cellStyle name="Currency0 2 4" xfId="30864"/>
    <cellStyle name="Currency0 2 4 2" xfId="30865"/>
    <cellStyle name="Currency0 2 4 2 2" xfId="30866"/>
    <cellStyle name="Currency0 2 4 3" xfId="30867"/>
    <cellStyle name="Currency0 2 5" xfId="30868"/>
    <cellStyle name="Currency0 2 5 2" xfId="30869"/>
    <cellStyle name="Currency0 2 6" xfId="30870"/>
    <cellStyle name="Currency0 2 6 2" xfId="30871"/>
    <cellStyle name="Currency0 2 7" xfId="30872"/>
    <cellStyle name="Currency0 2 8" xfId="30873"/>
    <cellStyle name="Currency0 3" xfId="30874"/>
    <cellStyle name="Currency0 3 2" xfId="30875"/>
    <cellStyle name="Currency0 3 2 2" xfId="30876"/>
    <cellStyle name="Currency0 3 2 2 2" xfId="30877"/>
    <cellStyle name="Currency0 3 2 3" xfId="30878"/>
    <cellStyle name="Currency0 3 2 4" xfId="30879"/>
    <cellStyle name="Currency0 3 3" xfId="30880"/>
    <cellStyle name="Currency0 3 3 2" xfId="30881"/>
    <cellStyle name="Currency0 3 3 2 2" xfId="30882"/>
    <cellStyle name="Currency0 3 3 3" xfId="30883"/>
    <cellStyle name="Currency0 3 3 4" xfId="30884"/>
    <cellStyle name="Currency0 3 4" xfId="30885"/>
    <cellStyle name="Currency0 3 4 2" xfId="30886"/>
    <cellStyle name="Currency0 3 5" xfId="30887"/>
    <cellStyle name="Currency0 3 5 2" xfId="30888"/>
    <cellStyle name="Currency0 3 6" xfId="30889"/>
    <cellStyle name="Currency0 3 7" xfId="30890"/>
    <cellStyle name="Currency0 4" xfId="30891"/>
    <cellStyle name="Currency0 4 2" xfId="30892"/>
    <cellStyle name="Currency0 4 2 2" xfId="30893"/>
    <cellStyle name="Currency0 4 2 2 2" xfId="30894"/>
    <cellStyle name="Currency0 4 2 2 2 2" xfId="30895"/>
    <cellStyle name="Currency0 4 2 3" xfId="30896"/>
    <cellStyle name="Currency0 4 2 3 2" xfId="30897"/>
    <cellStyle name="Currency0 4 2 4" xfId="30898"/>
    <cellStyle name="Currency0 4 2 4 2" xfId="30899"/>
    <cellStyle name="Currency0 4 2 5" xfId="30900"/>
    <cellStyle name="Currency0 4 3" xfId="30901"/>
    <cellStyle name="Currency0 4 3 2" xfId="30902"/>
    <cellStyle name="Currency0 4 3 2 2" xfId="30903"/>
    <cellStyle name="Currency0 4 3 3" xfId="30904"/>
    <cellStyle name="Currency0 4 4" xfId="30905"/>
    <cellStyle name="Currency0 4 4 2" xfId="30906"/>
    <cellStyle name="Currency0 4 4 2 2" xfId="30907"/>
    <cellStyle name="Currency0 4 4 3" xfId="30908"/>
    <cellStyle name="Currency0 4 4 4" xfId="30909"/>
    <cellStyle name="Currency0 4 5" xfId="30910"/>
    <cellStyle name="Currency0 4 5 2" xfId="30911"/>
    <cellStyle name="Currency0 4 6" xfId="30912"/>
    <cellStyle name="Currency0 4 6 2" xfId="30913"/>
    <cellStyle name="Currency0 4 7" xfId="30914"/>
    <cellStyle name="Currency0 4 8" xfId="30915"/>
    <cellStyle name="Currency0 5" xfId="30916"/>
    <cellStyle name="Currency0 5 2" xfId="30917"/>
    <cellStyle name="Currency0 5 2 2" xfId="30918"/>
    <cellStyle name="Currency0 5 2 2 2" xfId="30919"/>
    <cellStyle name="Currency0 5 2 2 2 2" xfId="30920"/>
    <cellStyle name="Currency0 5 2 3" xfId="30921"/>
    <cellStyle name="Currency0 5 2 3 2" xfId="30922"/>
    <cellStyle name="Currency0 5 2 4" xfId="30923"/>
    <cellStyle name="Currency0 5 2 4 2" xfId="30924"/>
    <cellStyle name="Currency0 5 3" xfId="30925"/>
    <cellStyle name="Currency0 5 3 2" xfId="30926"/>
    <cellStyle name="Currency0 5 3 2 2" xfId="30927"/>
    <cellStyle name="Currency0 5 3 3" xfId="30928"/>
    <cellStyle name="Currency0 5 4" xfId="30929"/>
    <cellStyle name="Currency0 5 4 2" xfId="30930"/>
    <cellStyle name="Currency0 5 4 2 2" xfId="30931"/>
    <cellStyle name="Currency0 5 4 3" xfId="30932"/>
    <cellStyle name="Currency0 5 5" xfId="30933"/>
    <cellStyle name="Currency0 5 5 2" xfId="30934"/>
    <cellStyle name="Currency0 5 6" xfId="30935"/>
    <cellStyle name="Currency0 5 6 2" xfId="30936"/>
    <cellStyle name="Currency0 6" xfId="30937"/>
    <cellStyle name="Currency0 6 2" xfId="30938"/>
    <cellStyle name="Currency0 6 2 2" xfId="30939"/>
    <cellStyle name="Currency0 6 2 2 2" xfId="30940"/>
    <cellStyle name="Currency0 6 2 2 2 2" xfId="30941"/>
    <cellStyle name="Currency0 6 2 3" xfId="30942"/>
    <cellStyle name="Currency0 6 2 3 2" xfId="30943"/>
    <cellStyle name="Currency0 6 2 4" xfId="30944"/>
    <cellStyle name="Currency0 6 2 4 2" xfId="30945"/>
    <cellStyle name="Currency0 6 3" xfId="30946"/>
    <cellStyle name="Currency0 6 3 2" xfId="30947"/>
    <cellStyle name="Currency0 6 3 2 2" xfId="30948"/>
    <cellStyle name="Currency0 6 4" xfId="30949"/>
    <cellStyle name="Currency0 6 4 2" xfId="30950"/>
    <cellStyle name="Currency0 6 5" xfId="30951"/>
    <cellStyle name="Currency0 6 5 2" xfId="30952"/>
    <cellStyle name="Currency0 6 6" xfId="30953"/>
    <cellStyle name="Currency0 7" xfId="30954"/>
    <cellStyle name="Currency0 7 2" xfId="30955"/>
    <cellStyle name="Currency0 7 2 2" xfId="30956"/>
    <cellStyle name="Currency0 7 2 2 2" xfId="30957"/>
    <cellStyle name="Currency0 7 2 3" xfId="30958"/>
    <cellStyle name="Currency0 7 2 4" xfId="30959"/>
    <cellStyle name="Currency0 7 3" xfId="30960"/>
    <cellStyle name="Currency0 7 3 2" xfId="30961"/>
    <cellStyle name="Currency0 7 4" xfId="30962"/>
    <cellStyle name="Currency0 7 4 2" xfId="30963"/>
    <cellStyle name="Currency0 7 5" xfId="30964"/>
    <cellStyle name="Currency0 8" xfId="30965"/>
    <cellStyle name="Currency0 8 2" xfId="30966"/>
    <cellStyle name="Currency0 8 2 2" xfId="30967"/>
    <cellStyle name="Currency0 8 2 3" xfId="30968"/>
    <cellStyle name="Currency0 8 2 4" xfId="30969"/>
    <cellStyle name="Currency0 8 3" xfId="30970"/>
    <cellStyle name="Currency0 8 4" xfId="30971"/>
    <cellStyle name="Currency0 8 5" xfId="30972"/>
    <cellStyle name="Currency0 9" xfId="30973"/>
    <cellStyle name="Currency0 9 2" xfId="30974"/>
    <cellStyle name="Currency0 9 2 2" xfId="30975"/>
    <cellStyle name="Currency0 9 3" xfId="30976"/>
    <cellStyle name="Date" xfId="1332"/>
    <cellStyle name="Date 2" xfId="1333"/>
    <cellStyle name="Date 2 2" xfId="30977"/>
    <cellStyle name="Date 2 2 2" xfId="30978"/>
    <cellStyle name="Date 2 2 2 2" xfId="30979"/>
    <cellStyle name="Date 2 2 3" xfId="30980"/>
    <cellStyle name="Date 2 3" xfId="30981"/>
    <cellStyle name="Date 2 3 2" xfId="30982"/>
    <cellStyle name="Date 2 4" xfId="30983"/>
    <cellStyle name="Date 2 4 2" xfId="30984"/>
    <cellStyle name="Date 2 5" xfId="30985"/>
    <cellStyle name="Date 3" xfId="1334"/>
    <cellStyle name="Date 3 2" xfId="30986"/>
    <cellStyle name="Date 3 2 2" xfId="30987"/>
    <cellStyle name="Date 3 2 2 2" xfId="30988"/>
    <cellStyle name="Date 3 2 3" xfId="30989"/>
    <cellStyle name="Date 3 3" xfId="30990"/>
    <cellStyle name="Date 3 3 2" xfId="30991"/>
    <cellStyle name="Date 3 4" xfId="30992"/>
    <cellStyle name="Date 3 4 2" xfId="30993"/>
    <cellStyle name="Date 3 5" xfId="30994"/>
    <cellStyle name="Date 4" xfId="1335"/>
    <cellStyle name="Date 4 2" xfId="30995"/>
    <cellStyle name="Date 4 2 2" xfId="30996"/>
    <cellStyle name="Date 4 2 2 2" xfId="30997"/>
    <cellStyle name="Date 4 2 3" xfId="30998"/>
    <cellStyle name="Date 4 3" xfId="30999"/>
    <cellStyle name="Date 4 3 2" xfId="31000"/>
    <cellStyle name="Date 4 4" xfId="31001"/>
    <cellStyle name="Date 4 4 2" xfId="31002"/>
    <cellStyle name="Date 4 5" xfId="31003"/>
    <cellStyle name="Date 5" xfId="1336"/>
    <cellStyle name="Date 5 2" xfId="31004"/>
    <cellStyle name="Date 5 2 2" xfId="31005"/>
    <cellStyle name="Date 5 2 3" xfId="31006"/>
    <cellStyle name="Date 5 2 4" xfId="31007"/>
    <cellStyle name="Date 5 3" xfId="31008"/>
    <cellStyle name="Date 5 4" xfId="31009"/>
    <cellStyle name="Date 5 5" xfId="31010"/>
    <cellStyle name="Date 6" xfId="31011"/>
    <cellStyle name="Date 6 2" xfId="31012"/>
    <cellStyle name="Date 7" xfId="31013"/>
    <cellStyle name="Date 7 2" xfId="31014"/>
    <cellStyle name="Date 8" xfId="31015"/>
    <cellStyle name="Date 8 2" xfId="31016"/>
    <cellStyle name="Date 9" xfId="31017"/>
    <cellStyle name="Date_903 SAP 2-6-09" xfId="31018"/>
    <cellStyle name="DateTime" xfId="31019"/>
    <cellStyle name="DateTime 2" xfId="31020"/>
    <cellStyle name="drp-sh - Style2" xfId="31021"/>
    <cellStyle name="Emphasis 1" xfId="1337"/>
    <cellStyle name="Emphasis 1 2" xfId="31022"/>
    <cellStyle name="Emphasis 1 3" xfId="31023"/>
    <cellStyle name="Emphasis 2" xfId="1338"/>
    <cellStyle name="Emphasis 2 2" xfId="31024"/>
    <cellStyle name="Emphasis 2 3" xfId="31025"/>
    <cellStyle name="Emphasis 3" xfId="1339"/>
    <cellStyle name="Emphasis 3 2" xfId="31026"/>
    <cellStyle name="Emphasis 3 3" xfId="31027"/>
    <cellStyle name="Entered" xfId="1340"/>
    <cellStyle name="Entered 10" xfId="31028"/>
    <cellStyle name="Entered 10 2" xfId="31029"/>
    <cellStyle name="Entered 10 2 2" xfId="31030"/>
    <cellStyle name="Entered 10 2 2 2" xfId="31031"/>
    <cellStyle name="Entered 10 2 3" xfId="31032"/>
    <cellStyle name="Entered 10 3" xfId="31033"/>
    <cellStyle name="Entered 10 3 2" xfId="31034"/>
    <cellStyle name="Entered 10 4" xfId="31035"/>
    <cellStyle name="Entered 11" xfId="31036"/>
    <cellStyle name="Entered 11 2" xfId="31037"/>
    <cellStyle name="Entered 12" xfId="31038"/>
    <cellStyle name="Entered 12 2" xfId="31039"/>
    <cellStyle name="Entered 13" xfId="31040"/>
    <cellStyle name="Entered 13 2" xfId="31041"/>
    <cellStyle name="Entered 14" xfId="31042"/>
    <cellStyle name="Entered 2" xfId="1341"/>
    <cellStyle name="Entered 2 2" xfId="31043"/>
    <cellStyle name="Entered 2 2 2" xfId="31044"/>
    <cellStyle name="Entered 2 2 2 2" xfId="31045"/>
    <cellStyle name="Entered 2 2 2 2 2" xfId="31046"/>
    <cellStyle name="Entered 2 2 2 3" xfId="31047"/>
    <cellStyle name="Entered 2 2 3" xfId="31048"/>
    <cellStyle name="Entered 2 2 3 2" xfId="31049"/>
    <cellStyle name="Entered 2 2 4" xfId="31050"/>
    <cellStyle name="Entered 2 2 4 2" xfId="31051"/>
    <cellStyle name="Entered 2 2 5" xfId="31052"/>
    <cellStyle name="Entered 2 3" xfId="31053"/>
    <cellStyle name="Entered 2 3 2" xfId="31054"/>
    <cellStyle name="Entered 2 3 2 2" xfId="31055"/>
    <cellStyle name="Entered 2 3 3" xfId="31056"/>
    <cellStyle name="Entered 2 3 4" xfId="31057"/>
    <cellStyle name="Entered 2 4" xfId="31058"/>
    <cellStyle name="Entered 2 4 2" xfId="31059"/>
    <cellStyle name="Entered 2 4 2 2" xfId="31060"/>
    <cellStyle name="Entered 2 4 3" xfId="31061"/>
    <cellStyle name="Entered 2 5" xfId="31062"/>
    <cellStyle name="Entered 2 5 2" xfId="31063"/>
    <cellStyle name="Entered 2 6" xfId="31064"/>
    <cellStyle name="Entered 2 6 2" xfId="31065"/>
    <cellStyle name="Entered 2 7" xfId="31066"/>
    <cellStyle name="Entered 3" xfId="31067"/>
    <cellStyle name="Entered 3 2" xfId="31068"/>
    <cellStyle name="Entered 3 2 2" xfId="31069"/>
    <cellStyle name="Entered 3 2 2 2" xfId="31070"/>
    <cellStyle name="Entered 3 2 3" xfId="31071"/>
    <cellStyle name="Entered 3 2 4" xfId="31072"/>
    <cellStyle name="Entered 3 3" xfId="31073"/>
    <cellStyle name="Entered 3 3 2" xfId="31074"/>
    <cellStyle name="Entered 3 3 2 2" xfId="31075"/>
    <cellStyle name="Entered 3 3 3" xfId="31076"/>
    <cellStyle name="Entered 3 4" xfId="31077"/>
    <cellStyle name="Entered 3 4 2" xfId="31078"/>
    <cellStyle name="Entered 3 4 2 2" xfId="31079"/>
    <cellStyle name="Entered 3 4 3" xfId="31080"/>
    <cellStyle name="Entered 3 5" xfId="31081"/>
    <cellStyle name="Entered 3 5 2" xfId="31082"/>
    <cellStyle name="Entered 3 6" xfId="31083"/>
    <cellStyle name="Entered 4" xfId="31084"/>
    <cellStyle name="Entered 4 2" xfId="31085"/>
    <cellStyle name="Entered 4 2 2" xfId="31086"/>
    <cellStyle name="Entered 4 2 2 2" xfId="31087"/>
    <cellStyle name="Entered 4 2 2 2 2" xfId="31088"/>
    <cellStyle name="Entered 4 2 3" xfId="31089"/>
    <cellStyle name="Entered 4 2 3 2" xfId="31090"/>
    <cellStyle name="Entered 4 2 4" xfId="31091"/>
    <cellStyle name="Entered 4 2 4 2" xfId="31092"/>
    <cellStyle name="Entered 4 2 5" xfId="31093"/>
    <cellStyle name="Entered 4 3" xfId="31094"/>
    <cellStyle name="Entered 4 3 2" xfId="31095"/>
    <cellStyle name="Entered 4 3 2 2" xfId="31096"/>
    <cellStyle name="Entered 4 3 3" xfId="31097"/>
    <cellStyle name="Entered 4 4" xfId="31098"/>
    <cellStyle name="Entered 4 4 2" xfId="31099"/>
    <cellStyle name="Entered 4 4 2 2" xfId="31100"/>
    <cellStyle name="Entered 4 4 3" xfId="31101"/>
    <cellStyle name="Entered 4 5" xfId="31102"/>
    <cellStyle name="Entered 4 5 2" xfId="31103"/>
    <cellStyle name="Entered 4 6" xfId="31104"/>
    <cellStyle name="Entered 4 6 2" xfId="31105"/>
    <cellStyle name="Entered 4 7" xfId="31106"/>
    <cellStyle name="Entered 5" xfId="31107"/>
    <cellStyle name="Entered 5 2" xfId="31108"/>
    <cellStyle name="Entered 5 2 2" xfId="31109"/>
    <cellStyle name="Entered 5 2 2 2" xfId="31110"/>
    <cellStyle name="Entered 5 2 2 2 2" xfId="31111"/>
    <cellStyle name="Entered 5 2 3" xfId="31112"/>
    <cellStyle name="Entered 5 2 3 2" xfId="31113"/>
    <cellStyle name="Entered 5 2 4" xfId="31114"/>
    <cellStyle name="Entered 5 2 4 2" xfId="31115"/>
    <cellStyle name="Entered 5 2 5" xfId="31116"/>
    <cellStyle name="Entered 5 3" xfId="31117"/>
    <cellStyle name="Entered 5 3 2" xfId="31118"/>
    <cellStyle name="Entered 5 3 2 2" xfId="31119"/>
    <cellStyle name="Entered 5 3 3" xfId="31120"/>
    <cellStyle name="Entered 5 4" xfId="31121"/>
    <cellStyle name="Entered 5 4 2" xfId="31122"/>
    <cellStyle name="Entered 5 5" xfId="31123"/>
    <cellStyle name="Entered 5 5 2" xfId="31124"/>
    <cellStyle name="Entered 6" xfId="31125"/>
    <cellStyle name="Entered 6 2" xfId="31126"/>
    <cellStyle name="Entered 6 2 2" xfId="31127"/>
    <cellStyle name="Entered 6 2 2 2" xfId="31128"/>
    <cellStyle name="Entered 6 2 2 2 2" xfId="31129"/>
    <cellStyle name="Entered 6 2 3" xfId="31130"/>
    <cellStyle name="Entered 6 2 3 2" xfId="31131"/>
    <cellStyle name="Entered 6 2 4" xfId="31132"/>
    <cellStyle name="Entered 6 2 4 2" xfId="31133"/>
    <cellStyle name="Entered 6 2 5" xfId="31134"/>
    <cellStyle name="Entered 6 3" xfId="31135"/>
    <cellStyle name="Entered 6 3 2" xfId="31136"/>
    <cellStyle name="Entered 6 3 2 2" xfId="31137"/>
    <cellStyle name="Entered 6 4" xfId="31138"/>
    <cellStyle name="Entered 6 4 2" xfId="31139"/>
    <cellStyle name="Entered 6 5" xfId="31140"/>
    <cellStyle name="Entered 6 5 2" xfId="31141"/>
    <cellStyle name="Entered 7" xfId="31142"/>
    <cellStyle name="Entered 7 2" xfId="31143"/>
    <cellStyle name="Entered 7 2 2" xfId="31144"/>
    <cellStyle name="Entered 7 2 2 2" xfId="31145"/>
    <cellStyle name="Entered 7 2 3" xfId="31146"/>
    <cellStyle name="Entered 7 3" xfId="31147"/>
    <cellStyle name="Entered 7 3 2" xfId="31148"/>
    <cellStyle name="Entered 7 4" xfId="31149"/>
    <cellStyle name="Entered 7 4 2" xfId="31150"/>
    <cellStyle name="Entered 8" xfId="31151"/>
    <cellStyle name="Entered 8 2" xfId="31152"/>
    <cellStyle name="Entered 8 2 2" xfId="31153"/>
    <cellStyle name="Entered 8 2 3" xfId="31154"/>
    <cellStyle name="Entered 8 3" xfId="31155"/>
    <cellStyle name="Entered 8 4" xfId="31156"/>
    <cellStyle name="Entered 9" xfId="31157"/>
    <cellStyle name="Entered 9 2" xfId="31158"/>
    <cellStyle name="Entered 9 2 2" xfId="31159"/>
    <cellStyle name="Entered 9 3" xfId="31160"/>
    <cellStyle name="Entered_AURORA Total New" xfId="31161"/>
    <cellStyle name="Euro" xfId="1342"/>
    <cellStyle name="Euro 10" xfId="31162"/>
    <cellStyle name="Euro 10 2" xfId="31163"/>
    <cellStyle name="Euro 10 2 2" xfId="31164"/>
    <cellStyle name="Euro 10 2 2 2" xfId="31165"/>
    <cellStyle name="Euro 10 2 3" xfId="31166"/>
    <cellStyle name="Euro 10 3" xfId="31167"/>
    <cellStyle name="Euro 10 3 2" xfId="31168"/>
    <cellStyle name="Euro 10 4" xfId="31169"/>
    <cellStyle name="Euro 11" xfId="31170"/>
    <cellStyle name="Euro 11 2" xfId="31171"/>
    <cellStyle name="Euro 12" xfId="31172"/>
    <cellStyle name="Euro 12 2" xfId="31173"/>
    <cellStyle name="Euro 12 3" xfId="31174"/>
    <cellStyle name="Euro 13" xfId="31175"/>
    <cellStyle name="Euro 2" xfId="1343"/>
    <cellStyle name="Euro 2 2" xfId="31176"/>
    <cellStyle name="Euro 2 2 2" xfId="31177"/>
    <cellStyle name="Euro 2 2 2 2" xfId="31178"/>
    <cellStyle name="Euro 2 2 2 2 2" xfId="31179"/>
    <cellStyle name="Euro 2 2 2 3" xfId="31180"/>
    <cellStyle name="Euro 2 2 3" xfId="31181"/>
    <cellStyle name="Euro 2 2 3 2" xfId="31182"/>
    <cellStyle name="Euro 2 2 4" xfId="31183"/>
    <cellStyle name="Euro 2 2 4 2" xfId="31184"/>
    <cellStyle name="Euro 2 2 5" xfId="31185"/>
    <cellStyle name="Euro 2 3" xfId="31186"/>
    <cellStyle name="Euro 2 3 2" xfId="31187"/>
    <cellStyle name="Euro 2 3 2 2" xfId="31188"/>
    <cellStyle name="Euro 2 3 3" xfId="31189"/>
    <cellStyle name="Euro 2 3 4" xfId="31190"/>
    <cellStyle name="Euro 2 4" xfId="31191"/>
    <cellStyle name="Euro 2 4 2" xfId="31192"/>
    <cellStyle name="Euro 2 4 2 2" xfId="31193"/>
    <cellStyle name="Euro 2 4 3" xfId="31194"/>
    <cellStyle name="Euro 2 5" xfId="31195"/>
    <cellStyle name="Euro 2 5 2" xfId="31196"/>
    <cellStyle name="Euro 2 6" xfId="31197"/>
    <cellStyle name="Euro 2 6 2" xfId="31198"/>
    <cellStyle name="Euro 2 7" xfId="31199"/>
    <cellStyle name="Euro 3" xfId="31200"/>
    <cellStyle name="Euro 3 2" xfId="31201"/>
    <cellStyle name="Euro 3 2 2" xfId="31202"/>
    <cellStyle name="Euro 3 2 2 2" xfId="31203"/>
    <cellStyle name="Euro 3 2 3" xfId="31204"/>
    <cellStyle name="Euro 3 2 4" xfId="31205"/>
    <cellStyle name="Euro 3 3" xfId="31206"/>
    <cellStyle name="Euro 3 3 2" xfId="31207"/>
    <cellStyle name="Euro 3 3 2 2" xfId="31208"/>
    <cellStyle name="Euro 3 3 3" xfId="31209"/>
    <cellStyle name="Euro 3 4" xfId="31210"/>
    <cellStyle name="Euro 3 4 2" xfId="31211"/>
    <cellStyle name="Euro 3 5" xfId="31212"/>
    <cellStyle name="Euro 3 5 2" xfId="31213"/>
    <cellStyle name="Euro 3 6" xfId="31214"/>
    <cellStyle name="Euro 4" xfId="31215"/>
    <cellStyle name="Euro 4 2" xfId="31216"/>
    <cellStyle name="Euro 4 2 2" xfId="31217"/>
    <cellStyle name="Euro 4 2 2 2" xfId="31218"/>
    <cellStyle name="Euro 4 2 2 2 2" xfId="31219"/>
    <cellStyle name="Euro 4 2 3" xfId="31220"/>
    <cellStyle name="Euro 4 2 3 2" xfId="31221"/>
    <cellStyle name="Euro 4 2 4" xfId="31222"/>
    <cellStyle name="Euro 4 2 4 2" xfId="31223"/>
    <cellStyle name="Euro 4 3" xfId="31224"/>
    <cellStyle name="Euro 4 3 2" xfId="31225"/>
    <cellStyle name="Euro 4 3 2 2" xfId="31226"/>
    <cellStyle name="Euro 4 4" xfId="31227"/>
    <cellStyle name="Euro 4 4 2" xfId="31228"/>
    <cellStyle name="Euro 4 4 2 2" xfId="31229"/>
    <cellStyle name="Euro 4 4 3" xfId="31230"/>
    <cellStyle name="Euro 4 5" xfId="31231"/>
    <cellStyle name="Euro 4 5 2" xfId="31232"/>
    <cellStyle name="Euro 4 6" xfId="31233"/>
    <cellStyle name="Euro 4 6 2" xfId="31234"/>
    <cellStyle name="Euro 4 7" xfId="31235"/>
    <cellStyle name="Euro 5" xfId="31236"/>
    <cellStyle name="Euro 5 2" xfId="31237"/>
    <cellStyle name="Euro 5 2 2" xfId="31238"/>
    <cellStyle name="Euro 5 2 2 2" xfId="31239"/>
    <cellStyle name="Euro 5 2 2 2 2" xfId="31240"/>
    <cellStyle name="Euro 5 2 3" xfId="31241"/>
    <cellStyle name="Euro 5 2 3 2" xfId="31242"/>
    <cellStyle name="Euro 5 2 4" xfId="31243"/>
    <cellStyle name="Euro 5 2 4 2" xfId="31244"/>
    <cellStyle name="Euro 5 3" xfId="31245"/>
    <cellStyle name="Euro 5 3 2" xfId="31246"/>
    <cellStyle name="Euro 5 3 2 2" xfId="31247"/>
    <cellStyle name="Euro 5 3 3" xfId="31248"/>
    <cellStyle name="Euro 5 4" xfId="31249"/>
    <cellStyle name="Euro 5 4 2" xfId="31250"/>
    <cellStyle name="Euro 5 4 2 2" xfId="31251"/>
    <cellStyle name="Euro 5 4 3" xfId="31252"/>
    <cellStyle name="Euro 5 5" xfId="31253"/>
    <cellStyle name="Euro 5 5 2" xfId="31254"/>
    <cellStyle name="Euro 5 6" xfId="31255"/>
    <cellStyle name="Euro 5 6 2" xfId="31256"/>
    <cellStyle name="Euro 5 7" xfId="31257"/>
    <cellStyle name="Euro 6" xfId="31258"/>
    <cellStyle name="Euro 6 2" xfId="31259"/>
    <cellStyle name="Euro 6 2 2" xfId="31260"/>
    <cellStyle name="Euro 6 2 2 2" xfId="31261"/>
    <cellStyle name="Euro 6 2 2 2 2" xfId="31262"/>
    <cellStyle name="Euro 6 2 3" xfId="31263"/>
    <cellStyle name="Euro 6 2 3 2" xfId="31264"/>
    <cellStyle name="Euro 6 2 4" xfId="31265"/>
    <cellStyle name="Euro 6 2 4 2" xfId="31266"/>
    <cellStyle name="Euro 6 2 5" xfId="31267"/>
    <cellStyle name="Euro 6 3" xfId="31268"/>
    <cellStyle name="Euro 6 3 2" xfId="31269"/>
    <cellStyle name="Euro 6 3 2 2" xfId="31270"/>
    <cellStyle name="Euro 6 4" xfId="31271"/>
    <cellStyle name="Euro 6 4 2" xfId="31272"/>
    <cellStyle name="Euro 6 5" xfId="31273"/>
    <cellStyle name="Euro 6 5 2" xfId="31274"/>
    <cellStyle name="Euro 7" xfId="31275"/>
    <cellStyle name="Euro 7 2" xfId="31276"/>
    <cellStyle name="Euro 7 2 2" xfId="31277"/>
    <cellStyle name="Euro 7 2 2 2" xfId="31278"/>
    <cellStyle name="Euro 7 2 3" xfId="31279"/>
    <cellStyle name="Euro 7 3" xfId="31280"/>
    <cellStyle name="Euro 7 3 2" xfId="31281"/>
    <cellStyle name="Euro 7 4" xfId="31282"/>
    <cellStyle name="Euro 7 4 2" xfId="31283"/>
    <cellStyle name="Euro 8" xfId="31284"/>
    <cellStyle name="Euro 8 2" xfId="31285"/>
    <cellStyle name="Euro 8 2 2" xfId="31286"/>
    <cellStyle name="Euro 8 2 3" xfId="31287"/>
    <cellStyle name="Euro 8 3" xfId="31288"/>
    <cellStyle name="Euro 8 4" xfId="31289"/>
    <cellStyle name="Euro 9" xfId="31290"/>
    <cellStyle name="Euro 9 2" xfId="31291"/>
    <cellStyle name="Euro 9 2 2" xfId="31292"/>
    <cellStyle name="Euro 9 3" xfId="31293"/>
    <cellStyle name="Explanatory Text 10" xfId="31294"/>
    <cellStyle name="Explanatory Text 2" xfId="1344"/>
    <cellStyle name="Explanatory Text 2 2" xfId="1345"/>
    <cellStyle name="Explanatory Text 2 2 2" xfId="31295"/>
    <cellStyle name="Explanatory Text 2 2 2 2" xfId="31296"/>
    <cellStyle name="Explanatory Text 2 2 2 2 2" xfId="31297"/>
    <cellStyle name="Explanatory Text 2 2 2 3" xfId="31298"/>
    <cellStyle name="Explanatory Text 2 2 2 4" xfId="31299"/>
    <cellStyle name="Explanatory Text 2 2 3" xfId="31300"/>
    <cellStyle name="Explanatory Text 2 2 3 2" xfId="31301"/>
    <cellStyle name="Explanatory Text 2 2 4" xfId="31302"/>
    <cellStyle name="Explanatory Text 2 2 4 2" xfId="31303"/>
    <cellStyle name="Explanatory Text 2 2 5" xfId="31304"/>
    <cellStyle name="Explanatory Text 2 3" xfId="31305"/>
    <cellStyle name="Explanatory Text 2 3 2" xfId="31306"/>
    <cellStyle name="Explanatory Text 2 3 2 2" xfId="31307"/>
    <cellStyle name="Explanatory Text 2 3 2 2 2" xfId="31308"/>
    <cellStyle name="Explanatory Text 2 3 2 3" xfId="31309"/>
    <cellStyle name="Explanatory Text 2 3 2 4" xfId="31310"/>
    <cellStyle name="Explanatory Text 2 3 3" xfId="31311"/>
    <cellStyle name="Explanatory Text 2 3 3 2" xfId="31312"/>
    <cellStyle name="Explanatory Text 2 3 4" xfId="31313"/>
    <cellStyle name="Explanatory Text 2 3 4 2" xfId="31314"/>
    <cellStyle name="Explanatory Text 2 3 5" xfId="31315"/>
    <cellStyle name="Explanatory Text 2 3 6" xfId="31316"/>
    <cellStyle name="Explanatory Text 2 4" xfId="31317"/>
    <cellStyle name="Explanatory Text 2 4 2" xfId="31318"/>
    <cellStyle name="Explanatory Text 2 4 2 2" xfId="31319"/>
    <cellStyle name="Explanatory Text 2 4 3" xfId="31320"/>
    <cellStyle name="Explanatory Text 2 4 4" xfId="31321"/>
    <cellStyle name="Explanatory Text 2 5" xfId="31322"/>
    <cellStyle name="Explanatory Text 2 5 2" xfId="31323"/>
    <cellStyle name="Explanatory Text 2 6" xfId="31324"/>
    <cellStyle name="Explanatory Text 2 6 2" xfId="31325"/>
    <cellStyle name="Explanatory Text 2 7" xfId="31326"/>
    <cellStyle name="Explanatory Text 3" xfId="1346"/>
    <cellStyle name="Explanatory Text 3 2" xfId="31327"/>
    <cellStyle name="Explanatory Text 3 2 2" xfId="31328"/>
    <cellStyle name="Explanatory Text 3 2 2 2" xfId="31329"/>
    <cellStyle name="Explanatory Text 3 2 3" xfId="31330"/>
    <cellStyle name="Explanatory Text 3 3" xfId="31331"/>
    <cellStyle name="Explanatory Text 3 3 2" xfId="31332"/>
    <cellStyle name="Explanatory Text 3 4" xfId="31333"/>
    <cellStyle name="Explanatory Text 3 4 2" xfId="31334"/>
    <cellStyle name="Explanatory Text 3 5" xfId="31335"/>
    <cellStyle name="Explanatory Text 4" xfId="1347"/>
    <cellStyle name="Explanatory Text 4 2" xfId="31336"/>
    <cellStyle name="Explanatory Text 4 2 2" xfId="31337"/>
    <cellStyle name="Explanatory Text 4 2 2 2" xfId="31338"/>
    <cellStyle name="Explanatory Text 4 2 3" xfId="31339"/>
    <cellStyle name="Explanatory Text 4 2 4" xfId="31340"/>
    <cellStyle name="Explanatory Text 4 3" xfId="31341"/>
    <cellStyle name="Explanatory Text 4 3 2" xfId="31342"/>
    <cellStyle name="Explanatory Text 4 4" xfId="31343"/>
    <cellStyle name="Explanatory Text 4 4 2" xfId="31344"/>
    <cellStyle name="Explanatory Text 5" xfId="31345"/>
    <cellStyle name="Explanatory Text 5 2" xfId="31346"/>
    <cellStyle name="Explanatory Text 5 2 2" xfId="31347"/>
    <cellStyle name="Explanatory Text 5 3" xfId="31348"/>
    <cellStyle name="Explanatory Text 6" xfId="31349"/>
    <cellStyle name="Explanatory Text 6 2" xfId="31350"/>
    <cellStyle name="Explanatory Text 6 2 2" xfId="31351"/>
    <cellStyle name="Explanatory Text 6 3" xfId="31352"/>
    <cellStyle name="Explanatory Text 6 4" xfId="31353"/>
    <cellStyle name="Explanatory Text 6 5" xfId="31354"/>
    <cellStyle name="Explanatory Text 7" xfId="31355"/>
    <cellStyle name="Explanatory Text 7 2" xfId="31356"/>
    <cellStyle name="Explanatory Text 8" xfId="31357"/>
    <cellStyle name="Explanatory Text 9" xfId="31358"/>
    <cellStyle name="FieldName" xfId="31359"/>
    <cellStyle name="Fixed" xfId="1348"/>
    <cellStyle name="Fixed 2" xfId="31360"/>
    <cellStyle name="Fixed 2 2" xfId="31361"/>
    <cellStyle name="Fixed 2 2 2" xfId="31362"/>
    <cellStyle name="Fixed 2 2 3" xfId="31363"/>
    <cellStyle name="Fixed 2 2 4" xfId="31364"/>
    <cellStyle name="Fixed 2 3" xfId="31365"/>
    <cellStyle name="Fixed 2 4" xfId="31366"/>
    <cellStyle name="Fixed 2 5" xfId="31367"/>
    <cellStyle name="Fixed 3" xfId="31368"/>
    <cellStyle name="Fixed 3 2" xfId="31369"/>
    <cellStyle name="Fixed 4" xfId="31370"/>
    <cellStyle name="Fixed 4 2" xfId="31371"/>
    <cellStyle name="Fixed 5" xfId="31372"/>
    <cellStyle name="Fixed 5 2" xfId="31373"/>
    <cellStyle name="Fixed 6" xfId="31374"/>
    <cellStyle name="Fixed 7" xfId="31375"/>
    <cellStyle name="Fixed3 - Style3" xfId="1349"/>
    <cellStyle name="Fixed3 - Style3 2" xfId="31376"/>
    <cellStyle name="Fixed3 - Style3 2 2" xfId="31377"/>
    <cellStyle name="Fixed3 - Style3 2 2 2" xfId="31378"/>
    <cellStyle name="Fixed3 - Style3 2 3" xfId="31379"/>
    <cellStyle name="Fixed3 - Style3 3" xfId="31380"/>
    <cellStyle name="Fixed3 - Style3 3 2" xfId="31381"/>
    <cellStyle name="Fixed3 - Style3 4" xfId="31382"/>
    <cellStyle name="Fixed3 - Style3 4 2" xfId="31383"/>
    <cellStyle name="Fixed3 - Style3 5" xfId="31384"/>
    <cellStyle name="Followed Hyperlink 2" xfId="31385"/>
    <cellStyle name="Footnote" xfId="31386"/>
    <cellStyle name="G01_2001 figures 1 decimal a" xfId="31387"/>
    <cellStyle name="G03_Text" xfId="31388"/>
    <cellStyle name="G05_Superiors" xfId="31389"/>
    <cellStyle name="G07_Bold_2002_figs_Green" xfId="31390"/>
    <cellStyle name="G08_2001_figs" xfId="31391"/>
    <cellStyle name="Good 10" xfId="31392"/>
    <cellStyle name="Good 2" xfId="1350"/>
    <cellStyle name="Good 2 2" xfId="1351"/>
    <cellStyle name="Good 2 2 2" xfId="31393"/>
    <cellStyle name="Good 2 2 2 2" xfId="31394"/>
    <cellStyle name="Good 2 2 2 2 2" xfId="31395"/>
    <cellStyle name="Good 2 2 2 3" xfId="31396"/>
    <cellStyle name="Good 2 2 2 4" xfId="31397"/>
    <cellStyle name="Good 2 2 3" xfId="31398"/>
    <cellStyle name="Good 2 2 3 2" xfId="31399"/>
    <cellStyle name="Good 2 2 4" xfId="31400"/>
    <cellStyle name="Good 2 2 4 2" xfId="31401"/>
    <cellStyle name="Good 2 2 5" xfId="31402"/>
    <cellStyle name="Good 2 3" xfId="31403"/>
    <cellStyle name="Good 2 3 2" xfId="31404"/>
    <cellStyle name="Good 2 3 2 2" xfId="31405"/>
    <cellStyle name="Good 2 3 2 2 2" xfId="31406"/>
    <cellStyle name="Good 2 3 2 3" xfId="31407"/>
    <cellStyle name="Good 2 3 2 4" xfId="31408"/>
    <cellStyle name="Good 2 3 3" xfId="31409"/>
    <cellStyle name="Good 2 3 3 2" xfId="31410"/>
    <cellStyle name="Good 2 3 3 3" xfId="31411"/>
    <cellStyle name="Good 2 3 4" xfId="31412"/>
    <cellStyle name="Good 2 3 4 2" xfId="31413"/>
    <cellStyle name="Good 2 3 5" xfId="31414"/>
    <cellStyle name="Good 2 3 6" xfId="31415"/>
    <cellStyle name="Good 2 4" xfId="31416"/>
    <cellStyle name="Good 2 4 2" xfId="31417"/>
    <cellStyle name="Good 2 4 2 2" xfId="31418"/>
    <cellStyle name="Good 2 4 3" xfId="31419"/>
    <cellStyle name="Good 2 4 4" xfId="31420"/>
    <cellStyle name="Good 2 4 5" xfId="31421"/>
    <cellStyle name="Good 2 5" xfId="31422"/>
    <cellStyle name="Good 2 5 2" xfId="31423"/>
    <cellStyle name="Good 2 6" xfId="31424"/>
    <cellStyle name="Good 2 6 2" xfId="31425"/>
    <cellStyle name="Good 2 7" xfId="31426"/>
    <cellStyle name="Good 3" xfId="1352"/>
    <cellStyle name="Good 3 2" xfId="31427"/>
    <cellStyle name="Good 3 2 2" xfId="31428"/>
    <cellStyle name="Good 3 2 2 2" xfId="31429"/>
    <cellStyle name="Good 3 2 3" xfId="31430"/>
    <cellStyle name="Good 3 3" xfId="31431"/>
    <cellStyle name="Good 3 3 2" xfId="31432"/>
    <cellStyle name="Good 3 4" xfId="31433"/>
    <cellStyle name="Good 3 4 2" xfId="31434"/>
    <cellStyle name="Good 3 5" xfId="31435"/>
    <cellStyle name="Good 3 6" xfId="31436"/>
    <cellStyle name="Good 4" xfId="1353"/>
    <cellStyle name="Good 4 2" xfId="31437"/>
    <cellStyle name="Good 4 2 2" xfId="31438"/>
    <cellStyle name="Good 4 2 2 2" xfId="31439"/>
    <cellStyle name="Good 4 2 3" xfId="31440"/>
    <cellStyle name="Good 4 2 4" xfId="31441"/>
    <cellStyle name="Good 4 3" xfId="31442"/>
    <cellStyle name="Good 4 3 2" xfId="31443"/>
    <cellStyle name="Good 4 4" xfId="31444"/>
    <cellStyle name="Good 4 4 2" xfId="31445"/>
    <cellStyle name="Good 5" xfId="31446"/>
    <cellStyle name="Good 5 2" xfId="31447"/>
    <cellStyle name="Good 5 2 2" xfId="31448"/>
    <cellStyle name="Good 5 2 3" xfId="31449"/>
    <cellStyle name="Good 5 3" xfId="31450"/>
    <cellStyle name="Good 6" xfId="31451"/>
    <cellStyle name="Good 6 2" xfId="31452"/>
    <cellStyle name="Good 6 2 2" xfId="31453"/>
    <cellStyle name="Good 6 3" xfId="31454"/>
    <cellStyle name="Good 6 4" xfId="31455"/>
    <cellStyle name="Good 6 5" xfId="31456"/>
    <cellStyle name="Good 7" xfId="31457"/>
    <cellStyle name="Good 7 2" xfId="31458"/>
    <cellStyle name="Good 7 3" xfId="31459"/>
    <cellStyle name="Good 8" xfId="31460"/>
    <cellStyle name="Good 9" xfId="31461"/>
    <cellStyle name="Grey" xfId="1354"/>
    <cellStyle name="Grey 10" xfId="31462"/>
    <cellStyle name="Grey 2" xfId="1355"/>
    <cellStyle name="Grey 2 2" xfId="31463"/>
    <cellStyle name="Grey 2 2 2" xfId="31464"/>
    <cellStyle name="Grey 2 2 2 2" xfId="31465"/>
    <cellStyle name="Grey 2 2 2 2 2" xfId="31466"/>
    <cellStyle name="Grey 2 2 2 3" xfId="31467"/>
    <cellStyle name="Grey 2 2 2 4" xfId="31468"/>
    <cellStyle name="Grey 2 2 3" xfId="31469"/>
    <cellStyle name="Grey 2 2 3 2" xfId="31470"/>
    <cellStyle name="Grey 2 2 3 2 2" xfId="31471"/>
    <cellStyle name="Grey 2 2 3 3" xfId="31472"/>
    <cellStyle name="Grey 2 2 4" xfId="31473"/>
    <cellStyle name="Grey 2 2 4 2" xfId="31474"/>
    <cellStyle name="Grey 2 2 5" xfId="31475"/>
    <cellStyle name="Grey 2 2 5 2" xfId="31476"/>
    <cellStyle name="Grey 2 2 6" xfId="31477"/>
    <cellStyle name="Grey 2 2 7" xfId="31478"/>
    <cellStyle name="Grey 2 3" xfId="31479"/>
    <cellStyle name="Grey 2 3 2" xfId="31480"/>
    <cellStyle name="Grey 2 3 2 2" xfId="31481"/>
    <cellStyle name="Grey 2 3 3" xfId="31482"/>
    <cellStyle name="Grey 2 3 4" xfId="31483"/>
    <cellStyle name="Grey 2 4" xfId="31484"/>
    <cellStyle name="Grey 2 4 2" xfId="31485"/>
    <cellStyle name="Grey 2 5" xfId="31486"/>
    <cellStyle name="Grey 2 5 2" xfId="31487"/>
    <cellStyle name="Grey 2 6" xfId="31488"/>
    <cellStyle name="Grey 3" xfId="1356"/>
    <cellStyle name="Grey 3 2" xfId="31489"/>
    <cellStyle name="Grey 3 2 2" xfId="31490"/>
    <cellStyle name="Grey 3 2 2 2" xfId="31491"/>
    <cellStyle name="Grey 3 2 2 2 2" xfId="31492"/>
    <cellStyle name="Grey 3 2 2 3" xfId="31493"/>
    <cellStyle name="Grey 3 2 2 4" xfId="31494"/>
    <cellStyle name="Grey 3 2 3" xfId="31495"/>
    <cellStyle name="Grey 3 2 3 2" xfId="31496"/>
    <cellStyle name="Grey 3 2 3 2 2" xfId="31497"/>
    <cellStyle name="Grey 3 2 3 3" xfId="31498"/>
    <cellStyle name="Grey 3 2 4" xfId="31499"/>
    <cellStyle name="Grey 3 2 4 2" xfId="31500"/>
    <cellStyle name="Grey 3 2 5" xfId="31501"/>
    <cellStyle name="Grey 3 2 5 2" xfId="31502"/>
    <cellStyle name="Grey 3 2 6" xfId="31503"/>
    <cellStyle name="Grey 3 2 7" xfId="31504"/>
    <cellStyle name="Grey 3 3" xfId="31505"/>
    <cellStyle name="Grey 3 3 2" xfId="31506"/>
    <cellStyle name="Grey 3 3 2 2" xfId="31507"/>
    <cellStyle name="Grey 3 3 3" xfId="31508"/>
    <cellStyle name="Grey 3 3 4" xfId="31509"/>
    <cellStyle name="Grey 3 4" xfId="31510"/>
    <cellStyle name="Grey 3 4 2" xfId="31511"/>
    <cellStyle name="Grey 3 5" xfId="31512"/>
    <cellStyle name="Grey 3 5 2" xfId="31513"/>
    <cellStyle name="Grey 3 6" xfId="31514"/>
    <cellStyle name="Grey 4" xfId="1357"/>
    <cellStyle name="Grey 4 2" xfId="31515"/>
    <cellStyle name="Grey 4 2 2" xfId="31516"/>
    <cellStyle name="Grey 4 2 2 2" xfId="31517"/>
    <cellStyle name="Grey 4 2 3" xfId="31518"/>
    <cellStyle name="Grey 4 2 4" xfId="31519"/>
    <cellStyle name="Grey 4 2 5" xfId="31520"/>
    <cellStyle name="Grey 4 3" xfId="31521"/>
    <cellStyle name="Grey 4 3 2" xfId="31522"/>
    <cellStyle name="Grey 4 4" xfId="31523"/>
    <cellStyle name="Grey 4 4 2" xfId="31524"/>
    <cellStyle name="Grey 4 5" xfId="31525"/>
    <cellStyle name="Grey 5" xfId="31526"/>
    <cellStyle name="Grey 5 2" xfId="31527"/>
    <cellStyle name="Grey 5 2 2" xfId="31528"/>
    <cellStyle name="Grey 5 2 2 2" xfId="31529"/>
    <cellStyle name="Grey 5 2 2 2 2" xfId="31530"/>
    <cellStyle name="Grey 5 2 2 3" xfId="31531"/>
    <cellStyle name="Grey 5 2 3" xfId="31532"/>
    <cellStyle name="Grey 5 2 3 2" xfId="31533"/>
    <cellStyle name="Grey 5 2 4" xfId="31534"/>
    <cellStyle name="Grey 5 2 4 2" xfId="31535"/>
    <cellStyle name="Grey 5 2 5" xfId="31536"/>
    <cellStyle name="Grey 5 3" xfId="31537"/>
    <cellStyle name="Grey 5 3 2" xfId="31538"/>
    <cellStyle name="Grey 5 3 2 2" xfId="31539"/>
    <cellStyle name="Grey 5 3 3" xfId="31540"/>
    <cellStyle name="Grey 5 4" xfId="31541"/>
    <cellStyle name="Grey 5 4 2" xfId="31542"/>
    <cellStyle name="Grey 5 4 2 2" xfId="31543"/>
    <cellStyle name="Grey 5 4 3" xfId="31544"/>
    <cellStyle name="Grey 5 5" xfId="31545"/>
    <cellStyle name="Grey 5 5 2" xfId="31546"/>
    <cellStyle name="Grey 5 6" xfId="31547"/>
    <cellStyle name="Grey 5 6 2" xfId="31548"/>
    <cellStyle name="Grey 5 7" xfId="31549"/>
    <cellStyle name="Grey 6" xfId="31550"/>
    <cellStyle name="Grey 6 2" xfId="31551"/>
    <cellStyle name="Grey 6 2 2" xfId="31552"/>
    <cellStyle name="Grey 6 2 3" xfId="31553"/>
    <cellStyle name="Grey 6 3" xfId="31554"/>
    <cellStyle name="Grey 6 4" xfId="31555"/>
    <cellStyle name="Grey 6 5" xfId="31556"/>
    <cellStyle name="Grey 7" xfId="31557"/>
    <cellStyle name="Grey 7 2" xfId="31558"/>
    <cellStyle name="Grey 8" xfId="31559"/>
    <cellStyle name="Grey 8 2" xfId="31560"/>
    <cellStyle name="Grey 9" xfId="31561"/>
    <cellStyle name="Grey 9 2" xfId="31562"/>
    <cellStyle name="Grey_(C) WHE Proforma with ITC cash grant 10 Yr Amort_for deferral_102809" xfId="1358"/>
    <cellStyle name="g-tota - Style7" xfId="31563"/>
    <cellStyle name="Header" xfId="1359"/>
    <cellStyle name="Header1" xfId="1360"/>
    <cellStyle name="Header1 2" xfId="31564"/>
    <cellStyle name="Header1 2 2" xfId="31565"/>
    <cellStyle name="Header1 2 2 2" xfId="31566"/>
    <cellStyle name="Header1 2 2 2 2" xfId="31567"/>
    <cellStyle name="Header1 2 2 3" xfId="31568"/>
    <cellStyle name="Header1 2 3" xfId="31569"/>
    <cellStyle name="Header1 2 3 2" xfId="31570"/>
    <cellStyle name="Header1 2 4" xfId="31571"/>
    <cellStyle name="Header1 2 4 2" xfId="31572"/>
    <cellStyle name="Header1 2 5" xfId="31573"/>
    <cellStyle name="Header1 3" xfId="31574"/>
    <cellStyle name="Header1 3 2" xfId="31575"/>
    <cellStyle name="Header1 3 2 2" xfId="31576"/>
    <cellStyle name="Header1 3 2 3" xfId="31577"/>
    <cellStyle name="Header1 3 2 4" xfId="31578"/>
    <cellStyle name="Header1 3 3" xfId="31579"/>
    <cellStyle name="Header1 3 4" xfId="31580"/>
    <cellStyle name="Header1 3 5" xfId="31581"/>
    <cellStyle name="Header1 4" xfId="31582"/>
    <cellStyle name="Header1 4 2" xfId="31583"/>
    <cellStyle name="Header1 5" xfId="31584"/>
    <cellStyle name="Header1 5 2" xfId="31585"/>
    <cellStyle name="Header1 6" xfId="31586"/>
    <cellStyle name="Header1_AURORA Total New" xfId="31587"/>
    <cellStyle name="Header2" xfId="1361"/>
    <cellStyle name="Header2 2" xfId="31588"/>
    <cellStyle name="Header2 2 2" xfId="31589"/>
    <cellStyle name="Header2 2 2 2" xfId="31590"/>
    <cellStyle name="Header2 2 2 2 2" xfId="31591"/>
    <cellStyle name="Header2 2 2 3" xfId="31592"/>
    <cellStyle name="Header2 2 3" xfId="31593"/>
    <cellStyle name="Header2 2 3 2" xfId="31594"/>
    <cellStyle name="Header2 2 4" xfId="31595"/>
    <cellStyle name="Header2 2 4 2" xfId="31596"/>
    <cellStyle name="Header2 2 5" xfId="31597"/>
    <cellStyle name="Header2 2 6" xfId="31598"/>
    <cellStyle name="Header2 2 7" xfId="31599"/>
    <cellStyle name="Header2 3" xfId="31600"/>
    <cellStyle name="Header2 3 2" xfId="31601"/>
    <cellStyle name="Header2 3 2 2" xfId="31602"/>
    <cellStyle name="Header2 3 2 3" xfId="31603"/>
    <cellStyle name="Header2 3 2 4" xfId="31604"/>
    <cellStyle name="Header2 3 2 5" xfId="31605"/>
    <cellStyle name="Header2 3 2 6" xfId="31606"/>
    <cellStyle name="Header2 3 2 7" xfId="31607"/>
    <cellStyle name="Header2 3 2 8" xfId="31608"/>
    <cellStyle name="Header2 3 3" xfId="31609"/>
    <cellStyle name="Header2 3 4" xfId="31610"/>
    <cellStyle name="Header2 3 5" xfId="31611"/>
    <cellStyle name="Header2 4" xfId="31612"/>
    <cellStyle name="Header2 4 2" xfId="31613"/>
    <cellStyle name="Header2 4 3" xfId="31614"/>
    <cellStyle name="Header2 4 4" xfId="31615"/>
    <cellStyle name="Header2 4 5" xfId="31616"/>
    <cellStyle name="Header2 4 6" xfId="31617"/>
    <cellStyle name="Header2 4 7" xfId="31618"/>
    <cellStyle name="Header2 5" xfId="31619"/>
    <cellStyle name="Header2 5 2" xfId="31620"/>
    <cellStyle name="Header2 6" xfId="31621"/>
    <cellStyle name="Header2 7" xfId="31622"/>
    <cellStyle name="Header2_AURORA Total New" xfId="31623"/>
    <cellStyle name="Heading" xfId="1362"/>
    <cellStyle name="Heading 1" xfId="1363" builtinId="16" customBuiltin="1"/>
    <cellStyle name="Heading 1 10" xfId="31624"/>
    <cellStyle name="Heading 1 2" xfId="1364"/>
    <cellStyle name="Heading 1 2 2" xfId="1365"/>
    <cellStyle name="Heading 1 2 2 2" xfId="31625"/>
    <cellStyle name="Heading 1 2 2 2 2" xfId="31626"/>
    <cellStyle name="Heading 1 2 2 2 2 2" xfId="31627"/>
    <cellStyle name="Heading 1 2 2 2 3" xfId="31628"/>
    <cellStyle name="Heading 1 2 2 2 4" xfId="31629"/>
    <cellStyle name="Heading 1 2 2 3" xfId="31630"/>
    <cellStyle name="Heading 1 2 2 3 2" xfId="31631"/>
    <cellStyle name="Heading 1 2 2 4" xfId="31632"/>
    <cellStyle name="Heading 1 2 2 4 2" xfId="31633"/>
    <cellStyle name="Heading 1 2 2 5" xfId="31634"/>
    <cellStyle name="Heading 1 2 3" xfId="1366"/>
    <cellStyle name="Heading 1 2 3 2" xfId="31635"/>
    <cellStyle name="Heading 1 2 3 2 2" xfId="31636"/>
    <cellStyle name="Heading 1 2 3 2 2 2" xfId="31637"/>
    <cellStyle name="Heading 1 2 3 2 3" xfId="31638"/>
    <cellStyle name="Heading 1 2 3 2 4" xfId="31639"/>
    <cellStyle name="Heading 1 2 3 3" xfId="31640"/>
    <cellStyle name="Heading 1 2 3 3 2" xfId="31641"/>
    <cellStyle name="Heading 1 2 3 3 3" xfId="31642"/>
    <cellStyle name="Heading 1 2 3 4" xfId="31643"/>
    <cellStyle name="Heading 1 2 3 4 2" xfId="31644"/>
    <cellStyle name="Heading 1 2 3 5" xfId="31645"/>
    <cellStyle name="Heading 1 2 3 6" xfId="31646"/>
    <cellStyle name="Heading 1 2 4" xfId="31647"/>
    <cellStyle name="Heading 1 2 4 2" xfId="31648"/>
    <cellStyle name="Heading 1 2 4 2 2" xfId="31649"/>
    <cellStyle name="Heading 1 2 4 3" xfId="31650"/>
    <cellStyle name="Heading 1 2 4 4" xfId="31651"/>
    <cellStyle name="Heading 1 2 4 5" xfId="31652"/>
    <cellStyle name="Heading 1 2 5" xfId="31653"/>
    <cellStyle name="Heading 1 2 5 2" xfId="31654"/>
    <cellStyle name="Heading 1 2 5 2 2" xfId="31655"/>
    <cellStyle name="Heading 1 2 5 3" xfId="31656"/>
    <cellStyle name="Heading 1 2 5 4" xfId="31657"/>
    <cellStyle name="Heading 1 2 6" xfId="31658"/>
    <cellStyle name="Heading 1 2 6 2" xfId="31659"/>
    <cellStyle name="Heading 1 2 7" xfId="31660"/>
    <cellStyle name="Heading 1 2 8" xfId="31661"/>
    <cellStyle name="Heading 1 3" xfId="1367"/>
    <cellStyle name="Heading 1 3 2" xfId="1368"/>
    <cellStyle name="Heading 1 3 2 2" xfId="31662"/>
    <cellStyle name="Heading 1 3 2 2 2" xfId="31663"/>
    <cellStyle name="Heading 1 3 2 3" xfId="31664"/>
    <cellStyle name="Heading 1 3 2 4" xfId="31665"/>
    <cellStyle name="Heading 1 3 2 5" xfId="31666"/>
    <cellStyle name="Heading 1 3 3" xfId="31667"/>
    <cellStyle name="Heading 1 3 3 2" xfId="31668"/>
    <cellStyle name="Heading 1 3 3 2 2" xfId="31669"/>
    <cellStyle name="Heading 1 3 3 3" xfId="31670"/>
    <cellStyle name="Heading 1 3 4" xfId="31671"/>
    <cellStyle name="Heading 1 3 4 2" xfId="31672"/>
    <cellStyle name="Heading 1 3 5" xfId="31673"/>
    <cellStyle name="Heading 1 3 6" xfId="31674"/>
    <cellStyle name="Heading 1 4" xfId="1369"/>
    <cellStyle name="Heading 1 4 2" xfId="31675"/>
    <cellStyle name="Heading 1 4 2 2" xfId="31676"/>
    <cellStyle name="Heading 1 4 2 3" xfId="31677"/>
    <cellStyle name="Heading 1 4 3" xfId="31678"/>
    <cellStyle name="Heading 1 4 4" xfId="31679"/>
    <cellStyle name="Heading 1 5" xfId="31680"/>
    <cellStyle name="Heading 1 5 2" xfId="31681"/>
    <cellStyle name="Heading 1 5 2 2" xfId="31682"/>
    <cellStyle name="Heading 1 5 3" xfId="31683"/>
    <cellStyle name="Heading 1 5 4" xfId="31684"/>
    <cellStyle name="Heading 1 6" xfId="31685"/>
    <cellStyle name="Heading 1 6 2" xfId="31686"/>
    <cellStyle name="Heading 1 6 3" xfId="31687"/>
    <cellStyle name="Heading 1 7" xfId="31688"/>
    <cellStyle name="Heading 1 8" xfId="31689"/>
    <cellStyle name="Heading 1 9" xfId="31690"/>
    <cellStyle name="Heading 1 9 2" xfId="31691"/>
    <cellStyle name="Heading 2" xfId="1370" builtinId="17" customBuiltin="1"/>
    <cellStyle name="Heading 2 10" xfId="31692"/>
    <cellStyle name="Heading 2 2" xfId="1371"/>
    <cellStyle name="Heading 2 2 2" xfId="1372"/>
    <cellStyle name="Heading 2 2 2 2" xfId="31693"/>
    <cellStyle name="Heading 2 2 2 2 2" xfId="31694"/>
    <cellStyle name="Heading 2 2 2 2 2 2" xfId="31695"/>
    <cellStyle name="Heading 2 2 2 2 3" xfId="31696"/>
    <cellStyle name="Heading 2 2 2 2 4" xfId="31697"/>
    <cellStyle name="Heading 2 2 2 3" xfId="31698"/>
    <cellStyle name="Heading 2 2 2 3 2" xfId="31699"/>
    <cellStyle name="Heading 2 2 2 4" xfId="31700"/>
    <cellStyle name="Heading 2 2 2 4 2" xfId="31701"/>
    <cellStyle name="Heading 2 2 2 5" xfId="31702"/>
    <cellStyle name="Heading 2 2 3" xfId="1373"/>
    <cellStyle name="Heading 2 2 3 2" xfId="31703"/>
    <cellStyle name="Heading 2 2 3 2 2" xfId="31704"/>
    <cellStyle name="Heading 2 2 3 2 2 2" xfId="31705"/>
    <cellStyle name="Heading 2 2 3 2 3" xfId="31706"/>
    <cellStyle name="Heading 2 2 3 2 4" xfId="31707"/>
    <cellStyle name="Heading 2 2 3 3" xfId="31708"/>
    <cellStyle name="Heading 2 2 3 3 2" xfId="31709"/>
    <cellStyle name="Heading 2 2 3 3 3" xfId="31710"/>
    <cellStyle name="Heading 2 2 3 4" xfId="31711"/>
    <cellStyle name="Heading 2 2 3 4 2" xfId="31712"/>
    <cellStyle name="Heading 2 2 3 5" xfId="31713"/>
    <cellStyle name="Heading 2 2 3 6" xfId="31714"/>
    <cellStyle name="Heading 2 2 4" xfId="31715"/>
    <cellStyle name="Heading 2 2 4 2" xfId="31716"/>
    <cellStyle name="Heading 2 2 4 2 2" xfId="31717"/>
    <cellStyle name="Heading 2 2 4 3" xfId="31718"/>
    <cellStyle name="Heading 2 2 4 4" xfId="31719"/>
    <cellStyle name="Heading 2 2 4 5" xfId="31720"/>
    <cellStyle name="Heading 2 2 5" xfId="31721"/>
    <cellStyle name="Heading 2 2 5 2" xfId="31722"/>
    <cellStyle name="Heading 2 2 5 2 2" xfId="31723"/>
    <cellStyle name="Heading 2 2 5 3" xfId="31724"/>
    <cellStyle name="Heading 2 2 5 4" xfId="31725"/>
    <cellStyle name="Heading 2 2 6" xfId="31726"/>
    <cellStyle name="Heading 2 2 6 2" xfId="31727"/>
    <cellStyle name="Heading 2 2 7" xfId="31728"/>
    <cellStyle name="Heading 2 2 8" xfId="31729"/>
    <cellStyle name="Heading 2 3" xfId="1374"/>
    <cellStyle name="Heading 2 3 2" xfId="1375"/>
    <cellStyle name="Heading 2 3 2 2" xfId="31730"/>
    <cellStyle name="Heading 2 3 2 2 2" xfId="31731"/>
    <cellStyle name="Heading 2 3 2 3" xfId="31732"/>
    <cellStyle name="Heading 2 3 2 4" xfId="31733"/>
    <cellStyle name="Heading 2 3 2 5" xfId="31734"/>
    <cellStyle name="Heading 2 3 3" xfId="31735"/>
    <cellStyle name="Heading 2 3 3 2" xfId="31736"/>
    <cellStyle name="Heading 2 3 3 2 2" xfId="31737"/>
    <cellStyle name="Heading 2 3 3 3" xfId="31738"/>
    <cellStyle name="Heading 2 3 4" xfId="31739"/>
    <cellStyle name="Heading 2 3 4 2" xfId="31740"/>
    <cellStyle name="Heading 2 3 5" xfId="31741"/>
    <cellStyle name="Heading 2 3 6" xfId="31742"/>
    <cellStyle name="Heading 2 4" xfId="1376"/>
    <cellStyle name="Heading 2 4 2" xfId="31743"/>
    <cellStyle name="Heading 2 4 2 2" xfId="31744"/>
    <cellStyle name="Heading 2 4 2 3" xfId="31745"/>
    <cellStyle name="Heading 2 4 3" xfId="31746"/>
    <cellStyle name="Heading 2 4 4" xfId="31747"/>
    <cellStyle name="Heading 2 5" xfId="31748"/>
    <cellStyle name="Heading 2 5 2" xfId="31749"/>
    <cellStyle name="Heading 2 5 2 2" xfId="31750"/>
    <cellStyle name="Heading 2 5 3" xfId="31751"/>
    <cellStyle name="Heading 2 5 4" xfId="31752"/>
    <cellStyle name="Heading 2 6" xfId="31753"/>
    <cellStyle name="Heading 2 6 2" xfId="31754"/>
    <cellStyle name="Heading 2 6 3" xfId="31755"/>
    <cellStyle name="Heading 2 7" xfId="31756"/>
    <cellStyle name="Heading 2 8" xfId="31757"/>
    <cellStyle name="Heading 2 9" xfId="31758"/>
    <cellStyle name="Heading 2 9 2" xfId="31759"/>
    <cellStyle name="Heading 3 10" xfId="31760"/>
    <cellStyle name="Heading 3 2" xfId="1377"/>
    <cellStyle name="Heading 3 2 2" xfId="1378"/>
    <cellStyle name="Heading 3 2 2 2" xfId="31761"/>
    <cellStyle name="Heading 3 2 2 2 2" xfId="31762"/>
    <cellStyle name="Heading 3 2 2 2 2 2" xfId="31763"/>
    <cellStyle name="Heading 3 2 2 2 3" xfId="31764"/>
    <cellStyle name="Heading 3 2 2 2 4" xfId="31765"/>
    <cellStyle name="Heading 3 2 2 3" xfId="31766"/>
    <cellStyle name="Heading 3 2 2 3 2" xfId="31767"/>
    <cellStyle name="Heading 3 2 2 4" xfId="31768"/>
    <cellStyle name="Heading 3 2 2 4 2" xfId="31769"/>
    <cellStyle name="Heading 3 2 2 5" xfId="31770"/>
    <cellStyle name="Heading 3 2 3" xfId="31771"/>
    <cellStyle name="Heading 3 2 3 2" xfId="31772"/>
    <cellStyle name="Heading 3 2 3 2 2" xfId="31773"/>
    <cellStyle name="Heading 3 2 3 2 2 2" xfId="31774"/>
    <cellStyle name="Heading 3 2 3 2 3" xfId="31775"/>
    <cellStyle name="Heading 3 2 3 2 4" xfId="31776"/>
    <cellStyle name="Heading 3 2 3 3" xfId="31777"/>
    <cellStyle name="Heading 3 2 3 3 2" xfId="31778"/>
    <cellStyle name="Heading 3 2 3 3 3" xfId="31779"/>
    <cellStyle name="Heading 3 2 3 4" xfId="31780"/>
    <cellStyle name="Heading 3 2 3 4 2" xfId="31781"/>
    <cellStyle name="Heading 3 2 3 4 3" xfId="31782"/>
    <cellStyle name="Heading 3 2 3 5" xfId="31783"/>
    <cellStyle name="Heading 3 2 3 6" xfId="31784"/>
    <cellStyle name="Heading 3 2 4" xfId="31785"/>
    <cellStyle name="Heading 3 2 4 2" xfId="31786"/>
    <cellStyle name="Heading 3 2 4 2 2" xfId="31787"/>
    <cellStyle name="Heading 3 2 4 3" xfId="31788"/>
    <cellStyle name="Heading 3 2 4 4" xfId="31789"/>
    <cellStyle name="Heading 3 2 4 5" xfId="31790"/>
    <cellStyle name="Heading 3 2 5" xfId="31791"/>
    <cellStyle name="Heading 3 2 5 2" xfId="31792"/>
    <cellStyle name="Heading 3 2 5 3" xfId="31793"/>
    <cellStyle name="Heading 3 2 6" xfId="31794"/>
    <cellStyle name="Heading 3 2 6 2" xfId="31795"/>
    <cellStyle name="Heading 3 2 7" xfId="31796"/>
    <cellStyle name="Heading 3 3" xfId="1379"/>
    <cellStyle name="Heading 3 3 2" xfId="31797"/>
    <cellStyle name="Heading 3 3 2 2" xfId="31798"/>
    <cellStyle name="Heading 3 3 2 2 2" xfId="31799"/>
    <cellStyle name="Heading 3 3 2 3" xfId="31800"/>
    <cellStyle name="Heading 3 3 3" xfId="31801"/>
    <cellStyle name="Heading 3 3 3 2" xfId="31802"/>
    <cellStyle name="Heading 3 3 4" xfId="31803"/>
    <cellStyle name="Heading 3 3 4 2" xfId="31804"/>
    <cellStyle name="Heading 3 3 5" xfId="31805"/>
    <cellStyle name="Heading 3 3 6" xfId="31806"/>
    <cellStyle name="Heading 3 4" xfId="1380"/>
    <cellStyle name="Heading 3 4 2" xfId="31807"/>
    <cellStyle name="Heading 3 4 2 2" xfId="31808"/>
    <cellStyle name="Heading 3 4 2 2 2" xfId="31809"/>
    <cellStyle name="Heading 3 4 2 3" xfId="31810"/>
    <cellStyle name="Heading 3 4 2 4" xfId="31811"/>
    <cellStyle name="Heading 3 4 3" xfId="31812"/>
    <cellStyle name="Heading 3 4 3 2" xfId="31813"/>
    <cellStyle name="Heading 3 4 4" xfId="31814"/>
    <cellStyle name="Heading 3 4 4 2" xfId="31815"/>
    <cellStyle name="Heading 3 5" xfId="31816"/>
    <cellStyle name="Heading 3 5 2" xfId="31817"/>
    <cellStyle name="Heading 3 5 2 2" xfId="31818"/>
    <cellStyle name="Heading 3 5 2 3" xfId="31819"/>
    <cellStyle name="Heading 3 5 3" xfId="31820"/>
    <cellStyle name="Heading 3 6" xfId="31821"/>
    <cellStyle name="Heading 3 6 2" xfId="31822"/>
    <cellStyle name="Heading 3 6 2 2" xfId="31823"/>
    <cellStyle name="Heading 3 6 3" xfId="31824"/>
    <cellStyle name="Heading 3 6 4" xfId="31825"/>
    <cellStyle name="Heading 3 6 5" xfId="31826"/>
    <cellStyle name="Heading 3 7" xfId="31827"/>
    <cellStyle name="Heading 3 7 2" xfId="31828"/>
    <cellStyle name="Heading 3 7 3" xfId="31829"/>
    <cellStyle name="Heading 3 8" xfId="31830"/>
    <cellStyle name="Heading 3 9" xfId="31831"/>
    <cellStyle name="Heading 4 10" xfId="31832"/>
    <cellStyle name="Heading 4 2" xfId="1381"/>
    <cellStyle name="Heading 4 2 2" xfId="1382"/>
    <cellStyle name="Heading 4 2 2 2" xfId="31833"/>
    <cellStyle name="Heading 4 2 2 2 2" xfId="31834"/>
    <cellStyle name="Heading 4 2 2 2 2 2" xfId="31835"/>
    <cellStyle name="Heading 4 2 2 2 3" xfId="31836"/>
    <cellStyle name="Heading 4 2 2 2 4" xfId="31837"/>
    <cellStyle name="Heading 4 2 2 3" xfId="31838"/>
    <cellStyle name="Heading 4 2 2 3 2" xfId="31839"/>
    <cellStyle name="Heading 4 2 2 4" xfId="31840"/>
    <cellStyle name="Heading 4 2 2 4 2" xfId="31841"/>
    <cellStyle name="Heading 4 2 2 5" xfId="31842"/>
    <cellStyle name="Heading 4 2 3" xfId="31843"/>
    <cellStyle name="Heading 4 2 3 2" xfId="31844"/>
    <cellStyle name="Heading 4 2 3 2 2" xfId="31845"/>
    <cellStyle name="Heading 4 2 3 2 2 2" xfId="31846"/>
    <cellStyle name="Heading 4 2 3 2 3" xfId="31847"/>
    <cellStyle name="Heading 4 2 3 2 4" xfId="31848"/>
    <cellStyle name="Heading 4 2 3 3" xfId="31849"/>
    <cellStyle name="Heading 4 2 3 3 2" xfId="31850"/>
    <cellStyle name="Heading 4 2 3 3 3" xfId="31851"/>
    <cellStyle name="Heading 4 2 3 4" xfId="31852"/>
    <cellStyle name="Heading 4 2 3 4 2" xfId="31853"/>
    <cellStyle name="Heading 4 2 3 5" xfId="31854"/>
    <cellStyle name="Heading 4 2 4" xfId="31855"/>
    <cellStyle name="Heading 4 2 4 2" xfId="31856"/>
    <cellStyle name="Heading 4 2 4 2 2" xfId="31857"/>
    <cellStyle name="Heading 4 2 4 3" xfId="31858"/>
    <cellStyle name="Heading 4 2 4 4" xfId="31859"/>
    <cellStyle name="Heading 4 2 4 5" xfId="31860"/>
    <cellStyle name="Heading 4 2 5" xfId="31861"/>
    <cellStyle name="Heading 4 2 5 2" xfId="31862"/>
    <cellStyle name="Heading 4 2 5 3" xfId="31863"/>
    <cellStyle name="Heading 4 2 6" xfId="31864"/>
    <cellStyle name="Heading 4 2 6 2" xfId="31865"/>
    <cellStyle name="Heading 4 2 7" xfId="31866"/>
    <cellStyle name="Heading 4 3" xfId="1383"/>
    <cellStyle name="Heading 4 3 2" xfId="31867"/>
    <cellStyle name="Heading 4 3 2 2" xfId="31868"/>
    <cellStyle name="Heading 4 3 2 2 2" xfId="31869"/>
    <cellStyle name="Heading 4 3 2 3" xfId="31870"/>
    <cellStyle name="Heading 4 3 3" xfId="31871"/>
    <cellStyle name="Heading 4 3 3 2" xfId="31872"/>
    <cellStyle name="Heading 4 3 4" xfId="31873"/>
    <cellStyle name="Heading 4 3 4 2" xfId="31874"/>
    <cellStyle name="Heading 4 3 5" xfId="31875"/>
    <cellStyle name="Heading 4 3 6" xfId="31876"/>
    <cellStyle name="Heading 4 4" xfId="1384"/>
    <cellStyle name="Heading 4 4 2" xfId="31877"/>
    <cellStyle name="Heading 4 4 2 2" xfId="31878"/>
    <cellStyle name="Heading 4 4 2 2 2" xfId="31879"/>
    <cellStyle name="Heading 4 4 2 3" xfId="31880"/>
    <cellStyle name="Heading 4 4 2 4" xfId="31881"/>
    <cellStyle name="Heading 4 4 3" xfId="31882"/>
    <cellStyle name="Heading 4 4 3 2" xfId="31883"/>
    <cellStyle name="Heading 4 4 4" xfId="31884"/>
    <cellStyle name="Heading 4 4 4 2" xfId="31885"/>
    <cellStyle name="Heading 4 5" xfId="31886"/>
    <cellStyle name="Heading 4 5 2" xfId="31887"/>
    <cellStyle name="Heading 4 5 2 2" xfId="31888"/>
    <cellStyle name="Heading 4 5 2 3" xfId="31889"/>
    <cellStyle name="Heading 4 5 3" xfId="31890"/>
    <cellStyle name="Heading 4 6" xfId="31891"/>
    <cellStyle name="Heading 4 6 2" xfId="31892"/>
    <cellStyle name="Heading 4 6 2 2" xfId="31893"/>
    <cellStyle name="Heading 4 6 3" xfId="31894"/>
    <cellStyle name="Heading 4 6 4" xfId="31895"/>
    <cellStyle name="Heading 4 6 5" xfId="31896"/>
    <cellStyle name="Heading 4 7" xfId="31897"/>
    <cellStyle name="Heading 4 7 2" xfId="31898"/>
    <cellStyle name="Heading 4 7 3" xfId="31899"/>
    <cellStyle name="Heading 4 8" xfId="31900"/>
    <cellStyle name="Heading 4 9" xfId="31901"/>
    <cellStyle name="Heading 5" xfId="31902"/>
    <cellStyle name="Heading1" xfId="1385"/>
    <cellStyle name="Heading1 2" xfId="31903"/>
    <cellStyle name="Heading1 2 2" xfId="31904"/>
    <cellStyle name="Heading1 2 2 2" xfId="31905"/>
    <cellStyle name="Heading1 2 3" xfId="31906"/>
    <cellStyle name="Heading1 2 3 2" xfId="31907"/>
    <cellStyle name="Heading1 2 4" xfId="31908"/>
    <cellStyle name="Heading1 3" xfId="31909"/>
    <cellStyle name="Heading1 3 2" xfId="31910"/>
    <cellStyle name="Heading1 3 2 2" xfId="31911"/>
    <cellStyle name="Heading1 3 2 3" xfId="31912"/>
    <cellStyle name="Heading1 3 2 4" xfId="31913"/>
    <cellStyle name="Heading1 3 3" xfId="31914"/>
    <cellStyle name="Heading1 3 4" xfId="31915"/>
    <cellStyle name="Heading1 3 5" xfId="31916"/>
    <cellStyle name="Heading1 4" xfId="31917"/>
    <cellStyle name="Heading1 4 2" xfId="31918"/>
    <cellStyle name="Heading1 5" xfId="31919"/>
    <cellStyle name="Heading1 5 2" xfId="31920"/>
    <cellStyle name="Heading1 6" xfId="31921"/>
    <cellStyle name="Heading1 6 2" xfId="31922"/>
    <cellStyle name="Heading1 7" xfId="31923"/>
    <cellStyle name="Heading2" xfId="1386"/>
    <cellStyle name="Heading2 2" xfId="31924"/>
    <cellStyle name="Heading2 2 2" xfId="31925"/>
    <cellStyle name="Heading2 2 2 2" xfId="31926"/>
    <cellStyle name="Heading2 2 3" xfId="31927"/>
    <cellStyle name="Heading2 2 3 2" xfId="31928"/>
    <cellStyle name="Heading2 2 4" xfId="31929"/>
    <cellStyle name="Heading2 3" xfId="31930"/>
    <cellStyle name="Heading2 3 2" xfId="31931"/>
    <cellStyle name="Heading2 3 2 2" xfId="31932"/>
    <cellStyle name="Heading2 3 2 3" xfId="31933"/>
    <cellStyle name="Heading2 3 2 4" xfId="31934"/>
    <cellStyle name="Heading2 3 3" xfId="31935"/>
    <cellStyle name="Heading2 3 4" xfId="31936"/>
    <cellStyle name="Heading2 3 5" xfId="31937"/>
    <cellStyle name="Heading2 4" xfId="31938"/>
    <cellStyle name="Heading2 4 2" xfId="31939"/>
    <cellStyle name="Heading2 5" xfId="31940"/>
    <cellStyle name="Heading2 5 2" xfId="31941"/>
    <cellStyle name="Heading2 6" xfId="31942"/>
    <cellStyle name="Heading2 6 2" xfId="31943"/>
    <cellStyle name="Heading2 7" xfId="31944"/>
    <cellStyle name="HeadlineStyle" xfId="31945"/>
    <cellStyle name="HeadlineStyle 2" xfId="31946"/>
    <cellStyle name="HeadlineStyle 2 2" xfId="31947"/>
    <cellStyle name="HeadlineStyle 2 2 2" xfId="31948"/>
    <cellStyle name="HeadlineStyle 2 2 2 2" xfId="31949"/>
    <cellStyle name="HeadlineStyle 2 3" xfId="31950"/>
    <cellStyle name="HeadlineStyle 2 3 2" xfId="31951"/>
    <cellStyle name="HeadlineStyle 2 4" xfId="31952"/>
    <cellStyle name="HeadlineStyle 2 4 2" xfId="31953"/>
    <cellStyle name="HeadlineStyle 3" xfId="31954"/>
    <cellStyle name="HeadlineStyle 3 2" xfId="31955"/>
    <cellStyle name="HeadlineStyle 3 2 2" xfId="31956"/>
    <cellStyle name="HeadlineStyle 4" xfId="31957"/>
    <cellStyle name="HeadlineStyle 4 2" xfId="31958"/>
    <cellStyle name="HeadlineStyle 4 2 2" xfId="31959"/>
    <cellStyle name="HeadlineStyle 4 3" xfId="31960"/>
    <cellStyle name="HeadlineStyle 5" xfId="31961"/>
    <cellStyle name="HeadlineStyle 5 2" xfId="31962"/>
    <cellStyle name="HeadlineStyle 6" xfId="31963"/>
    <cellStyle name="HeadlineStyle 6 2" xfId="31964"/>
    <cellStyle name="HeadlineStyleJustified" xfId="31965"/>
    <cellStyle name="HeadlineStyleJustified 2" xfId="31966"/>
    <cellStyle name="HeadlineStyleJustified 2 2" xfId="31967"/>
    <cellStyle name="HeadlineStyleJustified 2 2 2" xfId="31968"/>
    <cellStyle name="HeadlineStyleJustified 2 2 2 2" xfId="31969"/>
    <cellStyle name="HeadlineStyleJustified 2 3" xfId="31970"/>
    <cellStyle name="HeadlineStyleJustified 2 3 2" xfId="31971"/>
    <cellStyle name="HeadlineStyleJustified 2 4" xfId="31972"/>
    <cellStyle name="HeadlineStyleJustified 2 4 2" xfId="31973"/>
    <cellStyle name="HeadlineStyleJustified 3" xfId="31974"/>
    <cellStyle name="HeadlineStyleJustified 3 2" xfId="31975"/>
    <cellStyle name="HeadlineStyleJustified 3 2 2" xfId="31976"/>
    <cellStyle name="HeadlineStyleJustified 4" xfId="31977"/>
    <cellStyle name="HeadlineStyleJustified 4 2" xfId="31978"/>
    <cellStyle name="HeadlineStyleJustified 4 2 2" xfId="31979"/>
    <cellStyle name="HeadlineStyleJustified 4 3" xfId="31980"/>
    <cellStyle name="HeadlineStyleJustified 5" xfId="31981"/>
    <cellStyle name="HeadlineStyleJustified 5 2" xfId="31982"/>
    <cellStyle name="HeadlineStyleJustified 6" xfId="31983"/>
    <cellStyle name="HeadlineStyleJustified 6 2" xfId="31984"/>
    <cellStyle name="Hyperlink 2" xfId="1387"/>
    <cellStyle name="Hyperlink 2 2" xfId="31985"/>
    <cellStyle name="Hyperlink 2 2 2" xfId="31986"/>
    <cellStyle name="Hyperlink 2 2 2 2" xfId="31987"/>
    <cellStyle name="Hyperlink 2 2 3" xfId="31988"/>
    <cellStyle name="Hyperlink 2 3" xfId="31989"/>
    <cellStyle name="Hyperlink 2 3 2" xfId="31990"/>
    <cellStyle name="Hyperlink 2 4" xfId="31991"/>
    <cellStyle name="Hyperlink 2 4 2" xfId="31992"/>
    <cellStyle name="Hyperlink 2 5" xfId="31993"/>
    <cellStyle name="Hyperlink 3" xfId="31994"/>
    <cellStyle name="Hyperlink 3 2" xfId="31995"/>
    <cellStyle name="Input [yellow]" xfId="1388"/>
    <cellStyle name="Input [yellow] 10" xfId="31996"/>
    <cellStyle name="Input [yellow] 2" xfId="1389"/>
    <cellStyle name="Input [yellow] 2 2" xfId="31997"/>
    <cellStyle name="Input [yellow] 2 2 2" xfId="31998"/>
    <cellStyle name="Input [yellow] 2 2 2 2" xfId="31999"/>
    <cellStyle name="Input [yellow] 2 2 2 2 2" xfId="32000"/>
    <cellStyle name="Input [yellow] 2 2 2 3" xfId="32001"/>
    <cellStyle name="Input [yellow] 2 2 2 4" xfId="32002"/>
    <cellStyle name="Input [yellow] 2 2 3" xfId="32003"/>
    <cellStyle name="Input [yellow] 2 2 3 2" xfId="32004"/>
    <cellStyle name="Input [yellow] 2 2 3 2 2" xfId="32005"/>
    <cellStyle name="Input [yellow] 2 2 3 3" xfId="32006"/>
    <cellStyle name="Input [yellow] 2 2 4" xfId="32007"/>
    <cellStyle name="Input [yellow] 2 2 4 2" xfId="32008"/>
    <cellStyle name="Input [yellow] 2 2 5" xfId="32009"/>
    <cellStyle name="Input [yellow] 2 2 5 2" xfId="32010"/>
    <cellStyle name="Input [yellow] 2 2 6" xfId="32011"/>
    <cellStyle name="Input [yellow] 2 2 7" xfId="32012"/>
    <cellStyle name="Input [yellow] 2 2 8" xfId="32013"/>
    <cellStyle name="Input [yellow] 2 3" xfId="32014"/>
    <cellStyle name="Input [yellow] 2 3 2" xfId="32015"/>
    <cellStyle name="Input [yellow] 2 3 2 2" xfId="32016"/>
    <cellStyle name="Input [yellow] 2 3 3" xfId="32017"/>
    <cellStyle name="Input [yellow] 2 3 4" xfId="32018"/>
    <cellStyle name="Input [yellow] 2 3 5" xfId="32019"/>
    <cellStyle name="Input [yellow] 2 3 6" xfId="32020"/>
    <cellStyle name="Input [yellow] 2 3 7" xfId="32021"/>
    <cellStyle name="Input [yellow] 2 4" xfId="32022"/>
    <cellStyle name="Input [yellow] 2 4 2" xfId="32023"/>
    <cellStyle name="Input [yellow] 2 5" xfId="32024"/>
    <cellStyle name="Input [yellow] 2 5 2" xfId="32025"/>
    <cellStyle name="Input [yellow] 2 6" xfId="32026"/>
    <cellStyle name="Input [yellow] 3" xfId="1390"/>
    <cellStyle name="Input [yellow] 3 2" xfId="32027"/>
    <cellStyle name="Input [yellow] 3 2 2" xfId="32028"/>
    <cellStyle name="Input [yellow] 3 2 2 2" xfId="32029"/>
    <cellStyle name="Input [yellow] 3 2 2 2 2" xfId="32030"/>
    <cellStyle name="Input [yellow] 3 2 2 3" xfId="32031"/>
    <cellStyle name="Input [yellow] 3 2 2 4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2 8" xfId="32043"/>
    <cellStyle name="Input [yellow] 3 3" xfId="32044"/>
    <cellStyle name="Input [yellow] 3 3 2" xfId="32045"/>
    <cellStyle name="Input [yellow] 3 3 2 2" xfId="32046"/>
    <cellStyle name="Input [yellow] 3 3 3" xfId="32047"/>
    <cellStyle name="Input [yellow] 3 3 4" xfId="32048"/>
    <cellStyle name="Input [yellow] 3 3 5" xfId="32049"/>
    <cellStyle name="Input [yellow] 3 3 6" xfId="32050"/>
    <cellStyle name="Input [yellow] 3 3 7" xfId="32051"/>
    <cellStyle name="Input [yellow] 3 4" xfId="32052"/>
    <cellStyle name="Input [yellow] 3 4 2" xfId="32053"/>
    <cellStyle name="Input [yellow] 3 5" xfId="32054"/>
    <cellStyle name="Input [yellow] 3 5 2" xfId="32055"/>
    <cellStyle name="Input [yellow] 3 6" xfId="32056"/>
    <cellStyle name="Input [yellow] 4" xfId="1391"/>
    <cellStyle name="Input [yellow] 4 2" xfId="32057"/>
    <cellStyle name="Input [yellow] 4 2 2" xfId="32058"/>
    <cellStyle name="Input [yellow] 4 2 2 2" xfId="32059"/>
    <cellStyle name="Input [yellow] 4 2 3" xfId="32060"/>
    <cellStyle name="Input [yellow] 4 2 4" xfId="32061"/>
    <cellStyle name="Input [yellow] 4 2 5" xfId="32062"/>
    <cellStyle name="Input [yellow] 4 2 6" xfId="32063"/>
    <cellStyle name="Input [yellow] 4 2 7" xfId="32064"/>
    <cellStyle name="Input [yellow] 4 3" xfId="32065"/>
    <cellStyle name="Input [yellow] 4 3 2" xfId="32066"/>
    <cellStyle name="Input [yellow] 4 3 3" xfId="32067"/>
    <cellStyle name="Input [yellow] 4 3 4" xfId="32068"/>
    <cellStyle name="Input [yellow] 4 3 5" xfId="32069"/>
    <cellStyle name="Input [yellow] 4 3 6" xfId="32070"/>
    <cellStyle name="Input [yellow] 4 3 7" xfId="32071"/>
    <cellStyle name="Input [yellow] 4 4" xfId="32072"/>
    <cellStyle name="Input [yellow] 4 4 2" xfId="32073"/>
    <cellStyle name="Input [yellow] 4 5" xfId="32074"/>
    <cellStyle name="Input [yellow] 5" xfId="32075"/>
    <cellStyle name="Input [yellow] 5 2" xfId="32076"/>
    <cellStyle name="Input [yellow] 5 2 2" xfId="32077"/>
    <cellStyle name="Input [yellow] 5 2 2 2" xfId="32078"/>
    <cellStyle name="Input [yellow] 5 2 2 2 2" xfId="32079"/>
    <cellStyle name="Input [yellow] 5 2 2 3" xfId="32080"/>
    <cellStyle name="Input [yellow] 5 2 3" xfId="32081"/>
    <cellStyle name="Input [yellow] 5 2 3 2" xfId="32082"/>
    <cellStyle name="Input [yellow] 5 2 4" xfId="32083"/>
    <cellStyle name="Input [yellow] 5 2 4 2" xfId="32084"/>
    <cellStyle name="Input [yellow] 5 2 5" xfId="32085"/>
    <cellStyle name="Input [yellow] 5 2 6" xfId="32086"/>
    <cellStyle name="Input [yellow] 5 2 7" xfId="32087"/>
    <cellStyle name="Input [yellow] 5 2 8" xfId="32088"/>
    <cellStyle name="Input [yellow] 5 3" xfId="32089"/>
    <cellStyle name="Input [yellow] 5 3 2" xfId="32090"/>
    <cellStyle name="Input [yellow] 5 3 2 2" xfId="32091"/>
    <cellStyle name="Input [yellow] 5 3 3" xfId="32092"/>
    <cellStyle name="Input [yellow] 5 4" xfId="32093"/>
    <cellStyle name="Input [yellow] 5 4 2" xfId="32094"/>
    <cellStyle name="Input [yellow] 5 4 2 2" xfId="32095"/>
    <cellStyle name="Input [yellow] 5 4 3" xfId="32096"/>
    <cellStyle name="Input [yellow] 5 5" xfId="32097"/>
    <cellStyle name="Input [yellow] 5 5 2" xfId="32098"/>
    <cellStyle name="Input [yellow] 5 6" xfId="32099"/>
    <cellStyle name="Input [yellow] 5 6 2" xfId="32100"/>
    <cellStyle name="Input [yellow] 5 7" xfId="32101"/>
    <cellStyle name="Input [yellow] 6" xfId="32102"/>
    <cellStyle name="Input [yellow] 6 2" xfId="32103"/>
    <cellStyle name="Input [yellow] 6 2 2" xfId="32104"/>
    <cellStyle name="Input [yellow] 6 2 3" xfId="32105"/>
    <cellStyle name="Input [yellow] 6 3" xfId="32106"/>
    <cellStyle name="Input [yellow] 6 4" xfId="32107"/>
    <cellStyle name="Input [yellow] 6 5" xfId="32108"/>
    <cellStyle name="Input [yellow] 6 6" xfId="32109"/>
    <cellStyle name="Input [yellow] 6 7" xfId="32110"/>
    <cellStyle name="Input [yellow] 6 8" xfId="32111"/>
    <cellStyle name="Input [yellow] 7" xfId="32112"/>
    <cellStyle name="Input [yellow] 7 2" xfId="32113"/>
    <cellStyle name="Input [yellow] 8" xfId="32114"/>
    <cellStyle name="Input [yellow] 8 2" xfId="32115"/>
    <cellStyle name="Input [yellow] 9" xfId="32116"/>
    <cellStyle name="Input [yellow] 9 2" xfId="32117"/>
    <cellStyle name="Input [yellow]_(C) WHE Proforma with ITC cash grant 10 Yr Amort_for deferral_102809" xfId="1392"/>
    <cellStyle name="Input 10" xfId="32118"/>
    <cellStyle name="Input 10 2" xfId="32119"/>
    <cellStyle name="Input 10 2 2" xfId="32120"/>
    <cellStyle name="Input 10 2 2 2" xfId="32121"/>
    <cellStyle name="Input 10 2 3" xfId="32122"/>
    <cellStyle name="Input 10 3" xfId="32123"/>
    <cellStyle name="Input 10 3 2" xfId="32124"/>
    <cellStyle name="Input 10 4" xfId="32125"/>
    <cellStyle name="Input 10 4 2" xfId="32126"/>
    <cellStyle name="Input 10 5" xfId="32127"/>
    <cellStyle name="Input 10 6" xfId="32128"/>
    <cellStyle name="Input 10 7" xfId="32129"/>
    <cellStyle name="Input 10 8" xfId="32130"/>
    <cellStyle name="Input 11" xfId="32131"/>
    <cellStyle name="Input 11 2" xfId="32132"/>
    <cellStyle name="Input 11 2 2" xfId="32133"/>
    <cellStyle name="Input 11 2 2 2" xfId="32134"/>
    <cellStyle name="Input 11 2 3" xfId="32135"/>
    <cellStyle name="Input 11 3" xfId="32136"/>
    <cellStyle name="Input 11 3 2" xfId="32137"/>
    <cellStyle name="Input 11 4" xfId="32138"/>
    <cellStyle name="Input 11 4 2" xfId="32139"/>
    <cellStyle name="Input 11 5" xfId="32140"/>
    <cellStyle name="Input 11 6" xfId="32141"/>
    <cellStyle name="Input 12" xfId="32142"/>
    <cellStyle name="Input 12 2" xfId="32143"/>
    <cellStyle name="Input 12 2 2" xfId="32144"/>
    <cellStyle name="Input 12 2 2 2" xfId="32145"/>
    <cellStyle name="Input 12 2 3" xfId="32146"/>
    <cellStyle name="Input 12 3" xfId="32147"/>
    <cellStyle name="Input 12 3 2" xfId="32148"/>
    <cellStyle name="Input 12 4" xfId="32149"/>
    <cellStyle name="Input 12 4 2" xfId="32150"/>
    <cellStyle name="Input 12 5" xfId="32151"/>
    <cellStyle name="Input 12 6" xfId="32152"/>
    <cellStyle name="Input 13" xfId="32153"/>
    <cellStyle name="Input 13 2" xfId="32154"/>
    <cellStyle name="Input 13 2 2" xfId="32155"/>
    <cellStyle name="Input 13 2 2 2" xfId="32156"/>
    <cellStyle name="Input 13 2 3" xfId="32157"/>
    <cellStyle name="Input 13 3" xfId="32158"/>
    <cellStyle name="Input 13 3 2" xfId="32159"/>
    <cellStyle name="Input 13 4" xfId="32160"/>
    <cellStyle name="Input 13 4 2" xfId="32161"/>
    <cellStyle name="Input 13 5" xfId="32162"/>
    <cellStyle name="Input 13 6" xfId="32163"/>
    <cellStyle name="Input 13 7" xfId="32164"/>
    <cellStyle name="Input 13 8" xfId="32165"/>
    <cellStyle name="Input 14" xfId="32166"/>
    <cellStyle name="Input 14 2" xfId="32167"/>
    <cellStyle name="Input 14 2 2" xfId="32168"/>
    <cellStyle name="Input 14 2 2 2" xfId="32169"/>
    <cellStyle name="Input 14 2 3" xfId="32170"/>
    <cellStyle name="Input 14 3" xfId="32171"/>
    <cellStyle name="Input 14 3 2" xfId="32172"/>
    <cellStyle name="Input 14 4" xfId="32173"/>
    <cellStyle name="Input 14 4 2" xfId="32174"/>
    <cellStyle name="Input 14 5" xfId="32175"/>
    <cellStyle name="Input 14 6" xfId="32176"/>
    <cellStyle name="Input 14 7" xfId="32177"/>
    <cellStyle name="Input 14 8" xfId="32178"/>
    <cellStyle name="Input 15" xfId="32179"/>
    <cellStyle name="Input 15 2" xfId="32180"/>
    <cellStyle name="Input 15 2 2" xfId="32181"/>
    <cellStyle name="Input 15 2 2 2" xfId="32182"/>
    <cellStyle name="Input 15 2 3" xfId="32183"/>
    <cellStyle name="Input 15 3" xfId="32184"/>
    <cellStyle name="Input 15 3 2" xfId="32185"/>
    <cellStyle name="Input 15 4" xfId="32186"/>
    <cellStyle name="Input 15 4 2" xfId="32187"/>
    <cellStyle name="Input 15 5" xfId="32188"/>
    <cellStyle name="Input 15 6" xfId="32189"/>
    <cellStyle name="Input 16" xfId="32190"/>
    <cellStyle name="Input 16 2" xfId="32191"/>
    <cellStyle name="Input 16 2 2" xfId="32192"/>
    <cellStyle name="Input 16 2 2 2" xfId="32193"/>
    <cellStyle name="Input 16 2 3" xfId="32194"/>
    <cellStyle name="Input 16 3" xfId="32195"/>
    <cellStyle name="Input 16 3 2" xfId="32196"/>
    <cellStyle name="Input 16 4" xfId="32197"/>
    <cellStyle name="Input 16 4 2" xfId="32198"/>
    <cellStyle name="Input 16 5" xfId="32199"/>
    <cellStyle name="Input 16 6" xfId="32200"/>
    <cellStyle name="Input 17" xfId="32201"/>
    <cellStyle name="Input 17 2" xfId="32202"/>
    <cellStyle name="Input 17 2 2" xfId="32203"/>
    <cellStyle name="Input 17 2 2 2" xfId="32204"/>
    <cellStyle name="Input 17 2 3" xfId="32205"/>
    <cellStyle name="Input 17 3" xfId="32206"/>
    <cellStyle name="Input 17 3 2" xfId="32207"/>
    <cellStyle name="Input 17 4" xfId="32208"/>
    <cellStyle name="Input 17 4 2" xfId="32209"/>
    <cellStyle name="Input 17 5" xfId="32210"/>
    <cellStyle name="Input 17 6" xfId="32211"/>
    <cellStyle name="Input 18" xfId="32212"/>
    <cellStyle name="Input 18 2" xfId="32213"/>
    <cellStyle name="Input 18 2 2" xfId="32214"/>
    <cellStyle name="Input 18 2 2 2" xfId="32215"/>
    <cellStyle name="Input 18 2 3" xfId="32216"/>
    <cellStyle name="Input 18 2 4" xfId="32217"/>
    <cellStyle name="Input 18 3" xfId="32218"/>
    <cellStyle name="Input 18 3 2" xfId="32219"/>
    <cellStyle name="Input 18 4" xfId="32220"/>
    <cellStyle name="Input 18 4 2" xfId="32221"/>
    <cellStyle name="Input 18 5" xfId="32222"/>
    <cellStyle name="Input 19" xfId="32223"/>
    <cellStyle name="Input 19 2" xfId="32224"/>
    <cellStyle name="Input 19 2 2" xfId="32225"/>
    <cellStyle name="Input 19 2 2 2" xfId="32226"/>
    <cellStyle name="Input 19 2 3" xfId="32227"/>
    <cellStyle name="Input 19 2 4" xfId="32228"/>
    <cellStyle name="Input 19 3" xfId="32229"/>
    <cellStyle name="Input 19 3 2" xfId="32230"/>
    <cellStyle name="Input 19 4" xfId="32231"/>
    <cellStyle name="Input 19 4 2" xfId="32232"/>
    <cellStyle name="Input 19 5" xfId="32233"/>
    <cellStyle name="Input 2" xfId="1393"/>
    <cellStyle name="Input 2 10" xfId="32234"/>
    <cellStyle name="Input 2 2" xfId="1394"/>
    <cellStyle name="Input 2 2 2" xfId="32235"/>
    <cellStyle name="Input 2 2 2 2" xfId="32236"/>
    <cellStyle name="Input 2 2 2 2 2" xfId="32237"/>
    <cellStyle name="Input 2 2 2 3" xfId="32238"/>
    <cellStyle name="Input 2 2 2 4" xfId="32239"/>
    <cellStyle name="Input 2 2 2 5" xfId="32240"/>
    <cellStyle name="Input 2 2 2 6" xfId="32241"/>
    <cellStyle name="Input 2 2 2 7" xfId="32242"/>
    <cellStyle name="Input 2 2 2 8" xfId="32243"/>
    <cellStyle name="Input 2 2 3" xfId="32244"/>
    <cellStyle name="Input 2 2 3 2" xfId="32245"/>
    <cellStyle name="Input 2 2 4" xfId="32246"/>
    <cellStyle name="Input 2 2 4 2" xfId="32247"/>
    <cellStyle name="Input 2 2 5" xfId="32248"/>
    <cellStyle name="Input 2 3" xfId="32249"/>
    <cellStyle name="Input 2 3 2" xfId="32250"/>
    <cellStyle name="Input 2 3 2 2" xfId="32251"/>
    <cellStyle name="Input 2 3 2 2 2" xfId="32252"/>
    <cellStyle name="Input 2 3 2 3" xfId="32253"/>
    <cellStyle name="Input 2 3 2 4" xfId="32254"/>
    <cellStyle name="Input 2 3 3" xfId="32255"/>
    <cellStyle name="Input 2 3 3 2" xfId="32256"/>
    <cellStyle name="Input 2 3 3 3" xfId="32257"/>
    <cellStyle name="Input 2 3 4" xfId="32258"/>
    <cellStyle name="Input 2 3 4 2" xfId="32259"/>
    <cellStyle name="Input 2 3 5" xfId="32260"/>
    <cellStyle name="Input 2 3 6" xfId="32261"/>
    <cellStyle name="Input 2 4" xfId="32262"/>
    <cellStyle name="Input 2 4 2" xfId="32263"/>
    <cellStyle name="Input 2 4 2 2" xfId="32264"/>
    <cellStyle name="Input 2 4 3" xfId="32265"/>
    <cellStyle name="Input 2 4 4" xfId="32266"/>
    <cellStyle name="Input 2 4 5" xfId="32267"/>
    <cellStyle name="Input 2 5" xfId="32268"/>
    <cellStyle name="Input 2 5 2" xfId="32269"/>
    <cellStyle name="Input 2 6" xfId="32270"/>
    <cellStyle name="Input 2 6 2" xfId="32271"/>
    <cellStyle name="Input 2 7" xfId="32272"/>
    <cellStyle name="Input 2 8" xfId="32273"/>
    <cellStyle name="Input 2 9" xfId="32274"/>
    <cellStyle name="Input 20" xfId="32275"/>
    <cellStyle name="Input 20 2" xfId="32276"/>
    <cellStyle name="Input 20 2 2" xfId="32277"/>
    <cellStyle name="Input 20 2 2 2" xfId="32278"/>
    <cellStyle name="Input 20 2 3" xfId="32279"/>
    <cellStyle name="Input 20 2 4" xfId="32280"/>
    <cellStyle name="Input 20 3" xfId="32281"/>
    <cellStyle name="Input 20 3 2" xfId="32282"/>
    <cellStyle name="Input 20 4" xfId="32283"/>
    <cellStyle name="Input 20 4 2" xfId="32284"/>
    <cellStyle name="Input 20 5" xfId="32285"/>
    <cellStyle name="Input 21" xfId="32286"/>
    <cellStyle name="Input 21 2" xfId="32287"/>
    <cellStyle name="Input 21 2 2" xfId="32288"/>
    <cellStyle name="Input 21 2 3" xfId="32289"/>
    <cellStyle name="Input 21 3" xfId="32290"/>
    <cellStyle name="Input 21 4" xfId="32291"/>
    <cellStyle name="Input 22" xfId="32292"/>
    <cellStyle name="Input 22 2" xfId="32293"/>
    <cellStyle name="Input 22 2 2" xfId="32294"/>
    <cellStyle name="Input 22 3" xfId="32295"/>
    <cellStyle name="Input 22 4" xfId="32296"/>
    <cellStyle name="Input 23" xfId="32297"/>
    <cellStyle name="Input 23 2" xfId="32298"/>
    <cellStyle name="Input 23 2 2" xfId="32299"/>
    <cellStyle name="Input 23 3" xfId="32300"/>
    <cellStyle name="Input 23 4" xfId="32301"/>
    <cellStyle name="Input 24" xfId="32302"/>
    <cellStyle name="Input 24 2" xfId="32303"/>
    <cellStyle name="Input 24 2 2" xfId="32304"/>
    <cellStyle name="Input 24 2 3" xfId="32305"/>
    <cellStyle name="Input 24 3" xfId="32306"/>
    <cellStyle name="Input 25" xfId="32307"/>
    <cellStyle name="Input 25 2" xfId="32308"/>
    <cellStyle name="Input 25 2 2" xfId="32309"/>
    <cellStyle name="Input 25 3" xfId="32310"/>
    <cellStyle name="Input 26" xfId="32311"/>
    <cellStyle name="Input 26 2" xfId="32312"/>
    <cellStyle name="Input 26 2 2" xfId="32313"/>
    <cellStyle name="Input 26 3" xfId="32314"/>
    <cellStyle name="Input 27" xfId="32315"/>
    <cellStyle name="Input 27 2" xfId="32316"/>
    <cellStyle name="Input 27 2 2" xfId="32317"/>
    <cellStyle name="Input 27 3" xfId="32318"/>
    <cellStyle name="Input 28" xfId="32319"/>
    <cellStyle name="Input 28 2" xfId="32320"/>
    <cellStyle name="Input 28 2 2" xfId="32321"/>
    <cellStyle name="Input 28 3" xfId="32322"/>
    <cellStyle name="Input 29" xfId="32323"/>
    <cellStyle name="Input 29 2" xfId="32324"/>
    <cellStyle name="Input 29 2 2" xfId="32325"/>
    <cellStyle name="Input 29 3" xfId="32326"/>
    <cellStyle name="Input 3" xfId="1395"/>
    <cellStyle name="Input 3 10" xfId="32327"/>
    <cellStyle name="Input 3 11" xfId="32328"/>
    <cellStyle name="Input 3 2" xfId="32329"/>
    <cellStyle name="Input 3 2 2" xfId="32330"/>
    <cellStyle name="Input 3 2 2 2" xfId="32331"/>
    <cellStyle name="Input 3 2 2 2 2" xfId="32332"/>
    <cellStyle name="Input 3 2 2 3" xfId="32333"/>
    <cellStyle name="Input 3 2 2 4" xfId="32334"/>
    <cellStyle name="Input 3 2 3" xfId="32335"/>
    <cellStyle name="Input 3 2 3 2" xfId="32336"/>
    <cellStyle name="Input 3 2 3 3" xfId="32337"/>
    <cellStyle name="Input 3 2 4" xfId="32338"/>
    <cellStyle name="Input 3 2 4 2" xfId="32339"/>
    <cellStyle name="Input 3 2 5" xfId="32340"/>
    <cellStyle name="Input 3 2 6" xfId="32341"/>
    <cellStyle name="Input 3 3" xfId="32342"/>
    <cellStyle name="Input 3 3 2" xfId="32343"/>
    <cellStyle name="Input 3 3 2 2" xfId="32344"/>
    <cellStyle name="Input 3 3 3" xfId="32345"/>
    <cellStyle name="Input 3 3 4" xfId="32346"/>
    <cellStyle name="Input 3 3 5" xfId="32347"/>
    <cellStyle name="Input 3 4" xfId="32348"/>
    <cellStyle name="Input 3 4 2" xfId="32349"/>
    <cellStyle name="Input 3 5" xfId="32350"/>
    <cellStyle name="Input 3 5 2" xfId="32351"/>
    <cellStyle name="Input 3 6" xfId="32352"/>
    <cellStyle name="Input 3 7" xfId="32353"/>
    <cellStyle name="Input 3 8" xfId="32354"/>
    <cellStyle name="Input 3 9" xfId="32355"/>
    <cellStyle name="Input 30" xfId="32356"/>
    <cellStyle name="Input 30 2" xfId="32357"/>
    <cellStyle name="Input 30 2 2" xfId="32358"/>
    <cellStyle name="Input 30 3" xfId="32359"/>
    <cellStyle name="Input 31" xfId="32360"/>
    <cellStyle name="Input 31 2" xfId="32361"/>
    <cellStyle name="Input 31 2 2" xfId="32362"/>
    <cellStyle name="Input 31 3" xfId="32363"/>
    <cellStyle name="Input 32" xfId="32364"/>
    <cellStyle name="Input 32 2" xfId="32365"/>
    <cellStyle name="Input 32 2 2" xfId="32366"/>
    <cellStyle name="Input 32 3" xfId="32367"/>
    <cellStyle name="Input 33" xfId="32368"/>
    <cellStyle name="Input 33 2" xfId="32369"/>
    <cellStyle name="Input 33 2 2" xfId="32370"/>
    <cellStyle name="Input 33 3" xfId="32371"/>
    <cellStyle name="Input 34" xfId="32372"/>
    <cellStyle name="Input 34 2" xfId="32373"/>
    <cellStyle name="Input 34 2 2" xfId="32374"/>
    <cellStyle name="Input 34 3" xfId="32375"/>
    <cellStyle name="Input 35" xfId="32376"/>
    <cellStyle name="Input 35 2" xfId="32377"/>
    <cellStyle name="Input 35 2 2" xfId="32378"/>
    <cellStyle name="Input 35 3" xfId="32379"/>
    <cellStyle name="Input 36" xfId="32380"/>
    <cellStyle name="Input 36 2" xfId="32381"/>
    <cellStyle name="Input 36 2 2" xfId="32382"/>
    <cellStyle name="Input 37" xfId="32383"/>
    <cellStyle name="Input 37 2" xfId="32384"/>
    <cellStyle name="Input 37 2 2" xfId="32385"/>
    <cellStyle name="Input 38" xfId="32386"/>
    <cellStyle name="Input 38 2" xfId="32387"/>
    <cellStyle name="Input 38 2 2" xfId="32388"/>
    <cellStyle name="Input 39" xfId="32389"/>
    <cellStyle name="Input 39 2" xfId="32390"/>
    <cellStyle name="Input 39 2 2" xfId="32391"/>
    <cellStyle name="Input 4" xfId="1396"/>
    <cellStyle name="Input 4 2" xfId="32392"/>
    <cellStyle name="Input 4 2 2" xfId="32393"/>
    <cellStyle name="Input 4 2 2 2" xfId="32394"/>
    <cellStyle name="Input 4 2 3" xfId="32395"/>
    <cellStyle name="Input 4 2 4" xfId="32396"/>
    <cellStyle name="Input 4 2 5" xfId="32397"/>
    <cellStyle name="Input 4 3" xfId="32398"/>
    <cellStyle name="Input 4 3 2" xfId="32399"/>
    <cellStyle name="Input 4 4" xfId="32400"/>
    <cellStyle name="Input 4 4 2" xfId="32401"/>
    <cellStyle name="Input 4 5" xfId="32402"/>
    <cellStyle name="Input 4 6" xfId="32403"/>
    <cellStyle name="Input 40" xfId="32404"/>
    <cellStyle name="Input 40 2" xfId="32405"/>
    <cellStyle name="Input 40 2 2" xfId="32406"/>
    <cellStyle name="Input 41" xfId="32407"/>
    <cellStyle name="Input 41 2" xfId="32408"/>
    <cellStyle name="Input 41 2 2" xfId="32409"/>
    <cellStyle name="Input 42" xfId="32410"/>
    <cellStyle name="Input 42 2" xfId="32411"/>
    <cellStyle name="Input 42 2 2" xfId="32412"/>
    <cellStyle name="Input 43" xfId="32413"/>
    <cellStyle name="Input 43 2" xfId="32414"/>
    <cellStyle name="Input 43 2 2" xfId="32415"/>
    <cellStyle name="Input 44" xfId="32416"/>
    <cellStyle name="Input 44 2" xfId="32417"/>
    <cellStyle name="Input 44 2 2" xfId="32418"/>
    <cellStyle name="Input 45" xfId="32419"/>
    <cellStyle name="Input 45 2" xfId="32420"/>
    <cellStyle name="Input 45 2 2" xfId="32421"/>
    <cellStyle name="Input 46" xfId="32422"/>
    <cellStyle name="Input 46 2" xfId="32423"/>
    <cellStyle name="Input 46 2 2" xfId="32424"/>
    <cellStyle name="Input 47" xfId="32425"/>
    <cellStyle name="Input 47 2" xfId="32426"/>
    <cellStyle name="Input 47 2 2" xfId="32427"/>
    <cellStyle name="Input 48" xfId="32428"/>
    <cellStyle name="Input 48 2" xfId="32429"/>
    <cellStyle name="Input 48 2 2" xfId="32430"/>
    <cellStyle name="Input 49" xfId="32431"/>
    <cellStyle name="Input 49 2" xfId="32432"/>
    <cellStyle name="Input 49 2 2" xfId="32433"/>
    <cellStyle name="Input 5" xfId="1397"/>
    <cellStyle name="Input 5 2" xfId="32434"/>
    <cellStyle name="Input 5 2 2" xfId="32435"/>
    <cellStyle name="Input 5 2 2 2" xfId="32436"/>
    <cellStyle name="Input 5 2 3" xfId="32437"/>
    <cellStyle name="Input 5 2 4" xfId="32438"/>
    <cellStyle name="Input 5 2 5" xfId="32439"/>
    <cellStyle name="Input 5 3" xfId="32440"/>
    <cellStyle name="Input 5 3 2" xfId="32441"/>
    <cellStyle name="Input 5 4" xfId="32442"/>
    <cellStyle name="Input 5 4 2" xfId="32443"/>
    <cellStyle name="Input 5 5" xfId="32444"/>
    <cellStyle name="Input 5 6" xfId="32445"/>
    <cellStyle name="Input 50" xfId="32446"/>
    <cellStyle name="Input 50 2" xfId="32447"/>
    <cellStyle name="Input 50 2 2" xfId="32448"/>
    <cellStyle name="Input 51" xfId="32449"/>
    <cellStyle name="Input 51 2" xfId="32450"/>
    <cellStyle name="Input 51 2 2" xfId="32451"/>
    <cellStyle name="Input 52" xfId="32452"/>
    <cellStyle name="Input 52 2" xfId="32453"/>
    <cellStyle name="Input 52 2 2" xfId="32454"/>
    <cellStyle name="Input 53" xfId="32455"/>
    <cellStyle name="Input 53 2" xfId="32456"/>
    <cellStyle name="Input 53 2 2" xfId="32457"/>
    <cellStyle name="Input 54" xfId="32458"/>
    <cellStyle name="Input 54 2" xfId="32459"/>
    <cellStyle name="Input 54 2 2" xfId="32460"/>
    <cellStyle name="Input 55" xfId="32461"/>
    <cellStyle name="Input 55 2" xfId="32462"/>
    <cellStyle name="Input 55 2 2" xfId="32463"/>
    <cellStyle name="Input 56" xfId="32464"/>
    <cellStyle name="Input 56 2" xfId="32465"/>
    <cellStyle name="Input 56 2 2" xfId="32466"/>
    <cellStyle name="Input 57" xfId="32467"/>
    <cellStyle name="Input 57 2" xfId="32468"/>
    <cellStyle name="Input 57 2 2" xfId="32469"/>
    <cellStyle name="Input 58" xfId="32470"/>
    <cellStyle name="Input 58 2" xfId="32471"/>
    <cellStyle name="Input 58 2 2" xfId="32472"/>
    <cellStyle name="Input 59" xfId="32473"/>
    <cellStyle name="Input 59 2" xfId="32474"/>
    <cellStyle name="Input 59 2 2" xfId="32475"/>
    <cellStyle name="Input 6" xfId="1398"/>
    <cellStyle name="Input 6 2" xfId="32476"/>
    <cellStyle name="Input 6 2 2" xfId="32477"/>
    <cellStyle name="Input 6 2 2 2" xfId="32478"/>
    <cellStyle name="Input 6 2 3" xfId="32479"/>
    <cellStyle name="Input 6 2 4" xfId="32480"/>
    <cellStyle name="Input 6 2 5" xfId="32481"/>
    <cellStyle name="Input 6 3" xfId="32482"/>
    <cellStyle name="Input 6 3 2" xfId="32483"/>
    <cellStyle name="Input 6 4" xfId="32484"/>
    <cellStyle name="Input 6 4 2" xfId="32485"/>
    <cellStyle name="Input 6 5" xfId="32486"/>
    <cellStyle name="Input 6 6" xfId="32487"/>
    <cellStyle name="Input 60" xfId="32488"/>
    <cellStyle name="Input 60 2" xfId="32489"/>
    <cellStyle name="Input 60 2 2" xfId="32490"/>
    <cellStyle name="Input 61" xfId="32491"/>
    <cellStyle name="Input 61 2" xfId="32492"/>
    <cellStyle name="Input 61 2 2" xfId="32493"/>
    <cellStyle name="Input 62" xfId="32494"/>
    <cellStyle name="Input 62 2" xfId="32495"/>
    <cellStyle name="Input 62 2 2" xfId="32496"/>
    <cellStyle name="Input 63" xfId="32497"/>
    <cellStyle name="Input 63 2" xfId="32498"/>
    <cellStyle name="Input 63 2 2" xfId="32499"/>
    <cellStyle name="Input 64" xfId="32500"/>
    <cellStyle name="Input 64 2" xfId="32501"/>
    <cellStyle name="Input 64 2 2" xfId="32502"/>
    <cellStyle name="Input 65" xfId="32503"/>
    <cellStyle name="Input 65 2" xfId="32504"/>
    <cellStyle name="Input 65 2 2" xfId="32505"/>
    <cellStyle name="Input 66" xfId="32506"/>
    <cellStyle name="Input 66 2" xfId="32507"/>
    <cellStyle name="Input 66 2 2" xfId="32508"/>
    <cellStyle name="Input 67" xfId="32509"/>
    <cellStyle name="Input 67 2" xfId="32510"/>
    <cellStyle name="Input 67 2 2" xfId="32511"/>
    <cellStyle name="Input 68" xfId="32512"/>
    <cellStyle name="Input 68 2" xfId="32513"/>
    <cellStyle name="Input 68 2 2" xfId="32514"/>
    <cellStyle name="Input 68 3" xfId="32515"/>
    <cellStyle name="Input 69" xfId="32516"/>
    <cellStyle name="Input 69 2" xfId="32517"/>
    <cellStyle name="Input 69 2 2" xfId="32518"/>
    <cellStyle name="Input 69 3" xfId="32519"/>
    <cellStyle name="Input 7" xfId="1399"/>
    <cellStyle name="Input 7 2" xfId="32520"/>
    <cellStyle name="Input 7 2 2" xfId="32521"/>
    <cellStyle name="Input 7 2 2 2" xfId="32522"/>
    <cellStyle name="Input 7 2 3" xfId="32523"/>
    <cellStyle name="Input 7 2 4" xfId="32524"/>
    <cellStyle name="Input 7 3" xfId="32525"/>
    <cellStyle name="Input 7 3 2" xfId="32526"/>
    <cellStyle name="Input 7 4" xfId="32527"/>
    <cellStyle name="Input 7 4 2" xfId="32528"/>
    <cellStyle name="Input 7 5" xfId="32529"/>
    <cellStyle name="Input 7 6" xfId="32530"/>
    <cellStyle name="Input 70" xfId="32531"/>
    <cellStyle name="Input 70 2" xfId="32532"/>
    <cellStyle name="Input 70 2 2" xfId="32533"/>
    <cellStyle name="Input 70 3" xfId="32534"/>
    <cellStyle name="Input 71" xfId="32535"/>
    <cellStyle name="Input 71 2" xfId="32536"/>
    <cellStyle name="Input 71 2 2" xfId="32537"/>
    <cellStyle name="Input 71 3" xfId="32538"/>
    <cellStyle name="Input 72" xfId="32539"/>
    <cellStyle name="Input 72 2" xfId="32540"/>
    <cellStyle name="Input 72 2 2" xfId="32541"/>
    <cellStyle name="Input 72 3" xfId="32542"/>
    <cellStyle name="Input 73" xfId="32543"/>
    <cellStyle name="Input 73 2" xfId="32544"/>
    <cellStyle name="Input 73 2 2" xfId="32545"/>
    <cellStyle name="Input 73 3" xfId="32546"/>
    <cellStyle name="Input 74" xfId="32547"/>
    <cellStyle name="Input 74 2" xfId="32548"/>
    <cellStyle name="Input 74 2 2" xfId="32549"/>
    <cellStyle name="Input 74 3" xfId="32550"/>
    <cellStyle name="Input 75" xfId="32551"/>
    <cellStyle name="Input 75 2" xfId="32552"/>
    <cellStyle name="Input 75 2 2" xfId="32553"/>
    <cellStyle name="Input 75 3" xfId="32554"/>
    <cellStyle name="Input 76" xfId="32555"/>
    <cellStyle name="Input 76 2" xfId="32556"/>
    <cellStyle name="Input 76 2 2" xfId="32557"/>
    <cellStyle name="Input 76 3" xfId="32558"/>
    <cellStyle name="Input 77" xfId="32559"/>
    <cellStyle name="Input 77 2" xfId="32560"/>
    <cellStyle name="Input 77 2 2" xfId="32561"/>
    <cellStyle name="Input 77 3" xfId="32562"/>
    <cellStyle name="Input 78" xfId="32563"/>
    <cellStyle name="Input 78 2" xfId="32564"/>
    <cellStyle name="Input 78 2 2" xfId="32565"/>
    <cellStyle name="Input 78 3" xfId="32566"/>
    <cellStyle name="Input 79" xfId="32567"/>
    <cellStyle name="Input 79 2" xfId="32568"/>
    <cellStyle name="Input 79 2 2" xfId="32569"/>
    <cellStyle name="Input 79 3" xfId="32570"/>
    <cellStyle name="Input 8" xfId="32571"/>
    <cellStyle name="Input 8 2" xfId="32572"/>
    <cellStyle name="Input 8 2 2" xfId="32573"/>
    <cellStyle name="Input 8 2 2 2" xfId="32574"/>
    <cellStyle name="Input 8 2 3" xfId="32575"/>
    <cellStyle name="Input 8 2 4" xfId="32576"/>
    <cellStyle name="Input 8 3" xfId="32577"/>
    <cellStyle name="Input 8 3 2" xfId="32578"/>
    <cellStyle name="Input 8 4" xfId="32579"/>
    <cellStyle name="Input 8 4 2" xfId="32580"/>
    <cellStyle name="Input 8 5" xfId="32581"/>
    <cellStyle name="Input 8 6" xfId="32582"/>
    <cellStyle name="Input 80" xfId="32583"/>
    <cellStyle name="Input 80 2" xfId="32584"/>
    <cellStyle name="Input 81" xfId="32585"/>
    <cellStyle name="Input 81 2" xfId="32586"/>
    <cellStyle name="Input 82" xfId="32587"/>
    <cellStyle name="Input 82 2" xfId="32588"/>
    <cellStyle name="Input 83" xfId="32589"/>
    <cellStyle name="Input 83 2" xfId="32590"/>
    <cellStyle name="Input 84" xfId="32591"/>
    <cellStyle name="Input 84 2" xfId="32592"/>
    <cellStyle name="Input 85" xfId="32593"/>
    <cellStyle name="Input 85 2" xfId="32594"/>
    <cellStyle name="Input 86" xfId="32595"/>
    <cellStyle name="Input 86 2" xfId="32596"/>
    <cellStyle name="Input 87" xfId="32597"/>
    <cellStyle name="Input 87 2" xfId="32598"/>
    <cellStyle name="Input 88" xfId="32599"/>
    <cellStyle name="Input 88 2" xfId="32600"/>
    <cellStyle name="Input 89" xfId="32601"/>
    <cellStyle name="Input 89 2" xfId="32602"/>
    <cellStyle name="Input 9" xfId="32603"/>
    <cellStyle name="Input 9 2" xfId="32604"/>
    <cellStyle name="Input 9 2 2" xfId="32605"/>
    <cellStyle name="Input 9 2 2 2" xfId="32606"/>
    <cellStyle name="Input 9 2 3" xfId="32607"/>
    <cellStyle name="Input 9 3" xfId="32608"/>
    <cellStyle name="Input 9 3 2" xfId="32609"/>
    <cellStyle name="Input 9 4" xfId="32610"/>
    <cellStyle name="Input 9 4 2" xfId="32611"/>
    <cellStyle name="Input 9 5" xfId="32612"/>
    <cellStyle name="Input 9 6" xfId="32613"/>
    <cellStyle name="Input 90" xfId="32614"/>
    <cellStyle name="Input 90 2" xfId="32615"/>
    <cellStyle name="Input 91" xfId="32616"/>
    <cellStyle name="Input 91 2" xfId="32617"/>
    <cellStyle name="Input 92" xfId="32618"/>
    <cellStyle name="Input 93" xfId="32619"/>
    <cellStyle name="Input 94" xfId="32620"/>
    <cellStyle name="Input 95" xfId="32621"/>
    <cellStyle name="Input 96" xfId="32622"/>
    <cellStyle name="Input 97" xfId="32623"/>
    <cellStyle name="Input Cells" xfId="1400"/>
    <cellStyle name="Input Cells 2" xfId="32624"/>
    <cellStyle name="Input Cells 2 2" xfId="32625"/>
    <cellStyle name="Input Cells 2 2 2" xfId="32626"/>
    <cellStyle name="Input Cells 2 2 2 2" xfId="32627"/>
    <cellStyle name="Input Cells 2 2 3" xfId="32628"/>
    <cellStyle name="Input Cells 2 3" xfId="32629"/>
    <cellStyle name="Input Cells 2 3 2" xfId="32630"/>
    <cellStyle name="Input Cells 2 4" xfId="32631"/>
    <cellStyle name="Input Cells 2 4 2" xfId="32632"/>
    <cellStyle name="Input Cells 2 5" xfId="32633"/>
    <cellStyle name="Input Cells 3" xfId="32634"/>
    <cellStyle name="Input Cells 3 2" xfId="32635"/>
    <cellStyle name="Input Cells 3 2 2" xfId="32636"/>
    <cellStyle name="Input Cells 3 3" xfId="32637"/>
    <cellStyle name="Input Cells 4" xfId="32638"/>
    <cellStyle name="Input Cells 4 2" xfId="32639"/>
    <cellStyle name="Input Cells 5" xfId="32640"/>
    <cellStyle name="Input Cells 5 2" xfId="32641"/>
    <cellStyle name="Input Cells 6" xfId="32642"/>
    <cellStyle name="Input Cells Percent" xfId="1401"/>
    <cellStyle name="Input Cells Percent 2" xfId="32643"/>
    <cellStyle name="Input Cells Percent 2 2" xfId="32644"/>
    <cellStyle name="Input Cells Percent 2 2 2" xfId="32645"/>
    <cellStyle name="Input Cells Percent 2 2 2 2" xfId="32646"/>
    <cellStyle name="Input Cells Percent 2 2 3" xfId="32647"/>
    <cellStyle name="Input Cells Percent 2 3" xfId="32648"/>
    <cellStyle name="Input Cells Percent 2 3 2" xfId="32649"/>
    <cellStyle name="Input Cells Percent 2 4" xfId="32650"/>
    <cellStyle name="Input Cells Percent 2 4 2" xfId="32651"/>
    <cellStyle name="Input Cells Percent 2 5" xfId="32652"/>
    <cellStyle name="Input Cells Percent 3" xfId="32653"/>
    <cellStyle name="Input Cells Percent 3 2" xfId="32654"/>
    <cellStyle name="Input Cells Percent 3 2 2" xfId="32655"/>
    <cellStyle name="Input Cells Percent 3 3" xfId="32656"/>
    <cellStyle name="Input Cells Percent 4" xfId="32657"/>
    <cellStyle name="Input Cells Percent 4 2" xfId="32658"/>
    <cellStyle name="Input Cells Percent 5" xfId="32659"/>
    <cellStyle name="Input Cells Percent 5 2" xfId="32660"/>
    <cellStyle name="Input Cells Percent 6" xfId="32661"/>
    <cellStyle name="Input Cells Percent_AURORA Total New" xfId="32662"/>
    <cellStyle name="Input Cells_4.34E Mint Farm Deferral" xfId="1402"/>
    <cellStyle name="line b - Style6" xfId="32663"/>
    <cellStyle name="Lines" xfId="1403"/>
    <cellStyle name="Lines 2" xfId="1404"/>
    <cellStyle name="Lines 2 2" xfId="32664"/>
    <cellStyle name="Lines 2 2 2" xfId="32665"/>
    <cellStyle name="Lines 2 2 2 2" xfId="32666"/>
    <cellStyle name="Lines 2 2 3" xfId="32667"/>
    <cellStyle name="Lines 2 3" xfId="32668"/>
    <cellStyle name="Lines 2 3 2" xfId="32669"/>
    <cellStyle name="Lines 2 4" xfId="32670"/>
    <cellStyle name="Lines 2 4 2" xfId="32671"/>
    <cellStyle name="Lines 2 5" xfId="32672"/>
    <cellStyle name="Lines 3" xfId="32673"/>
    <cellStyle name="Lines 3 2" xfId="32674"/>
    <cellStyle name="Lines 3 2 2" xfId="32675"/>
    <cellStyle name="Lines 3 2 2 2" xfId="32676"/>
    <cellStyle name="Lines 3 2 3" xfId="32677"/>
    <cellStyle name="Lines 3 3" xfId="32678"/>
    <cellStyle name="Lines 3 3 2" xfId="32679"/>
    <cellStyle name="Lines 3 4" xfId="32680"/>
    <cellStyle name="Lines 3 4 2" xfId="32681"/>
    <cellStyle name="Lines 4" xfId="32682"/>
    <cellStyle name="Lines 4 2" xfId="32683"/>
    <cellStyle name="Lines 4 2 2" xfId="32684"/>
    <cellStyle name="Lines 4 3" xfId="32685"/>
    <cellStyle name="Lines 4 3 2" xfId="32686"/>
    <cellStyle name="Lines 5" xfId="32687"/>
    <cellStyle name="Lines 5 2" xfId="32688"/>
    <cellStyle name="Lines 5 2 2" xfId="32689"/>
    <cellStyle name="Lines 5 3" xfId="32690"/>
    <cellStyle name="Lines 6" xfId="32691"/>
    <cellStyle name="Lines 6 2" xfId="32692"/>
    <cellStyle name="Lines 7" xfId="32693"/>
    <cellStyle name="Lines 7 2" xfId="32694"/>
    <cellStyle name="Lines 8" xfId="32695"/>
    <cellStyle name="Lines_Electric Rev Req Model (2009 GRC) Rebuttal" xfId="32696"/>
    <cellStyle name="LINKED" xfId="1405"/>
    <cellStyle name="LINKED 2" xfId="32697"/>
    <cellStyle name="LINKED 2 2" xfId="32698"/>
    <cellStyle name="LINKED 2 2 2" xfId="32699"/>
    <cellStyle name="LINKED 2 2 3" xfId="32700"/>
    <cellStyle name="LINKED 2 2 4" xfId="32701"/>
    <cellStyle name="LINKED 2 3" xfId="32702"/>
    <cellStyle name="LINKED 2 4" xfId="32703"/>
    <cellStyle name="LINKED 2 5" xfId="32704"/>
    <cellStyle name="LINKED 3" xfId="32705"/>
    <cellStyle name="LINKED 3 2" xfId="32706"/>
    <cellStyle name="LINKED 4" xfId="32707"/>
    <cellStyle name="LINKED 4 2" xfId="32708"/>
    <cellStyle name="LINKED 5" xfId="32709"/>
    <cellStyle name="Linked Cell 10" xfId="32710"/>
    <cellStyle name="Linked Cell 2" xfId="1406"/>
    <cellStyle name="Linked Cell 2 2" xfId="1407"/>
    <cellStyle name="Linked Cell 2 2 2" xfId="32711"/>
    <cellStyle name="Linked Cell 2 2 2 2" xfId="32712"/>
    <cellStyle name="Linked Cell 2 2 2 2 2" xfId="32713"/>
    <cellStyle name="Linked Cell 2 2 2 3" xfId="32714"/>
    <cellStyle name="Linked Cell 2 2 2 4" xfId="32715"/>
    <cellStyle name="Linked Cell 2 2 3" xfId="32716"/>
    <cellStyle name="Linked Cell 2 2 3 2" xfId="32717"/>
    <cellStyle name="Linked Cell 2 2 4" xfId="32718"/>
    <cellStyle name="Linked Cell 2 2 4 2" xfId="32719"/>
    <cellStyle name="Linked Cell 2 2 5" xfId="32720"/>
    <cellStyle name="Linked Cell 2 3" xfId="32721"/>
    <cellStyle name="Linked Cell 2 3 2" xfId="32722"/>
    <cellStyle name="Linked Cell 2 3 2 2" xfId="32723"/>
    <cellStyle name="Linked Cell 2 3 2 2 2" xfId="32724"/>
    <cellStyle name="Linked Cell 2 3 2 3" xfId="32725"/>
    <cellStyle name="Linked Cell 2 3 2 4" xfId="32726"/>
    <cellStyle name="Linked Cell 2 3 3" xfId="32727"/>
    <cellStyle name="Linked Cell 2 3 3 2" xfId="32728"/>
    <cellStyle name="Linked Cell 2 3 3 3" xfId="32729"/>
    <cellStyle name="Linked Cell 2 3 4" xfId="32730"/>
    <cellStyle name="Linked Cell 2 3 4 2" xfId="32731"/>
    <cellStyle name="Linked Cell 2 3 4 3" xfId="32732"/>
    <cellStyle name="Linked Cell 2 3 5" xfId="32733"/>
    <cellStyle name="Linked Cell 2 3 6" xfId="32734"/>
    <cellStyle name="Linked Cell 2 4" xfId="32735"/>
    <cellStyle name="Linked Cell 2 4 2" xfId="32736"/>
    <cellStyle name="Linked Cell 2 4 2 2" xfId="32737"/>
    <cellStyle name="Linked Cell 2 4 3" xfId="32738"/>
    <cellStyle name="Linked Cell 2 4 4" xfId="32739"/>
    <cellStyle name="Linked Cell 2 4 5" xfId="32740"/>
    <cellStyle name="Linked Cell 2 5" xfId="32741"/>
    <cellStyle name="Linked Cell 2 5 2" xfId="32742"/>
    <cellStyle name="Linked Cell 2 5 3" xfId="32743"/>
    <cellStyle name="Linked Cell 2 6" xfId="32744"/>
    <cellStyle name="Linked Cell 2 6 2" xfId="32745"/>
    <cellStyle name="Linked Cell 2 7" xfId="32746"/>
    <cellStyle name="Linked Cell 3" xfId="1408"/>
    <cellStyle name="Linked Cell 3 2" xfId="32747"/>
    <cellStyle name="Linked Cell 3 2 2" xfId="32748"/>
    <cellStyle name="Linked Cell 3 2 2 2" xfId="32749"/>
    <cellStyle name="Linked Cell 3 2 3" xfId="32750"/>
    <cellStyle name="Linked Cell 3 3" xfId="32751"/>
    <cellStyle name="Linked Cell 3 3 2" xfId="32752"/>
    <cellStyle name="Linked Cell 3 4" xfId="32753"/>
    <cellStyle name="Linked Cell 3 4 2" xfId="32754"/>
    <cellStyle name="Linked Cell 3 5" xfId="32755"/>
    <cellStyle name="Linked Cell 3 6" xfId="32756"/>
    <cellStyle name="Linked Cell 4" xfId="1409"/>
    <cellStyle name="Linked Cell 4 2" xfId="32757"/>
    <cellStyle name="Linked Cell 4 2 2" xfId="32758"/>
    <cellStyle name="Linked Cell 4 2 2 2" xfId="32759"/>
    <cellStyle name="Linked Cell 4 2 3" xfId="32760"/>
    <cellStyle name="Linked Cell 4 2 4" xfId="32761"/>
    <cellStyle name="Linked Cell 4 3" xfId="32762"/>
    <cellStyle name="Linked Cell 4 3 2" xfId="32763"/>
    <cellStyle name="Linked Cell 4 4" xfId="32764"/>
    <cellStyle name="Linked Cell 4 4 2" xfId="32765"/>
    <cellStyle name="Linked Cell 5" xfId="32766"/>
    <cellStyle name="Linked Cell 5 2" xfId="32767"/>
    <cellStyle name="Linked Cell 5 2 2" xfId="32768"/>
    <cellStyle name="Linked Cell 5 2 3" xfId="32769"/>
    <cellStyle name="Linked Cell 5 3" xfId="32770"/>
    <cellStyle name="Linked Cell 6" xfId="32771"/>
    <cellStyle name="Linked Cell 6 2" xfId="32772"/>
    <cellStyle name="Linked Cell 6 2 2" xfId="32773"/>
    <cellStyle name="Linked Cell 6 3" xfId="32774"/>
    <cellStyle name="Linked Cell 6 4" xfId="32775"/>
    <cellStyle name="Linked Cell 6 5" xfId="32776"/>
    <cellStyle name="Linked Cell 7" xfId="32777"/>
    <cellStyle name="Linked Cell 7 2" xfId="32778"/>
    <cellStyle name="Linked Cell 7 3" xfId="32779"/>
    <cellStyle name="Linked Cell 8" xfId="32780"/>
    <cellStyle name="Linked Cell 9" xfId="32781"/>
    <cellStyle name="Millares [0]_2AV_M_M " xfId="32782"/>
    <cellStyle name="Millares_2AV_M_M " xfId="32783"/>
    <cellStyle name="modified border" xfId="1410"/>
    <cellStyle name="modified border 2" xfId="1411"/>
    <cellStyle name="modified border 2 2" xfId="32784"/>
    <cellStyle name="modified border 2 2 2" xfId="32785"/>
    <cellStyle name="modified border 2 2 2 2" xfId="32786"/>
    <cellStyle name="modified border 2 2 3" xfId="32787"/>
    <cellStyle name="modified border 2 2 4" xfId="32788"/>
    <cellStyle name="modified border 2 3" xfId="32789"/>
    <cellStyle name="modified border 2 3 2" xfId="32790"/>
    <cellStyle name="modified border 2 4" xfId="32791"/>
    <cellStyle name="modified border 2 4 2" xfId="32792"/>
    <cellStyle name="modified border 2 5" xfId="32793"/>
    <cellStyle name="modified border 3" xfId="1412"/>
    <cellStyle name="modified border 3 2" xfId="32794"/>
    <cellStyle name="modified border 3 2 2" xfId="32795"/>
    <cellStyle name="modified border 3 2 2 2" xfId="32796"/>
    <cellStyle name="modified border 3 2 3" xfId="32797"/>
    <cellStyle name="modified border 3 2 4" xfId="32798"/>
    <cellStyle name="modified border 3 3" xfId="32799"/>
    <cellStyle name="modified border 3 3 2" xfId="32800"/>
    <cellStyle name="modified border 3 4" xfId="32801"/>
    <cellStyle name="modified border 3 4 2" xfId="32802"/>
    <cellStyle name="modified border 3 5" xfId="32803"/>
    <cellStyle name="modified border 4" xfId="1413"/>
    <cellStyle name="modified border 4 2" xfId="32804"/>
    <cellStyle name="modified border 4 2 2" xfId="32805"/>
    <cellStyle name="modified border 4 2 2 2" xfId="32806"/>
    <cellStyle name="modified border 4 2 3" xfId="32807"/>
    <cellStyle name="modified border 4 2 4" xfId="32808"/>
    <cellStyle name="modified border 4 3" xfId="32809"/>
    <cellStyle name="modified border 4 3 2" xfId="32810"/>
    <cellStyle name="modified border 4 4" xfId="32811"/>
    <cellStyle name="modified border 4 4 2" xfId="32812"/>
    <cellStyle name="modified border 4 5" xfId="32813"/>
    <cellStyle name="modified border 5" xfId="32814"/>
    <cellStyle name="modified border 5 2" xfId="32815"/>
    <cellStyle name="modified border 5 2 2" xfId="32816"/>
    <cellStyle name="modified border 5 2 3" xfId="32817"/>
    <cellStyle name="modified border 5 2 4" xfId="32818"/>
    <cellStyle name="modified border 5 3" xfId="32819"/>
    <cellStyle name="modified border 5 4" xfId="32820"/>
    <cellStyle name="modified border 5 5" xfId="32821"/>
    <cellStyle name="modified border 6" xfId="32822"/>
    <cellStyle name="modified border 6 2" xfId="32823"/>
    <cellStyle name="modified border 7" xfId="32824"/>
    <cellStyle name="modified border 7 2" xfId="32825"/>
    <cellStyle name="modified border 8" xfId="32826"/>
    <cellStyle name="modified border 8 2" xfId="32827"/>
    <cellStyle name="modified border 9" xfId="32828"/>
    <cellStyle name="modified border_4.34E Mint Farm Deferral" xfId="1414"/>
    <cellStyle name="modified border1" xfId="1415"/>
    <cellStyle name="modified border1 2" xfId="1416"/>
    <cellStyle name="modified border1 2 2" xfId="32829"/>
    <cellStyle name="modified border1 2 2 2" xfId="32830"/>
    <cellStyle name="modified border1 2 2 2 2" xfId="32831"/>
    <cellStyle name="modified border1 2 2 3" xfId="32832"/>
    <cellStyle name="modified border1 2 2 4" xfId="32833"/>
    <cellStyle name="modified border1 2 3" xfId="32834"/>
    <cellStyle name="modified border1 2 3 2" xfId="32835"/>
    <cellStyle name="modified border1 2 4" xfId="32836"/>
    <cellStyle name="modified border1 2 4 2" xfId="32837"/>
    <cellStyle name="modified border1 2 5" xfId="32838"/>
    <cellStyle name="modified border1 3" xfId="1417"/>
    <cellStyle name="modified border1 3 2" xfId="32839"/>
    <cellStyle name="modified border1 3 2 2" xfId="32840"/>
    <cellStyle name="modified border1 3 2 2 2" xfId="32841"/>
    <cellStyle name="modified border1 3 2 3" xfId="32842"/>
    <cellStyle name="modified border1 3 2 4" xfId="32843"/>
    <cellStyle name="modified border1 3 3" xfId="32844"/>
    <cellStyle name="modified border1 3 3 2" xfId="32845"/>
    <cellStyle name="modified border1 3 4" xfId="32846"/>
    <cellStyle name="modified border1 3 4 2" xfId="32847"/>
    <cellStyle name="modified border1 3 5" xfId="32848"/>
    <cellStyle name="modified border1 4" xfId="1418"/>
    <cellStyle name="modified border1 4 2" xfId="32849"/>
    <cellStyle name="modified border1 4 2 2" xfId="32850"/>
    <cellStyle name="modified border1 4 2 2 2" xfId="32851"/>
    <cellStyle name="modified border1 4 2 3" xfId="32852"/>
    <cellStyle name="modified border1 4 2 4" xfId="32853"/>
    <cellStyle name="modified border1 4 3" xfId="32854"/>
    <cellStyle name="modified border1 4 3 2" xfId="32855"/>
    <cellStyle name="modified border1 4 4" xfId="32856"/>
    <cellStyle name="modified border1 4 4 2" xfId="32857"/>
    <cellStyle name="modified border1 4 5" xfId="32858"/>
    <cellStyle name="modified border1 5" xfId="32859"/>
    <cellStyle name="modified border1 5 2" xfId="32860"/>
    <cellStyle name="modified border1 5 2 2" xfId="32861"/>
    <cellStyle name="modified border1 5 2 3" xfId="32862"/>
    <cellStyle name="modified border1 5 2 4" xfId="32863"/>
    <cellStyle name="modified border1 5 3" xfId="32864"/>
    <cellStyle name="modified border1 5 4" xfId="32865"/>
    <cellStyle name="modified border1 5 5" xfId="32866"/>
    <cellStyle name="modified border1 6" xfId="32867"/>
    <cellStyle name="modified border1 6 2" xfId="32868"/>
    <cellStyle name="modified border1 7" xfId="32869"/>
    <cellStyle name="modified border1 7 2" xfId="32870"/>
    <cellStyle name="modified border1 8" xfId="32871"/>
    <cellStyle name="modified border1 8 2" xfId="32872"/>
    <cellStyle name="modified border1 9" xfId="32873"/>
    <cellStyle name="modified border1_4.34E Mint Farm Deferral" xfId="1419"/>
    <cellStyle name="Moneda [0]_2AV_M_M " xfId="32874"/>
    <cellStyle name="Moneda_2AV_M_M " xfId="32875"/>
    <cellStyle name="MonthYears" xfId="32876"/>
    <cellStyle name="Neutral 10" xfId="32877"/>
    <cellStyle name="Neutral 2" xfId="1420"/>
    <cellStyle name="Neutral 2 2" xfId="1421"/>
    <cellStyle name="Neutral 2 2 2" xfId="32878"/>
    <cellStyle name="Neutral 2 2 2 2" xfId="32879"/>
    <cellStyle name="Neutral 2 2 2 2 2" xfId="32880"/>
    <cellStyle name="Neutral 2 2 2 3" xfId="32881"/>
    <cellStyle name="Neutral 2 2 2 4" xfId="32882"/>
    <cellStyle name="Neutral 2 2 3" xfId="32883"/>
    <cellStyle name="Neutral 2 2 3 2" xfId="32884"/>
    <cellStyle name="Neutral 2 2 4" xfId="32885"/>
    <cellStyle name="Neutral 2 2 4 2" xfId="32886"/>
    <cellStyle name="Neutral 2 2 5" xfId="32887"/>
    <cellStyle name="Neutral 2 3" xfId="32888"/>
    <cellStyle name="Neutral 2 3 2" xfId="32889"/>
    <cellStyle name="Neutral 2 3 2 2" xfId="32890"/>
    <cellStyle name="Neutral 2 3 2 2 2" xfId="32891"/>
    <cellStyle name="Neutral 2 3 2 3" xfId="32892"/>
    <cellStyle name="Neutral 2 3 2 4" xfId="32893"/>
    <cellStyle name="Neutral 2 3 3" xfId="32894"/>
    <cellStyle name="Neutral 2 3 3 2" xfId="32895"/>
    <cellStyle name="Neutral 2 3 3 3" xfId="32896"/>
    <cellStyle name="Neutral 2 3 4" xfId="32897"/>
    <cellStyle name="Neutral 2 3 4 2" xfId="32898"/>
    <cellStyle name="Neutral 2 3 5" xfId="32899"/>
    <cellStyle name="Neutral 2 3 6" xfId="32900"/>
    <cellStyle name="Neutral 2 4" xfId="32901"/>
    <cellStyle name="Neutral 2 4 2" xfId="32902"/>
    <cellStyle name="Neutral 2 4 2 2" xfId="32903"/>
    <cellStyle name="Neutral 2 4 3" xfId="32904"/>
    <cellStyle name="Neutral 2 4 4" xfId="32905"/>
    <cellStyle name="Neutral 2 4 5" xfId="32906"/>
    <cellStyle name="Neutral 2 5" xfId="32907"/>
    <cellStyle name="Neutral 2 5 2" xfId="32908"/>
    <cellStyle name="Neutral 2 6" xfId="32909"/>
    <cellStyle name="Neutral 2 6 2" xfId="32910"/>
    <cellStyle name="Neutral 2 7" xfId="32911"/>
    <cellStyle name="Neutral 3" xfId="1422"/>
    <cellStyle name="Neutral 3 2" xfId="32912"/>
    <cellStyle name="Neutral 3 2 2" xfId="32913"/>
    <cellStyle name="Neutral 3 2 2 2" xfId="32914"/>
    <cellStyle name="Neutral 3 2 3" xfId="32915"/>
    <cellStyle name="Neutral 3 3" xfId="32916"/>
    <cellStyle name="Neutral 3 3 2" xfId="32917"/>
    <cellStyle name="Neutral 3 4" xfId="32918"/>
    <cellStyle name="Neutral 3 4 2" xfId="32919"/>
    <cellStyle name="Neutral 3 5" xfId="32920"/>
    <cellStyle name="Neutral 3 6" xfId="32921"/>
    <cellStyle name="Neutral 4" xfId="1423"/>
    <cellStyle name="Neutral 4 2" xfId="32922"/>
    <cellStyle name="Neutral 4 2 2" xfId="32923"/>
    <cellStyle name="Neutral 4 2 2 2" xfId="32924"/>
    <cellStyle name="Neutral 4 2 3" xfId="32925"/>
    <cellStyle name="Neutral 4 2 4" xfId="32926"/>
    <cellStyle name="Neutral 4 3" xfId="32927"/>
    <cellStyle name="Neutral 4 3 2" xfId="32928"/>
    <cellStyle name="Neutral 4 4" xfId="32929"/>
    <cellStyle name="Neutral 4 4 2" xfId="32930"/>
    <cellStyle name="Neutral 5" xfId="32931"/>
    <cellStyle name="Neutral 5 2" xfId="32932"/>
    <cellStyle name="Neutral 5 2 2" xfId="32933"/>
    <cellStyle name="Neutral 5 2 3" xfId="32934"/>
    <cellStyle name="Neutral 5 3" xfId="32935"/>
    <cellStyle name="Neutral 6" xfId="32936"/>
    <cellStyle name="Neutral 6 2" xfId="32937"/>
    <cellStyle name="Neutral 6 2 2" xfId="32938"/>
    <cellStyle name="Neutral 6 3" xfId="32939"/>
    <cellStyle name="Neutral 6 4" xfId="32940"/>
    <cellStyle name="Neutral 6 5" xfId="32941"/>
    <cellStyle name="Neutral 7" xfId="32942"/>
    <cellStyle name="Neutral 7 2" xfId="32943"/>
    <cellStyle name="Neutral 7 3" xfId="32944"/>
    <cellStyle name="Neutral 8" xfId="32945"/>
    <cellStyle name="Neutral 9" xfId="32946"/>
    <cellStyle name="no dec" xfId="1424"/>
    <cellStyle name="no dec 2" xfId="32947"/>
    <cellStyle name="no dec 2 2" xfId="32948"/>
    <cellStyle name="no dec 2 2 2" xfId="32949"/>
    <cellStyle name="no dec 2 2 3" xfId="32950"/>
    <cellStyle name="no dec 2 2 4" xfId="32951"/>
    <cellStyle name="no dec 2 3" xfId="32952"/>
    <cellStyle name="no dec 2 4" xfId="32953"/>
    <cellStyle name="no dec 2 5" xfId="32954"/>
    <cellStyle name="no dec 3" xfId="32955"/>
    <cellStyle name="no dec 3 2" xfId="32956"/>
    <cellStyle name="no dec 4" xfId="32957"/>
    <cellStyle name="no dec 4 2" xfId="32958"/>
    <cellStyle name="no dec 5" xfId="32959"/>
    <cellStyle name="no dec 6" xfId="32960"/>
    <cellStyle name="Normal" xfId="0" builtinId="0"/>
    <cellStyle name="Normal - Style1" xfId="1425"/>
    <cellStyle name="Normal - Style1 10" xfId="32961"/>
    <cellStyle name="Normal - Style1 10 2" xfId="32962"/>
    <cellStyle name="Normal - Style1 10 3" xfId="32963"/>
    <cellStyle name="Normal - Style1 11" xfId="32964"/>
    <cellStyle name="Normal - Style1 11 2" xfId="32965"/>
    <cellStyle name="Normal - Style1 11 3" xfId="32966"/>
    <cellStyle name="Normal - Style1 12" xfId="32967"/>
    <cellStyle name="Normal - Style1 12 2" xfId="32968"/>
    <cellStyle name="Normal - Style1 13" xfId="32969"/>
    <cellStyle name="Normal - Style1 2" xfId="1426"/>
    <cellStyle name="Normal - Style1 2 2" xfId="32970"/>
    <cellStyle name="Normal - Style1 2 2 2" xfId="32971"/>
    <cellStyle name="Normal - Style1 2 2 2 2" xfId="32972"/>
    <cellStyle name="Normal - Style1 2 2 2 2 2" xfId="32973"/>
    <cellStyle name="Normal - Style1 2 2 2 3" xfId="32974"/>
    <cellStyle name="Normal - Style1 2 2 3" xfId="32975"/>
    <cellStyle name="Normal - Style1 2 2 3 2" xfId="32976"/>
    <cellStyle name="Normal - Style1 2 2 3 2 2" xfId="32977"/>
    <cellStyle name="Normal - Style1 2 2 3 3" xfId="32978"/>
    <cellStyle name="Normal - Style1 2 2 3 4" xfId="32979"/>
    <cellStyle name="Normal - Style1 2 2 4" xfId="32980"/>
    <cellStyle name="Normal - Style1 2 2 4 2" xfId="32981"/>
    <cellStyle name="Normal - Style1 2 2 4 3" xfId="32982"/>
    <cellStyle name="Normal - Style1 2 2 5" xfId="32983"/>
    <cellStyle name="Normal - Style1 2 2 5 2" xfId="32984"/>
    <cellStyle name="Normal - Style1 2 2 6" xfId="32985"/>
    <cellStyle name="Normal - Style1 2 3" xfId="32986"/>
    <cellStyle name="Normal - Style1 2 3 2" xfId="32987"/>
    <cellStyle name="Normal - Style1 2 3 2 2" xfId="32988"/>
    <cellStyle name="Normal - Style1 2 3 2 3" xfId="32989"/>
    <cellStyle name="Normal - Style1 2 3 3" xfId="32990"/>
    <cellStyle name="Normal - Style1 2 3 4" xfId="32991"/>
    <cellStyle name="Normal - Style1 2 4" xfId="32992"/>
    <cellStyle name="Normal - Style1 2 4 2" xfId="32993"/>
    <cellStyle name="Normal - Style1 2 4 2 2" xfId="32994"/>
    <cellStyle name="Normal - Style1 2 4 3" xfId="32995"/>
    <cellStyle name="Normal - Style1 2 4 4" xfId="32996"/>
    <cellStyle name="Normal - Style1 2 5" xfId="32997"/>
    <cellStyle name="Normal - Style1 2 5 2" xfId="32998"/>
    <cellStyle name="Normal - Style1 2 6" xfId="32999"/>
    <cellStyle name="Normal - Style1 2 6 2" xfId="33000"/>
    <cellStyle name="Normal - Style1 2 7" xfId="33001"/>
    <cellStyle name="Normal - Style1 3" xfId="1427"/>
    <cellStyle name="Normal - Style1 3 2" xfId="33002"/>
    <cellStyle name="Normal - Style1 3 2 2" xfId="33003"/>
    <cellStyle name="Normal - Style1 3 2 2 2" xfId="33004"/>
    <cellStyle name="Normal - Style1 3 2 2 2 2" xfId="33005"/>
    <cellStyle name="Normal - Style1 3 2 2 3" xfId="33006"/>
    <cellStyle name="Normal - Style1 3 2 3" xfId="33007"/>
    <cellStyle name="Normal - Style1 3 2 3 2" xfId="33008"/>
    <cellStyle name="Normal - Style1 3 2 3 2 2" xfId="33009"/>
    <cellStyle name="Normal - Style1 3 2 3 3" xfId="33010"/>
    <cellStyle name="Normal - Style1 3 2 3 4" xfId="33011"/>
    <cellStyle name="Normal - Style1 3 2 4" xfId="33012"/>
    <cellStyle name="Normal - Style1 3 2 4 2" xfId="33013"/>
    <cellStyle name="Normal - Style1 3 2 5" xfId="33014"/>
    <cellStyle name="Normal - Style1 3 2 5 2" xfId="33015"/>
    <cellStyle name="Normal - Style1 3 2 6" xfId="33016"/>
    <cellStyle name="Normal - Style1 3 3" xfId="33017"/>
    <cellStyle name="Normal - Style1 3 3 2" xfId="33018"/>
    <cellStyle name="Normal - Style1 3 3 2 2" xfId="33019"/>
    <cellStyle name="Normal - Style1 3 3 2 3" xfId="33020"/>
    <cellStyle name="Normal - Style1 3 3 3" xfId="33021"/>
    <cellStyle name="Normal - Style1 3 3 4" xfId="33022"/>
    <cellStyle name="Normal - Style1 3 4" xfId="33023"/>
    <cellStyle name="Normal - Style1 3 4 2" xfId="33024"/>
    <cellStyle name="Normal - Style1 3 4 2 2" xfId="33025"/>
    <cellStyle name="Normal - Style1 3 4 3" xfId="33026"/>
    <cellStyle name="Normal - Style1 3 4 4" xfId="33027"/>
    <cellStyle name="Normal - Style1 3 4 5" xfId="33028"/>
    <cellStyle name="Normal - Style1 3 5" xfId="33029"/>
    <cellStyle name="Normal - Style1 3 5 2" xfId="33030"/>
    <cellStyle name="Normal - Style1 3 6" xfId="33031"/>
    <cellStyle name="Normal - Style1 3 6 2" xfId="33032"/>
    <cellStyle name="Normal - Style1 3 7" xfId="33033"/>
    <cellStyle name="Normal - Style1 4" xfId="1428"/>
    <cellStyle name="Normal - Style1 4 2" xfId="33034"/>
    <cellStyle name="Normal - Style1 4 2 2" xfId="33035"/>
    <cellStyle name="Normal - Style1 4 2 2 2" xfId="33036"/>
    <cellStyle name="Normal - Style1 4 2 2 2 2" xfId="33037"/>
    <cellStyle name="Normal - Style1 4 2 2 3" xfId="33038"/>
    <cellStyle name="Normal - Style1 4 2 3" xfId="33039"/>
    <cellStyle name="Normal - Style1 4 2 3 2" xfId="33040"/>
    <cellStyle name="Normal - Style1 4 2 3 3" xfId="33041"/>
    <cellStyle name="Normal - Style1 4 2 4" xfId="33042"/>
    <cellStyle name="Normal - Style1 4 2 4 2" xfId="33043"/>
    <cellStyle name="Normal - Style1 4 2 5" xfId="33044"/>
    <cellStyle name="Normal - Style1 4 3" xfId="33045"/>
    <cellStyle name="Normal - Style1 4 3 2" xfId="33046"/>
    <cellStyle name="Normal - Style1 4 3 2 2" xfId="33047"/>
    <cellStyle name="Normal - Style1 4 3 3" xfId="33048"/>
    <cellStyle name="Normal - Style1 4 4" xfId="33049"/>
    <cellStyle name="Normal - Style1 4 4 2" xfId="33050"/>
    <cellStyle name="Normal - Style1 4 4 2 2" xfId="33051"/>
    <cellStyle name="Normal - Style1 4 4 3" xfId="33052"/>
    <cellStyle name="Normal - Style1 4 4 4" xfId="33053"/>
    <cellStyle name="Normal - Style1 4 5" xfId="33054"/>
    <cellStyle name="Normal - Style1 4 5 2" xfId="33055"/>
    <cellStyle name="Normal - Style1 4 5 3" xfId="33056"/>
    <cellStyle name="Normal - Style1 4 6" xfId="33057"/>
    <cellStyle name="Normal - Style1 4 6 2" xfId="33058"/>
    <cellStyle name="Normal - Style1 4 7" xfId="33059"/>
    <cellStyle name="Normal - Style1 5" xfId="1429"/>
    <cellStyle name="Normal - Style1 5 2" xfId="33060"/>
    <cellStyle name="Normal - Style1 5 2 2" xfId="33061"/>
    <cellStyle name="Normal - Style1 5 2 2 2" xfId="33062"/>
    <cellStyle name="Normal - Style1 5 2 2 2 2" xfId="33063"/>
    <cellStyle name="Normal - Style1 5 2 2 3" xfId="33064"/>
    <cellStyle name="Normal - Style1 5 2 3" xfId="33065"/>
    <cellStyle name="Normal - Style1 5 2 3 2" xfId="33066"/>
    <cellStyle name="Normal - Style1 5 2 3 3" xfId="33067"/>
    <cellStyle name="Normal - Style1 5 2 4" xfId="1430"/>
    <cellStyle name="Normal - Style1 5 2 4 2" xfId="33068"/>
    <cellStyle name="Normal - Style1 5 2 5" xfId="33069"/>
    <cellStyle name="Normal - Style1 5 3" xfId="33070"/>
    <cellStyle name="Normal - Style1 5 3 2" xfId="33071"/>
    <cellStyle name="Normal - Style1 5 3 2 2" xfId="33072"/>
    <cellStyle name="Normal - Style1 5 4" xfId="33073"/>
    <cellStyle name="Normal - Style1 5 4 2" xfId="33074"/>
    <cellStyle name="Normal - Style1 5 4 3" xfId="33075"/>
    <cellStyle name="Normal - Style1 5 5" xfId="33076"/>
    <cellStyle name="Normal - Style1 5 5 2" xfId="33077"/>
    <cellStyle name="Normal - Style1 5 6" xfId="33078"/>
    <cellStyle name="Normal - Style1 6" xfId="33079"/>
    <cellStyle name="Normal - Style1 6 2" xfId="33080"/>
    <cellStyle name="Normal - Style1 6 2 2" xfId="33081"/>
    <cellStyle name="Normal - Style1 6 2 2 2" xfId="33082"/>
    <cellStyle name="Normal - Style1 6 2 2 2 2" xfId="33083"/>
    <cellStyle name="Normal - Style1 6 2 3" xfId="33084"/>
    <cellStyle name="Normal - Style1 6 2 3 2" xfId="33085"/>
    <cellStyle name="Normal - Style1 6 2 4" xfId="33086"/>
    <cellStyle name="Normal - Style1 6 2 4 2" xfId="33087"/>
    <cellStyle name="Normal - Style1 6 2 5" xfId="33088"/>
    <cellStyle name="Normal - Style1 6 2 6" xfId="33089"/>
    <cellStyle name="Normal - Style1 6 3" xfId="33090"/>
    <cellStyle name="Normal - Style1 6 3 2" xfId="33091"/>
    <cellStyle name="Normal - Style1 6 3 2 2" xfId="33092"/>
    <cellStyle name="Normal - Style1 6 4" xfId="33093"/>
    <cellStyle name="Normal - Style1 6 4 2" xfId="33094"/>
    <cellStyle name="Normal - Style1 6 4 2 2" xfId="33095"/>
    <cellStyle name="Normal - Style1 6 4 3" xfId="33096"/>
    <cellStyle name="Normal - Style1 6 4 4" xfId="33097"/>
    <cellStyle name="Normal - Style1 6 5" xfId="33098"/>
    <cellStyle name="Normal - Style1 6 5 2" xfId="33099"/>
    <cellStyle name="Normal - Style1 6 5 3" xfId="33100"/>
    <cellStyle name="Normal - Style1 6 6" xfId="33101"/>
    <cellStyle name="Normal - Style1 6 6 2" xfId="33102"/>
    <cellStyle name="Normal - Style1 6 7" xfId="33103"/>
    <cellStyle name="Normal - Style1 6 8" xfId="33104"/>
    <cellStyle name="Normal - Style1 7" xfId="33105"/>
    <cellStyle name="Normal - Style1 7 2" xfId="33106"/>
    <cellStyle name="Normal - Style1 7 2 2" xfId="33107"/>
    <cellStyle name="Normal - Style1 7 2 2 2" xfId="33108"/>
    <cellStyle name="Normal - Style1 7 2 2 2 2" xfId="33109"/>
    <cellStyle name="Normal - Style1 7 2 3" xfId="33110"/>
    <cellStyle name="Normal - Style1 7 2 3 2" xfId="33111"/>
    <cellStyle name="Normal - Style1 7 2 4" xfId="33112"/>
    <cellStyle name="Normal - Style1 7 2 4 2" xfId="33113"/>
    <cellStyle name="Normal - Style1 7 2 5" xfId="33114"/>
    <cellStyle name="Normal - Style1 7 3" xfId="33115"/>
    <cellStyle name="Normal - Style1 7 3 2" xfId="33116"/>
    <cellStyle name="Normal - Style1 7 3 2 2" xfId="33117"/>
    <cellStyle name="Normal - Style1 7 4" xfId="33118"/>
    <cellStyle name="Normal - Style1 7 4 2" xfId="33119"/>
    <cellStyle name="Normal - Style1 7 5" xfId="33120"/>
    <cellStyle name="Normal - Style1 7 5 2" xfId="33121"/>
    <cellStyle name="Normal - Style1 7 6" xfId="33122"/>
    <cellStyle name="Normal - Style1 8" xfId="33123"/>
    <cellStyle name="Normal - Style1 8 2" xfId="33124"/>
    <cellStyle name="Normal - Style1 8 2 2" xfId="33125"/>
    <cellStyle name="Normal - Style1 8 3" xfId="33126"/>
    <cellStyle name="Normal - Style1 8 4" xfId="33127"/>
    <cellStyle name="Normal - Style1 9" xfId="33128"/>
    <cellStyle name="Normal - Style1 9 2" xfId="33129"/>
    <cellStyle name="Normal - Style1 9 2 2" xfId="33130"/>
    <cellStyle name="Normal - Style1 9 3" xfId="33131"/>
    <cellStyle name="Normal - Style1 9 4" xfId="33132"/>
    <cellStyle name="Normal - Style1_(C) WHE Proforma with ITC cash grant 10 Yr Amort_for deferral_102809" xfId="1431"/>
    <cellStyle name="Normal [0]" xfId="33133"/>
    <cellStyle name="Normal [2]" xfId="33134"/>
    <cellStyle name="Normal 1" xfId="33135"/>
    <cellStyle name="Normal 1 2" xfId="33136"/>
    <cellStyle name="Normal 1 2 2" xfId="33137"/>
    <cellStyle name="Normal 1 2 2 2" xfId="33138"/>
    <cellStyle name="Normal 1 2 2 2 2" xfId="33139"/>
    <cellStyle name="Normal 1 2 2 2 2 2" xfId="33140"/>
    <cellStyle name="Normal 1 2 2 3" xfId="33141"/>
    <cellStyle name="Normal 1 2 2 3 2" xfId="33142"/>
    <cellStyle name="Normal 1 2 2 4" xfId="33143"/>
    <cellStyle name="Normal 1 2 2 4 2" xfId="33144"/>
    <cellStyle name="Normal 1 2 2 5" xfId="33145"/>
    <cellStyle name="Normal 1 2 3" xfId="33146"/>
    <cellStyle name="Normal 1 2 3 2" xfId="33147"/>
    <cellStyle name="Normal 1 2 3 2 2" xfId="33148"/>
    <cellStyle name="Normal 1 2 4" xfId="33149"/>
    <cellStyle name="Normal 1 2 4 2" xfId="33150"/>
    <cellStyle name="Normal 1 2 5" xfId="33151"/>
    <cellStyle name="Normal 1 2 5 2" xfId="33152"/>
    <cellStyle name="Normal 1 2 6" xfId="33153"/>
    <cellStyle name="Normal 1 3" xfId="33154"/>
    <cellStyle name="Normal 1 3 2" xfId="33155"/>
    <cellStyle name="Normal 1 3 2 2" xfId="33156"/>
    <cellStyle name="Normal 1 3 2 2 2" xfId="33157"/>
    <cellStyle name="Normal 1 3 3" xfId="33158"/>
    <cellStyle name="Normal 1 3 3 2" xfId="33159"/>
    <cellStyle name="Normal 1 3 4" xfId="33160"/>
    <cellStyle name="Normal 1 3 4 2" xfId="33161"/>
    <cellStyle name="Normal 1 4" xfId="33162"/>
    <cellStyle name="Normal 1 4 2" xfId="33163"/>
    <cellStyle name="Normal 1 4 2 2" xfId="33164"/>
    <cellStyle name="Normal 1 5" xfId="33165"/>
    <cellStyle name="Normal 1 5 2" xfId="33166"/>
    <cellStyle name="Normal 1 5 2 2" xfId="33167"/>
    <cellStyle name="Normal 1 5 2 3" xfId="33168"/>
    <cellStyle name="Normal 1 5 3" xfId="33169"/>
    <cellStyle name="Normal 1 5 4" xfId="33170"/>
    <cellStyle name="Normal 1 5 5" xfId="33171"/>
    <cellStyle name="Normal 1 6" xfId="33172"/>
    <cellStyle name="Normal 1 6 2" xfId="33173"/>
    <cellStyle name="Normal 1 6 2 2" xfId="33174"/>
    <cellStyle name="Normal 1 6 2 2 2" xfId="33175"/>
    <cellStyle name="Normal 1 6 2 3" xfId="33176"/>
    <cellStyle name="Normal 1 6 2 4" xfId="33177"/>
    <cellStyle name="Normal 1 6 3" xfId="33178"/>
    <cellStyle name="Normal 1 6 3 2" xfId="33179"/>
    <cellStyle name="Normal 1 6 4" xfId="33180"/>
    <cellStyle name="Normal 1 6 5" xfId="33181"/>
    <cellStyle name="Normal 1 7" xfId="33182"/>
    <cellStyle name="Normal 1 7 2" xfId="33183"/>
    <cellStyle name="Normal 1 8" xfId="33184"/>
    <cellStyle name="Normal 1 8 2" xfId="33185"/>
    <cellStyle name="Normal 1 9" xfId="33186"/>
    <cellStyle name="Normal 10" xfId="1432"/>
    <cellStyle name="Normal 10 2" xfId="1433"/>
    <cellStyle name="Normal 10 2 2" xfId="1434"/>
    <cellStyle name="Normal 10 2 2 2" xfId="1435"/>
    <cellStyle name="Normal 10 2 2 2 2" xfId="33187"/>
    <cellStyle name="Normal 10 2 2 2 2 2" xfId="33188"/>
    <cellStyle name="Normal 10 2 2 3" xfId="33189"/>
    <cellStyle name="Normal 10 2 2 3 2" xfId="33190"/>
    <cellStyle name="Normal 10 2 2 3 3" xfId="33191"/>
    <cellStyle name="Normal 10 2 2 4" xfId="33192"/>
    <cellStyle name="Normal 10 2 2 4 2" xfId="33193"/>
    <cellStyle name="Normal 10 2 3" xfId="1436"/>
    <cellStyle name="Normal 10 2 3 2" xfId="33194"/>
    <cellStyle name="Normal 10 2 3 2 2" xfId="33195"/>
    <cellStyle name="Normal 10 2 4" xfId="33196"/>
    <cellStyle name="Normal 10 2 4 2" xfId="33197"/>
    <cellStyle name="Normal 10 2 4 3" xfId="33198"/>
    <cellStyle name="Normal 10 2 5" xfId="33199"/>
    <cellStyle name="Normal 10 2 5 2" xfId="33200"/>
    <cellStyle name="Normal 10 3" xfId="1437"/>
    <cellStyle name="Normal 10 3 2" xfId="1438"/>
    <cellStyle name="Normal 10 3 2 2" xfId="33201"/>
    <cellStyle name="Normal 10 3 2 2 2" xfId="33202"/>
    <cellStyle name="Normal 10 3 2 2 2 2" xfId="33203"/>
    <cellStyle name="Normal 10 3 2 3" xfId="33204"/>
    <cellStyle name="Normal 10 3 2 3 2" xfId="33205"/>
    <cellStyle name="Normal 10 3 2 3 3" xfId="33206"/>
    <cellStyle name="Normal 10 3 2 4" xfId="33207"/>
    <cellStyle name="Normal 10 3 2 4 2" xfId="33208"/>
    <cellStyle name="Normal 10 3 3" xfId="33209"/>
    <cellStyle name="Normal 10 3 3 2" xfId="33210"/>
    <cellStyle name="Normal 10 3 3 2 2" xfId="33211"/>
    <cellStyle name="Normal 10 3 4" xfId="33212"/>
    <cellStyle name="Normal 10 3 4 2" xfId="33213"/>
    <cellStyle name="Normal 10 3 4 3" xfId="33214"/>
    <cellStyle name="Normal 10 3 5" xfId="33215"/>
    <cellStyle name="Normal 10 3 5 2" xfId="33216"/>
    <cellStyle name="Normal 10 4" xfId="1439"/>
    <cellStyle name="Normal 10 4 2" xfId="33217"/>
    <cellStyle name="Normal 10 4 2 2" xfId="33218"/>
    <cellStyle name="Normal 10 4 2 2 2" xfId="33219"/>
    <cellStyle name="Normal 10 4 2 3" xfId="33220"/>
    <cellStyle name="Normal 10 4 2 4" xfId="33221"/>
    <cellStyle name="Normal 10 4 3" xfId="33222"/>
    <cellStyle name="Normal 10 4 3 2" xfId="33223"/>
    <cellStyle name="Normal 10 4 3 2 2" xfId="33224"/>
    <cellStyle name="Normal 10 4 3 3" xfId="33225"/>
    <cellStyle name="Normal 10 4 3 4" xfId="33226"/>
    <cellStyle name="Normal 10 4 4" xfId="33227"/>
    <cellStyle name="Normal 10 4 4 2" xfId="33228"/>
    <cellStyle name="Normal 10 4 4 3" xfId="33229"/>
    <cellStyle name="Normal 10 4 5" xfId="33230"/>
    <cellStyle name="Normal 10 4 5 2" xfId="33231"/>
    <cellStyle name="Normal 10 4 6" xfId="33232"/>
    <cellStyle name="Normal 10 4 7" xfId="33233"/>
    <cellStyle name="Normal 10 5" xfId="33234"/>
    <cellStyle name="Normal 10 5 2" xfId="33235"/>
    <cellStyle name="Normal 10 5 2 2" xfId="33236"/>
    <cellStyle name="Normal 10 5 2 3" xfId="33237"/>
    <cellStyle name="Normal 10 5 3" xfId="33238"/>
    <cellStyle name="Normal 10 5 3 2" xfId="33239"/>
    <cellStyle name="Normal 10 5 4" xfId="33240"/>
    <cellStyle name="Normal 10 5 5" xfId="33241"/>
    <cellStyle name="Normal 10 6" xfId="33242"/>
    <cellStyle name="Normal 10 6 2" xfId="33243"/>
    <cellStyle name="Normal 10 6 2 2" xfId="33244"/>
    <cellStyle name="Normal 10 6 3" xfId="33245"/>
    <cellStyle name="Normal 10 6 4" xfId="33246"/>
    <cellStyle name="Normal 10 7" xfId="33247"/>
    <cellStyle name="Normal 10 7 2" xfId="33248"/>
    <cellStyle name="Normal 10 7 2 2" xfId="33249"/>
    <cellStyle name="Normal 10 7 3" xfId="33250"/>
    <cellStyle name="Normal 10 8" xfId="33251"/>
    <cellStyle name="Normal 10 8 2" xfId="33252"/>
    <cellStyle name="Normal 10 9" xfId="33253"/>
    <cellStyle name="Normal 10_ Price Inputs" xfId="33254"/>
    <cellStyle name="Normal 100" xfId="33255"/>
    <cellStyle name="Normal 100 2" xfId="33256"/>
    <cellStyle name="Normal 100 2 2" xfId="33257"/>
    <cellStyle name="Normal 100 3" xfId="33258"/>
    <cellStyle name="Normal 100 4" xfId="33259"/>
    <cellStyle name="Normal 100 5" xfId="33260"/>
    <cellStyle name="Normal 101" xfId="33261"/>
    <cellStyle name="Normal 101 2" xfId="33262"/>
    <cellStyle name="Normal 101 2 2" xfId="33263"/>
    <cellStyle name="Normal 101 3" xfId="33264"/>
    <cellStyle name="Normal 101 4" xfId="33265"/>
    <cellStyle name="Normal 102" xfId="33266"/>
    <cellStyle name="Normal 102 2" xfId="33267"/>
    <cellStyle name="Normal 102 2 2" xfId="33268"/>
    <cellStyle name="Normal 102 3" xfId="33269"/>
    <cellStyle name="Normal 102 4" xfId="33270"/>
    <cellStyle name="Normal 103" xfId="33271"/>
    <cellStyle name="Normal 103 2" xfId="33272"/>
    <cellStyle name="Normal 103 2 2" xfId="33273"/>
    <cellStyle name="Normal 103 3" xfId="33274"/>
    <cellStyle name="Normal 103 4" xfId="33275"/>
    <cellStyle name="Normal 104" xfId="33276"/>
    <cellStyle name="Normal 104 2" xfId="33277"/>
    <cellStyle name="Normal 104 2 2" xfId="33278"/>
    <cellStyle name="Normal 104 3" xfId="33279"/>
    <cellStyle name="Normal 104 4" xfId="33280"/>
    <cellStyle name="Normal 105" xfId="33281"/>
    <cellStyle name="Normal 105 2" xfId="33282"/>
    <cellStyle name="Normal 105 2 2" xfId="33283"/>
    <cellStyle name="Normal 105 3" xfId="33284"/>
    <cellStyle name="Normal 105 4" xfId="33285"/>
    <cellStyle name="Normal 106" xfId="33286"/>
    <cellStyle name="Normal 106 2" xfId="33287"/>
    <cellStyle name="Normal 106 2 2" xfId="33288"/>
    <cellStyle name="Normal 106 3" xfId="33289"/>
    <cellStyle name="Normal 106 4" xfId="33290"/>
    <cellStyle name="Normal 107" xfId="33291"/>
    <cellStyle name="Normal 107 2" xfId="33292"/>
    <cellStyle name="Normal 107 2 2" xfId="33293"/>
    <cellStyle name="Normal 107 3" xfId="33294"/>
    <cellStyle name="Normal 107 4" xfId="33295"/>
    <cellStyle name="Normal 108" xfId="33296"/>
    <cellStyle name="Normal 108 2" xfId="33297"/>
    <cellStyle name="Normal 108 2 2" xfId="33298"/>
    <cellStyle name="Normal 108 3" xfId="33299"/>
    <cellStyle name="Normal 109" xfId="33300"/>
    <cellStyle name="Normal 109 2" xfId="33301"/>
    <cellStyle name="Normal 109 2 2" xfId="33302"/>
    <cellStyle name="Normal 109 3" xfId="33303"/>
    <cellStyle name="Normal 11" xfId="1440"/>
    <cellStyle name="Normal 11 2" xfId="1441"/>
    <cellStyle name="Normal 11 2 2" xfId="1442"/>
    <cellStyle name="Normal 11 2 2 2" xfId="33304"/>
    <cellStyle name="Normal 11 2 2 2 2" xfId="33305"/>
    <cellStyle name="Normal 11 2 2 2 3" xfId="33306"/>
    <cellStyle name="Normal 11 2 2 2 4" xfId="33307"/>
    <cellStyle name="Normal 11 2 2 3" xfId="33308"/>
    <cellStyle name="Normal 11 2 2 4" xfId="33309"/>
    <cellStyle name="Normal 11 2 3" xfId="33310"/>
    <cellStyle name="Normal 11 2 3 2" xfId="33311"/>
    <cellStyle name="Normal 11 2 3 2 2" xfId="33312"/>
    <cellStyle name="Normal 11 2 3 3" xfId="33313"/>
    <cellStyle name="Normal 11 2 3 4" xfId="33314"/>
    <cellStyle name="Normal 11 2 3 5" xfId="33315"/>
    <cellStyle name="Normal 11 2 4" xfId="33316"/>
    <cellStyle name="Normal 11 2 4 2" xfId="33317"/>
    <cellStyle name="Normal 11 2 5" xfId="33318"/>
    <cellStyle name="Normal 11 2 6" xfId="33319"/>
    <cellStyle name="Normal 11 2 7" xfId="33320"/>
    <cellStyle name="Normal 11 3" xfId="1443"/>
    <cellStyle name="Normal 11 3 2" xfId="33321"/>
    <cellStyle name="Normal 11 3 2 2" xfId="33322"/>
    <cellStyle name="Normal 11 3 2 3" xfId="33323"/>
    <cellStyle name="Normal 11 3 3" xfId="33324"/>
    <cellStyle name="Normal 11 3 3 2" xfId="33325"/>
    <cellStyle name="Normal 11 3 4" xfId="33326"/>
    <cellStyle name="Normal 11 4" xfId="33327"/>
    <cellStyle name="Normal 11 4 2" xfId="33328"/>
    <cellStyle name="Normal 11 4 2 2" xfId="33329"/>
    <cellStyle name="Normal 11 4 2 2 2" xfId="33330"/>
    <cellStyle name="Normal 11 4 2 3" xfId="33331"/>
    <cellStyle name="Normal 11 4 3" xfId="33332"/>
    <cellStyle name="Normal 11 4 3 2" xfId="33333"/>
    <cellStyle name="Normal 11 4 4" xfId="33334"/>
    <cellStyle name="Normal 11 4 5" xfId="33335"/>
    <cellStyle name="Normal 11 5" xfId="33336"/>
    <cellStyle name="Normal 11 5 2" xfId="33337"/>
    <cellStyle name="Normal 11 5 2 2" xfId="33338"/>
    <cellStyle name="Normal 11 5 3" xfId="33339"/>
    <cellStyle name="Normal 11 6" xfId="33340"/>
    <cellStyle name="Normal 11 6 2" xfId="33341"/>
    <cellStyle name="Normal 11 7" xfId="33342"/>
    <cellStyle name="Normal 11_16.37E Wild Horse Expansion DeferralRevwrkingfile SF" xfId="1444"/>
    <cellStyle name="Normal 110" xfId="33343"/>
    <cellStyle name="Normal 110 2" xfId="33344"/>
    <cellStyle name="Normal 110 2 2" xfId="33345"/>
    <cellStyle name="Normal 110 3" xfId="1769"/>
    <cellStyle name="Normal 111" xfId="33346"/>
    <cellStyle name="Normal 111 2" xfId="33347"/>
    <cellStyle name="Normal 111 2 2" xfId="33348"/>
    <cellStyle name="Normal 111 3" xfId="33349"/>
    <cellStyle name="Normal 112" xfId="33350"/>
    <cellStyle name="Normal 112 2" xfId="33351"/>
    <cellStyle name="Normal 112 2 2" xfId="33352"/>
    <cellStyle name="Normal 112 3" xfId="33353"/>
    <cellStyle name="Normal 113" xfId="33354"/>
    <cellStyle name="Normal 113 2" xfId="33355"/>
    <cellStyle name="Normal 114" xfId="33356"/>
    <cellStyle name="Normal 114 2" xfId="33357"/>
    <cellStyle name="Normal 115" xfId="33358"/>
    <cellStyle name="Normal 115 2" xfId="33359"/>
    <cellStyle name="Normal 116" xfId="33360"/>
    <cellStyle name="Normal 116 2" xfId="33361"/>
    <cellStyle name="Normal 117" xfId="33362"/>
    <cellStyle name="Normal 117 2" xfId="33363"/>
    <cellStyle name="Normal 118" xfId="33364"/>
    <cellStyle name="Normal 118 2" xfId="33365"/>
    <cellStyle name="Normal 119" xfId="33366"/>
    <cellStyle name="Normal 119 2" xfId="33367"/>
    <cellStyle name="Normal 12" xfId="1445"/>
    <cellStyle name="Normal 12 2" xfId="1446"/>
    <cellStyle name="Normal 12 2 2" xfId="1447"/>
    <cellStyle name="Normal 12 2 2 2" xfId="33368"/>
    <cellStyle name="Normal 12 2 2 2 2" xfId="33369"/>
    <cellStyle name="Normal 12 2 2 3" xfId="33370"/>
    <cellStyle name="Normal 12 2 3" xfId="33371"/>
    <cellStyle name="Normal 12 2 3 2" xfId="33372"/>
    <cellStyle name="Normal 12 2 3 2 2" xfId="33373"/>
    <cellStyle name="Normal 12 2 3 3" xfId="33374"/>
    <cellStyle name="Normal 12 2 3 4" xfId="33375"/>
    <cellStyle name="Normal 12 2 4" xfId="33376"/>
    <cellStyle name="Normal 12 2 4 2" xfId="33377"/>
    <cellStyle name="Normal 12 2 5" xfId="33378"/>
    <cellStyle name="Normal 12 2 5 2" xfId="33379"/>
    <cellStyle name="Normal 12 3" xfId="1448"/>
    <cellStyle name="Normal 12 3 2" xfId="33380"/>
    <cellStyle name="Normal 12 3 2 2" xfId="33381"/>
    <cellStyle name="Normal 12 3 2 3" xfId="33382"/>
    <cellStyle name="Normal 12 3 2 4" xfId="33383"/>
    <cellStyle name="Normal 12 3 3" xfId="33384"/>
    <cellStyle name="Normal 12 3 3 2" xfId="33385"/>
    <cellStyle name="Normal 12 3 4" xfId="33386"/>
    <cellStyle name="Normal 12 3 5" xfId="33387"/>
    <cellStyle name="Normal 12 4" xfId="33388"/>
    <cellStyle name="Normal 12 4 2" xfId="33389"/>
    <cellStyle name="Normal 12 4 2 2" xfId="33390"/>
    <cellStyle name="Normal 12 4 3" xfId="33391"/>
    <cellStyle name="Normal 12 5" xfId="33392"/>
    <cellStyle name="Normal 12 5 2" xfId="33393"/>
    <cellStyle name="Normal 12 6" xfId="33394"/>
    <cellStyle name="Normal 12 6 2" xfId="33395"/>
    <cellStyle name="Normal 12 7" xfId="33396"/>
    <cellStyle name="Normal 120" xfId="33397"/>
    <cellStyle name="Normal 120 2" xfId="33398"/>
    <cellStyle name="Normal 121" xfId="33399"/>
    <cellStyle name="Normal 121 2" xfId="33400"/>
    <cellStyle name="Normal 122" xfId="33401"/>
    <cellStyle name="Normal 123" xfId="33402"/>
    <cellStyle name="Normal 124" xfId="33403"/>
    <cellStyle name="Normal 125" xfId="33404"/>
    <cellStyle name="Normal 125 2" xfId="33405"/>
    <cellStyle name="Normal 126" xfId="33406"/>
    <cellStyle name="Normal 127" xfId="33407"/>
    <cellStyle name="Normal 128" xfId="33408"/>
    <cellStyle name="Normal 129" xfId="1449"/>
    <cellStyle name="Normal 13" xfId="1450"/>
    <cellStyle name="Normal 13 2" xfId="1451"/>
    <cellStyle name="Normal 13 2 2" xfId="33409"/>
    <cellStyle name="Normal 13 2 2 2" xfId="33410"/>
    <cellStyle name="Normal 13 2 2 2 2" xfId="33411"/>
    <cellStyle name="Normal 13 2 2 3" xfId="33412"/>
    <cellStyle name="Normal 13 2 2 4" xfId="33413"/>
    <cellStyle name="Normal 13 2 3" xfId="33414"/>
    <cellStyle name="Normal 13 2 3 2" xfId="33415"/>
    <cellStyle name="Normal 13 2 3 2 2" xfId="33416"/>
    <cellStyle name="Normal 13 2 3 3" xfId="33417"/>
    <cellStyle name="Normal 13 2 3 4" xfId="33418"/>
    <cellStyle name="Normal 13 2 4" xfId="33419"/>
    <cellStyle name="Normal 13 2 4 2" xfId="33420"/>
    <cellStyle name="Normal 13 2 5" xfId="33421"/>
    <cellStyle name="Normal 13 2 5 2" xfId="33422"/>
    <cellStyle name="Normal 13 2 6" xfId="33423"/>
    <cellStyle name="Normal 13 3" xfId="33424"/>
    <cellStyle name="Normal 13 3 2" xfId="33425"/>
    <cellStyle name="Normal 13 3 2 2" xfId="33426"/>
    <cellStyle name="Normal 13 3 3" xfId="33427"/>
    <cellStyle name="Normal 13 3 3 2" xfId="33428"/>
    <cellStyle name="Normal 13 3 4" xfId="33429"/>
    <cellStyle name="Normal 13 4" xfId="33430"/>
    <cellStyle name="Normal 13 4 2" xfId="33431"/>
    <cellStyle name="Normal 13 4 2 2" xfId="33432"/>
    <cellStyle name="Normal 13 4 3" xfId="33433"/>
    <cellStyle name="Normal 13 5" xfId="33434"/>
    <cellStyle name="Normal 13 5 2" xfId="33435"/>
    <cellStyle name="Normal 13 5 2 2" xfId="33436"/>
    <cellStyle name="Normal 13 5 3" xfId="33437"/>
    <cellStyle name="Normal 13 6" xfId="33438"/>
    <cellStyle name="Normal 13 6 2" xfId="33439"/>
    <cellStyle name="Normal 13 7" xfId="33440"/>
    <cellStyle name="Normal 13 8" xfId="33441"/>
    <cellStyle name="Normal 130" xfId="33442"/>
    <cellStyle name="Normal 131" xfId="33443"/>
    <cellStyle name="Normal 132" xfId="33444"/>
    <cellStyle name="Normal 133" xfId="33445"/>
    <cellStyle name="Normal 134" xfId="42392"/>
    <cellStyle name="Normal 14" xfId="1452"/>
    <cellStyle name="Normal 14 2" xfId="1453"/>
    <cellStyle name="Normal 14 2 2" xfId="1454"/>
    <cellStyle name="Normal 14 2 2 2" xfId="33446"/>
    <cellStyle name="Normal 14 2 3" xfId="33447"/>
    <cellStyle name="Normal 14 2 3 2" xfId="33448"/>
    <cellStyle name="Normal 14 2 4" xfId="33449"/>
    <cellStyle name="Normal 14 3" xfId="1455"/>
    <cellStyle name="Normal 14 3 2" xfId="33450"/>
    <cellStyle name="Normal 14 3 2 2" xfId="33451"/>
    <cellStyle name="Normal 14 3 3" xfId="33452"/>
    <cellStyle name="Normal 14 4" xfId="33453"/>
    <cellStyle name="Normal 14 4 2" xfId="33454"/>
    <cellStyle name="Normal 14 4 2 2" xfId="33455"/>
    <cellStyle name="Normal 14 4 3" xfId="33456"/>
    <cellStyle name="Normal 14 4 4" xfId="33457"/>
    <cellStyle name="Normal 14 5" xfId="33458"/>
    <cellStyle name="Normal 15" xfId="1456"/>
    <cellStyle name="Normal 15 2" xfId="1457"/>
    <cellStyle name="Normal 15 2 2" xfId="33459"/>
    <cellStyle name="Normal 15 2 2 2" xfId="33460"/>
    <cellStyle name="Normal 15 2 2 3" xfId="33461"/>
    <cellStyle name="Normal 15 2 3" xfId="33462"/>
    <cellStyle name="Normal 15 2 3 2" xfId="33463"/>
    <cellStyle name="Normal 15 2 4" xfId="33464"/>
    <cellStyle name="Normal 15 3" xfId="1458"/>
    <cellStyle name="Normal 15 3 2" xfId="33465"/>
    <cellStyle name="Normal 15 3 2 2" xfId="33466"/>
    <cellStyle name="Normal 15 3 3" xfId="33467"/>
    <cellStyle name="Normal 15 3 3 2" xfId="33468"/>
    <cellStyle name="Normal 15 3 4" xfId="33469"/>
    <cellStyle name="Normal 15 4" xfId="33470"/>
    <cellStyle name="Normal 15 4 2" xfId="33471"/>
    <cellStyle name="Normal 15 4 2 2" xfId="33472"/>
    <cellStyle name="Normal 15 4 3" xfId="33473"/>
    <cellStyle name="Normal 15 4 4" xfId="33474"/>
    <cellStyle name="Normal 15 5" xfId="33475"/>
    <cellStyle name="Normal 15 5 2" xfId="33476"/>
    <cellStyle name="Normal 15 6" xfId="33477"/>
    <cellStyle name="Normal 15 6 2" xfId="33478"/>
    <cellStyle name="Normal 15 7" xfId="33479"/>
    <cellStyle name="Normal 16" xfId="1459"/>
    <cellStyle name="Normal 16 2" xfId="1460"/>
    <cellStyle name="Normal 16 2 2" xfId="33480"/>
    <cellStyle name="Normal 16 2 2 2" xfId="33481"/>
    <cellStyle name="Normal 16 2 2 2 2" xfId="33482"/>
    <cellStyle name="Normal 16 2 2 3" xfId="33483"/>
    <cellStyle name="Normal 16 2 3" xfId="33484"/>
    <cellStyle name="Normal 16 2 3 2" xfId="33485"/>
    <cellStyle name="Normal 16 2 3 2 2" xfId="33486"/>
    <cellStyle name="Normal 16 2 3 3" xfId="33487"/>
    <cellStyle name="Normal 16 2 3 4" xfId="33488"/>
    <cellStyle name="Normal 16 2 4" xfId="33489"/>
    <cellStyle name="Normal 16 2 4 2" xfId="33490"/>
    <cellStyle name="Normal 16 2 5" xfId="33491"/>
    <cellStyle name="Normal 16 2 5 2" xfId="33492"/>
    <cellStyle name="Normal 16 2 6" xfId="33493"/>
    <cellStyle name="Normal 16 3" xfId="1461"/>
    <cellStyle name="Normal 16 3 2" xfId="33494"/>
    <cellStyle name="Normal 16 3 2 2" xfId="33495"/>
    <cellStyle name="Normal 16 3 3" xfId="33496"/>
    <cellStyle name="Normal 16 3 3 2" xfId="33497"/>
    <cellStyle name="Normal 16 3 4" xfId="33498"/>
    <cellStyle name="Normal 16 4" xfId="33499"/>
    <cellStyle name="Normal 16 4 2" xfId="33500"/>
    <cellStyle name="Normal 16 4 2 2" xfId="33501"/>
    <cellStyle name="Normal 16 4 3" xfId="33502"/>
    <cellStyle name="Normal 16 5" xfId="33503"/>
    <cellStyle name="Normal 16 5 2" xfId="33504"/>
    <cellStyle name="Normal 16 6" xfId="33505"/>
    <cellStyle name="Normal 16 6 2" xfId="33506"/>
    <cellStyle name="Normal 16 7" xfId="33507"/>
    <cellStyle name="Normal 16 8" xfId="33508"/>
    <cellStyle name="Normal 17" xfId="1462"/>
    <cellStyle name="Normal 17 2" xfId="1463"/>
    <cellStyle name="Normal 17 2 2" xfId="33509"/>
    <cellStyle name="Normal 17 2 2 2" xfId="33510"/>
    <cellStyle name="Normal 17 2 2 2 2" xfId="33511"/>
    <cellStyle name="Normal 17 2 2 3" xfId="33512"/>
    <cellStyle name="Normal 17 2 3" xfId="33513"/>
    <cellStyle name="Normal 17 2 3 2" xfId="33514"/>
    <cellStyle name="Normal 17 2 3 2 2" xfId="33515"/>
    <cellStyle name="Normal 17 2 3 3" xfId="33516"/>
    <cellStyle name="Normal 17 2 3 4" xfId="33517"/>
    <cellStyle name="Normal 17 2 4" xfId="33518"/>
    <cellStyle name="Normal 17 2 4 2" xfId="33519"/>
    <cellStyle name="Normal 17 2 5" xfId="33520"/>
    <cellStyle name="Normal 17 2 5 2" xfId="33521"/>
    <cellStyle name="Normal 17 2 6" xfId="33522"/>
    <cellStyle name="Normal 17 3" xfId="1464"/>
    <cellStyle name="Normal 17 3 2" xfId="33523"/>
    <cellStyle name="Normal 17 3 2 2" xfId="33524"/>
    <cellStyle name="Normal 17 3 3" xfId="33525"/>
    <cellStyle name="Normal 17 4" xfId="33526"/>
    <cellStyle name="Normal 17 4 2" xfId="33527"/>
    <cellStyle name="Normal 17 4 3" xfId="33528"/>
    <cellStyle name="Normal 17 5" xfId="33529"/>
    <cellStyle name="Normal 17 5 2" xfId="33530"/>
    <cellStyle name="Normal 17 6" xfId="33531"/>
    <cellStyle name="Normal 18" xfId="1465"/>
    <cellStyle name="Normal 18 2" xfId="1466"/>
    <cellStyle name="Normal 18 2 2" xfId="33532"/>
    <cellStyle name="Normal 18 2 2 2" xfId="33533"/>
    <cellStyle name="Normal 18 2 2 2 2" xfId="33534"/>
    <cellStyle name="Normal 18 2 2 3" xfId="33535"/>
    <cellStyle name="Normal 18 2 3" xfId="33536"/>
    <cellStyle name="Normal 18 2 3 2" xfId="33537"/>
    <cellStyle name="Normal 18 2 3 2 2" xfId="33538"/>
    <cellStyle name="Normal 18 2 3 3" xfId="33539"/>
    <cellStyle name="Normal 18 2 3 4" xfId="33540"/>
    <cellStyle name="Normal 18 2 4" xfId="33541"/>
    <cellStyle name="Normal 18 2 4 2" xfId="33542"/>
    <cellStyle name="Normal 18 2 5" xfId="33543"/>
    <cellStyle name="Normal 18 2 5 2" xfId="33544"/>
    <cellStyle name="Normal 18 2 6" xfId="33545"/>
    <cellStyle name="Normal 18 3" xfId="1467"/>
    <cellStyle name="Normal 18 3 2" xfId="33546"/>
    <cellStyle name="Normal 18 3 2 2" xfId="33547"/>
    <cellStyle name="Normal 18 3 3" xfId="33548"/>
    <cellStyle name="Normal 18 4" xfId="33549"/>
    <cellStyle name="Normal 18 4 2" xfId="33550"/>
    <cellStyle name="Normal 18 4 3" xfId="33551"/>
    <cellStyle name="Normal 18 5" xfId="33552"/>
    <cellStyle name="Normal 18 5 2" xfId="33553"/>
    <cellStyle name="Normal 18 6" xfId="33554"/>
    <cellStyle name="Normal 19" xfId="1468"/>
    <cellStyle name="Normal 19 2" xfId="1469"/>
    <cellStyle name="Normal 19 2 2" xfId="33555"/>
    <cellStyle name="Normal 19 2 2 2" xfId="33556"/>
    <cellStyle name="Normal 19 2 2 2 2" xfId="33557"/>
    <cellStyle name="Normal 19 2 2 3" xfId="33558"/>
    <cellStyle name="Normal 19 2 3" xfId="33559"/>
    <cellStyle name="Normal 19 2 3 2" xfId="33560"/>
    <cellStyle name="Normal 19 2 3 2 2" xfId="33561"/>
    <cellStyle name="Normal 19 2 3 3" xfId="33562"/>
    <cellStyle name="Normal 19 2 3 4" xfId="33563"/>
    <cellStyle name="Normal 19 2 4" xfId="33564"/>
    <cellStyle name="Normal 19 2 4 2" xfId="33565"/>
    <cellStyle name="Normal 19 2 5" xfId="33566"/>
    <cellStyle name="Normal 19 2 5 2" xfId="33567"/>
    <cellStyle name="Normal 19 2 6" xfId="33568"/>
    <cellStyle name="Normal 19 3" xfId="33569"/>
    <cellStyle name="Normal 19 3 2" xfId="33570"/>
    <cellStyle name="Normal 19 3 2 2" xfId="33571"/>
    <cellStyle name="Normal 19 3 3" xfId="33572"/>
    <cellStyle name="Normal 19 4" xfId="33573"/>
    <cellStyle name="Normal 19 4 2" xfId="33574"/>
    <cellStyle name="Normal 19 4 3" xfId="33575"/>
    <cellStyle name="Normal 19 5" xfId="33576"/>
    <cellStyle name="Normal 19 5 2" xfId="33577"/>
    <cellStyle name="Normal 19 6" xfId="33578"/>
    <cellStyle name="Normal 2" xfId="1470"/>
    <cellStyle name="Normal 2 10" xfId="1471"/>
    <cellStyle name="Normal 2 10 2" xfId="33579"/>
    <cellStyle name="Normal 2 10 2 2" xfId="33580"/>
    <cellStyle name="Normal 2 10 2 2 2" xfId="33581"/>
    <cellStyle name="Normal 2 10 2 3" xfId="33582"/>
    <cellStyle name="Normal 2 10 3" xfId="33583"/>
    <cellStyle name="Normal 2 10 3 2" xfId="33584"/>
    <cellStyle name="Normal 2 10 4" xfId="33585"/>
    <cellStyle name="Normal 2 10 4 2" xfId="33586"/>
    <cellStyle name="Normal 2 11" xfId="1472"/>
    <cellStyle name="Normal 2 11 2" xfId="33587"/>
    <cellStyle name="Normal 2 11 2 2" xfId="33588"/>
    <cellStyle name="Normal 2 11 2 2 2" xfId="33589"/>
    <cellStyle name="Normal 2 11 2 3" xfId="33590"/>
    <cellStyle name="Normal 2 11 3" xfId="33591"/>
    <cellStyle name="Normal 2 11 3 2" xfId="33592"/>
    <cellStyle name="Normal 2 11 4" xfId="33593"/>
    <cellStyle name="Normal 2 11 4 2" xfId="33594"/>
    <cellStyle name="Normal 2 12" xfId="1473"/>
    <cellStyle name="Normal 2 12 2" xfId="33595"/>
    <cellStyle name="Normal 2 12 2 2" xfId="33596"/>
    <cellStyle name="Normal 2 12 2 2 2" xfId="33597"/>
    <cellStyle name="Normal 2 12 2 3" xfId="33598"/>
    <cellStyle name="Normal 2 12 3" xfId="33599"/>
    <cellStyle name="Normal 2 12 3 2" xfId="33600"/>
    <cellStyle name="Normal 2 12 3 2 2" xfId="33601"/>
    <cellStyle name="Normal 2 12 3 3" xfId="33602"/>
    <cellStyle name="Normal 2 12 4" xfId="33603"/>
    <cellStyle name="Normal 2 12 4 2" xfId="33604"/>
    <cellStyle name="Normal 2 12 5" xfId="33605"/>
    <cellStyle name="Normal 2 12 5 2" xfId="33606"/>
    <cellStyle name="Normal 2 12 6" xfId="33607"/>
    <cellStyle name="Normal 2 13" xfId="33608"/>
    <cellStyle name="Normal 2 13 2" xfId="33609"/>
    <cellStyle name="Normal 2 13 2 2" xfId="33610"/>
    <cellStyle name="Normal 2 13 2 3" xfId="33611"/>
    <cellStyle name="Normal 2 13 3" xfId="33612"/>
    <cellStyle name="Normal 2 13 3 2" xfId="33613"/>
    <cellStyle name="Normal 2 13 4" xfId="33614"/>
    <cellStyle name="Normal 2 14" xfId="33615"/>
    <cellStyle name="Normal 2 14 2" xfId="33616"/>
    <cellStyle name="Normal 2 15" xfId="33617"/>
    <cellStyle name="Normal 2 15 2" xfId="33618"/>
    <cellStyle name="Normal 2 15 3" xfId="33619"/>
    <cellStyle name="Normal 2 16" xfId="33620"/>
    <cellStyle name="Normal 2 16 2" xfId="33621"/>
    <cellStyle name="Normal 2 17" xfId="33622"/>
    <cellStyle name="Normal 2 18" xfId="42398"/>
    <cellStyle name="Normal 2 2" xfId="1474"/>
    <cellStyle name="Normal 2 2 10" xfId="33623"/>
    <cellStyle name="Normal 2 2 10 2" xfId="33624"/>
    <cellStyle name="Normal 2 2 10 3" xfId="33625"/>
    <cellStyle name="Normal 2 2 11" xfId="33626"/>
    <cellStyle name="Normal 2 2 11 2" xfId="33627"/>
    <cellStyle name="Normal 2 2 12" xfId="33628"/>
    <cellStyle name="Normal 2 2 2" xfId="1475"/>
    <cellStyle name="Normal 2 2 2 10" xfId="42387"/>
    <cellStyle name="Normal 2 2 2 11" xfId="42393"/>
    <cellStyle name="Normal 2 2 2 2" xfId="33629"/>
    <cellStyle name="Normal 2 2 2 2 2" xfId="1770"/>
    <cellStyle name="Normal 2 2 2 2 2 2" xfId="33630"/>
    <cellStyle name="Normal 2 2 2 2 2 2 2" xfId="33631"/>
    <cellStyle name="Normal 2 2 2 2 2 3" xfId="33632"/>
    <cellStyle name="Normal 2 2 2 2 3" xfId="33633"/>
    <cellStyle name="Normal 2 2 2 2 3 2" xfId="33634"/>
    <cellStyle name="Normal 2 2 2 2 3 2 2" xfId="33635"/>
    <cellStyle name="Normal 2 2 2 2 3 3" xfId="33636"/>
    <cellStyle name="Normal 2 2 2 2 4" xfId="33637"/>
    <cellStyle name="Normal 2 2 2 2 4 2" xfId="33638"/>
    <cellStyle name="Normal 2 2 2 2 5" xfId="33639"/>
    <cellStyle name="Normal 2 2 2 2 5 2" xfId="33640"/>
    <cellStyle name="Normal 2 2 2 2 6" xfId="33641"/>
    <cellStyle name="Normal 2 2 2 2 7" xfId="33642"/>
    <cellStyle name="Normal 2 2 2 3" xfId="33643"/>
    <cellStyle name="Normal 2 2 2 3 2" xfId="33644"/>
    <cellStyle name="Normal 2 2 2 3 2 2" xfId="33645"/>
    <cellStyle name="Normal 2 2 2 3 2 2 2" xfId="33646"/>
    <cellStyle name="Normal 2 2 2 3 2 3" xfId="33647"/>
    <cellStyle name="Normal 2 2 2 3 3" xfId="33648"/>
    <cellStyle name="Normal 2 2 2 3 3 2" xfId="33649"/>
    <cellStyle name="Normal 2 2 2 3 3 2 2" xfId="33650"/>
    <cellStyle name="Normal 2 2 2 3 3 3" xfId="33651"/>
    <cellStyle name="Normal 2 2 2 3 4" xfId="33652"/>
    <cellStyle name="Normal 2 2 2 3 4 2" xfId="33653"/>
    <cellStyle name="Normal 2 2 2 3 5" xfId="33654"/>
    <cellStyle name="Normal 2 2 2 4" xfId="33655"/>
    <cellStyle name="Normal 2 2 2 4 2" xfId="33656"/>
    <cellStyle name="Normal 2 2 2 4 2 2" xfId="33657"/>
    <cellStyle name="Normal 2 2 2 4 3" xfId="33658"/>
    <cellStyle name="Normal 2 2 2 5" xfId="33659"/>
    <cellStyle name="Normal 2 2 2 5 2" xfId="33660"/>
    <cellStyle name="Normal 2 2 2 5 2 2" xfId="33661"/>
    <cellStyle name="Normal 2 2 2 5 3" xfId="33662"/>
    <cellStyle name="Normal 2 2 2 6" xfId="33663"/>
    <cellStyle name="Normal 2 2 2 6 2" xfId="33664"/>
    <cellStyle name="Normal 2 2 2 7" xfId="33665"/>
    <cellStyle name="Normal 2 2 2 7 2" xfId="33666"/>
    <cellStyle name="Normal 2 2 2 8" xfId="33667"/>
    <cellStyle name="Normal 2 2 2 9" xfId="33668"/>
    <cellStyle name="Normal 2 2 2_12PCORC Wind Vestas and Royalties" xfId="33669"/>
    <cellStyle name="Normal 2 2 3" xfId="1476"/>
    <cellStyle name="Normal 2 2 3 2" xfId="33670"/>
    <cellStyle name="Normal 2 2 3 2 2" xfId="33671"/>
    <cellStyle name="Normal 2 2 3 2 2 2" xfId="33672"/>
    <cellStyle name="Normal 2 2 3 2 3" xfId="33673"/>
    <cellStyle name="Normal 2 2 3 2 3 2" xfId="33674"/>
    <cellStyle name="Normal 2 2 3 2 3 3" xfId="33675"/>
    <cellStyle name="Normal 2 2 3 2 4" xfId="33676"/>
    <cellStyle name="Normal 2 2 3 2 5" xfId="33677"/>
    <cellStyle name="Normal 2 2 3 3" xfId="33678"/>
    <cellStyle name="Normal 2 2 3 3 2" xfId="33679"/>
    <cellStyle name="Normal 2 2 3 3 2 2" xfId="33680"/>
    <cellStyle name="Normal 2 2 3 3 3" xfId="33681"/>
    <cellStyle name="Normal 2 2 3 4" xfId="33682"/>
    <cellStyle name="Normal 2 2 3 4 2" xfId="33683"/>
    <cellStyle name="Normal 2 2 3 5" xfId="33684"/>
    <cellStyle name="Normal 2 2 3 5 2" xfId="33685"/>
    <cellStyle name="Normal 2 2 3 5 3" xfId="33686"/>
    <cellStyle name="Normal 2 2 3 6" xfId="33687"/>
    <cellStyle name="Normal 2 2 3 7" xfId="33688"/>
    <cellStyle name="Normal 2 2 4" xfId="1477"/>
    <cellStyle name="Normal 2 2 4 2" xfId="33689"/>
    <cellStyle name="Normal 2 2 4 2 2" xfId="33690"/>
    <cellStyle name="Normal 2 2 4 2 2 2" xfId="33691"/>
    <cellStyle name="Normal 2 2 4 3" xfId="33692"/>
    <cellStyle name="Normal 2 2 4 3 2" xfId="33693"/>
    <cellStyle name="Normal 2 2 4 3 3" xfId="33694"/>
    <cellStyle name="Normal 2 2 4 4" xfId="33695"/>
    <cellStyle name="Normal 2 2 4 4 2" xfId="33696"/>
    <cellStyle name="Normal 2 2 5" xfId="33697"/>
    <cellStyle name="Normal 2 2 5 2" xfId="33698"/>
    <cellStyle name="Normal 2 2 5 2 2" xfId="33699"/>
    <cellStyle name="Normal 2 2 5 3" xfId="33700"/>
    <cellStyle name="Normal 2 2 6" xfId="33701"/>
    <cellStyle name="Normal 2 2 6 2" xfId="33702"/>
    <cellStyle name="Normal 2 2 6 2 2" xfId="33703"/>
    <cellStyle name="Normal 2 2 6 3" xfId="33704"/>
    <cellStyle name="Normal 2 2 7" xfId="33705"/>
    <cellStyle name="Normal 2 2 7 2" xfId="33706"/>
    <cellStyle name="Normal 2 2 7 2 2" xfId="33707"/>
    <cellStyle name="Normal 2 2 7 3" xfId="33708"/>
    <cellStyle name="Normal 2 2 7 4" xfId="33709"/>
    <cellStyle name="Normal 2 2 8" xfId="33710"/>
    <cellStyle name="Normal 2 2 8 2" xfId="33711"/>
    <cellStyle name="Normal 2 2 8 2 2" xfId="33712"/>
    <cellStyle name="Normal 2 2 8 3" xfId="33713"/>
    <cellStyle name="Normal 2 2 9" xfId="33714"/>
    <cellStyle name="Normal 2 2 9 2" xfId="33715"/>
    <cellStyle name="Normal 2 2 9 3" xfId="33716"/>
    <cellStyle name="Normal 2 2_ Price Inputs" xfId="33717"/>
    <cellStyle name="Normal 2 3" xfId="1478"/>
    <cellStyle name="Normal 2 3 2" xfId="1479"/>
    <cellStyle name="Normal 2 3 2 2" xfId="33718"/>
    <cellStyle name="Normal 2 3 2 2 2" xfId="33719"/>
    <cellStyle name="Normal 2 3 2 2 2 2" xfId="33720"/>
    <cellStyle name="Normal 2 3 2 2 3" xfId="33721"/>
    <cellStyle name="Normal 2 3 2 3" xfId="33722"/>
    <cellStyle name="Normal 2 3 2 3 2" xfId="33723"/>
    <cellStyle name="Normal 2 3 2 3 3" xfId="33724"/>
    <cellStyle name="Normal 2 3 2 4" xfId="33725"/>
    <cellStyle name="Normal 2 3 2 4 2" xfId="33726"/>
    <cellStyle name="Normal 2 3 2 5" xfId="33727"/>
    <cellStyle name="Normal 2 3 3" xfId="33728"/>
    <cellStyle name="Normal 2 3 3 2" xfId="33729"/>
    <cellStyle name="Normal 2 3 3 2 2" xfId="33730"/>
    <cellStyle name="Normal 2 3 3 2 3" xfId="33731"/>
    <cellStyle name="Normal 2 3 3 3" xfId="33732"/>
    <cellStyle name="Normal 2 3 3 3 2" xfId="33733"/>
    <cellStyle name="Normal 2 3 3 4" xfId="33734"/>
    <cellStyle name="Normal 2 3 4" xfId="33735"/>
    <cellStyle name="Normal 2 3 4 2" xfId="33736"/>
    <cellStyle name="Normal 2 3 5" xfId="33737"/>
    <cellStyle name="Normal 2 3 5 2" xfId="33738"/>
    <cellStyle name="Normal 2 3 5 3" xfId="33739"/>
    <cellStyle name="Normal 2 3 6" xfId="33740"/>
    <cellStyle name="Normal 2 4" xfId="1480"/>
    <cellStyle name="Normal 2 4 2" xfId="1481"/>
    <cellStyle name="Normal 2 4 2 2" xfId="33741"/>
    <cellStyle name="Normal 2 4 2 2 2" xfId="33742"/>
    <cellStyle name="Normal 2 4 2 2 2 2" xfId="33743"/>
    <cellStyle name="Normal 2 4 2 2 3" xfId="33744"/>
    <cellStyle name="Normal 2 4 2 3" xfId="33745"/>
    <cellStyle name="Normal 2 4 2 3 2" xfId="33746"/>
    <cellStyle name="Normal 2 4 2 3 3" xfId="33747"/>
    <cellStyle name="Normal 2 4 2 4" xfId="33748"/>
    <cellStyle name="Normal 2 4 2 4 2" xfId="33749"/>
    <cellStyle name="Normal 2 4 2 5" xfId="33750"/>
    <cellStyle name="Normal 2 4 3" xfId="33751"/>
    <cellStyle name="Normal 2 4 3 2" xfId="33752"/>
    <cellStyle name="Normal 2 4 3 2 2" xfId="33753"/>
    <cellStyle name="Normal 2 4 3 3" xfId="33754"/>
    <cellStyle name="Normal 2 4 4" xfId="33755"/>
    <cellStyle name="Normal 2 4 4 2" xfId="33756"/>
    <cellStyle name="Normal 2 4 5" xfId="33757"/>
    <cellStyle name="Normal 2 4 5 2" xfId="33758"/>
    <cellStyle name="Normal 2 4 5 3" xfId="33759"/>
    <cellStyle name="Normal 2 4 6" xfId="33760"/>
    <cellStyle name="Normal 2 4 7" xfId="33761"/>
    <cellStyle name="Normal 2 5" xfId="1482"/>
    <cellStyle name="Normal 2 5 2" xfId="1483"/>
    <cellStyle name="Normal 2 5 2 2" xfId="33762"/>
    <cellStyle name="Normal 2 5 2 2 2" xfId="33763"/>
    <cellStyle name="Normal 2 5 2 2 2 2" xfId="33764"/>
    <cellStyle name="Normal 2 5 2 2 3" xfId="33765"/>
    <cellStyle name="Normal 2 5 2 3" xfId="33766"/>
    <cellStyle name="Normal 2 5 2 3 2" xfId="33767"/>
    <cellStyle name="Normal 2 5 2 3 3" xfId="33768"/>
    <cellStyle name="Normal 2 5 2 4" xfId="33769"/>
    <cellStyle name="Normal 2 5 2 4 2" xfId="33770"/>
    <cellStyle name="Normal 2 5 2 5" xfId="33771"/>
    <cellStyle name="Normal 2 5 3" xfId="33772"/>
    <cellStyle name="Normal 2 5 3 2" xfId="33773"/>
    <cellStyle name="Normal 2 5 3 2 2" xfId="33774"/>
    <cellStyle name="Normal 2 5 3 3" xfId="33775"/>
    <cellStyle name="Normal 2 5 4" xfId="33776"/>
    <cellStyle name="Normal 2 5 4 2" xfId="33777"/>
    <cellStyle name="Normal 2 5 5" xfId="33778"/>
    <cellStyle name="Normal 2 5 5 2" xfId="33779"/>
    <cellStyle name="Normal 2 5 5 3" xfId="33780"/>
    <cellStyle name="Normal 2 5 6" xfId="33781"/>
    <cellStyle name="Normal 2 5 7" xfId="33782"/>
    <cellStyle name="Normal 2 6" xfId="1484"/>
    <cellStyle name="Normal 2 6 2" xfId="1485"/>
    <cellStyle name="Normal 2 6 2 2" xfId="33783"/>
    <cellStyle name="Normal 2 6 2 2 2" xfId="33784"/>
    <cellStyle name="Normal 2 6 2 2 2 2" xfId="33785"/>
    <cellStyle name="Normal 2 6 2 3" xfId="33786"/>
    <cellStyle name="Normal 2 6 2 3 2" xfId="33787"/>
    <cellStyle name="Normal 2 6 2 3 3" xfId="33788"/>
    <cellStyle name="Normal 2 6 2 4" xfId="33789"/>
    <cellStyle name="Normal 2 6 2 4 2" xfId="33790"/>
    <cellStyle name="Normal 2 6 3" xfId="1486"/>
    <cellStyle name="Normal 2 6 3 2" xfId="33791"/>
    <cellStyle name="Normal 2 6 3 2 2" xfId="33792"/>
    <cellStyle name="Normal 2 6 4" xfId="33793"/>
    <cellStyle name="Normal 2 6 4 2" xfId="33794"/>
    <cellStyle name="Normal 2 6 4 3" xfId="33795"/>
    <cellStyle name="Normal 2 6 5" xfId="33796"/>
    <cellStyle name="Normal 2 6 5 2" xfId="33797"/>
    <cellStyle name="Normal 2 7" xfId="1487"/>
    <cellStyle name="Normal 2 7 2" xfId="1488"/>
    <cellStyle name="Normal 2 7 2 2" xfId="1489"/>
    <cellStyle name="Normal 2 7 2 2 2" xfId="33798"/>
    <cellStyle name="Normal 2 7 2 2 3" xfId="33799"/>
    <cellStyle name="Normal 2 7 2 3" xfId="33800"/>
    <cellStyle name="Normal 2 7 2 4" xfId="33801"/>
    <cellStyle name="Normal 2 7 3" xfId="1490"/>
    <cellStyle name="Normal 2 7 3 2" xfId="33802"/>
    <cellStyle name="Normal 2 7 3 3" xfId="33803"/>
    <cellStyle name="Normal 2 7 4" xfId="33804"/>
    <cellStyle name="Normal 2 7 4 2" xfId="33805"/>
    <cellStyle name="Normal 2 7 5" xfId="33806"/>
    <cellStyle name="Normal 2 8" xfId="1491"/>
    <cellStyle name="Normal 2 8 2" xfId="1492"/>
    <cellStyle name="Normal 2 8 2 2" xfId="33807"/>
    <cellStyle name="Normal 2 8 2 2 2" xfId="33808"/>
    <cellStyle name="Normal 2 8 2 2 2 2" xfId="33809"/>
    <cellStyle name="Normal 2 8 2 2 3" xfId="33810"/>
    <cellStyle name="Normal 2 8 2 3" xfId="33811"/>
    <cellStyle name="Normal 2 8 2 3 2" xfId="33812"/>
    <cellStyle name="Normal 2 8 2 4" xfId="33813"/>
    <cellStyle name="Normal 2 8 2 5" xfId="33814"/>
    <cellStyle name="Normal 2 8 3" xfId="33815"/>
    <cellStyle name="Normal 2 8 3 2" xfId="33816"/>
    <cellStyle name="Normal 2 8 3 2 2" xfId="33817"/>
    <cellStyle name="Normal 2 8 3 3" xfId="33818"/>
    <cellStyle name="Normal 2 8 3 4" xfId="33819"/>
    <cellStyle name="Normal 2 8 4" xfId="33820"/>
    <cellStyle name="Normal 2 8 4 2" xfId="33821"/>
    <cellStyle name="Normal 2 8 5" xfId="33822"/>
    <cellStyle name="Normal 2 8 6" xfId="33823"/>
    <cellStyle name="Normal 2 9" xfId="1493"/>
    <cellStyle name="Normal 2 9 2" xfId="33824"/>
    <cellStyle name="Normal 2 9 2 2" xfId="33825"/>
    <cellStyle name="Normal 2 9 2 2 2" xfId="33826"/>
    <cellStyle name="Normal 2 9 2 3" xfId="33827"/>
    <cellStyle name="Normal 2 9 3" xfId="33828"/>
    <cellStyle name="Normal 2 9 3 2" xfId="33829"/>
    <cellStyle name="Normal 2 9 4" xfId="33830"/>
    <cellStyle name="Normal 2 9 4 2" xfId="33831"/>
    <cellStyle name="Normal 2_16.37E Wild Horse Expansion DeferralRevwrkingfile SF" xfId="1494"/>
    <cellStyle name="Normal 20" xfId="1495"/>
    <cellStyle name="Normal 20 2" xfId="1496"/>
    <cellStyle name="Normal 20 2 2" xfId="33832"/>
    <cellStyle name="Normal 20 2 2 2" xfId="33833"/>
    <cellStyle name="Normal 20 2 2 2 2" xfId="33834"/>
    <cellStyle name="Normal 20 2 2 3" xfId="33835"/>
    <cellStyle name="Normal 20 2 3" xfId="33836"/>
    <cellStyle name="Normal 20 2 3 2" xfId="33837"/>
    <cellStyle name="Normal 20 2 3 3" xfId="33838"/>
    <cellStyle name="Normal 20 2 4" xfId="33839"/>
    <cellStyle name="Normal 20 2 4 2" xfId="33840"/>
    <cellStyle name="Normal 20 2 5" xfId="33841"/>
    <cellStyle name="Normal 20 3" xfId="33842"/>
    <cellStyle name="Normal 20 3 2" xfId="33843"/>
    <cellStyle name="Normal 20 3 2 2" xfId="33844"/>
    <cellStyle name="Normal 20 3 2 2 2" xfId="33845"/>
    <cellStyle name="Normal 20 3 2 2 3" xfId="33846"/>
    <cellStyle name="Normal 20 3 2 3" xfId="33847"/>
    <cellStyle name="Normal 20 3 2 4" xfId="33848"/>
    <cellStyle name="Normal 20 3 3" xfId="33849"/>
    <cellStyle name="Normal 20 3 3 2" xfId="33850"/>
    <cellStyle name="Normal 20 3 3 2 2" xfId="33851"/>
    <cellStyle name="Normal 20 3 3 2 2 2" xfId="33852"/>
    <cellStyle name="Normal 20 3 3 2 3" xfId="33853"/>
    <cellStyle name="Normal 20 3 3 3" xfId="33854"/>
    <cellStyle name="Normal 20 3 3 3 2" xfId="33855"/>
    <cellStyle name="Normal 20 3 3 4" xfId="33856"/>
    <cellStyle name="Normal 20 3 3 5" xfId="33857"/>
    <cellStyle name="Normal 20 3 4" xfId="33858"/>
    <cellStyle name="Normal 20 3 4 2" xfId="33859"/>
    <cellStyle name="Normal 20 3 4 2 2" xfId="33860"/>
    <cellStyle name="Normal 20 3 4 3" xfId="33861"/>
    <cellStyle name="Normal 20 3 5" xfId="33862"/>
    <cellStyle name="Normal 20 3 5 2" xfId="33863"/>
    <cellStyle name="Normal 20 3 6" xfId="33864"/>
    <cellStyle name="Normal 20 3 7" xfId="33865"/>
    <cellStyle name="Normal 20 4" xfId="33866"/>
    <cellStyle name="Normal 20 4 2" xfId="33867"/>
    <cellStyle name="Normal 20 4 2 2" xfId="33868"/>
    <cellStyle name="Normal 20 4 3" xfId="33869"/>
    <cellStyle name="Normal 20 4 4" xfId="33870"/>
    <cellStyle name="Normal 20 4 5" xfId="33871"/>
    <cellStyle name="Normal 20 5" xfId="33872"/>
    <cellStyle name="Normal 20 5 2" xfId="33873"/>
    <cellStyle name="Normal 20 6" xfId="33874"/>
    <cellStyle name="Normal 20 6 2" xfId="33875"/>
    <cellStyle name="Normal 20 7" xfId="33876"/>
    <cellStyle name="Normal 21" xfId="1497"/>
    <cellStyle name="Normal 21 2" xfId="1498"/>
    <cellStyle name="Normal 21 2 2" xfId="33877"/>
    <cellStyle name="Normal 21 2 2 2" xfId="33878"/>
    <cellStyle name="Normal 21 2 2 2 2" xfId="33879"/>
    <cellStyle name="Normal 21 2 2 2 3" xfId="33880"/>
    <cellStyle name="Normal 21 2 2 2 4" xfId="33881"/>
    <cellStyle name="Normal 21 2 2 3" xfId="33882"/>
    <cellStyle name="Normal 21 2 2 4" xfId="33883"/>
    <cellStyle name="Normal 21 2 3" xfId="33884"/>
    <cellStyle name="Normal 21 2 3 2" xfId="33885"/>
    <cellStyle name="Normal 21 2 3 2 2" xfId="33886"/>
    <cellStyle name="Normal 21 2 3 3" xfId="33887"/>
    <cellStyle name="Normal 21 2 3 4" xfId="33888"/>
    <cellStyle name="Normal 21 2 4" xfId="33889"/>
    <cellStyle name="Normal 21 2 4 2" xfId="33890"/>
    <cellStyle name="Normal 21 2 5" xfId="33891"/>
    <cellStyle name="Normal 21 2 5 2" xfId="33892"/>
    <cellStyle name="Normal 21 2 6" xfId="33893"/>
    <cellStyle name="Normal 21 2 7" xfId="33894"/>
    <cellStyle name="Normal 21 3" xfId="33895"/>
    <cellStyle name="Normal 21 3 2" xfId="33896"/>
    <cellStyle name="Normal 21 3 2 2" xfId="33897"/>
    <cellStyle name="Normal 21 3 3" xfId="33898"/>
    <cellStyle name="Normal 21 4" xfId="33899"/>
    <cellStyle name="Normal 21 4 2" xfId="33900"/>
    <cellStyle name="Normal 21 4 2 2" xfId="33901"/>
    <cellStyle name="Normal 21 4 3" xfId="33902"/>
    <cellStyle name="Normal 21 4 4" xfId="33903"/>
    <cellStyle name="Normal 21 5" xfId="33904"/>
    <cellStyle name="Normal 21 5 2" xfId="33905"/>
    <cellStyle name="Normal 21 5 2 2" xfId="33906"/>
    <cellStyle name="Normal 21 5 3" xfId="33907"/>
    <cellStyle name="Normal 21 5 4" xfId="33908"/>
    <cellStyle name="Normal 21 6" xfId="33909"/>
    <cellStyle name="Normal 21 6 2" xfId="33910"/>
    <cellStyle name="Normal 21 7" xfId="33911"/>
    <cellStyle name="Normal 21 8" xfId="33912"/>
    <cellStyle name="Normal 21 9" xfId="33913"/>
    <cellStyle name="Normal 21_4 31E Reg Asset  Liab and EXH D" xfId="33914"/>
    <cellStyle name="Normal 22" xfId="1499"/>
    <cellStyle name="Normal 22 2" xfId="33915"/>
    <cellStyle name="Normal 22 2 2" xfId="33916"/>
    <cellStyle name="Normal 22 2 2 2" xfId="33917"/>
    <cellStyle name="Normal 22 2 2 2 2" xfId="33918"/>
    <cellStyle name="Normal 22 2 2 2 3" xfId="33919"/>
    <cellStyle name="Normal 22 2 2 3" xfId="33920"/>
    <cellStyle name="Normal 22 2 2 4" xfId="33921"/>
    <cellStyle name="Normal 22 2 3" xfId="33922"/>
    <cellStyle name="Normal 22 2 3 2" xfId="33923"/>
    <cellStyle name="Normal 22 2 3 3" xfId="33924"/>
    <cellStyle name="Normal 22 2 4" xfId="33925"/>
    <cellStyle name="Normal 22 2 5" xfId="33926"/>
    <cellStyle name="Normal 22 3" xfId="33927"/>
    <cellStyle name="Normal 22 3 2" xfId="33928"/>
    <cellStyle name="Normal 22 3 2 2" xfId="33929"/>
    <cellStyle name="Normal 22 3 2 3" xfId="33930"/>
    <cellStyle name="Normal 22 3 3" xfId="33931"/>
    <cellStyle name="Normal 22 3 4" xfId="33932"/>
    <cellStyle name="Normal 22 4" xfId="33933"/>
    <cellStyle name="Normal 22 4 2" xfId="33934"/>
    <cellStyle name="Normal 22 4 3" xfId="33935"/>
    <cellStyle name="Normal 22 5" xfId="33936"/>
    <cellStyle name="Normal 22 5 2" xfId="33937"/>
    <cellStyle name="Normal 22 6" xfId="33938"/>
    <cellStyle name="Normal 22 6 2" xfId="33939"/>
    <cellStyle name="Normal 22 7" xfId="33940"/>
    <cellStyle name="Normal 22 8" xfId="33941"/>
    <cellStyle name="Normal 23" xfId="1500"/>
    <cellStyle name="Normal 23 2" xfId="33942"/>
    <cellStyle name="Normal 23 2 2" xfId="33943"/>
    <cellStyle name="Normal 23 2 2 2" xfId="33944"/>
    <cellStyle name="Normal 23 2 2 2 2" xfId="33945"/>
    <cellStyle name="Normal 23 2 2 2 3" xfId="33946"/>
    <cellStyle name="Normal 23 2 2 3" xfId="33947"/>
    <cellStyle name="Normal 23 2 2 4" xfId="33948"/>
    <cellStyle name="Normal 23 2 3" xfId="33949"/>
    <cellStyle name="Normal 23 2 3 2" xfId="33950"/>
    <cellStyle name="Normal 23 2 3 3" xfId="33951"/>
    <cellStyle name="Normal 23 2 4" xfId="33952"/>
    <cellStyle name="Normal 23 2 5" xfId="33953"/>
    <cellStyle name="Normal 23 3" xfId="33954"/>
    <cellStyle name="Normal 23 3 2" xfId="33955"/>
    <cellStyle name="Normal 23 3 2 2" xfId="33956"/>
    <cellStyle name="Normal 23 3 2 3" xfId="33957"/>
    <cellStyle name="Normal 23 3 3" xfId="33958"/>
    <cellStyle name="Normal 23 3 4" xfId="33959"/>
    <cellStyle name="Normal 23 4" xfId="33960"/>
    <cellStyle name="Normal 23 4 2" xfId="33961"/>
    <cellStyle name="Normal 23 4 3" xfId="33962"/>
    <cellStyle name="Normal 23 4 4" xfId="33963"/>
    <cellStyle name="Normal 23 5" xfId="33964"/>
    <cellStyle name="Normal 23 5 2" xfId="33965"/>
    <cellStyle name="Normal 23 6" xfId="33966"/>
    <cellStyle name="Normal 23 7" xfId="33967"/>
    <cellStyle name="Normal 24" xfId="1501"/>
    <cellStyle name="Normal 24 2" xfId="1502"/>
    <cellStyle name="Normal 24 2 2" xfId="33968"/>
    <cellStyle name="Normal 24 2 2 2" xfId="33969"/>
    <cellStyle name="Normal 24 2 2 2 2" xfId="33970"/>
    <cellStyle name="Normal 24 2 2 2 3" xfId="33971"/>
    <cellStyle name="Normal 24 2 2 3" xfId="33972"/>
    <cellStyle name="Normal 24 2 3" xfId="33973"/>
    <cellStyle name="Normal 24 2 3 2" xfId="33974"/>
    <cellStyle name="Normal 24 2 4" xfId="33975"/>
    <cellStyle name="Normal 24 2 4 2" xfId="33976"/>
    <cellStyle name="Normal 24 2 5" xfId="33977"/>
    <cellStyle name="Normal 24 2 5 2" xfId="33978"/>
    <cellStyle name="Normal 24 2 6" xfId="33979"/>
    <cellStyle name="Normal 24 2 7" xfId="33980"/>
    <cellStyle name="Normal 24 3" xfId="33981"/>
    <cellStyle name="Normal 24 3 2" xfId="33982"/>
    <cellStyle name="Normal 24 3 2 2" xfId="33983"/>
    <cellStyle name="Normal 24 3 2 3" xfId="33984"/>
    <cellStyle name="Normal 24 3 3" xfId="33985"/>
    <cellStyle name="Normal 24 3 3 2" xfId="33986"/>
    <cellStyle name="Normal 24 3 4" xfId="33987"/>
    <cellStyle name="Normal 24 4" xfId="33988"/>
    <cellStyle name="Normal 24 4 2" xfId="33989"/>
    <cellStyle name="Normal 24 4 2 2" xfId="33990"/>
    <cellStyle name="Normal 24 4 2 3" xfId="33991"/>
    <cellStyle name="Normal 24 4 3" xfId="33992"/>
    <cellStyle name="Normal 24 4 4" xfId="33993"/>
    <cellStyle name="Normal 24 5" xfId="33994"/>
    <cellStyle name="Normal 24 5 2" xfId="33995"/>
    <cellStyle name="Normal 24 5 3" xfId="33996"/>
    <cellStyle name="Normal 24 6" xfId="33997"/>
    <cellStyle name="Normal 24_PCA 11 -  Exhibit D Jan 2012 fr A Kellogg" xfId="33998"/>
    <cellStyle name="Normal 25" xfId="1503"/>
    <cellStyle name="Normal 25 2" xfId="33999"/>
    <cellStyle name="Normal 25 2 2" xfId="34000"/>
    <cellStyle name="Normal 25 2 2 2" xfId="34001"/>
    <cellStyle name="Normal 25 2 2 2 2" xfId="34002"/>
    <cellStyle name="Normal 25 2 2 2 3" xfId="34003"/>
    <cellStyle name="Normal 25 2 2 3" xfId="34004"/>
    <cellStyle name="Normal 25 2 2 4" xfId="34005"/>
    <cellStyle name="Normal 25 2 3" xfId="34006"/>
    <cellStyle name="Normal 25 2 3 2" xfId="34007"/>
    <cellStyle name="Normal 25 2 3 3" xfId="34008"/>
    <cellStyle name="Normal 25 2 4" xfId="34009"/>
    <cellStyle name="Normal 25 2 4 2" xfId="34010"/>
    <cellStyle name="Normal 25 2 5" xfId="34011"/>
    <cellStyle name="Normal 25 2 6" xfId="34012"/>
    <cellStyle name="Normal 25 3" xfId="34013"/>
    <cellStyle name="Normal 25 3 2" xfId="34014"/>
    <cellStyle name="Normal 25 3 2 2" xfId="34015"/>
    <cellStyle name="Normal 25 3 2 3" xfId="34016"/>
    <cellStyle name="Normal 25 3 3" xfId="34017"/>
    <cellStyle name="Normal 25 3 4" xfId="34018"/>
    <cellStyle name="Normal 25 3 5" xfId="34019"/>
    <cellStyle name="Normal 25 4" xfId="34020"/>
    <cellStyle name="Normal 25 4 2" xfId="34021"/>
    <cellStyle name="Normal 25 4 3" xfId="34022"/>
    <cellStyle name="Normal 25 4 4" xfId="34023"/>
    <cellStyle name="Normal 25 5" xfId="34024"/>
    <cellStyle name="Normal 25 5 2" xfId="34025"/>
    <cellStyle name="Normal 25 6" xfId="34026"/>
    <cellStyle name="Normal 25 7" xfId="34027"/>
    <cellStyle name="Normal 26" xfId="1504"/>
    <cellStyle name="Normal 26 2" xfId="34028"/>
    <cellStyle name="Normal 26 2 2" xfId="34029"/>
    <cellStyle name="Normal 26 2 2 2" xfId="34030"/>
    <cellStyle name="Normal 26 2 2 2 2" xfId="34031"/>
    <cellStyle name="Normal 26 2 2 3" xfId="34032"/>
    <cellStyle name="Normal 26 2 2 4" xfId="34033"/>
    <cellStyle name="Normal 26 2 3" xfId="34034"/>
    <cellStyle name="Normal 26 2 3 2" xfId="34035"/>
    <cellStyle name="Normal 26 2 4" xfId="34036"/>
    <cellStyle name="Normal 26 2 5" xfId="34037"/>
    <cellStyle name="Normal 26 3" xfId="34038"/>
    <cellStyle name="Normal 26 3 2" xfId="34039"/>
    <cellStyle name="Normal 26 3 2 2" xfId="34040"/>
    <cellStyle name="Normal 26 3 3" xfId="34041"/>
    <cellStyle name="Normal 26 3 4" xfId="34042"/>
    <cellStyle name="Normal 26 4" xfId="34043"/>
    <cellStyle name="Normal 26 4 2" xfId="34044"/>
    <cellStyle name="Normal 26 4 2 2" xfId="34045"/>
    <cellStyle name="Normal 26 4 3" xfId="34046"/>
    <cellStyle name="Normal 26 4 4" xfId="34047"/>
    <cellStyle name="Normal 26 4 5" xfId="34048"/>
    <cellStyle name="Normal 26 5" xfId="34049"/>
    <cellStyle name="Normal 26 5 2" xfId="34050"/>
    <cellStyle name="Normal 26 5 3" xfId="34051"/>
    <cellStyle name="Normal 26 6" xfId="34052"/>
    <cellStyle name="Normal 26 7" xfId="34053"/>
    <cellStyle name="Normal 26 8" xfId="34054"/>
    <cellStyle name="Normal 27" xfId="1505"/>
    <cellStyle name="Normal 27 2" xfId="34055"/>
    <cellStyle name="Normal 27 2 2" xfId="34056"/>
    <cellStyle name="Normal 27 2 2 2" xfId="34057"/>
    <cellStyle name="Normal 27 2 2 2 2" xfId="34058"/>
    <cellStyle name="Normal 27 2 2 3" xfId="34059"/>
    <cellStyle name="Normal 27 2 2 4" xfId="34060"/>
    <cellStyle name="Normal 27 2 3" xfId="34061"/>
    <cellStyle name="Normal 27 2 3 2" xfId="34062"/>
    <cellStyle name="Normal 27 2 4" xfId="34063"/>
    <cellStyle name="Normal 27 2 5" xfId="34064"/>
    <cellStyle name="Normal 27 3" xfId="34065"/>
    <cellStyle name="Normal 27 3 2" xfId="34066"/>
    <cellStyle name="Normal 27 3 2 2" xfId="34067"/>
    <cellStyle name="Normal 27 3 3" xfId="34068"/>
    <cellStyle name="Normal 27 3 4" xfId="34069"/>
    <cellStyle name="Normal 27 4" xfId="34070"/>
    <cellStyle name="Normal 27 4 2" xfId="34071"/>
    <cellStyle name="Normal 27 5" xfId="34072"/>
    <cellStyle name="Normal 27 5 2" xfId="34073"/>
    <cellStyle name="Normal 27 6" xfId="34074"/>
    <cellStyle name="Normal 27 7" xfId="34075"/>
    <cellStyle name="Normal 28" xfId="1506"/>
    <cellStyle name="Normal 28 2" xfId="34076"/>
    <cellStyle name="Normal 28 2 2" xfId="34077"/>
    <cellStyle name="Normal 28 2 2 2" xfId="34078"/>
    <cellStyle name="Normal 28 2 2 2 2" xfId="34079"/>
    <cellStyle name="Normal 28 2 2 3" xfId="34080"/>
    <cellStyle name="Normal 28 2 2 4" xfId="34081"/>
    <cellStyle name="Normal 28 2 3" xfId="34082"/>
    <cellStyle name="Normal 28 2 3 2" xfId="34083"/>
    <cellStyle name="Normal 28 2 4" xfId="34084"/>
    <cellStyle name="Normal 28 2 5" xfId="34085"/>
    <cellStyle name="Normal 28 3" xfId="34086"/>
    <cellStyle name="Normal 28 3 2" xfId="34087"/>
    <cellStyle name="Normal 28 3 2 2" xfId="34088"/>
    <cellStyle name="Normal 28 3 3" xfId="34089"/>
    <cellStyle name="Normal 28 3 4" xfId="34090"/>
    <cellStyle name="Normal 28 3 5" xfId="34091"/>
    <cellStyle name="Normal 28 4" xfId="34092"/>
    <cellStyle name="Normal 28 4 2" xfId="34093"/>
    <cellStyle name="Normal 28 5" xfId="34094"/>
    <cellStyle name="Normal 28 5 2" xfId="34095"/>
    <cellStyle name="Normal 28 6" xfId="34096"/>
    <cellStyle name="Normal 28 7" xfId="34097"/>
    <cellStyle name="Normal 29" xfId="1507"/>
    <cellStyle name="Normal 29 2" xfId="34098"/>
    <cellStyle name="Normal 29 2 2" xfId="34099"/>
    <cellStyle name="Normal 29 2 2 2" xfId="34100"/>
    <cellStyle name="Normal 29 2 2 2 2" xfId="34101"/>
    <cellStyle name="Normal 29 2 2 3" xfId="34102"/>
    <cellStyle name="Normal 29 2 2 4" xfId="34103"/>
    <cellStyle name="Normal 29 2 3" xfId="34104"/>
    <cellStyle name="Normal 29 2 3 2" xfId="34105"/>
    <cellStyle name="Normal 29 2 4" xfId="34106"/>
    <cellStyle name="Normal 29 2 5" xfId="34107"/>
    <cellStyle name="Normal 29 3" xfId="34108"/>
    <cellStyle name="Normal 29 3 2" xfId="34109"/>
    <cellStyle name="Normal 29 3 2 2" xfId="34110"/>
    <cellStyle name="Normal 29 3 3" xfId="34111"/>
    <cellStyle name="Normal 29 3 4" xfId="34112"/>
    <cellStyle name="Normal 29 3 5" xfId="34113"/>
    <cellStyle name="Normal 29 4" xfId="34114"/>
    <cellStyle name="Normal 29 4 2" xfId="34115"/>
    <cellStyle name="Normal 29 5" xfId="34116"/>
    <cellStyle name="Normal 29 5 2" xfId="34117"/>
    <cellStyle name="Normal 29 6" xfId="34118"/>
    <cellStyle name="Normal 29 7" xfId="34119"/>
    <cellStyle name="Normal 29 8" xfId="34120"/>
    <cellStyle name="Normal 3" xfId="1508"/>
    <cellStyle name="Normal 3 10" xfId="34121"/>
    <cellStyle name="Normal 3 10 2" xfId="34122"/>
    <cellStyle name="Normal 3 10 2 2" xfId="34123"/>
    <cellStyle name="Normal 3 10 3" xfId="34124"/>
    <cellStyle name="Normal 3 10 4" xfId="34125"/>
    <cellStyle name="Normal 3 11" xfId="34126"/>
    <cellStyle name="Normal 3 11 2" xfId="34127"/>
    <cellStyle name="Normal 3 11 2 2" xfId="34128"/>
    <cellStyle name="Normal 3 11 3" xfId="34129"/>
    <cellStyle name="Normal 3 12" xfId="34130"/>
    <cellStyle name="Normal 3 12 2" xfId="34131"/>
    <cellStyle name="Normal 3 13" xfId="34132"/>
    <cellStyle name="Normal 3 13 2" xfId="34133"/>
    <cellStyle name="Normal 3 14" xfId="34134"/>
    <cellStyle name="Normal 3 14 2" xfId="34135"/>
    <cellStyle name="Normal 3 15" xfId="34136"/>
    <cellStyle name="Normal 3 2" xfId="1509"/>
    <cellStyle name="Normal 3 2 2" xfId="34137"/>
    <cellStyle name="Normal 3 2 2 2" xfId="34138"/>
    <cellStyle name="Normal 3 2 2 2 2" xfId="34139"/>
    <cellStyle name="Normal 3 2 2 2 2 2" xfId="34140"/>
    <cellStyle name="Normal 3 2 2 3" xfId="34141"/>
    <cellStyle name="Normal 3 2 2 3 2" xfId="34142"/>
    <cellStyle name="Normal 3 2 2 3 3" xfId="34143"/>
    <cellStyle name="Normal 3 2 2 4" xfId="34144"/>
    <cellStyle name="Normal 3 2 2 4 2" xfId="34145"/>
    <cellStyle name="Normal 3 2 3" xfId="34146"/>
    <cellStyle name="Normal 3 2 3 2" xfId="34147"/>
    <cellStyle name="Normal 3 2 3 2 2" xfId="34148"/>
    <cellStyle name="Normal 3 2 3 2 2 2" xfId="34149"/>
    <cellStyle name="Normal 3 2 3 3" xfId="34150"/>
    <cellStyle name="Normal 3 2 3 3 2" xfId="34151"/>
    <cellStyle name="Normal 3 2 3 4" xfId="34152"/>
    <cellStyle name="Normal 3 2 3 4 2" xfId="34153"/>
    <cellStyle name="Normal 3 2 4" xfId="34154"/>
    <cellStyle name="Normal 3 2 4 2" xfId="34155"/>
    <cellStyle name="Normal 3 2 4 2 2" xfId="34156"/>
    <cellStyle name="Normal 3 2 5" xfId="34157"/>
    <cellStyle name="Normal 3 2 5 2" xfId="34158"/>
    <cellStyle name="Normal 3 2 5 3" xfId="34159"/>
    <cellStyle name="Normal 3 2 6" xfId="34160"/>
    <cellStyle name="Normal 3 2 6 2" xfId="34161"/>
    <cellStyle name="Normal 3 2_Chelan PUD Power Costs (8-10)" xfId="34162"/>
    <cellStyle name="Normal 3 3" xfId="1510"/>
    <cellStyle name="Normal 3 3 2" xfId="34163"/>
    <cellStyle name="Normal 3 3 2 2" xfId="34164"/>
    <cellStyle name="Normal 3 3 2 2 2" xfId="34165"/>
    <cellStyle name="Normal 3 3 2 2 2 2" xfId="34166"/>
    <cellStyle name="Normal 3 3 2 3" xfId="34167"/>
    <cellStyle name="Normal 3 3 2 3 2" xfId="34168"/>
    <cellStyle name="Normal 3 3 2 3 3" xfId="34169"/>
    <cellStyle name="Normal 3 3 2 4" xfId="34170"/>
    <cellStyle name="Normal 3 3 2 4 2" xfId="34171"/>
    <cellStyle name="Normal 3 3 3" xfId="34172"/>
    <cellStyle name="Normal 3 3 3 2" xfId="34173"/>
    <cellStyle name="Normal 3 3 3 2 2" xfId="34174"/>
    <cellStyle name="Normal 3 3 4" xfId="34175"/>
    <cellStyle name="Normal 3 3 4 2" xfId="34176"/>
    <cellStyle name="Normal 3 3 4 3" xfId="34177"/>
    <cellStyle name="Normal 3 3 5" xfId="34178"/>
    <cellStyle name="Normal 3 3 5 2" xfId="34179"/>
    <cellStyle name="Normal 3 4" xfId="1511"/>
    <cellStyle name="Normal 3 4 2" xfId="34180"/>
    <cellStyle name="Normal 3 4 2 2" xfId="34181"/>
    <cellStyle name="Normal 3 4 2 2 2" xfId="34182"/>
    <cellStyle name="Normal 3 4 2 2 3" xfId="34183"/>
    <cellStyle name="Normal 3 4 2 2 4" xfId="34184"/>
    <cellStyle name="Normal 3 4 2 3" xfId="34185"/>
    <cellStyle name="Normal 3 4 2 4" xfId="34186"/>
    <cellStyle name="Normal 3 4 2 5" xfId="34187"/>
    <cellStyle name="Normal 3 4 3" xfId="34188"/>
    <cellStyle name="Normal 3 4 3 2" xfId="34189"/>
    <cellStyle name="Normal 3 4 3 2 2" xfId="34190"/>
    <cellStyle name="Normal 3 4 3 3" xfId="34191"/>
    <cellStyle name="Normal 3 4 3 4" xfId="34192"/>
    <cellStyle name="Normal 3 4 3 5" xfId="34193"/>
    <cellStyle name="Normal 3 4 4" xfId="34194"/>
    <cellStyle name="Normal 3 4 4 2" xfId="34195"/>
    <cellStyle name="Normal 3 4 4 2 2" xfId="34196"/>
    <cellStyle name="Normal 3 4 4 3" xfId="34197"/>
    <cellStyle name="Normal 3 4 5" xfId="34198"/>
    <cellStyle name="Normal 3 4 5 2" xfId="34199"/>
    <cellStyle name="Normal 3 4 6" xfId="34200"/>
    <cellStyle name="Normal 3 4 7" xfId="34201"/>
    <cellStyle name="Normal 3 5" xfId="1512"/>
    <cellStyle name="Normal 3 5 2" xfId="34202"/>
    <cellStyle name="Normal 3 5 2 2" xfId="34203"/>
    <cellStyle name="Normal 3 5 2 2 2" xfId="34204"/>
    <cellStyle name="Normal 3 5 2 3" xfId="34205"/>
    <cellStyle name="Normal 3 5 2 4" xfId="34206"/>
    <cellStyle name="Normal 3 5 3" xfId="34207"/>
    <cellStyle name="Normal 3 5 3 2" xfId="34208"/>
    <cellStyle name="Normal 3 5 3 2 2" xfId="34209"/>
    <cellStyle name="Normal 3 5 3 3" xfId="34210"/>
    <cellStyle name="Normal 3 5 3 4" xfId="34211"/>
    <cellStyle name="Normal 3 5 4" xfId="34212"/>
    <cellStyle name="Normal 3 5 4 2" xfId="34213"/>
    <cellStyle name="Normal 3 5 5" xfId="34214"/>
    <cellStyle name="Normal 3 5 5 2" xfId="34215"/>
    <cellStyle name="Normal 3 5 6" xfId="34216"/>
    <cellStyle name="Normal 3 6" xfId="1513"/>
    <cellStyle name="Normal 3 6 2" xfId="34217"/>
    <cellStyle name="Normal 3 6 2 2" xfId="34218"/>
    <cellStyle name="Normal 3 6 2 2 2" xfId="34219"/>
    <cellStyle name="Normal 3 6 3" xfId="34220"/>
    <cellStyle name="Normal 3 6 3 2" xfId="34221"/>
    <cellStyle name="Normal 3 6 3 2 2" xfId="34222"/>
    <cellStyle name="Normal 3 6 3 3" xfId="34223"/>
    <cellStyle name="Normal 3 6 3 4" xfId="34224"/>
    <cellStyle name="Normal 3 6 4" xfId="34225"/>
    <cellStyle name="Normal 3 6 4 2" xfId="34226"/>
    <cellStyle name="Normal 3 6 5" xfId="34227"/>
    <cellStyle name="Normal 3 6 5 2" xfId="34228"/>
    <cellStyle name="Normal 3 6 6" xfId="34229"/>
    <cellStyle name="Normal 3 7" xfId="34230"/>
    <cellStyle name="Normal 3 7 2" xfId="34231"/>
    <cellStyle name="Normal 3 7 2 2" xfId="34232"/>
    <cellStyle name="Normal 3 7 2 2 2" xfId="34233"/>
    <cellStyle name="Normal 3 7 3" xfId="34234"/>
    <cellStyle name="Normal 3 7 3 2" xfId="34235"/>
    <cellStyle name="Normal 3 7 3 2 2" xfId="34236"/>
    <cellStyle name="Normal 3 7 3 3" xfId="34237"/>
    <cellStyle name="Normal 3 7 4" xfId="34238"/>
    <cellStyle name="Normal 3 7 4 2" xfId="34239"/>
    <cellStyle name="Normal 3 7 5" xfId="34240"/>
    <cellStyle name="Normal 3 7 5 2" xfId="34241"/>
    <cellStyle name="Normal 3 8" xfId="34242"/>
    <cellStyle name="Normal 3 8 2" xfId="34243"/>
    <cellStyle name="Normal 3 8 2 2" xfId="34244"/>
    <cellStyle name="Normal 3 8 2 2 2" xfId="34245"/>
    <cellStyle name="Normal 3 8 3" xfId="34246"/>
    <cellStyle name="Normal 3 8 3 2" xfId="34247"/>
    <cellStyle name="Normal 3 8 3 2 2" xfId="34248"/>
    <cellStyle name="Normal 3 8 3 3" xfId="34249"/>
    <cellStyle name="Normal 3 8 4" xfId="34250"/>
    <cellStyle name="Normal 3 8 4 2" xfId="34251"/>
    <cellStyle name="Normal 3 8 5" xfId="34252"/>
    <cellStyle name="Normal 3 8 5 2" xfId="34253"/>
    <cellStyle name="Normal 3 9" xfId="34254"/>
    <cellStyle name="Normal 3 9 2" xfId="34255"/>
    <cellStyle name="Normal 3 9 2 2" xfId="34256"/>
    <cellStyle name="Normal 3 9 2 2 2" xfId="34257"/>
    <cellStyle name="Normal 3 9 3" xfId="34258"/>
    <cellStyle name="Normal 3 9 3 2" xfId="34259"/>
    <cellStyle name="Normal 3 9 3 2 2" xfId="34260"/>
    <cellStyle name="Normal 3 9 3 3" xfId="34261"/>
    <cellStyle name="Normal 3 9 4" xfId="34262"/>
    <cellStyle name="Normal 3 9 4 2" xfId="34263"/>
    <cellStyle name="Normal 3 9 5" xfId="34264"/>
    <cellStyle name="Normal 3 9 5 2" xfId="34265"/>
    <cellStyle name="Normal 3_ Price Inputs" xfId="34266"/>
    <cellStyle name="Normal 30" xfId="1514"/>
    <cellStyle name="Normal 30 2" xfId="34267"/>
    <cellStyle name="Normal 30 2 2" xfId="34268"/>
    <cellStyle name="Normal 30 2 2 2" xfId="34269"/>
    <cellStyle name="Normal 30 2 2 2 2" xfId="34270"/>
    <cellStyle name="Normal 30 2 2 3" xfId="34271"/>
    <cellStyle name="Normal 30 2 2 4" xfId="34272"/>
    <cellStyle name="Normal 30 2 3" xfId="34273"/>
    <cellStyle name="Normal 30 2 3 2" xfId="34274"/>
    <cellStyle name="Normal 30 2 4" xfId="34275"/>
    <cellStyle name="Normal 30 2 5" xfId="34276"/>
    <cellStyle name="Normal 30 3" xfId="34277"/>
    <cellStyle name="Normal 30 3 2" xfId="34278"/>
    <cellStyle name="Normal 30 3 2 2" xfId="34279"/>
    <cellStyle name="Normal 30 3 3" xfId="34280"/>
    <cellStyle name="Normal 30 3 4" xfId="34281"/>
    <cellStyle name="Normal 30 4" xfId="34282"/>
    <cellStyle name="Normal 30 4 2" xfId="34283"/>
    <cellStyle name="Normal 30 5" xfId="34284"/>
    <cellStyle name="Normal 30 5 2" xfId="34285"/>
    <cellStyle name="Normal 30 6" xfId="34286"/>
    <cellStyle name="Normal 30 7" xfId="34287"/>
    <cellStyle name="Normal 31" xfId="1515"/>
    <cellStyle name="Normal 31 2" xfId="34288"/>
    <cellStyle name="Normal 31 2 2" xfId="34289"/>
    <cellStyle name="Normal 31 2 2 2" xfId="34290"/>
    <cellStyle name="Normal 31 2 2 2 2" xfId="34291"/>
    <cellStyle name="Normal 31 2 2 3" xfId="34292"/>
    <cellStyle name="Normal 31 2 2 4" xfId="34293"/>
    <cellStyle name="Normal 31 2 3" xfId="34294"/>
    <cellStyle name="Normal 31 2 3 2" xfId="34295"/>
    <cellStyle name="Normal 31 2 4" xfId="34296"/>
    <cellStyle name="Normal 31 2 5" xfId="34297"/>
    <cellStyle name="Normal 31 3" xfId="34298"/>
    <cellStyle name="Normal 31 3 2" xfId="34299"/>
    <cellStyle name="Normal 31 3 2 2" xfId="34300"/>
    <cellStyle name="Normal 31 3 3" xfId="34301"/>
    <cellStyle name="Normal 31 3 4" xfId="34302"/>
    <cellStyle name="Normal 31 4" xfId="34303"/>
    <cellStyle name="Normal 31 4 2" xfId="34304"/>
    <cellStyle name="Normal 31 5" xfId="34305"/>
    <cellStyle name="Normal 31 5 2" xfId="34306"/>
    <cellStyle name="Normal 31 6" xfId="34307"/>
    <cellStyle name="Normal 31 7" xfId="34308"/>
    <cellStyle name="Normal 32" xfId="1516"/>
    <cellStyle name="Normal 32 2" xfId="34309"/>
    <cellStyle name="Normal 32 2 2" xfId="34310"/>
    <cellStyle name="Normal 32 2 2 2" xfId="34311"/>
    <cellStyle name="Normal 32 2 2 2 2" xfId="34312"/>
    <cellStyle name="Normal 32 2 2 3" xfId="34313"/>
    <cellStyle name="Normal 32 2 2 4" xfId="34314"/>
    <cellStyle name="Normal 32 2 3" xfId="34315"/>
    <cellStyle name="Normal 32 2 3 2" xfId="34316"/>
    <cellStyle name="Normal 32 2 4" xfId="34317"/>
    <cellStyle name="Normal 32 2 5" xfId="34318"/>
    <cellStyle name="Normal 32 3" xfId="34319"/>
    <cellStyle name="Normal 32 3 2" xfId="34320"/>
    <cellStyle name="Normal 32 3 2 2" xfId="34321"/>
    <cellStyle name="Normal 32 3 3" xfId="34322"/>
    <cellStyle name="Normal 32 3 4" xfId="34323"/>
    <cellStyle name="Normal 32 4" xfId="34324"/>
    <cellStyle name="Normal 32 4 2" xfId="34325"/>
    <cellStyle name="Normal 32 5" xfId="34326"/>
    <cellStyle name="Normal 32 5 2" xfId="34327"/>
    <cellStyle name="Normal 32 6" xfId="34328"/>
    <cellStyle name="Normal 32 7" xfId="34329"/>
    <cellStyle name="Normal 33" xfId="1517"/>
    <cellStyle name="Normal 33 2" xfId="34330"/>
    <cellStyle name="Normal 33 2 2" xfId="34331"/>
    <cellStyle name="Normal 33 2 2 2" xfId="34332"/>
    <cellStyle name="Normal 33 2 2 2 2" xfId="34333"/>
    <cellStyle name="Normal 33 2 2 3" xfId="34334"/>
    <cellStyle name="Normal 33 2 2 4" xfId="34335"/>
    <cellStyle name="Normal 33 2 3" xfId="34336"/>
    <cellStyle name="Normal 33 2 3 2" xfId="34337"/>
    <cellStyle name="Normal 33 2 4" xfId="34338"/>
    <cellStyle name="Normal 33 2 5" xfId="34339"/>
    <cellStyle name="Normal 33 3" xfId="34340"/>
    <cellStyle name="Normal 33 3 2" xfId="34341"/>
    <cellStyle name="Normal 33 3 2 2" xfId="34342"/>
    <cellStyle name="Normal 33 3 3" xfId="34343"/>
    <cellStyle name="Normal 33 3 4" xfId="34344"/>
    <cellStyle name="Normal 33 4" xfId="34345"/>
    <cellStyle name="Normal 33 4 2" xfId="34346"/>
    <cellStyle name="Normal 33 5" xfId="34347"/>
    <cellStyle name="Normal 33 5 2" xfId="34348"/>
    <cellStyle name="Normal 33 6" xfId="34349"/>
    <cellStyle name="Normal 33 7" xfId="34350"/>
    <cellStyle name="Normal 34" xfId="1518"/>
    <cellStyle name="Normal 34 2" xfId="34351"/>
    <cellStyle name="Normal 34 2 2" xfId="34352"/>
    <cellStyle name="Normal 34 2 2 2" xfId="34353"/>
    <cellStyle name="Normal 34 2 2 2 2" xfId="34354"/>
    <cellStyle name="Normal 34 2 2 3" xfId="34355"/>
    <cellStyle name="Normal 34 2 2 4" xfId="34356"/>
    <cellStyle name="Normal 34 2 3" xfId="34357"/>
    <cellStyle name="Normal 34 2 3 2" xfId="34358"/>
    <cellStyle name="Normal 34 2 4" xfId="34359"/>
    <cellStyle name="Normal 34 2 5" xfId="34360"/>
    <cellStyle name="Normal 34 3" xfId="34361"/>
    <cellStyle name="Normal 34 3 2" xfId="34362"/>
    <cellStyle name="Normal 34 3 2 2" xfId="34363"/>
    <cellStyle name="Normal 34 3 3" xfId="34364"/>
    <cellStyle name="Normal 34 3 4" xfId="34365"/>
    <cellStyle name="Normal 34 4" xfId="34366"/>
    <cellStyle name="Normal 34 4 2" xfId="34367"/>
    <cellStyle name="Normal 34 5" xfId="34368"/>
    <cellStyle name="Normal 34 5 2" xfId="34369"/>
    <cellStyle name="Normal 34 6" xfId="34370"/>
    <cellStyle name="Normal 34 7" xfId="34371"/>
    <cellStyle name="Normal 35" xfId="1519"/>
    <cellStyle name="Normal 35 2" xfId="34372"/>
    <cellStyle name="Normal 35 2 2" xfId="34373"/>
    <cellStyle name="Normal 35 2 2 2" xfId="34374"/>
    <cellStyle name="Normal 35 2 2 2 2" xfId="34375"/>
    <cellStyle name="Normal 35 2 2 3" xfId="34376"/>
    <cellStyle name="Normal 35 2 2 4" xfId="34377"/>
    <cellStyle name="Normal 35 2 3" xfId="34378"/>
    <cellStyle name="Normal 35 2 3 2" xfId="34379"/>
    <cellStyle name="Normal 35 2 4" xfId="34380"/>
    <cellStyle name="Normal 35 2 5" xfId="34381"/>
    <cellStyle name="Normal 35 3" xfId="34382"/>
    <cellStyle name="Normal 35 3 2" xfId="34383"/>
    <cellStyle name="Normal 35 3 2 2" xfId="34384"/>
    <cellStyle name="Normal 35 3 3" xfId="34385"/>
    <cellStyle name="Normal 35 3 4" xfId="34386"/>
    <cellStyle name="Normal 35 4" xfId="34387"/>
    <cellStyle name="Normal 35 4 2" xfId="34388"/>
    <cellStyle name="Normal 35 5" xfId="34389"/>
    <cellStyle name="Normal 35 5 2" xfId="34390"/>
    <cellStyle name="Normal 35 6" xfId="34391"/>
    <cellStyle name="Normal 35 7" xfId="34392"/>
    <cellStyle name="Normal 36" xfId="1520"/>
    <cellStyle name="Normal 36 2" xfId="34393"/>
    <cellStyle name="Normal 36 2 2" xfId="34394"/>
    <cellStyle name="Normal 36 2 2 2" xfId="34395"/>
    <cellStyle name="Normal 36 2 2 2 2" xfId="34396"/>
    <cellStyle name="Normal 36 2 2 3" xfId="34397"/>
    <cellStyle name="Normal 36 2 2 4" xfId="34398"/>
    <cellStyle name="Normal 36 2 3" xfId="34399"/>
    <cellStyle name="Normal 36 2 3 2" xfId="34400"/>
    <cellStyle name="Normal 36 2 4" xfId="34401"/>
    <cellStyle name="Normal 36 2 5" xfId="34402"/>
    <cellStyle name="Normal 36 3" xfId="34403"/>
    <cellStyle name="Normal 36 3 2" xfId="34404"/>
    <cellStyle name="Normal 36 3 2 2" xfId="34405"/>
    <cellStyle name="Normal 36 3 3" xfId="34406"/>
    <cellStyle name="Normal 36 3 4" xfId="34407"/>
    <cellStyle name="Normal 36 4" xfId="34408"/>
    <cellStyle name="Normal 36 4 2" xfId="34409"/>
    <cellStyle name="Normal 36 5" xfId="34410"/>
    <cellStyle name="Normal 36 5 2" xfId="34411"/>
    <cellStyle name="Normal 36 6" xfId="34412"/>
    <cellStyle name="Normal 36 7" xfId="34413"/>
    <cellStyle name="Normal 37" xfId="1521"/>
    <cellStyle name="Normal 37 2" xfId="34414"/>
    <cellStyle name="Normal 37 2 2" xfId="34415"/>
    <cellStyle name="Normal 37 2 2 2" xfId="34416"/>
    <cellStyle name="Normal 37 2 2 2 2" xfId="34417"/>
    <cellStyle name="Normal 37 2 2 3" xfId="34418"/>
    <cellStyle name="Normal 37 2 2 4" xfId="34419"/>
    <cellStyle name="Normal 37 2 3" xfId="34420"/>
    <cellStyle name="Normal 37 2 3 2" xfId="34421"/>
    <cellStyle name="Normal 37 2 4" xfId="34422"/>
    <cellStyle name="Normal 37 2 5" xfId="34423"/>
    <cellStyle name="Normal 37 3" xfId="34424"/>
    <cellStyle name="Normal 37 3 2" xfId="34425"/>
    <cellStyle name="Normal 37 3 2 2" xfId="34426"/>
    <cellStyle name="Normal 37 3 3" xfId="34427"/>
    <cellStyle name="Normal 37 3 4" xfId="34428"/>
    <cellStyle name="Normal 37 4" xfId="34429"/>
    <cellStyle name="Normal 37 4 2" xfId="34430"/>
    <cellStyle name="Normal 37 5" xfId="34431"/>
    <cellStyle name="Normal 37 5 2" xfId="34432"/>
    <cellStyle name="Normal 37 6" xfId="34433"/>
    <cellStyle name="Normal 37 7" xfId="34434"/>
    <cellStyle name="Normal 38" xfId="1522"/>
    <cellStyle name="Normal 38 2" xfId="34435"/>
    <cellStyle name="Normal 38 2 2" xfId="34436"/>
    <cellStyle name="Normal 38 2 2 2" xfId="34437"/>
    <cellStyle name="Normal 38 2 2 2 2" xfId="34438"/>
    <cellStyle name="Normal 38 2 2 3" xfId="34439"/>
    <cellStyle name="Normal 38 2 2 4" xfId="34440"/>
    <cellStyle name="Normal 38 2 3" xfId="34441"/>
    <cellStyle name="Normal 38 2 3 2" xfId="34442"/>
    <cellStyle name="Normal 38 2 4" xfId="34443"/>
    <cellStyle name="Normal 38 2 5" xfId="34444"/>
    <cellStyle name="Normal 38 3" xfId="34445"/>
    <cellStyle name="Normal 38 3 2" xfId="34446"/>
    <cellStyle name="Normal 38 3 2 2" xfId="34447"/>
    <cellStyle name="Normal 38 3 3" xfId="34448"/>
    <cellStyle name="Normal 38 3 4" xfId="34449"/>
    <cellStyle name="Normal 38 4" xfId="34450"/>
    <cellStyle name="Normal 38 4 2" xfId="34451"/>
    <cellStyle name="Normal 38 5" xfId="34452"/>
    <cellStyle name="Normal 38 5 2" xfId="34453"/>
    <cellStyle name="Normal 38 6" xfId="34454"/>
    <cellStyle name="Normal 38 7" xfId="34455"/>
    <cellStyle name="Normal 39" xfId="1523"/>
    <cellStyle name="Normal 39 2" xfId="34456"/>
    <cellStyle name="Normal 39 2 2" xfId="34457"/>
    <cellStyle name="Normal 39 2 2 2" xfId="34458"/>
    <cellStyle name="Normal 39 2 2 2 2" xfId="34459"/>
    <cellStyle name="Normal 39 2 2 3" xfId="34460"/>
    <cellStyle name="Normal 39 2 2 4" xfId="34461"/>
    <cellStyle name="Normal 39 2 3" xfId="34462"/>
    <cellStyle name="Normal 39 2 3 2" xfId="34463"/>
    <cellStyle name="Normal 39 2 4" xfId="34464"/>
    <cellStyle name="Normal 39 2 5" xfId="34465"/>
    <cellStyle name="Normal 39 3" xfId="34466"/>
    <cellStyle name="Normal 39 3 2" xfId="34467"/>
    <cellStyle name="Normal 39 3 2 2" xfId="34468"/>
    <cellStyle name="Normal 39 3 3" xfId="34469"/>
    <cellStyle name="Normal 39 3 4" xfId="34470"/>
    <cellStyle name="Normal 39 4" xfId="34471"/>
    <cellStyle name="Normal 39 4 2" xfId="34472"/>
    <cellStyle name="Normal 39 5" xfId="34473"/>
    <cellStyle name="Normal 39 5 2" xfId="34474"/>
    <cellStyle name="Normal 39 6" xfId="34475"/>
    <cellStyle name="Normal 39 7" xfId="34476"/>
    <cellStyle name="Normal 4" xfId="1524"/>
    <cellStyle name="Normal 4 2" xfId="1525"/>
    <cellStyle name="Normal 4 2 2" xfId="1526"/>
    <cellStyle name="Normal 4 2 2 2" xfId="34477"/>
    <cellStyle name="Normal 4 2 2 2 2" xfId="34478"/>
    <cellStyle name="Normal 4 2 2 2 2 2" xfId="34479"/>
    <cellStyle name="Normal 4 2 2 3" xfId="34480"/>
    <cellStyle name="Normal 4 2 2 3 2" xfId="34481"/>
    <cellStyle name="Normal 4 2 2 3 3" xfId="34482"/>
    <cellStyle name="Normal 4 2 2 4" xfId="34483"/>
    <cellStyle name="Normal 4 2 2 4 2" xfId="34484"/>
    <cellStyle name="Normal 4 2 3" xfId="34485"/>
    <cellStyle name="Normal 4 2 3 2" xfId="34486"/>
    <cellStyle name="Normal 4 2 3 2 2" xfId="34487"/>
    <cellStyle name="Normal 4 2 3 2 3" xfId="34488"/>
    <cellStyle name="Normal 4 2 3 3" xfId="34489"/>
    <cellStyle name="Normal 4 2 3 4" xfId="34490"/>
    <cellStyle name="Normal 4 2 3 5" xfId="34491"/>
    <cellStyle name="Normal 4 2 4" xfId="34492"/>
    <cellStyle name="Normal 4 2 4 2" xfId="34493"/>
    <cellStyle name="Normal 4 2 4 2 2" xfId="34494"/>
    <cellStyle name="Normal 4 2 4 3" xfId="34495"/>
    <cellStyle name="Normal 4 2 4 4" xfId="34496"/>
    <cellStyle name="Normal 4 2 5" xfId="34497"/>
    <cellStyle name="Normal 4 2 5 2" xfId="34498"/>
    <cellStyle name="Normal 4 2 6" xfId="34499"/>
    <cellStyle name="Normal 4 2 6 2" xfId="34500"/>
    <cellStyle name="Normal 4 2 7" xfId="34501"/>
    <cellStyle name="Normal 4 2 7 2" xfId="34502"/>
    <cellStyle name="Normal 4 2 8" xfId="34503"/>
    <cellStyle name="Normal 4 3" xfId="1527"/>
    <cellStyle name="Normal 4 3 2" xfId="34504"/>
    <cellStyle name="Normal 4 3 2 2" xfId="34505"/>
    <cellStyle name="Normal 4 3 2 2 2" xfId="34506"/>
    <cellStyle name="Normal 4 3 3" xfId="34507"/>
    <cellStyle name="Normal 4 3 3 2" xfId="34508"/>
    <cellStyle name="Normal 4 3 3 2 2" xfId="34509"/>
    <cellStyle name="Normal 4 3 3 3" xfId="34510"/>
    <cellStyle name="Normal 4 3 3 4" xfId="34511"/>
    <cellStyle name="Normal 4 3 4" xfId="34512"/>
    <cellStyle name="Normal 4 3 4 2" xfId="34513"/>
    <cellStyle name="Normal 4 3 4 3" xfId="34514"/>
    <cellStyle name="Normal 4 3 5" xfId="34515"/>
    <cellStyle name="Normal 4 3 5 2" xfId="34516"/>
    <cellStyle name="Normal 4 3 6" xfId="34517"/>
    <cellStyle name="Normal 4 4" xfId="34518"/>
    <cellStyle name="Normal 4 4 2" xfId="34519"/>
    <cellStyle name="Normal 4 4 2 2" xfId="34520"/>
    <cellStyle name="Normal 4 4 2 2 2" xfId="34521"/>
    <cellStyle name="Normal 4 4 2 3" xfId="34522"/>
    <cellStyle name="Normal 4 4 3" xfId="34523"/>
    <cellStyle name="Normal 4 4 3 2" xfId="34524"/>
    <cellStyle name="Normal 4 4 3 3" xfId="34525"/>
    <cellStyle name="Normal 4 4 4" xfId="34526"/>
    <cellStyle name="Normal 4 4 4 2" xfId="34527"/>
    <cellStyle name="Normal 4 4 5" xfId="34528"/>
    <cellStyle name="Normal 4 5" xfId="34529"/>
    <cellStyle name="Normal 4 5 2" xfId="34530"/>
    <cellStyle name="Normal 4 5 2 2" xfId="34531"/>
    <cellStyle name="Normal 4 5 3" xfId="34532"/>
    <cellStyle name="Normal 4 5 4" xfId="34533"/>
    <cellStyle name="Normal 4 6" xfId="34534"/>
    <cellStyle name="Normal 4 6 2" xfId="34535"/>
    <cellStyle name="Normal 4 6 3" xfId="34536"/>
    <cellStyle name="Normal 4 7" xfId="34537"/>
    <cellStyle name="Normal 4 8" xfId="34538"/>
    <cellStyle name="Normal 4_ Price Inputs" xfId="34539"/>
    <cellStyle name="Normal 40" xfId="1528"/>
    <cellStyle name="Normal 40 2" xfId="1529"/>
    <cellStyle name="Normal 40 2 2" xfId="34540"/>
    <cellStyle name="Normal 40 2 2 2" xfId="34541"/>
    <cellStyle name="Normal 40 2 2 2 2" xfId="34542"/>
    <cellStyle name="Normal 40 2 2 3" xfId="34543"/>
    <cellStyle name="Normal 40 2 2 4" xfId="34544"/>
    <cellStyle name="Normal 40 2 3" xfId="34545"/>
    <cellStyle name="Normal 40 2 3 2" xfId="34546"/>
    <cellStyle name="Normal 40 2 4" xfId="34547"/>
    <cellStyle name="Normal 40 2 5" xfId="34548"/>
    <cellStyle name="Normal 40 3" xfId="34549"/>
    <cellStyle name="Normal 40 3 2" xfId="34550"/>
    <cellStyle name="Normal 40 3 2 2" xfId="34551"/>
    <cellStyle name="Normal 40 3 3" xfId="34552"/>
    <cellStyle name="Normal 40 3 4" xfId="34553"/>
    <cellStyle name="Normal 40 4" xfId="34554"/>
    <cellStyle name="Normal 40 5" xfId="34555"/>
    <cellStyle name="Normal 41" xfId="1530"/>
    <cellStyle name="Normal 41 2" xfId="34556"/>
    <cellStyle name="Normal 41 2 2" xfId="34557"/>
    <cellStyle name="Normal 41 2 2 2" xfId="34558"/>
    <cellStyle name="Normal 41 2 2 3" xfId="34559"/>
    <cellStyle name="Normal 41 2 3" xfId="34560"/>
    <cellStyle name="Normal 41 2 3 2" xfId="34561"/>
    <cellStyle name="Normal 41 2 4" xfId="34562"/>
    <cellStyle name="Normal 41 2 5" xfId="34563"/>
    <cellStyle name="Normal 41 3" xfId="34564"/>
    <cellStyle name="Normal 41 3 2" xfId="34565"/>
    <cellStyle name="Normal 41 3 2 2" xfId="34566"/>
    <cellStyle name="Normal 41 3 3" xfId="34567"/>
    <cellStyle name="Normal 41 3 4" xfId="34568"/>
    <cellStyle name="Normal 41 4" xfId="34569"/>
    <cellStyle name="Normal 41 4 2" xfId="34570"/>
    <cellStyle name="Normal 41 4 2 2" xfId="34571"/>
    <cellStyle name="Normal 41 4 3" xfId="34572"/>
    <cellStyle name="Normal 41 5" xfId="34573"/>
    <cellStyle name="Normal 41 6" xfId="34574"/>
    <cellStyle name="Normal 42" xfId="1531"/>
    <cellStyle name="Normal 42 2" xfId="34575"/>
    <cellStyle name="Normal 42 2 2" xfId="34576"/>
    <cellStyle name="Normal 42 2 2 2" xfId="34577"/>
    <cellStyle name="Normal 42 2 2 2 2" xfId="34578"/>
    <cellStyle name="Normal 42 2 2 2 3" xfId="34579"/>
    <cellStyle name="Normal 42 2 2 3" xfId="34580"/>
    <cellStyle name="Normal 42 2 2 4" xfId="34581"/>
    <cellStyle name="Normal 42 2 3" xfId="34582"/>
    <cellStyle name="Normal 42 2 3 2" xfId="34583"/>
    <cellStyle name="Normal 42 2 3 3" xfId="34584"/>
    <cellStyle name="Normal 42 2 4" xfId="34585"/>
    <cellStyle name="Normal 42 2 5" xfId="34586"/>
    <cellStyle name="Normal 42 3" xfId="34587"/>
    <cellStyle name="Normal 42 3 2" xfId="34588"/>
    <cellStyle name="Normal 42 3 2 2" xfId="34589"/>
    <cellStyle name="Normal 42 3 2 3" xfId="34590"/>
    <cellStyle name="Normal 42 3 3" xfId="34591"/>
    <cellStyle name="Normal 42 3 4" xfId="34592"/>
    <cellStyle name="Normal 42 4" xfId="34593"/>
    <cellStyle name="Normal 42 4 2" xfId="34594"/>
    <cellStyle name="Normal 42 4 2 2" xfId="34595"/>
    <cellStyle name="Normal 42 4 3" xfId="34596"/>
    <cellStyle name="Normal 42 4 4" xfId="34597"/>
    <cellStyle name="Normal 42 5" xfId="34598"/>
    <cellStyle name="Normal 42 5 2" xfId="34599"/>
    <cellStyle name="Normal 42 5 2 2" xfId="34600"/>
    <cellStyle name="Normal 42 5 3" xfId="34601"/>
    <cellStyle name="Normal 42 6" xfId="34602"/>
    <cellStyle name="Normal 42 7" xfId="34603"/>
    <cellStyle name="Normal 43" xfId="1532"/>
    <cellStyle name="Normal 43 2" xfId="34604"/>
    <cellStyle name="Normal 43 2 2" xfId="34605"/>
    <cellStyle name="Normal 43 2 2 2" xfId="34606"/>
    <cellStyle name="Normal 43 2 2 3" xfId="34607"/>
    <cellStyle name="Normal 43 2 3" xfId="34608"/>
    <cellStyle name="Normal 43 2 3 2" xfId="34609"/>
    <cellStyle name="Normal 43 2 4" xfId="34610"/>
    <cellStyle name="Normal 43 3" xfId="34611"/>
    <cellStyle name="Normal 43 3 2" xfId="34612"/>
    <cellStyle name="Normal 43 3 2 2" xfId="34613"/>
    <cellStyle name="Normal 43 3 3" xfId="34614"/>
    <cellStyle name="Normal 43 4" xfId="34615"/>
    <cellStyle name="Normal 43 4 2" xfId="34616"/>
    <cellStyle name="Normal 43 5" xfId="34617"/>
    <cellStyle name="Normal 44" xfId="1533"/>
    <cellStyle name="Normal 44 2" xfId="34618"/>
    <cellStyle name="Normal 44 2 2" xfId="34619"/>
    <cellStyle name="Normal 44 2 2 2" xfId="34620"/>
    <cellStyle name="Normal 44 2 2 2 2" xfId="34621"/>
    <cellStyle name="Normal 44 2 2 3" xfId="34622"/>
    <cellStyle name="Normal 44 2 3" xfId="34623"/>
    <cellStyle name="Normal 44 2 3 2" xfId="34624"/>
    <cellStyle name="Normal 44 2 4" xfId="34625"/>
    <cellStyle name="Normal 44 2 4 2" xfId="34626"/>
    <cellStyle name="Normal 44 2 5" xfId="34627"/>
    <cellStyle name="Normal 44 3" xfId="34628"/>
    <cellStyle name="Normal 44 3 2" xfId="34629"/>
    <cellStyle name="Normal 44 3 2 2" xfId="34630"/>
    <cellStyle name="Normal 44 3 3" xfId="34631"/>
    <cellStyle name="Normal 44 3 3 2" xfId="34632"/>
    <cellStyle name="Normal 44 3 4" xfId="34633"/>
    <cellStyle name="Normal 44 4" xfId="34634"/>
    <cellStyle name="Normal 44 4 2" xfId="34635"/>
    <cellStyle name="Normal 44 4 2 2" xfId="34636"/>
    <cellStyle name="Normal 44 4 3" xfId="34637"/>
    <cellStyle name="Normal 44 5" xfId="34638"/>
    <cellStyle name="Normal 44 5 2" xfId="34639"/>
    <cellStyle name="Normal 44 5 2 2" xfId="34640"/>
    <cellStyle name="Normal 44 5 3" xfId="34641"/>
    <cellStyle name="Normal 44 6" xfId="34642"/>
    <cellStyle name="Normal 44 7" xfId="34643"/>
    <cellStyle name="Normal 44 8" xfId="34644"/>
    <cellStyle name="Normal 45" xfId="1534"/>
    <cellStyle name="Normal 45 2" xfId="34645"/>
    <cellStyle name="Normal 45 2 2" xfId="34646"/>
    <cellStyle name="Normal 45 2 2 2" xfId="34647"/>
    <cellStyle name="Normal 45 2 2 3" xfId="34648"/>
    <cellStyle name="Normal 45 2 3" xfId="34649"/>
    <cellStyle name="Normal 45 2 3 2" xfId="34650"/>
    <cellStyle name="Normal 45 2 4" xfId="34651"/>
    <cellStyle name="Normal 45 2 5" xfId="34652"/>
    <cellStyle name="Normal 45 3" xfId="34653"/>
    <cellStyle name="Normal 45 3 2" xfId="34654"/>
    <cellStyle name="Normal 45 3 3" xfId="34655"/>
    <cellStyle name="Normal 45 4" xfId="34656"/>
    <cellStyle name="Normal 45 4 2" xfId="34657"/>
    <cellStyle name="Normal 45 5" xfId="34658"/>
    <cellStyle name="Normal 45 5 2" xfId="34659"/>
    <cellStyle name="Normal 45 6" xfId="34660"/>
    <cellStyle name="Normal 45 7" xfId="34661"/>
    <cellStyle name="Normal 45 8" xfId="42399"/>
    <cellStyle name="Normal 46" xfId="1535"/>
    <cellStyle name="Normal 46 2" xfId="34662"/>
    <cellStyle name="Normal 46 2 2" xfId="34663"/>
    <cellStyle name="Normal 46 2 2 2" xfId="34664"/>
    <cellStyle name="Normal 46 2 2 2 2" xfId="34665"/>
    <cellStyle name="Normal 46 2 2 3" xfId="34666"/>
    <cellStyle name="Normal 46 2 3" xfId="34667"/>
    <cellStyle name="Normal 46 2 3 2" xfId="34668"/>
    <cellStyle name="Normal 46 2 3 3" xfId="34669"/>
    <cellStyle name="Normal 46 2 4" xfId="34670"/>
    <cellStyle name="Normal 46 2 5" xfId="34671"/>
    <cellStyle name="Normal 46 2 6" xfId="34672"/>
    <cellStyle name="Normal 46 3" xfId="34673"/>
    <cellStyle name="Normal 46 3 2" xfId="34674"/>
    <cellStyle name="Normal 46 3 2 2" xfId="34675"/>
    <cellStyle name="Normal 46 3 3" xfId="34676"/>
    <cellStyle name="Normal 46 4" xfId="34677"/>
    <cellStyle name="Normal 46 4 2" xfId="34678"/>
    <cellStyle name="Normal 46 4 2 2" xfId="34679"/>
    <cellStyle name="Normal 46 4 3" xfId="34680"/>
    <cellStyle name="Normal 46 5" xfId="34681"/>
    <cellStyle name="Normal 46 5 2" xfId="34682"/>
    <cellStyle name="Normal 46 5 3" xfId="34683"/>
    <cellStyle name="Normal 46 6" xfId="34684"/>
    <cellStyle name="Normal 46 7" xfId="34685"/>
    <cellStyle name="Normal 47" xfId="1536"/>
    <cellStyle name="Normal 47 2" xfId="34686"/>
    <cellStyle name="Normal 47 2 2" xfId="34687"/>
    <cellStyle name="Normal 47 2 2 2" xfId="34688"/>
    <cellStyle name="Normal 47 2 3" xfId="34689"/>
    <cellStyle name="Normal 47 2 3 2" xfId="34690"/>
    <cellStyle name="Normal 47 2 4" xfId="34691"/>
    <cellStyle name="Normal 47 2 5" xfId="34692"/>
    <cellStyle name="Normal 47 3" xfId="1537"/>
    <cellStyle name="Normal 47 3 2" xfId="34693"/>
    <cellStyle name="Normal 47 3 2 2" xfId="34694"/>
    <cellStyle name="Normal 47 3 3" xfId="34695"/>
    <cellStyle name="Normal 47 3 4" xfId="42394"/>
    <cellStyle name="Normal 47 4" xfId="34696"/>
    <cellStyle name="Normal 47 4 2" xfId="34697"/>
    <cellStyle name="Normal 47 4 2 2" xfId="34698"/>
    <cellStyle name="Normal 47 4 3" xfId="34699"/>
    <cellStyle name="Normal 47 5" xfId="34700"/>
    <cellStyle name="Normal 47 5 2" xfId="34701"/>
    <cellStyle name="Normal 47 6" xfId="34702"/>
    <cellStyle name="Normal 47 7" xfId="34703"/>
    <cellStyle name="Normal 48" xfId="1538"/>
    <cellStyle name="Normal 48 2" xfId="34704"/>
    <cellStyle name="Normal 48 2 2" xfId="34705"/>
    <cellStyle name="Normal 48 2 2 2" xfId="34706"/>
    <cellStyle name="Normal 48 2 3" xfId="34707"/>
    <cellStyle name="Normal 48 2 3 2" xfId="34708"/>
    <cellStyle name="Normal 48 2 4" xfId="34709"/>
    <cellStyle name="Normal 48 2 5" xfId="34710"/>
    <cellStyle name="Normal 48 3" xfId="34711"/>
    <cellStyle name="Normal 48 3 2" xfId="34712"/>
    <cellStyle name="Normal 48 3 2 2" xfId="34713"/>
    <cellStyle name="Normal 48 3 3" xfId="34714"/>
    <cellStyle name="Normal 48 4" xfId="34715"/>
    <cellStyle name="Normal 48 4 2" xfId="34716"/>
    <cellStyle name="Normal 48 4 2 2" xfId="34717"/>
    <cellStyle name="Normal 48 4 3" xfId="34718"/>
    <cellStyle name="Normal 48 5" xfId="34719"/>
    <cellStyle name="Normal 48 6" xfId="34720"/>
    <cellStyle name="Normal 49" xfId="1539"/>
    <cellStyle name="Normal 49 2" xfId="34721"/>
    <cellStyle name="Normal 49 2 2" xfId="34722"/>
    <cellStyle name="Normal 49 2 2 2" xfId="34723"/>
    <cellStyle name="Normal 49 2 3" xfId="34724"/>
    <cellStyle name="Normal 49 3" xfId="34725"/>
    <cellStyle name="Normal 49 3 2" xfId="34726"/>
    <cellStyle name="Normal 49 3 2 2" xfId="34727"/>
    <cellStyle name="Normal 49 3 3" xfId="34728"/>
    <cellStyle name="Normal 49 4" xfId="34729"/>
    <cellStyle name="Normal 49 4 2" xfId="34730"/>
    <cellStyle name="Normal 49 4 2 2" xfId="34731"/>
    <cellStyle name="Normal 49 4 3" xfId="34732"/>
    <cellStyle name="Normal 49 5" xfId="34733"/>
    <cellStyle name="Normal 49 5 2" xfId="34734"/>
    <cellStyle name="Normal 49 6" xfId="34735"/>
    <cellStyle name="Normal 49 7" xfId="34736"/>
    <cellStyle name="Normal 5" xfId="1540"/>
    <cellStyle name="Normal 5 2" xfId="1541"/>
    <cellStyle name="Normal 5 2 2" xfId="34737"/>
    <cellStyle name="Normal 5 2 2 2" xfId="34738"/>
    <cellStyle name="Normal 5 2 2 2 2" xfId="34739"/>
    <cellStyle name="Normal 5 2 2 3" xfId="34740"/>
    <cellStyle name="Normal 5 2 3" xfId="34741"/>
    <cellStyle name="Normal 5 2 3 2" xfId="34742"/>
    <cellStyle name="Normal 5 2 3 2 2" xfId="34743"/>
    <cellStyle name="Normal 5 2 3 3" xfId="34744"/>
    <cellStyle name="Normal 5 2 3 4" xfId="34745"/>
    <cellStyle name="Normal 5 2 4" xfId="34746"/>
    <cellStyle name="Normal 5 2 4 2" xfId="34747"/>
    <cellStyle name="Normal 5 2 5" xfId="34748"/>
    <cellStyle name="Normal 5 2 5 2" xfId="34749"/>
    <cellStyle name="Normal 5 2 6" xfId="34750"/>
    <cellStyle name="Normal 5 3" xfId="34751"/>
    <cellStyle name="Normal 5 3 2" xfId="34752"/>
    <cellStyle name="Normal 5 3 2 2" xfId="34753"/>
    <cellStyle name="Normal 5 3 2 3" xfId="34754"/>
    <cellStyle name="Normal 5 3 2 4" xfId="34755"/>
    <cellStyle name="Normal 5 3 3" xfId="34756"/>
    <cellStyle name="Normal 5 3 4" xfId="34757"/>
    <cellStyle name="Normal 5 4" xfId="34758"/>
    <cellStyle name="Normal 5 4 2" xfId="34759"/>
    <cellStyle name="Normal 5 4 3" xfId="34760"/>
    <cellStyle name="Normal 5 4 4" xfId="34761"/>
    <cellStyle name="Normal 5 5" xfId="34762"/>
    <cellStyle name="Normal 5 5 2" xfId="34763"/>
    <cellStyle name="Normal 5 6" xfId="34764"/>
    <cellStyle name="Normal 50" xfId="1768"/>
    <cellStyle name="Normal 50 2" xfId="34765"/>
    <cellStyle name="Normal 50 2 2" xfId="34766"/>
    <cellStyle name="Normal 50 2 2 2" xfId="34767"/>
    <cellStyle name="Normal 50 2 3" xfId="34768"/>
    <cellStyle name="Normal 50 3" xfId="34769"/>
    <cellStyle name="Normal 50 3 2" xfId="34770"/>
    <cellStyle name="Normal 50 3 2 2" xfId="34771"/>
    <cellStyle name="Normal 50 3 3" xfId="34772"/>
    <cellStyle name="Normal 50 4" xfId="34773"/>
    <cellStyle name="Normal 50 4 2" xfId="34774"/>
    <cellStyle name="Normal 50 4 2 2" xfId="34775"/>
    <cellStyle name="Normal 50 4 3" xfId="34776"/>
    <cellStyle name="Normal 50 5" xfId="34777"/>
    <cellStyle name="Normal 50 5 2" xfId="34778"/>
    <cellStyle name="Normal 50 6" xfId="34779"/>
    <cellStyle name="Normal 50 7" xfId="34780"/>
    <cellStyle name="Normal 51" xfId="34781"/>
    <cellStyle name="Normal 51 2" xfId="34782"/>
    <cellStyle name="Normal 51 2 2" xfId="34783"/>
    <cellStyle name="Normal 51 2 2 2" xfId="34784"/>
    <cellStyle name="Normal 51 2 3" xfId="34785"/>
    <cellStyle name="Normal 51 2 3 2" xfId="34786"/>
    <cellStyle name="Normal 51 2 4" xfId="34787"/>
    <cellStyle name="Normal 51 3" xfId="34788"/>
    <cellStyle name="Normal 51 3 2" xfId="34789"/>
    <cellStyle name="Normal 51 4" xfId="34790"/>
    <cellStyle name="Normal 51 4 2" xfId="34791"/>
    <cellStyle name="Normal 51 5" xfId="34792"/>
    <cellStyle name="Normal 51 5 2" xfId="34793"/>
    <cellStyle name="Normal 51 6" xfId="34794"/>
    <cellStyle name="Normal 51 7" xfId="34795"/>
    <cellStyle name="Normal 51 8" xfId="34796"/>
    <cellStyle name="Normal 52" xfId="34797"/>
    <cellStyle name="Normal 52 2" xfId="34798"/>
    <cellStyle name="Normal 52 2 2" xfId="34799"/>
    <cellStyle name="Normal 52 2 2 2" xfId="34800"/>
    <cellStyle name="Normal 52 2 3" xfId="34801"/>
    <cellStyle name="Normal 52 3" xfId="34802"/>
    <cellStyle name="Normal 52 3 2" xfId="34803"/>
    <cellStyle name="Normal 52 4" xfId="34804"/>
    <cellStyle name="Normal 52 4 2" xfId="34805"/>
    <cellStyle name="Normal 52 5" xfId="34806"/>
    <cellStyle name="Normal 52 6" xfId="34807"/>
    <cellStyle name="Normal 53" xfId="34808"/>
    <cellStyle name="Normal 53 2" xfId="34809"/>
    <cellStyle name="Normal 53 2 2" xfId="34810"/>
    <cellStyle name="Normal 53 2 2 2" xfId="34811"/>
    <cellStyle name="Normal 53 2 3" xfId="34812"/>
    <cellStyle name="Normal 53 2 4" xfId="34813"/>
    <cellStyle name="Normal 53 3" xfId="34814"/>
    <cellStyle name="Normal 53 3 2" xfId="34815"/>
    <cellStyle name="Normal 53 3 2 2" xfId="34816"/>
    <cellStyle name="Normal 53 3 3" xfId="34817"/>
    <cellStyle name="Normal 53 4" xfId="34818"/>
    <cellStyle name="Normal 53 4 2" xfId="34819"/>
    <cellStyle name="Normal 53 5" xfId="34820"/>
    <cellStyle name="Normal 54" xfId="34821"/>
    <cellStyle name="Normal 54 2" xfId="34822"/>
    <cellStyle name="Normal 54 2 2" xfId="34823"/>
    <cellStyle name="Normal 54 2 2 2" xfId="34824"/>
    <cellStyle name="Normal 54 2 3" xfId="34825"/>
    <cellStyle name="Normal 54 2 4" xfId="34826"/>
    <cellStyle name="Normal 54 3" xfId="34827"/>
    <cellStyle name="Normal 54 3 2" xfId="34828"/>
    <cellStyle name="Normal 54 3 2 2" xfId="34829"/>
    <cellStyle name="Normal 54 3 3" xfId="34830"/>
    <cellStyle name="Normal 54 4" xfId="34831"/>
    <cellStyle name="Normal 54 4 2" xfId="34832"/>
    <cellStyle name="Normal 54 5" xfId="34833"/>
    <cellStyle name="Normal 54 6" xfId="34834"/>
    <cellStyle name="Normal 55" xfId="34835"/>
    <cellStyle name="Normal 55 2" xfId="34836"/>
    <cellStyle name="Normal 55 2 2" xfId="34837"/>
    <cellStyle name="Normal 55 2 2 2" xfId="34838"/>
    <cellStyle name="Normal 55 2 3" xfId="34839"/>
    <cellStyle name="Normal 55 2 4" xfId="34840"/>
    <cellStyle name="Normal 55 3" xfId="34841"/>
    <cellStyle name="Normal 55 3 2" xfId="34842"/>
    <cellStyle name="Normal 55 4" xfId="34843"/>
    <cellStyle name="Normal 55 4 2" xfId="34844"/>
    <cellStyle name="Normal 55 5" xfId="34845"/>
    <cellStyle name="Normal 56" xfId="34846"/>
    <cellStyle name="Normal 56 2" xfId="34847"/>
    <cellStyle name="Normal 56 2 2" xfId="34848"/>
    <cellStyle name="Normal 56 2 2 2" xfId="34849"/>
    <cellStyle name="Normal 56 2 3" xfId="34850"/>
    <cellStyle name="Normal 56 2 4" xfId="34851"/>
    <cellStyle name="Normal 56 3" xfId="34852"/>
    <cellStyle name="Normal 56 3 2" xfId="34853"/>
    <cellStyle name="Normal 56 4" xfId="34854"/>
    <cellStyle name="Normal 56 4 2" xfId="34855"/>
    <cellStyle name="Normal 56 5" xfId="34856"/>
    <cellStyle name="Normal 57" xfId="34857"/>
    <cellStyle name="Normal 57 2" xfId="34858"/>
    <cellStyle name="Normal 57 2 2" xfId="34859"/>
    <cellStyle name="Normal 57 2 2 2" xfId="34860"/>
    <cellStyle name="Normal 57 2 3" xfId="34861"/>
    <cellStyle name="Normal 57 2 4" xfId="34862"/>
    <cellStyle name="Normal 57 3" xfId="34863"/>
    <cellStyle name="Normal 57 3 2" xfId="34864"/>
    <cellStyle name="Normal 57 4" xfId="34865"/>
    <cellStyle name="Normal 57 4 2" xfId="34866"/>
    <cellStyle name="Normal 57 5" xfId="34867"/>
    <cellStyle name="Normal 58" xfId="34868"/>
    <cellStyle name="Normal 58 2" xfId="1542"/>
    <cellStyle name="Normal 58 2 2" xfId="34869"/>
    <cellStyle name="Normal 58 2 2 2" xfId="34870"/>
    <cellStyle name="Normal 58 2 3" xfId="34871"/>
    <cellStyle name="Normal 58 2 4" xfId="34872"/>
    <cellStyle name="Normal 58 3" xfId="34873"/>
    <cellStyle name="Normal 58 3 2" xfId="34874"/>
    <cellStyle name="Normal 58 4" xfId="34875"/>
    <cellStyle name="Normal 58 4 2" xfId="34876"/>
    <cellStyle name="Normal 58 5" xfId="34877"/>
    <cellStyle name="Normal 59" xfId="34878"/>
    <cellStyle name="Normal 59 2" xfId="34879"/>
    <cellStyle name="Normal 59 2 2" xfId="34880"/>
    <cellStyle name="Normal 59 2 2 2" xfId="34881"/>
    <cellStyle name="Normal 59 2 3" xfId="34882"/>
    <cellStyle name="Normal 59 3" xfId="34883"/>
    <cellStyle name="Normal 59 3 2" xfId="34884"/>
    <cellStyle name="Normal 59 4" xfId="34885"/>
    <cellStyle name="Normal 59 4 2" xfId="34886"/>
    <cellStyle name="Normal 59 5" xfId="34887"/>
    <cellStyle name="Normal 6" xfId="1543"/>
    <cellStyle name="Normal 6 2" xfId="1544"/>
    <cellStyle name="Normal 6 2 2" xfId="1545"/>
    <cellStyle name="Normal 6 2 2 2" xfId="34888"/>
    <cellStyle name="Normal 6 2 2 2 2" xfId="34889"/>
    <cellStyle name="Normal 6 2 2 3" xfId="34890"/>
    <cellStyle name="Normal 6 2 2 4" xfId="34891"/>
    <cellStyle name="Normal 6 2 3" xfId="34892"/>
    <cellStyle name="Normal 6 2 3 2" xfId="34893"/>
    <cellStyle name="Normal 6 2 3 2 2" xfId="34894"/>
    <cellStyle name="Normal 6 2 3 3" xfId="34895"/>
    <cellStyle name="Normal 6 2 3 4" xfId="34896"/>
    <cellStyle name="Normal 6 2 4" xfId="34897"/>
    <cellStyle name="Normal 6 2 4 2" xfId="34898"/>
    <cellStyle name="Normal 6 2 5" xfId="34899"/>
    <cellStyle name="Normal 6 2 6" xfId="34900"/>
    <cellStyle name="Normal 6 3" xfId="1546"/>
    <cellStyle name="Normal 6 3 2" xfId="1547"/>
    <cellStyle name="Normal 6 3 2 2" xfId="34901"/>
    <cellStyle name="Normal 6 3 2 2 2" xfId="34902"/>
    <cellStyle name="Normal 6 3 2 3" xfId="34903"/>
    <cellStyle name="Normal 6 3 3" xfId="34904"/>
    <cellStyle name="Normal 6 3 3 2" xfId="34905"/>
    <cellStyle name="Normal 6 3 3 3" xfId="34906"/>
    <cellStyle name="Normal 6 3 4" xfId="34907"/>
    <cellStyle name="Normal 6 3 4 2" xfId="34908"/>
    <cellStyle name="Normal 6 3 5" xfId="34909"/>
    <cellStyle name="Normal 6 4" xfId="1548"/>
    <cellStyle name="Normal 6 4 2" xfId="34910"/>
    <cellStyle name="Normal 6 4 2 2" xfId="34911"/>
    <cellStyle name="Normal 6 4 3" xfId="34912"/>
    <cellStyle name="Normal 6 5" xfId="34913"/>
    <cellStyle name="Normal 6 5 2" xfId="34914"/>
    <cellStyle name="Normal 6 5 3" xfId="34915"/>
    <cellStyle name="Normal 6 6" xfId="34916"/>
    <cellStyle name="Normal 6 6 2" xfId="34917"/>
    <cellStyle name="Normal 6 6 2 2" xfId="34918"/>
    <cellStyle name="Normal 6 6 3" xfId="34919"/>
    <cellStyle name="Normal 6 7" xfId="34920"/>
    <cellStyle name="Normal 6 8" xfId="34921"/>
    <cellStyle name="Normal 6 9" xfId="34922"/>
    <cellStyle name="Normal 6_Scenario 1 REC vs PTC Offset" xfId="1549"/>
    <cellStyle name="Normal 60" xfId="34923"/>
    <cellStyle name="Normal 60 2" xfId="34924"/>
    <cellStyle name="Normal 60 2 2" xfId="34925"/>
    <cellStyle name="Normal 60 2 2 2" xfId="34926"/>
    <cellStyle name="Normal 60 2 3" xfId="34927"/>
    <cellStyle name="Normal 60 3" xfId="34928"/>
    <cellStyle name="Normal 60 3 2" xfId="34929"/>
    <cellStyle name="Normal 60 4" xfId="34930"/>
    <cellStyle name="Normal 60 4 2" xfId="34931"/>
    <cellStyle name="Normal 60 5" xfId="34932"/>
    <cellStyle name="Normal 61" xfId="34933"/>
    <cellStyle name="Normal 61 2" xfId="34934"/>
    <cellStyle name="Normal 61 2 2" xfId="34935"/>
    <cellStyle name="Normal 61 2 2 2" xfId="34936"/>
    <cellStyle name="Normal 61 2 3" xfId="34937"/>
    <cellStyle name="Normal 61 3" xfId="34938"/>
    <cellStyle name="Normal 61 3 2" xfId="34939"/>
    <cellStyle name="Normal 61 4" xfId="34940"/>
    <cellStyle name="Normal 62" xfId="34941"/>
    <cellStyle name="Normal 62 2" xfId="34942"/>
    <cellStyle name="Normal 62 2 2" xfId="34943"/>
    <cellStyle name="Normal 62 3" xfId="34944"/>
    <cellStyle name="Normal 63" xfId="34945"/>
    <cellStyle name="Normal 63 2" xfId="34946"/>
    <cellStyle name="Normal 63 2 2" xfId="34947"/>
    <cellStyle name="Normal 63 2 3" xfId="34948"/>
    <cellStyle name="Normal 63 3" xfId="34949"/>
    <cellStyle name="Normal 63 3 2" xfId="34950"/>
    <cellStyle name="Normal 63 4" xfId="34951"/>
    <cellStyle name="Normal 64" xfId="34952"/>
    <cellStyle name="Normal 64 2" xfId="34953"/>
    <cellStyle name="Normal 64 2 2" xfId="34954"/>
    <cellStyle name="Normal 64 2 3" xfId="34955"/>
    <cellStyle name="Normal 64 3" xfId="34956"/>
    <cellStyle name="Normal 64 3 2" xfId="34957"/>
    <cellStyle name="Normal 64 4" xfId="34958"/>
    <cellStyle name="Normal 65" xfId="34959"/>
    <cellStyle name="Normal 65 2" xfId="34960"/>
    <cellStyle name="Normal 65 2 2" xfId="34961"/>
    <cellStyle name="Normal 65 2 3" xfId="34962"/>
    <cellStyle name="Normal 65 3" xfId="34963"/>
    <cellStyle name="Normal 65 3 2" xfId="34964"/>
    <cellStyle name="Normal 65 4" xfId="34965"/>
    <cellStyle name="Normal 66" xfId="34966"/>
    <cellStyle name="Normal 66 2" xfId="34967"/>
    <cellStyle name="Normal 66 2 2" xfId="34968"/>
    <cellStyle name="Normal 66 2 3" xfId="34969"/>
    <cellStyle name="Normal 66 3" xfId="34970"/>
    <cellStyle name="Normal 66 3 2" xfId="34971"/>
    <cellStyle name="Normal 66 4" xfId="34972"/>
    <cellStyle name="Normal 66 5" xfId="34973"/>
    <cellStyle name="Normal 67" xfId="34974"/>
    <cellStyle name="Normal 67 2" xfId="34975"/>
    <cellStyle name="Normal 67 2 2" xfId="34976"/>
    <cellStyle name="Normal 67 2 3" xfId="34977"/>
    <cellStyle name="Normal 67 3" xfId="34978"/>
    <cellStyle name="Normal 67 3 2" xfId="34979"/>
    <cellStyle name="Normal 67 4" xfId="34980"/>
    <cellStyle name="Normal 68" xfId="34981"/>
    <cellStyle name="Normal 68 2" xfId="34982"/>
    <cellStyle name="Normal 68 2 2" xfId="34983"/>
    <cellStyle name="Normal 68 2 3" xfId="34984"/>
    <cellStyle name="Normal 68 3" xfId="34985"/>
    <cellStyle name="Normal 68 3 2" xfId="34986"/>
    <cellStyle name="Normal 68 4" xfId="34987"/>
    <cellStyle name="Normal 69" xfId="34988"/>
    <cellStyle name="Normal 69 2" xfId="34989"/>
    <cellStyle name="Normal 69 2 2" xfId="34990"/>
    <cellStyle name="Normal 69 2 3" xfId="34991"/>
    <cellStyle name="Normal 69 3" xfId="34992"/>
    <cellStyle name="Normal 69 3 2" xfId="34993"/>
    <cellStyle name="Normal 69 4" xfId="34994"/>
    <cellStyle name="Normal 7" xfId="1550"/>
    <cellStyle name="Normal 7 2" xfId="1551"/>
    <cellStyle name="Normal 7 2 2" xfId="1552"/>
    <cellStyle name="Normal 7 2 2 2" xfId="34995"/>
    <cellStyle name="Normal 7 2 2 2 2" xfId="34996"/>
    <cellStyle name="Normal 7 2 2 2 3" xfId="34997"/>
    <cellStyle name="Normal 7 2 2 3" xfId="34998"/>
    <cellStyle name="Normal 7 2 2 4" xfId="34999"/>
    <cellStyle name="Normal 7 2 3" xfId="35000"/>
    <cellStyle name="Normal 7 2 3 2" xfId="35001"/>
    <cellStyle name="Normal 7 2 3 2 2" xfId="35002"/>
    <cellStyle name="Normal 7 2 3 3" xfId="35003"/>
    <cellStyle name="Normal 7 2 3 4" xfId="35004"/>
    <cellStyle name="Normal 7 2 4" xfId="35005"/>
    <cellStyle name="Normal 7 2 4 2" xfId="35006"/>
    <cellStyle name="Normal 7 2 5" xfId="35007"/>
    <cellStyle name="Normal 7 2 6" xfId="35008"/>
    <cellStyle name="Normal 7 2 7" xfId="35009"/>
    <cellStyle name="Normal 7 3" xfId="1553"/>
    <cellStyle name="Normal 7 3 2" xfId="35010"/>
    <cellStyle name="Normal 7 3 2 2" xfId="35011"/>
    <cellStyle name="Normal 7 3 2 3" xfId="35012"/>
    <cellStyle name="Normal 7 3 2 4" xfId="35013"/>
    <cellStyle name="Normal 7 3 3" xfId="35014"/>
    <cellStyle name="Normal 7 4" xfId="35015"/>
    <cellStyle name="Normal 7 4 2" xfId="35016"/>
    <cellStyle name="Normal 7 4 3" xfId="35017"/>
    <cellStyle name="Normal 7 4 4" xfId="35018"/>
    <cellStyle name="Normal 7 4 5" xfId="35019"/>
    <cellStyle name="Normal 7 5" xfId="35020"/>
    <cellStyle name="Normal 7 5 2" xfId="35021"/>
    <cellStyle name="Normal 7 5 2 2" xfId="35022"/>
    <cellStyle name="Normal 7 5 3" xfId="35023"/>
    <cellStyle name="Normal 7 6" xfId="35024"/>
    <cellStyle name="Normal 7 7" xfId="35025"/>
    <cellStyle name="Normal 7 8" xfId="42395"/>
    <cellStyle name="Normal 70" xfId="35026"/>
    <cellStyle name="Normal 70 2" xfId="35027"/>
    <cellStyle name="Normal 70 2 2" xfId="35028"/>
    <cellStyle name="Normal 70 2 3" xfId="35029"/>
    <cellStyle name="Normal 70 3" xfId="35030"/>
    <cellStyle name="Normal 71" xfId="35031"/>
    <cellStyle name="Normal 71 2" xfId="35032"/>
    <cellStyle name="Normal 71 2 2" xfId="35033"/>
    <cellStyle name="Normal 71 3" xfId="35034"/>
    <cellStyle name="Normal 72" xfId="35035"/>
    <cellStyle name="Normal 72 2" xfId="35036"/>
    <cellStyle name="Normal 72 2 2" xfId="35037"/>
    <cellStyle name="Normal 72 2 3" xfId="35038"/>
    <cellStyle name="Normal 72 3" xfId="35039"/>
    <cellStyle name="Normal 72 4" xfId="35040"/>
    <cellStyle name="Normal 73" xfId="35041"/>
    <cellStyle name="Normal 73 2" xfId="35042"/>
    <cellStyle name="Normal 73 2 2" xfId="35043"/>
    <cellStyle name="Normal 73 3" xfId="35044"/>
    <cellStyle name="Normal 73 3 2" xfId="35045"/>
    <cellStyle name="Normal 73 4" xfId="35046"/>
    <cellStyle name="Normal 74" xfId="35047"/>
    <cellStyle name="Normal 74 2" xfId="35048"/>
    <cellStyle name="Normal 74 2 2" xfId="35049"/>
    <cellStyle name="Normal 74 3" xfId="35050"/>
    <cellStyle name="Normal 74 3 2" xfId="35051"/>
    <cellStyle name="Normal 74 4" xfId="35052"/>
    <cellStyle name="Normal 75" xfId="35053"/>
    <cellStyle name="Normal 75 2" xfId="35054"/>
    <cellStyle name="Normal 75 2 2" xfId="35055"/>
    <cellStyle name="Normal 75 3" xfId="35056"/>
    <cellStyle name="Normal 75 3 2" xfId="35057"/>
    <cellStyle name="Normal 75 4" xfId="35058"/>
    <cellStyle name="Normal 76" xfId="35059"/>
    <cellStyle name="Normal 76 2" xfId="35060"/>
    <cellStyle name="Normal 76 2 2" xfId="35061"/>
    <cellStyle name="Normal 76 3" xfId="35062"/>
    <cellStyle name="Normal 76 3 2" xfId="35063"/>
    <cellStyle name="Normal 76 4" xfId="35064"/>
    <cellStyle name="Normal 77" xfId="35065"/>
    <cellStyle name="Normal 77 2" xfId="35066"/>
    <cellStyle name="Normal 77 2 2" xfId="35067"/>
    <cellStyle name="Normal 77 3" xfId="35068"/>
    <cellStyle name="Normal 77 3 2" xfId="35069"/>
    <cellStyle name="Normal 77 4" xfId="35070"/>
    <cellStyle name="Normal 78" xfId="35071"/>
    <cellStyle name="Normal 78 2" xfId="35072"/>
    <cellStyle name="Normal 78 2 2" xfId="35073"/>
    <cellStyle name="Normal 78 3" xfId="35074"/>
    <cellStyle name="Normal 78 3 2" xfId="35075"/>
    <cellStyle name="Normal 78 4" xfId="35076"/>
    <cellStyle name="Normal 79" xfId="35077"/>
    <cellStyle name="Normal 79 2" xfId="35078"/>
    <cellStyle name="Normal 79 2 2" xfId="35079"/>
    <cellStyle name="Normal 79 3" xfId="35080"/>
    <cellStyle name="Normal 79 3 2" xfId="35081"/>
    <cellStyle name="Normal 79 4" xfId="35082"/>
    <cellStyle name="Normal 8" xfId="1554"/>
    <cellStyle name="Normal 8 2" xfId="1555"/>
    <cellStyle name="Normal 8 2 2" xfId="1556"/>
    <cellStyle name="Normal 8 2 2 2" xfId="35083"/>
    <cellStyle name="Normal 8 2 2 2 2" xfId="35084"/>
    <cellStyle name="Normal 8 2 2 3" xfId="35085"/>
    <cellStyle name="Normal 8 2 3" xfId="35086"/>
    <cellStyle name="Normal 8 2 3 2" xfId="35087"/>
    <cellStyle name="Normal 8 2 3 2 2" xfId="35088"/>
    <cellStyle name="Normal 8 2 3 3" xfId="35089"/>
    <cellStyle name="Normal 8 2 3 4" xfId="35090"/>
    <cellStyle name="Normal 8 2 4" xfId="35091"/>
    <cellStyle name="Normal 8 2 4 2" xfId="35092"/>
    <cellStyle name="Normal 8 2 5" xfId="35093"/>
    <cellStyle name="Normal 8 2 5 2" xfId="35094"/>
    <cellStyle name="Normal 8 2 6" xfId="35095"/>
    <cellStyle name="Normal 8 3" xfId="1557"/>
    <cellStyle name="Normal 8 3 2" xfId="35096"/>
    <cellStyle name="Normal 8 3 2 2" xfId="35097"/>
    <cellStyle name="Normal 8 3 2 3" xfId="35098"/>
    <cellStyle name="Normal 8 3 2 4" xfId="35099"/>
    <cellStyle name="Normal 8 3 3" xfId="35100"/>
    <cellStyle name="Normal 8 3 4" xfId="35101"/>
    <cellStyle name="Normal 8 4" xfId="35102"/>
    <cellStyle name="Normal 8 4 2" xfId="35103"/>
    <cellStyle name="Normal 8 4 3" xfId="35104"/>
    <cellStyle name="Normal 8 4 4" xfId="35105"/>
    <cellStyle name="Normal 8 5" xfId="35106"/>
    <cellStyle name="Normal 8 5 2" xfId="35107"/>
    <cellStyle name="Normal 8 6" xfId="35108"/>
    <cellStyle name="Normal 8 7" xfId="42396"/>
    <cellStyle name="Normal 80" xfId="35109"/>
    <cellStyle name="Normal 80 2" xfId="35110"/>
    <cellStyle name="Normal 80 2 2" xfId="35111"/>
    <cellStyle name="Normal 80 3" xfId="35112"/>
    <cellStyle name="Normal 80 3 2" xfId="35113"/>
    <cellStyle name="Normal 80 4" xfId="35114"/>
    <cellStyle name="Normal 81" xfId="35115"/>
    <cellStyle name="Normal 81 2" xfId="35116"/>
    <cellStyle name="Normal 81 2 2" xfId="35117"/>
    <cellStyle name="Normal 81 3" xfId="35118"/>
    <cellStyle name="Normal 81 3 2" xfId="35119"/>
    <cellStyle name="Normal 81 4" xfId="35120"/>
    <cellStyle name="Normal 82" xfId="35121"/>
    <cellStyle name="Normal 82 2" xfId="35122"/>
    <cellStyle name="Normal 82 2 2" xfId="35123"/>
    <cellStyle name="Normal 82 3" xfId="35124"/>
    <cellStyle name="Normal 82 3 2" xfId="35125"/>
    <cellStyle name="Normal 82 4" xfId="35126"/>
    <cellStyle name="Normal 83" xfId="35127"/>
    <cellStyle name="Normal 83 2" xfId="35128"/>
    <cellStyle name="Normal 83 2 2" xfId="35129"/>
    <cellStyle name="Normal 83 2 3" xfId="35130"/>
    <cellStyle name="Normal 83 3" xfId="35131"/>
    <cellStyle name="Normal 83 3 2" xfId="35132"/>
    <cellStyle name="Normal 83 4" xfId="35133"/>
    <cellStyle name="Normal 84" xfId="35134"/>
    <cellStyle name="Normal 84 2" xfId="35135"/>
    <cellStyle name="Normal 84 2 2" xfId="35136"/>
    <cellStyle name="Normal 84 2 3" xfId="35137"/>
    <cellStyle name="Normal 84 3" xfId="35138"/>
    <cellStyle name="Normal 84 3 2" xfId="35139"/>
    <cellStyle name="Normal 84 4" xfId="35140"/>
    <cellStyle name="Normal 85" xfId="35141"/>
    <cellStyle name="Normal 85 2" xfId="35142"/>
    <cellStyle name="Normal 85 2 2" xfId="35143"/>
    <cellStyle name="Normal 85 2 3" xfId="35144"/>
    <cellStyle name="Normal 85 3" xfId="35145"/>
    <cellStyle name="Normal 85 3 2" xfId="35146"/>
    <cellStyle name="Normal 85 4" xfId="35147"/>
    <cellStyle name="Normal 86" xfId="35148"/>
    <cellStyle name="Normal 86 2" xfId="35149"/>
    <cellStyle name="Normal 86 2 2" xfId="35150"/>
    <cellStyle name="Normal 86 2 3" xfId="35151"/>
    <cellStyle name="Normal 86 3" xfId="35152"/>
    <cellStyle name="Normal 86 4" xfId="35153"/>
    <cellStyle name="Normal 87" xfId="35154"/>
    <cellStyle name="Normal 87 2" xfId="35155"/>
    <cellStyle name="Normal 87 2 2" xfId="35156"/>
    <cellStyle name="Normal 87 3" xfId="35157"/>
    <cellStyle name="Normal 88" xfId="35158"/>
    <cellStyle name="Normal 88 2" xfId="35159"/>
    <cellStyle name="Normal 88 2 2" xfId="35160"/>
    <cellStyle name="Normal 88 3" xfId="35161"/>
    <cellStyle name="Normal 89" xfId="35162"/>
    <cellStyle name="Normal 89 2" xfId="35163"/>
    <cellStyle name="Normal 89 2 2" xfId="35164"/>
    <cellStyle name="Normal 89 3" xfId="35165"/>
    <cellStyle name="Normal 9" xfId="1558"/>
    <cellStyle name="Normal 9 2" xfId="1559"/>
    <cellStyle name="Normal 9 2 2" xfId="1560"/>
    <cellStyle name="Normal 9 2 2 2" xfId="35166"/>
    <cellStyle name="Normal 9 2 2 2 2" xfId="35167"/>
    <cellStyle name="Normal 9 2 2 3" xfId="35168"/>
    <cellStyle name="Normal 9 2 2 4" xfId="35169"/>
    <cellStyle name="Normal 9 2 3" xfId="35170"/>
    <cellStyle name="Normal 9 2 3 2" xfId="35171"/>
    <cellStyle name="Normal 9 2 3 2 2" xfId="35172"/>
    <cellStyle name="Normal 9 2 3 3" xfId="35173"/>
    <cellStyle name="Normal 9 2 3 4" xfId="35174"/>
    <cellStyle name="Normal 9 2 4" xfId="35175"/>
    <cellStyle name="Normal 9 2 4 2" xfId="35176"/>
    <cellStyle name="Normal 9 2 5" xfId="35177"/>
    <cellStyle name="Normal 9 2 5 2" xfId="35178"/>
    <cellStyle name="Normal 9 2 6" xfId="35179"/>
    <cellStyle name="Normal 9 2 7" xfId="35180"/>
    <cellStyle name="Normal 9 3" xfId="1561"/>
    <cellStyle name="Normal 9 3 2" xfId="35181"/>
    <cellStyle name="Normal 9 3 2 2" xfId="35182"/>
    <cellStyle name="Normal 9 3 3" xfId="35183"/>
    <cellStyle name="Normal 9 4" xfId="35184"/>
    <cellStyle name="Normal 9 4 2" xfId="35185"/>
    <cellStyle name="Normal 9 4 3" xfId="35186"/>
    <cellStyle name="Normal 9 4 4" xfId="35187"/>
    <cellStyle name="Normal 9 5" xfId="35188"/>
    <cellStyle name="Normal 9 5 2" xfId="35189"/>
    <cellStyle name="Normal 9 5 2 2" xfId="35190"/>
    <cellStyle name="Normal 9 5 3" xfId="35191"/>
    <cellStyle name="Normal 9 6" xfId="35192"/>
    <cellStyle name="Normal 9 7" xfId="35193"/>
    <cellStyle name="Normal 9_NOL Analysis(For Ann Kellog and  Pete Winne)" xfId="35194"/>
    <cellStyle name="Normal 90" xfId="35195"/>
    <cellStyle name="Normal 90 2" xfId="35196"/>
    <cellStyle name="Normal 90 2 2" xfId="35197"/>
    <cellStyle name="Normal 90 3" xfId="35198"/>
    <cellStyle name="Normal 91" xfId="35199"/>
    <cellStyle name="Normal 91 2" xfId="35200"/>
    <cellStyle name="Normal 91 2 2" xfId="35201"/>
    <cellStyle name="Normal 91 3" xfId="35202"/>
    <cellStyle name="Normal 92" xfId="35203"/>
    <cellStyle name="Normal 92 2" xfId="35204"/>
    <cellStyle name="Normal 92 2 2" xfId="35205"/>
    <cellStyle name="Normal 92 3" xfId="35206"/>
    <cellStyle name="Normal 93" xfId="35207"/>
    <cellStyle name="Normal 93 2" xfId="35208"/>
    <cellStyle name="Normal 93 2 2" xfId="35209"/>
    <cellStyle name="Normal 93 3" xfId="35210"/>
    <cellStyle name="Normal 94" xfId="35211"/>
    <cellStyle name="Normal 94 2" xfId="35212"/>
    <cellStyle name="Normal 94 2 2" xfId="35213"/>
    <cellStyle name="Normal 94 3" xfId="35214"/>
    <cellStyle name="Normal 94 3 2" xfId="35215"/>
    <cellStyle name="Normal 94 4" xfId="35216"/>
    <cellStyle name="Normal 95" xfId="35217"/>
    <cellStyle name="Normal 95 2" xfId="35218"/>
    <cellStyle name="Normal 95 2 2" xfId="35219"/>
    <cellStyle name="Normal 95 2 3" xfId="35220"/>
    <cellStyle name="Normal 95 3" xfId="35221"/>
    <cellStyle name="Normal 95 4" xfId="35222"/>
    <cellStyle name="Normal 95 5" xfId="35223"/>
    <cellStyle name="Normal 96" xfId="35224"/>
    <cellStyle name="Normal 96 2" xfId="35225"/>
    <cellStyle name="Normal 96 2 2" xfId="35226"/>
    <cellStyle name="Normal 96 3" xfId="35227"/>
    <cellStyle name="Normal 96 3 2" xfId="35228"/>
    <cellStyle name="Normal 96 4" xfId="35229"/>
    <cellStyle name="Normal 97" xfId="35230"/>
    <cellStyle name="Normal 97 2" xfId="35231"/>
    <cellStyle name="Normal 97 2 2" xfId="35232"/>
    <cellStyle name="Normal 97 3" xfId="35233"/>
    <cellStyle name="Normal 97 4" xfId="35234"/>
    <cellStyle name="Normal 98" xfId="35235"/>
    <cellStyle name="Normal 98 2" xfId="35236"/>
    <cellStyle name="Normal 98 2 2" xfId="35237"/>
    <cellStyle name="Normal 98 3" xfId="35238"/>
    <cellStyle name="Normal 98 4" xfId="35239"/>
    <cellStyle name="Normal 98 5" xfId="35240"/>
    <cellStyle name="Normal 99" xfId="35241"/>
    <cellStyle name="Normal 99 2" xfId="35242"/>
    <cellStyle name="Normal 99 2 2" xfId="35243"/>
    <cellStyle name="Normal 99 3" xfId="35244"/>
    <cellStyle name="Normal 99 4" xfId="35245"/>
    <cellStyle name="Normal 99 5" xfId="35246"/>
    <cellStyle name="Normal_2.12E RegAssets" xfId="1562"/>
    <cellStyle name="Normal_2.12E RegAssets 2" xfId="1563"/>
    <cellStyle name="Normal_2.12E RegAssets 2 2" xfId="1564"/>
    <cellStyle name="Normal_2.12E RegAssets 2 2 2" xfId="35247"/>
    <cellStyle name="Normal_2530025_FY07PD02_LGIA Interest" xfId="1565"/>
    <cellStyle name="Normal_253025 Trans_FY07PD06" xfId="1566"/>
    <cellStyle name="Normal_Book3" xfId="1567"/>
    <cellStyle name="Normal_DEPR2" xfId="1568"/>
    <cellStyle name="Normal_interest calc" xfId="1569"/>
    <cellStyle name="Normal_JHS Rebuttal Exhs 11-14 internal" xfId="1570"/>
    <cellStyle name="Normal_payments and credits - update 11-30-06 1_19_07" xfId="1571"/>
    <cellStyle name="Normal_Reg Asset Amortization PCORC TY 0603 RY 0305" xfId="1572"/>
    <cellStyle name="Normal_Reg Asset Amortization PCORC TY 0603 RY 0305 2" xfId="1573"/>
    <cellStyle name="Normal_Reg Asset Amortization PCORC TY 0603 RY 0305 2 2" xfId="1574"/>
    <cellStyle name="Normal_Reg Asset Amortization PCORC TY 0603 RY 0305 2 2 2" xfId="35248"/>
    <cellStyle name="Note 10" xfId="1575"/>
    <cellStyle name="Note 10 2" xfId="1576"/>
    <cellStyle name="Note 10 2 2" xfId="35249"/>
    <cellStyle name="Note 10 2 2 2" xfId="35250"/>
    <cellStyle name="Note 10 2 3" xfId="35251"/>
    <cellStyle name="Note 10 2 4" xfId="35252"/>
    <cellStyle name="Note 10 2 5" xfId="35253"/>
    <cellStyle name="Note 10 3" xfId="35254"/>
    <cellStyle name="Note 10 3 2" xfId="35255"/>
    <cellStyle name="Note 10 3 2 2" xfId="35256"/>
    <cellStyle name="Note 10 3 3" xfId="35257"/>
    <cellStyle name="Note 10 4" xfId="35258"/>
    <cellStyle name="Note 10 4 2" xfId="35259"/>
    <cellStyle name="Note 10 5" xfId="35260"/>
    <cellStyle name="Note 10 5 2" xfId="35261"/>
    <cellStyle name="Note 10 6" xfId="35262"/>
    <cellStyle name="Note 10 6 2" xfId="35263"/>
    <cellStyle name="Note 10 7" xfId="35264"/>
    <cellStyle name="Note 10 7 2" xfId="35265"/>
    <cellStyle name="Note 10 8" xfId="35266"/>
    <cellStyle name="Note 10 9" xfId="35267"/>
    <cellStyle name="Note 11" xfId="1577"/>
    <cellStyle name="Note 11 2" xfId="1578"/>
    <cellStyle name="Note 11 2 2" xfId="35268"/>
    <cellStyle name="Note 11 2 2 2" xfId="35269"/>
    <cellStyle name="Note 11 2 3" xfId="35270"/>
    <cellStyle name="Note 11 2 4" xfId="35271"/>
    <cellStyle name="Note 11 2 5" xfId="35272"/>
    <cellStyle name="Note 11 3" xfId="35273"/>
    <cellStyle name="Note 11 3 2" xfId="35274"/>
    <cellStyle name="Note 11 3 2 2" xfId="35275"/>
    <cellStyle name="Note 11 3 3" xfId="35276"/>
    <cellStyle name="Note 11 3 4" xfId="35277"/>
    <cellStyle name="Note 11 3 5" xfId="35278"/>
    <cellStyle name="Note 11 4" xfId="35279"/>
    <cellStyle name="Note 11 4 2" xfId="35280"/>
    <cellStyle name="Note 11 4 3" xfId="35281"/>
    <cellStyle name="Note 11 5" xfId="35282"/>
    <cellStyle name="Note 11 6" xfId="35283"/>
    <cellStyle name="Note 11 7" xfId="35284"/>
    <cellStyle name="Note 12" xfId="1579"/>
    <cellStyle name="Note 12 2" xfId="1580"/>
    <cellStyle name="Note 12 2 2" xfId="35285"/>
    <cellStyle name="Note 12 2 2 2" xfId="35286"/>
    <cellStyle name="Note 12 2 2 2 2" xfId="35287"/>
    <cellStyle name="Note 12 2 3" xfId="35288"/>
    <cellStyle name="Note 12 2 3 2" xfId="35289"/>
    <cellStyle name="Note 12 2 3 3" xfId="35290"/>
    <cellStyle name="Note 12 2 4" xfId="35291"/>
    <cellStyle name="Note 12 2 4 2" xfId="35292"/>
    <cellStyle name="Note 12 2 5" xfId="35293"/>
    <cellStyle name="Note 12 2 6" xfId="35294"/>
    <cellStyle name="Note 12 3" xfId="35295"/>
    <cellStyle name="Note 12 3 2" xfId="35296"/>
    <cellStyle name="Note 12 3 2 2" xfId="35297"/>
    <cellStyle name="Note 12 3 2 3" xfId="35298"/>
    <cellStyle name="Note 12 3 2 4" xfId="35299"/>
    <cellStyle name="Note 12 3 2 5" xfId="35300"/>
    <cellStyle name="Note 12 3 2 6" xfId="35301"/>
    <cellStyle name="Note 12 3 2 7" xfId="35302"/>
    <cellStyle name="Note 12 3 3" xfId="35303"/>
    <cellStyle name="Note 12 3 4" xfId="35304"/>
    <cellStyle name="Note 12 3 5" xfId="35305"/>
    <cellStyle name="Note 12 3 6" xfId="35306"/>
    <cellStyle name="Note 12 3 7" xfId="35307"/>
    <cellStyle name="Note 12 3 8" xfId="35308"/>
    <cellStyle name="Note 12 4" xfId="35309"/>
    <cellStyle name="Note 12 4 2" xfId="35310"/>
    <cellStyle name="Note 12 4 2 2" xfId="35311"/>
    <cellStyle name="Note 12 4 3" xfId="35312"/>
    <cellStyle name="Note 12 4 4" xfId="35313"/>
    <cellStyle name="Note 12 4 5" xfId="35314"/>
    <cellStyle name="Note 12 4 6" xfId="35315"/>
    <cellStyle name="Note 12 4 7" xfId="35316"/>
    <cellStyle name="Note 12 5" xfId="35317"/>
    <cellStyle name="Note 12 5 2" xfId="35318"/>
    <cellStyle name="Note 12 5 2 2" xfId="35319"/>
    <cellStyle name="Note 12 5 3" xfId="35320"/>
    <cellStyle name="Note 12 6" xfId="35321"/>
    <cellStyle name="Note 12 6 2" xfId="35322"/>
    <cellStyle name="Note 12 7" xfId="35323"/>
    <cellStyle name="Note 12 8" xfId="35324"/>
    <cellStyle name="Note 12 9" xfId="35325"/>
    <cellStyle name="Note 13" xfId="1581"/>
    <cellStyle name="Note 13 2" xfId="35326"/>
    <cellStyle name="Note 13 2 2" xfId="35327"/>
    <cellStyle name="Note 13 2 3" xfId="35328"/>
    <cellStyle name="Note 13 3" xfId="35329"/>
    <cellStyle name="Note 14" xfId="35330"/>
    <cellStyle name="Note 14 2" xfId="35331"/>
    <cellStyle name="Note 14 2 2" xfId="35332"/>
    <cellStyle name="Note 14 2 3" xfId="35333"/>
    <cellStyle name="Note 14 3" xfId="35334"/>
    <cellStyle name="Note 14 3 2" xfId="35335"/>
    <cellStyle name="Note 14 4" xfId="35336"/>
    <cellStyle name="Note 15" xfId="35337"/>
    <cellStyle name="Note 15 2" xfId="35338"/>
    <cellStyle name="Note 15 2 2" xfId="35339"/>
    <cellStyle name="Note 15 2 3" xfId="35340"/>
    <cellStyle name="Note 15 3" xfId="35341"/>
    <cellStyle name="Note 15 4" xfId="35342"/>
    <cellStyle name="Note 15 5" xfId="35343"/>
    <cellStyle name="Note 16" xfId="35344"/>
    <cellStyle name="Note 16 2" xfId="35345"/>
    <cellStyle name="Note 16 2 2" xfId="35346"/>
    <cellStyle name="Note 16 3" xfId="35347"/>
    <cellStyle name="Note 17" xfId="35348"/>
    <cellStyle name="Note 17 2" xfId="35349"/>
    <cellStyle name="Note 18" xfId="35350"/>
    <cellStyle name="Note 2" xfId="1582"/>
    <cellStyle name="Note 2 2" xfId="1583"/>
    <cellStyle name="Note 2 2 2" xfId="35351"/>
    <cellStyle name="Note 2 2 2 2" xfId="35352"/>
    <cellStyle name="Note 2 2 2 2 2" xfId="35353"/>
    <cellStyle name="Note 2 2 2 3" xfId="35354"/>
    <cellStyle name="Note 2 2 2 3 2" xfId="35355"/>
    <cellStyle name="Note 2 2 2 4" xfId="35356"/>
    <cellStyle name="Note 2 2 2 5" xfId="35357"/>
    <cellStyle name="Note 2 2 2 6" xfId="35358"/>
    <cellStyle name="Note 2 2 2 7" xfId="35359"/>
    <cellStyle name="Note 2 2 2 8" xfId="35360"/>
    <cellStyle name="Note 2 2 3" xfId="35361"/>
    <cellStyle name="Note 2 2 3 2" xfId="35362"/>
    <cellStyle name="Note 2 2 3 2 2" xfId="35363"/>
    <cellStyle name="Note 2 2 3 3" xfId="35364"/>
    <cellStyle name="Note 2 2 3 4" xfId="35365"/>
    <cellStyle name="Note 2 2 3 5" xfId="35366"/>
    <cellStyle name="Note 2 2 3 6" xfId="35367"/>
    <cellStyle name="Note 2 2 3 7" xfId="35368"/>
    <cellStyle name="Note 2 2 4" xfId="35369"/>
    <cellStyle name="Note 2 2 4 2" xfId="35370"/>
    <cellStyle name="Note 2 2 5" xfId="35371"/>
    <cellStyle name="Note 2 2 5 2" xfId="35372"/>
    <cellStyle name="Note 2 2 6" xfId="35373"/>
    <cellStyle name="Note 2 2 6 2" xfId="35374"/>
    <cellStyle name="Note 2 2 7" xfId="35375"/>
    <cellStyle name="Note 2 2 8" xfId="35376"/>
    <cellStyle name="Note 2 3" xfId="1584"/>
    <cellStyle name="Note 2 3 2" xfId="35377"/>
    <cellStyle name="Note 2 3 2 2" xfId="35378"/>
    <cellStyle name="Note 2 3 2 2 2" xfId="35379"/>
    <cellStyle name="Note 2 3 2 3" xfId="35380"/>
    <cellStyle name="Note 2 3 3" xfId="35381"/>
    <cellStyle name="Note 2 3 3 2" xfId="35382"/>
    <cellStyle name="Note 2 3 3 2 2" xfId="35383"/>
    <cellStyle name="Note 2 3 3 3" xfId="35384"/>
    <cellStyle name="Note 2 3 4" xfId="35385"/>
    <cellStyle name="Note 2 3 4 2" xfId="35386"/>
    <cellStyle name="Note 2 3 5" xfId="35387"/>
    <cellStyle name="Note 2 3 5 2" xfId="35388"/>
    <cellStyle name="Note 2 3 6" xfId="35389"/>
    <cellStyle name="Note 2 3 7" xfId="35390"/>
    <cellStyle name="Note 2 3 8" xfId="35391"/>
    <cellStyle name="Note 2 4" xfId="35392"/>
    <cellStyle name="Note 2 4 2" xfId="35393"/>
    <cellStyle name="Note 2 4 2 2" xfId="35394"/>
    <cellStyle name="Note 2 4 2 2 2" xfId="35395"/>
    <cellStyle name="Note 2 4 2 3" xfId="35396"/>
    <cellStyle name="Note 2 4 2 4" xfId="35397"/>
    <cellStyle name="Note 2 4 3" xfId="35398"/>
    <cellStyle name="Note 2 4 3 2" xfId="35399"/>
    <cellStyle name="Note 2 4 3 3" xfId="35400"/>
    <cellStyle name="Note 2 4 4" xfId="35401"/>
    <cellStyle name="Note 2 4 4 2" xfId="35402"/>
    <cellStyle name="Note 2 4 4 3" xfId="35403"/>
    <cellStyle name="Note 2 4 5" xfId="35404"/>
    <cellStyle name="Note 2 4 6" xfId="35405"/>
    <cellStyle name="Note 2 4 7" xfId="35406"/>
    <cellStyle name="Note 2 4 8" xfId="35407"/>
    <cellStyle name="Note 2 5" xfId="35408"/>
    <cellStyle name="Note 2 5 2" xfId="35409"/>
    <cellStyle name="Note 2 5 2 2" xfId="35410"/>
    <cellStyle name="Note 2 5 3" xfId="35411"/>
    <cellStyle name="Note 2 6" xfId="35412"/>
    <cellStyle name="Note 2 6 2" xfId="35413"/>
    <cellStyle name="Note 2 6 2 2" xfId="35414"/>
    <cellStyle name="Note 2 6 3" xfId="35415"/>
    <cellStyle name="Note 2 7" xfId="35416"/>
    <cellStyle name="Note 2 7 2" xfId="35417"/>
    <cellStyle name="Note 2 8" xfId="35418"/>
    <cellStyle name="Note 2 9" xfId="35419"/>
    <cellStyle name="Note 2_AURORA Total New" xfId="35420"/>
    <cellStyle name="Note 3" xfId="1585"/>
    <cellStyle name="Note 3 2" xfId="1586"/>
    <cellStyle name="Note 3 2 2" xfId="35421"/>
    <cellStyle name="Note 3 2 2 2" xfId="35422"/>
    <cellStyle name="Note 3 2 2 2 2" xfId="35423"/>
    <cellStyle name="Note 3 2 2 3" xfId="35424"/>
    <cellStyle name="Note 3 2 3" xfId="35425"/>
    <cellStyle name="Note 3 2 3 2" xfId="35426"/>
    <cellStyle name="Note 3 2 3 3" xfId="35427"/>
    <cellStyle name="Note 3 2 4" xfId="35428"/>
    <cellStyle name="Note 3 2 4 2" xfId="35429"/>
    <cellStyle name="Note 3 2 4 3" xfId="35430"/>
    <cellStyle name="Note 3 2 5" xfId="35431"/>
    <cellStyle name="Note 3 2 6" xfId="35432"/>
    <cellStyle name="Note 3 2 7" xfId="35433"/>
    <cellStyle name="Note 3 2 8" xfId="35434"/>
    <cellStyle name="Note 3 3" xfId="1587"/>
    <cellStyle name="Note 3 3 2" xfId="35435"/>
    <cellStyle name="Note 3 3 2 2" xfId="35436"/>
    <cellStyle name="Note 3 3 3" xfId="35437"/>
    <cellStyle name="Note 3 3 3 2" xfId="35438"/>
    <cellStyle name="Note 3 3 4" xfId="35439"/>
    <cellStyle name="Note 3 3 5" xfId="35440"/>
    <cellStyle name="Note 3 3 6" xfId="35441"/>
    <cellStyle name="Note 3 3 7" xfId="35442"/>
    <cellStyle name="Note 3 3 8" xfId="35443"/>
    <cellStyle name="Note 3 4" xfId="35444"/>
    <cellStyle name="Note 3 4 2" xfId="35445"/>
    <cellStyle name="Note 3 4 2 2" xfId="35446"/>
    <cellStyle name="Note 3 4 3" xfId="35447"/>
    <cellStyle name="Note 3 5" xfId="35448"/>
    <cellStyle name="Note 3 5 2" xfId="35449"/>
    <cellStyle name="Note 3 6" xfId="35450"/>
    <cellStyle name="Note 3 7" xfId="35451"/>
    <cellStyle name="Note 3 8" xfId="35452"/>
    <cellStyle name="Note 4" xfId="1588"/>
    <cellStyle name="Note 4 2" xfId="1589"/>
    <cellStyle name="Note 4 2 2" xfId="35453"/>
    <cellStyle name="Note 4 2 2 2" xfId="35454"/>
    <cellStyle name="Note 4 2 3" xfId="35455"/>
    <cellStyle name="Note 4 2 3 2" xfId="35456"/>
    <cellStyle name="Note 4 2 4" xfId="35457"/>
    <cellStyle name="Note 4 2 5" xfId="35458"/>
    <cellStyle name="Note 4 2 6" xfId="35459"/>
    <cellStyle name="Note 4 2 7" xfId="35460"/>
    <cellStyle name="Note 4 2 8" xfId="35461"/>
    <cellStyle name="Note 4 3" xfId="1590"/>
    <cellStyle name="Note 4 3 2" xfId="35462"/>
    <cellStyle name="Note 4 3 2 2" xfId="35463"/>
    <cellStyle name="Note 4 3 3" xfId="35464"/>
    <cellStyle name="Note 4 3 4" xfId="35465"/>
    <cellStyle name="Note 4 3 5" xfId="35466"/>
    <cellStyle name="Note 4 3 6" xfId="35467"/>
    <cellStyle name="Note 4 3 7" xfId="35468"/>
    <cellStyle name="Note 4 4" xfId="35469"/>
    <cellStyle name="Note 4 4 2" xfId="35470"/>
    <cellStyle name="Note 4 4 2 2" xfId="35471"/>
    <cellStyle name="Note 4 4 3" xfId="35472"/>
    <cellStyle name="Note 4 5" xfId="35473"/>
    <cellStyle name="Note 4 5 2" xfId="35474"/>
    <cellStyle name="Note 4 6" xfId="35475"/>
    <cellStyle name="Note 4 6 2" xfId="35476"/>
    <cellStyle name="Note 4 7" xfId="35477"/>
    <cellStyle name="Note 4 8" xfId="35478"/>
    <cellStyle name="Note 5" xfId="1591"/>
    <cellStyle name="Note 5 2" xfId="1592"/>
    <cellStyle name="Note 5 2 2" xfId="35479"/>
    <cellStyle name="Note 5 2 2 2" xfId="35480"/>
    <cellStyle name="Note 5 2 3" xfId="35481"/>
    <cellStyle name="Note 5 2 3 2" xfId="35482"/>
    <cellStyle name="Note 5 2 4" xfId="35483"/>
    <cellStyle name="Note 5 2 5" xfId="35484"/>
    <cellStyle name="Note 5 2 6" xfId="35485"/>
    <cellStyle name="Note 5 2 7" xfId="35486"/>
    <cellStyle name="Note 5 2 8" xfId="35487"/>
    <cellStyle name="Note 5 3" xfId="35488"/>
    <cellStyle name="Note 5 3 2" xfId="35489"/>
    <cellStyle name="Note 5 3 2 2" xfId="35490"/>
    <cellStyle name="Note 5 3 3" xfId="35491"/>
    <cellStyle name="Note 5 3 4" xfId="35492"/>
    <cellStyle name="Note 5 3 5" xfId="35493"/>
    <cellStyle name="Note 5 3 6" xfId="35494"/>
    <cellStyle name="Note 5 3 7" xfId="35495"/>
    <cellStyle name="Note 5 4" xfId="35496"/>
    <cellStyle name="Note 5 4 2" xfId="35497"/>
    <cellStyle name="Note 5 4 2 2" xfId="35498"/>
    <cellStyle name="Note 5 4 3" xfId="35499"/>
    <cellStyle name="Note 5 5" xfId="35500"/>
    <cellStyle name="Note 5 5 2" xfId="35501"/>
    <cellStyle name="Note 5 6" xfId="35502"/>
    <cellStyle name="Note 5 6 2" xfId="35503"/>
    <cellStyle name="Note 5 7" xfId="35504"/>
    <cellStyle name="Note 5 8" xfId="35505"/>
    <cellStyle name="Note 6" xfId="1593"/>
    <cellStyle name="Note 6 2" xfId="1594"/>
    <cellStyle name="Note 6 2 2" xfId="35506"/>
    <cellStyle name="Note 6 2 2 2" xfId="35507"/>
    <cellStyle name="Note 6 2 2 3" xfId="35508"/>
    <cellStyle name="Note 6 2 3" xfId="35509"/>
    <cellStyle name="Note 6 2 3 2" xfId="35510"/>
    <cellStyle name="Note 6 2 4" xfId="35511"/>
    <cellStyle name="Note 6 2 5" xfId="35512"/>
    <cellStyle name="Note 6 2 6" xfId="35513"/>
    <cellStyle name="Note 6 2 7" xfId="35514"/>
    <cellStyle name="Note 6 2 8" xfId="35515"/>
    <cellStyle name="Note 6 3" xfId="35516"/>
    <cellStyle name="Note 6 3 2" xfId="35517"/>
    <cellStyle name="Note 6 3 2 2" xfId="35518"/>
    <cellStyle name="Note 6 3 3" xfId="35519"/>
    <cellStyle name="Note 6 3 4" xfId="35520"/>
    <cellStyle name="Note 6 3 5" xfId="35521"/>
    <cellStyle name="Note 6 3 6" xfId="35522"/>
    <cellStyle name="Note 6 3 7" xfId="35523"/>
    <cellStyle name="Note 6 4" xfId="35524"/>
    <cellStyle name="Note 6 4 2" xfId="35525"/>
    <cellStyle name="Note 6 4 2 2" xfId="35526"/>
    <cellStyle name="Note 6 4 3" xfId="35527"/>
    <cellStyle name="Note 6 4 4" xfId="35528"/>
    <cellStyle name="Note 6 5" xfId="35529"/>
    <cellStyle name="Note 6 5 2" xfId="35530"/>
    <cellStyle name="Note 6 6" xfId="35531"/>
    <cellStyle name="Note 6 7" xfId="35532"/>
    <cellStyle name="Note 7" xfId="1595"/>
    <cellStyle name="Note 7 2" xfId="1596"/>
    <cellStyle name="Note 7 2 2" xfId="35533"/>
    <cellStyle name="Note 7 2 2 2" xfId="35534"/>
    <cellStyle name="Note 7 2 2 3" xfId="35535"/>
    <cellStyle name="Note 7 2 3" xfId="35536"/>
    <cellStyle name="Note 7 2 3 2" xfId="35537"/>
    <cellStyle name="Note 7 2 4" xfId="35538"/>
    <cellStyle name="Note 7 2 5" xfId="35539"/>
    <cellStyle name="Note 7 2 6" xfId="35540"/>
    <cellStyle name="Note 7 2 7" xfId="35541"/>
    <cellStyle name="Note 7 2 8" xfId="35542"/>
    <cellStyle name="Note 7 3" xfId="35543"/>
    <cellStyle name="Note 7 3 2" xfId="35544"/>
    <cellStyle name="Note 7 3 2 2" xfId="35545"/>
    <cellStyle name="Note 7 3 3" xfId="35546"/>
    <cellStyle name="Note 7 3 4" xfId="35547"/>
    <cellStyle name="Note 7 3 5" xfId="35548"/>
    <cellStyle name="Note 7 3 6" xfId="35549"/>
    <cellStyle name="Note 7 3 7" xfId="35550"/>
    <cellStyle name="Note 7 4" xfId="35551"/>
    <cellStyle name="Note 7 4 2" xfId="35552"/>
    <cellStyle name="Note 7 4 2 2" xfId="35553"/>
    <cellStyle name="Note 7 4 3" xfId="35554"/>
    <cellStyle name="Note 7 4 4" xfId="35555"/>
    <cellStyle name="Note 7 5" xfId="35556"/>
    <cellStyle name="Note 7 5 2" xfId="35557"/>
    <cellStyle name="Note 7 6" xfId="35558"/>
    <cellStyle name="Note 7 7" xfId="35559"/>
    <cellStyle name="Note 8" xfId="1597"/>
    <cellStyle name="Note 8 2" xfId="1598"/>
    <cellStyle name="Note 8 2 2" xfId="35560"/>
    <cellStyle name="Note 8 2 2 2" xfId="35561"/>
    <cellStyle name="Note 8 2 2 3" xfId="35562"/>
    <cellStyle name="Note 8 2 3" xfId="35563"/>
    <cellStyle name="Note 8 2 3 2" xfId="35564"/>
    <cellStyle name="Note 8 2 4" xfId="35565"/>
    <cellStyle name="Note 8 2 5" xfId="35566"/>
    <cellStyle name="Note 8 2 6" xfId="35567"/>
    <cellStyle name="Note 8 2 7" xfId="35568"/>
    <cellStyle name="Note 8 2 8" xfId="35569"/>
    <cellStyle name="Note 8 3" xfId="35570"/>
    <cellStyle name="Note 8 3 2" xfId="35571"/>
    <cellStyle name="Note 8 3 2 2" xfId="35572"/>
    <cellStyle name="Note 8 3 3" xfId="35573"/>
    <cellStyle name="Note 8 3 4" xfId="35574"/>
    <cellStyle name="Note 8 3 5" xfId="35575"/>
    <cellStyle name="Note 8 3 6" xfId="35576"/>
    <cellStyle name="Note 8 3 7" xfId="35577"/>
    <cellStyle name="Note 8 4" xfId="35578"/>
    <cellStyle name="Note 8 4 2" xfId="35579"/>
    <cellStyle name="Note 8 4 2 2" xfId="35580"/>
    <cellStyle name="Note 8 4 3" xfId="35581"/>
    <cellStyle name="Note 8 4 4" xfId="35582"/>
    <cellStyle name="Note 8 5" xfId="35583"/>
    <cellStyle name="Note 8 5 2" xfId="35584"/>
    <cellStyle name="Note 8 6" xfId="35585"/>
    <cellStyle name="Note 8 7" xfId="35586"/>
    <cellStyle name="Note 9" xfId="1599"/>
    <cellStyle name="Note 9 2" xfId="1600"/>
    <cellStyle name="Note 9 2 2" xfId="35587"/>
    <cellStyle name="Note 9 2 2 2" xfId="35588"/>
    <cellStyle name="Note 9 2 2 3" xfId="35589"/>
    <cellStyle name="Note 9 2 3" xfId="35590"/>
    <cellStyle name="Note 9 2 3 2" xfId="35591"/>
    <cellStyle name="Note 9 2 4" xfId="35592"/>
    <cellStyle name="Note 9 2 5" xfId="35593"/>
    <cellStyle name="Note 9 2 6" xfId="35594"/>
    <cellStyle name="Note 9 2 7" xfId="35595"/>
    <cellStyle name="Note 9 2 8" xfId="35596"/>
    <cellStyle name="Note 9 3" xfId="35597"/>
    <cellStyle name="Note 9 3 2" xfId="35598"/>
    <cellStyle name="Note 9 3 2 2" xfId="35599"/>
    <cellStyle name="Note 9 3 3" xfId="35600"/>
    <cellStyle name="Note 9 3 4" xfId="35601"/>
    <cellStyle name="Note 9 3 5" xfId="35602"/>
    <cellStyle name="Note 9 3 6" xfId="35603"/>
    <cellStyle name="Note 9 3 7" xfId="35604"/>
    <cellStyle name="Note 9 4" xfId="35605"/>
    <cellStyle name="Note 9 4 2" xfId="35606"/>
    <cellStyle name="Note 9 4 2 2" xfId="35607"/>
    <cellStyle name="Note 9 4 3" xfId="35608"/>
    <cellStyle name="Note 9 4 4" xfId="35609"/>
    <cellStyle name="Note 9 5" xfId="35610"/>
    <cellStyle name="Note 9 5 2" xfId="35611"/>
    <cellStyle name="Note 9 6" xfId="35612"/>
    <cellStyle name="Note 9 7" xfId="35613"/>
    <cellStyle name="Output 10" xfId="35614"/>
    <cellStyle name="Output 2" xfId="1601"/>
    <cellStyle name="Output 2 10" xfId="35615"/>
    <cellStyle name="Output 2 2" xfId="1602"/>
    <cellStyle name="Output 2 2 2" xfId="35616"/>
    <cellStyle name="Output 2 2 2 2" xfId="35617"/>
    <cellStyle name="Output 2 2 2 2 2" xfId="35618"/>
    <cellStyle name="Output 2 2 2 3" xfId="35619"/>
    <cellStyle name="Output 2 2 2 4" xfId="35620"/>
    <cellStyle name="Output 2 2 2 5" xfId="35621"/>
    <cellStyle name="Output 2 2 2 6" xfId="35622"/>
    <cellStyle name="Output 2 2 2 7" xfId="35623"/>
    <cellStyle name="Output 2 2 2 8" xfId="35624"/>
    <cellStyle name="Output 2 2 3" xfId="35625"/>
    <cellStyle name="Output 2 2 3 2" xfId="35626"/>
    <cellStyle name="Output 2 2 3 2 2" xfId="35627"/>
    <cellStyle name="Output 2 2 3 3" xfId="35628"/>
    <cellStyle name="Output 2 2 4" xfId="35629"/>
    <cellStyle name="Output 2 2 4 2" xfId="35630"/>
    <cellStyle name="Output 2 2 5" xfId="35631"/>
    <cellStyle name="Output 2 2 6" xfId="35632"/>
    <cellStyle name="Output 2 3" xfId="35633"/>
    <cellStyle name="Output 2 3 2" xfId="35634"/>
    <cellStyle name="Output 2 3 2 2" xfId="35635"/>
    <cellStyle name="Output 2 3 2 2 2" xfId="35636"/>
    <cellStyle name="Output 2 3 2 3" xfId="35637"/>
    <cellStyle name="Output 2 3 2 4" xfId="35638"/>
    <cellStyle name="Output 2 3 3" xfId="35639"/>
    <cellStyle name="Output 2 3 3 2" xfId="35640"/>
    <cellStyle name="Output 2 3 4" xfId="35641"/>
    <cellStyle name="Output 2 3 4 2" xfId="35642"/>
    <cellStyle name="Output 2 3 5" xfId="35643"/>
    <cellStyle name="Output 2 4" xfId="35644"/>
    <cellStyle name="Output 2 4 2" xfId="35645"/>
    <cellStyle name="Output 2 4 2 2" xfId="35646"/>
    <cellStyle name="Output 2 4 3" xfId="35647"/>
    <cellStyle name="Output 2 4 4" xfId="35648"/>
    <cellStyle name="Output 2 5" xfId="35649"/>
    <cellStyle name="Output 2 5 2" xfId="35650"/>
    <cellStyle name="Output 2 5 3" xfId="35651"/>
    <cellStyle name="Output 2 6" xfId="35652"/>
    <cellStyle name="Output 2 6 2" xfId="35653"/>
    <cellStyle name="Output 2 7" xfId="35654"/>
    <cellStyle name="Output 2 8" xfId="35655"/>
    <cellStyle name="Output 2 9" xfId="35656"/>
    <cellStyle name="Output 3" xfId="1603"/>
    <cellStyle name="Output 3 10" xfId="35657"/>
    <cellStyle name="Output 3 11" xfId="35658"/>
    <cellStyle name="Output 3 2" xfId="35659"/>
    <cellStyle name="Output 3 2 2" xfId="35660"/>
    <cellStyle name="Output 3 2 2 2" xfId="35661"/>
    <cellStyle name="Output 3 2 3" xfId="35662"/>
    <cellStyle name="Output 3 2 4" xfId="35663"/>
    <cellStyle name="Output 3 3" xfId="35664"/>
    <cellStyle name="Output 3 3 2" xfId="35665"/>
    <cellStyle name="Output 3 3 2 2" xfId="35666"/>
    <cellStyle name="Output 3 3 3" xfId="35667"/>
    <cellStyle name="Output 3 4" xfId="35668"/>
    <cellStyle name="Output 3 4 2" xfId="35669"/>
    <cellStyle name="Output 3 5" xfId="35670"/>
    <cellStyle name="Output 3 6" xfId="35671"/>
    <cellStyle name="Output 3 7" xfId="35672"/>
    <cellStyle name="Output 3 8" xfId="35673"/>
    <cellStyle name="Output 3 9" xfId="35674"/>
    <cellStyle name="Output 4" xfId="1604"/>
    <cellStyle name="Output 4 2" xfId="35675"/>
    <cellStyle name="Output 4 2 2" xfId="35676"/>
    <cellStyle name="Output 4 2 2 2" xfId="35677"/>
    <cellStyle name="Output 4 2 3" xfId="35678"/>
    <cellStyle name="Output 4 2 4" xfId="35679"/>
    <cellStyle name="Output 4 3" xfId="35680"/>
    <cellStyle name="Output 4 3 2" xfId="35681"/>
    <cellStyle name="Output 4 3 3" xfId="35682"/>
    <cellStyle name="Output 4 4" xfId="35683"/>
    <cellStyle name="Output 4 4 2" xfId="35684"/>
    <cellStyle name="Output 5" xfId="35685"/>
    <cellStyle name="Output 5 2" xfId="35686"/>
    <cellStyle name="Output 5 2 2" xfId="35687"/>
    <cellStyle name="Output 5 2 3" xfId="35688"/>
    <cellStyle name="Output 5 3" xfId="35689"/>
    <cellStyle name="Output 5 3 2" xfId="35690"/>
    <cellStyle name="Output 5 4" xfId="35691"/>
    <cellStyle name="Output 6" xfId="35692"/>
    <cellStyle name="Output 6 2" xfId="35693"/>
    <cellStyle name="Output 6 2 2" xfId="35694"/>
    <cellStyle name="Output 6 3" xfId="35695"/>
    <cellStyle name="Output 6 4" xfId="35696"/>
    <cellStyle name="Output 7" xfId="35697"/>
    <cellStyle name="Output 7 2" xfId="35698"/>
    <cellStyle name="Output 8" xfId="35699"/>
    <cellStyle name="Output 8 2" xfId="35700"/>
    <cellStyle name="Output 9" xfId="35701"/>
    <cellStyle name="Percen - Style1" xfId="1605"/>
    <cellStyle name="Percen - Style1 2" xfId="35702"/>
    <cellStyle name="Percen - Style1 2 2" xfId="35703"/>
    <cellStyle name="Percen - Style1 2 2 2" xfId="35704"/>
    <cellStyle name="Percen - Style1 2 3" xfId="35705"/>
    <cellStyle name="Percen - Style1 3" xfId="35706"/>
    <cellStyle name="Percen - Style1 3 2" xfId="35707"/>
    <cellStyle name="Percen - Style1 3 3" xfId="35708"/>
    <cellStyle name="Percen - Style1 4" xfId="35709"/>
    <cellStyle name="Percen - Style1 4 2" xfId="35710"/>
    <cellStyle name="Percen - Style1 5" xfId="35711"/>
    <cellStyle name="Percen - Style2" xfId="1606"/>
    <cellStyle name="Percen - Style2 2" xfId="35712"/>
    <cellStyle name="Percen - Style2 2 2" xfId="35713"/>
    <cellStyle name="Percen - Style2 2 2 2" xfId="35714"/>
    <cellStyle name="Percen - Style2 2 3" xfId="35715"/>
    <cellStyle name="Percen - Style2 3" xfId="35716"/>
    <cellStyle name="Percen - Style2 3 2" xfId="35717"/>
    <cellStyle name="Percen - Style2 3 3" xfId="35718"/>
    <cellStyle name="Percen - Style2 4" xfId="35719"/>
    <cellStyle name="Percen - Style2 4 2" xfId="35720"/>
    <cellStyle name="Percen - Style2 5" xfId="35721"/>
    <cellStyle name="Percen - Style3" xfId="1607"/>
    <cellStyle name="Percen - Style3 2" xfId="35722"/>
    <cellStyle name="Percen - Style3 2 2" xfId="35723"/>
    <cellStyle name="Percen - Style3 2 2 2" xfId="35724"/>
    <cellStyle name="Percen - Style3 2 3" xfId="35725"/>
    <cellStyle name="Percen - Style3 2 4" xfId="35726"/>
    <cellStyle name="Percen - Style3 3" xfId="35727"/>
    <cellStyle name="Percen - Style3 3 2" xfId="35728"/>
    <cellStyle name="Percen - Style3 3 2 2" xfId="35729"/>
    <cellStyle name="Percen - Style3 3 3" xfId="35730"/>
    <cellStyle name="Percen - Style3 3 4" xfId="35731"/>
    <cellStyle name="Percen - Style3 4" xfId="35732"/>
    <cellStyle name="Percen - Style3 4 2" xfId="35733"/>
    <cellStyle name="Percen - Style3 5" xfId="35734"/>
    <cellStyle name="Percen - Style3 6" xfId="35735"/>
    <cellStyle name="Percen - Style3_Electric Rev Req Model (2009 GRC) Rebuttal" xfId="35736"/>
    <cellStyle name="Percent" xfId="1608" builtinId="5"/>
    <cellStyle name="Percent (0)" xfId="1609"/>
    <cellStyle name="Percent (0) 2" xfId="35737"/>
    <cellStyle name="Percent (0) 3" xfId="35738"/>
    <cellStyle name="Percent [2]" xfId="1610"/>
    <cellStyle name="Percent [2] 10" xfId="35739"/>
    <cellStyle name="Percent [2] 10 2" xfId="35740"/>
    <cellStyle name="Percent [2] 11" xfId="35741"/>
    <cellStyle name="Percent [2] 11 2" xfId="35742"/>
    <cellStyle name="Percent [2] 12" xfId="35743"/>
    <cellStyle name="Percent [2] 12 2" xfId="35744"/>
    <cellStyle name="Percent [2] 12 3" xfId="35745"/>
    <cellStyle name="Percent [2] 13" xfId="35746"/>
    <cellStyle name="Percent [2] 2" xfId="1611"/>
    <cellStyle name="Percent [2] 2 2" xfId="35747"/>
    <cellStyle name="Percent [2] 2 2 2" xfId="35748"/>
    <cellStyle name="Percent [2] 2 2 2 2" xfId="35749"/>
    <cellStyle name="Percent [2] 2 2 2 2 2" xfId="35750"/>
    <cellStyle name="Percent [2] 2 2 2 3" xfId="35751"/>
    <cellStyle name="Percent [2] 2 2 2 4" xfId="35752"/>
    <cellStyle name="Percent [2] 2 2 3" xfId="35753"/>
    <cellStyle name="Percent [2] 2 2 3 2" xfId="35754"/>
    <cellStyle name="Percent [2] 2 2 4" xfId="35755"/>
    <cellStyle name="Percent [2] 2 2 4 2" xfId="35756"/>
    <cellStyle name="Percent [2] 2 2 5" xfId="35757"/>
    <cellStyle name="Percent [2] 2 3" xfId="35758"/>
    <cellStyle name="Percent [2] 2 3 2" xfId="35759"/>
    <cellStyle name="Percent [2] 2 3 2 2" xfId="35760"/>
    <cellStyle name="Percent [2] 2 3 2 3" xfId="35761"/>
    <cellStyle name="Percent [2] 2 3 3" xfId="35762"/>
    <cellStyle name="Percent [2] 2 3 4" xfId="35763"/>
    <cellStyle name="Percent [2] 2 4" xfId="35764"/>
    <cellStyle name="Percent [2] 2 4 2" xfId="35765"/>
    <cellStyle name="Percent [2] 2 4 2 2" xfId="35766"/>
    <cellStyle name="Percent [2] 2 4 3" xfId="35767"/>
    <cellStyle name="Percent [2] 2 5" xfId="35768"/>
    <cellStyle name="Percent [2] 2 5 2" xfId="35769"/>
    <cellStyle name="Percent [2] 2 6" xfId="35770"/>
    <cellStyle name="Percent [2] 2 6 2" xfId="35771"/>
    <cellStyle name="Percent [2] 2 7" xfId="35772"/>
    <cellStyle name="Percent [2] 3" xfId="35773"/>
    <cellStyle name="Percent [2] 3 2" xfId="35774"/>
    <cellStyle name="Percent [2] 3 2 2" xfId="35775"/>
    <cellStyle name="Percent [2] 3 2 2 2" xfId="35776"/>
    <cellStyle name="Percent [2] 3 2 3" xfId="35777"/>
    <cellStyle name="Percent [2] 3 2 4" xfId="35778"/>
    <cellStyle name="Percent [2] 3 2 5" xfId="35779"/>
    <cellStyle name="Percent [2] 3 3" xfId="35780"/>
    <cellStyle name="Percent [2] 3 3 2" xfId="35781"/>
    <cellStyle name="Percent [2] 3 3 2 2" xfId="35782"/>
    <cellStyle name="Percent [2] 3 3 3" xfId="35783"/>
    <cellStyle name="Percent [2] 3 4" xfId="35784"/>
    <cellStyle name="Percent [2] 3 4 2" xfId="35785"/>
    <cellStyle name="Percent [2] 3 4 2 2" xfId="35786"/>
    <cellStyle name="Percent [2] 3 4 3" xfId="35787"/>
    <cellStyle name="Percent [2] 3 5" xfId="35788"/>
    <cellStyle name="Percent [2] 3 5 2" xfId="35789"/>
    <cellStyle name="Percent [2] 3 6" xfId="35790"/>
    <cellStyle name="Percent [2] 4" xfId="35791"/>
    <cellStyle name="Percent [2] 4 2" xfId="35792"/>
    <cellStyle name="Percent [2] 4 2 2" xfId="35793"/>
    <cellStyle name="Percent [2] 4 2 2 2" xfId="35794"/>
    <cellStyle name="Percent [2] 4 2 2 2 2" xfId="35795"/>
    <cellStyle name="Percent [2] 4 2 2 3" xfId="35796"/>
    <cellStyle name="Percent [2] 4 2 2 4" xfId="35797"/>
    <cellStyle name="Percent [2] 4 2 3" xfId="35798"/>
    <cellStyle name="Percent [2] 4 2 3 2" xfId="35799"/>
    <cellStyle name="Percent [2] 4 2 4" xfId="35800"/>
    <cellStyle name="Percent [2] 4 2 4 2" xfId="35801"/>
    <cellStyle name="Percent [2] 4 2 5" xfId="35802"/>
    <cellStyle name="Percent [2] 4 3" xfId="35803"/>
    <cellStyle name="Percent [2] 4 3 2" xfId="35804"/>
    <cellStyle name="Percent [2] 4 3 2 2" xfId="35805"/>
    <cellStyle name="Percent [2] 4 3 3" xfId="35806"/>
    <cellStyle name="Percent [2] 4 3 4" xfId="35807"/>
    <cellStyle name="Percent [2] 4 3 5" xfId="35808"/>
    <cellStyle name="Percent [2] 4 4" xfId="35809"/>
    <cellStyle name="Percent [2] 4 4 2" xfId="35810"/>
    <cellStyle name="Percent [2] 4 4 2 2" xfId="35811"/>
    <cellStyle name="Percent [2] 4 4 3" xfId="35812"/>
    <cellStyle name="Percent [2] 4 5" xfId="35813"/>
    <cellStyle name="Percent [2] 4 5 2" xfId="35814"/>
    <cellStyle name="Percent [2] 4 6" xfId="35815"/>
    <cellStyle name="Percent [2] 4 6 2" xfId="35816"/>
    <cellStyle name="Percent [2] 4 7" xfId="35817"/>
    <cellStyle name="Percent [2] 5" xfId="35818"/>
    <cellStyle name="Percent [2] 5 2" xfId="35819"/>
    <cellStyle name="Percent [2] 5 2 2" xfId="35820"/>
    <cellStyle name="Percent [2] 5 2 2 2" xfId="35821"/>
    <cellStyle name="Percent [2] 5 2 2 2 2" xfId="35822"/>
    <cellStyle name="Percent [2] 5 2 3" xfId="35823"/>
    <cellStyle name="Percent [2] 5 2 3 2" xfId="35824"/>
    <cellStyle name="Percent [2] 5 2 4" xfId="35825"/>
    <cellStyle name="Percent [2] 5 2 4 2" xfId="35826"/>
    <cellStyle name="Percent [2] 5 2 5" xfId="35827"/>
    <cellStyle name="Percent [2] 5 3" xfId="35828"/>
    <cellStyle name="Percent [2] 5 3 2" xfId="35829"/>
    <cellStyle name="Percent [2] 5 3 2 2" xfId="35830"/>
    <cellStyle name="Percent [2] 5 4" xfId="35831"/>
    <cellStyle name="Percent [2] 5 4 2" xfId="35832"/>
    <cellStyle name="Percent [2] 5 5" xfId="35833"/>
    <cellStyle name="Percent [2] 5 5 2" xfId="35834"/>
    <cellStyle name="Percent [2] 6" xfId="35835"/>
    <cellStyle name="Percent [2] 6 2" xfId="35836"/>
    <cellStyle name="Percent [2] 6 2 2" xfId="35837"/>
    <cellStyle name="Percent [2] 6 2 2 2" xfId="35838"/>
    <cellStyle name="Percent [2] 6 3" xfId="35839"/>
    <cellStyle name="Percent [2] 6 3 2" xfId="35840"/>
    <cellStyle name="Percent [2] 6 4" xfId="35841"/>
    <cellStyle name="Percent [2] 6 4 2" xfId="35842"/>
    <cellStyle name="Percent [2] 7" xfId="35843"/>
    <cellStyle name="Percent [2] 7 2" xfId="35844"/>
    <cellStyle name="Percent [2] 7 2 2" xfId="35845"/>
    <cellStyle name="Percent [2] 7 3" xfId="35846"/>
    <cellStyle name="Percent [2] 8" xfId="35847"/>
    <cellStyle name="Percent [2] 8 2" xfId="35848"/>
    <cellStyle name="Percent [2] 8 2 2" xfId="35849"/>
    <cellStyle name="Percent [2] 8 3" xfId="35850"/>
    <cellStyle name="Percent [2] 8 4" xfId="35851"/>
    <cellStyle name="Percent [2] 9" xfId="35852"/>
    <cellStyle name="Percent [2] 9 2" xfId="35853"/>
    <cellStyle name="Percent [2] 9 2 2" xfId="35854"/>
    <cellStyle name="Percent [2] 9 2 2 2" xfId="35855"/>
    <cellStyle name="Percent [2] 9 2 3" xfId="35856"/>
    <cellStyle name="Percent [2] 9 3" xfId="35857"/>
    <cellStyle name="Percent [2] 9 3 2" xfId="35858"/>
    <cellStyle name="Percent [2] 9 4" xfId="35859"/>
    <cellStyle name="Percent 10" xfId="1612"/>
    <cellStyle name="Percent 10 2" xfId="35860"/>
    <cellStyle name="Percent 10 2 2" xfId="35861"/>
    <cellStyle name="Percent 10 2 2 2" xfId="35862"/>
    <cellStyle name="Percent 10 2 2 2 2" xfId="35863"/>
    <cellStyle name="Percent 10 2 2 3" xfId="35864"/>
    <cellStyle name="Percent 10 2 2 4" xfId="35865"/>
    <cellStyle name="Percent 10 2 3" xfId="35866"/>
    <cellStyle name="Percent 10 2 3 2" xfId="35867"/>
    <cellStyle name="Percent 10 2 4" xfId="35868"/>
    <cellStyle name="Percent 10 2 4 2" xfId="35869"/>
    <cellStyle name="Percent 10 2 5" xfId="35870"/>
    <cellStyle name="Percent 10 3" xfId="35871"/>
    <cellStyle name="Percent 10 3 2" xfId="35872"/>
    <cellStyle name="Percent 10 3 2 2" xfId="35873"/>
    <cellStyle name="Percent 10 3 3" xfId="35874"/>
    <cellStyle name="Percent 10 3 3 2" xfId="35875"/>
    <cellStyle name="Percent 10 3 4" xfId="35876"/>
    <cellStyle name="Percent 10 3 5" xfId="35877"/>
    <cellStyle name="Percent 10 4" xfId="35878"/>
    <cellStyle name="Percent 10 4 2" xfId="35879"/>
    <cellStyle name="Percent 10 4 2 2" xfId="35880"/>
    <cellStyle name="Percent 10 4 3" xfId="35881"/>
    <cellStyle name="Percent 10 4 4" xfId="35882"/>
    <cellStyle name="Percent 10 5" xfId="35883"/>
    <cellStyle name="Percent 10 5 2" xfId="35884"/>
    <cellStyle name="Percent 10 5 2 2" xfId="35885"/>
    <cellStyle name="Percent 10 5 3" xfId="35886"/>
    <cellStyle name="Percent 10 6" xfId="35887"/>
    <cellStyle name="Percent 10 6 2" xfId="35888"/>
    <cellStyle name="Percent 10 7" xfId="35889"/>
    <cellStyle name="Percent 10 8" xfId="35890"/>
    <cellStyle name="Percent 100" xfId="35891"/>
    <cellStyle name="Percent 101" xfId="35892"/>
    <cellStyle name="Percent 102" xfId="35893"/>
    <cellStyle name="Percent 103" xfId="35894"/>
    <cellStyle name="Percent 104" xfId="35895"/>
    <cellStyle name="Percent 105" xfId="35896"/>
    <cellStyle name="Percent 106" xfId="35897"/>
    <cellStyle name="Percent 107" xfId="35898"/>
    <cellStyle name="Percent 108" xfId="35899"/>
    <cellStyle name="Percent 11" xfId="1613"/>
    <cellStyle name="Percent 11 2" xfId="35900"/>
    <cellStyle name="Percent 11 2 2" xfId="35901"/>
    <cellStyle name="Percent 11 2 2 2" xfId="35902"/>
    <cellStyle name="Percent 11 2 2 2 2" xfId="35903"/>
    <cellStyle name="Percent 11 2 2 3" xfId="35904"/>
    <cellStyle name="Percent 11 2 2 4" xfId="35905"/>
    <cellStyle name="Percent 11 2 3" xfId="35906"/>
    <cellStyle name="Percent 11 2 3 2" xfId="35907"/>
    <cellStyle name="Percent 11 2 4" xfId="35908"/>
    <cellStyle name="Percent 11 2 4 2" xfId="35909"/>
    <cellStyle name="Percent 11 2 5" xfId="35910"/>
    <cellStyle name="Percent 11 3" xfId="35911"/>
    <cellStyle name="Percent 11 3 2" xfId="35912"/>
    <cellStyle name="Percent 11 3 2 2" xfId="35913"/>
    <cellStyle name="Percent 11 3 2 3" xfId="35914"/>
    <cellStyle name="Percent 11 3 3" xfId="35915"/>
    <cellStyle name="Percent 11 3 4" xfId="35916"/>
    <cellStyle name="Percent 11 4" xfId="35917"/>
    <cellStyle name="Percent 11 4 2" xfId="35918"/>
    <cellStyle name="Percent 11 4 2 2" xfId="35919"/>
    <cellStyle name="Percent 11 4 3" xfId="35920"/>
    <cellStyle name="Percent 11 5" xfId="35921"/>
    <cellStyle name="Percent 11 5 2" xfId="35922"/>
    <cellStyle name="Percent 11 6" xfId="35923"/>
    <cellStyle name="Percent 11 6 2" xfId="35924"/>
    <cellStyle name="Percent 11 7" xfId="35925"/>
    <cellStyle name="Percent 12" xfId="1614"/>
    <cellStyle name="Percent 12 2" xfId="35926"/>
    <cellStyle name="Percent 12 2 2" xfId="35927"/>
    <cellStyle name="Percent 12 2 2 2" xfId="35928"/>
    <cellStyle name="Percent 12 2 2 2 2" xfId="35929"/>
    <cellStyle name="Percent 12 2 2 3" xfId="35930"/>
    <cellStyle name="Percent 12 2 2 4" xfId="35931"/>
    <cellStyle name="Percent 12 2 3" xfId="35932"/>
    <cellStyle name="Percent 12 2 3 2" xfId="35933"/>
    <cellStyle name="Percent 12 2 4" xfId="35934"/>
    <cellStyle name="Percent 12 2 4 2" xfId="35935"/>
    <cellStyle name="Percent 12 2 5" xfId="35936"/>
    <cellStyle name="Percent 12 3" xfId="35937"/>
    <cellStyle name="Percent 12 3 2" xfId="35938"/>
    <cellStyle name="Percent 12 3 2 2" xfId="35939"/>
    <cellStyle name="Percent 12 3 3" xfId="35940"/>
    <cellStyle name="Percent 12 3 4" xfId="35941"/>
    <cellStyle name="Percent 12 4" xfId="35942"/>
    <cellStyle name="Percent 12 4 2" xfId="35943"/>
    <cellStyle name="Percent 12 4 2 2" xfId="35944"/>
    <cellStyle name="Percent 12 4 3" xfId="35945"/>
    <cellStyle name="Percent 12 5" xfId="35946"/>
    <cellStyle name="Percent 12 5 2" xfId="35947"/>
    <cellStyle name="Percent 12 5 2 2" xfId="35948"/>
    <cellStyle name="Percent 12 5 3" xfId="35949"/>
    <cellStyle name="Percent 12 6" xfId="35950"/>
    <cellStyle name="Percent 12 6 2" xfId="35951"/>
    <cellStyle name="Percent 12 7" xfId="35952"/>
    <cellStyle name="Percent 13" xfId="1615"/>
    <cellStyle name="Percent 13 2" xfId="35953"/>
    <cellStyle name="Percent 13 2 2" xfId="35954"/>
    <cellStyle name="Percent 13 2 2 2" xfId="35955"/>
    <cellStyle name="Percent 13 2 2 2 2" xfId="35956"/>
    <cellStyle name="Percent 13 2 2 3" xfId="35957"/>
    <cellStyle name="Percent 13 2 2 4" xfId="35958"/>
    <cellStyle name="Percent 13 2 3" xfId="35959"/>
    <cellStyle name="Percent 13 2 3 2" xfId="35960"/>
    <cellStyle name="Percent 13 2 4" xfId="35961"/>
    <cellStyle name="Percent 13 2 4 2" xfId="35962"/>
    <cellStyle name="Percent 13 2 5" xfId="35963"/>
    <cellStyle name="Percent 13 3" xfId="35964"/>
    <cellStyle name="Percent 13 3 2" xfId="35965"/>
    <cellStyle name="Percent 13 3 2 2" xfId="35966"/>
    <cellStyle name="Percent 13 3 3" xfId="35967"/>
    <cellStyle name="Percent 13 3 4" xfId="35968"/>
    <cellStyle name="Percent 13 4" xfId="35969"/>
    <cellStyle name="Percent 13 4 2" xfId="35970"/>
    <cellStyle name="Percent 13 4 2 2" xfId="35971"/>
    <cellStyle name="Percent 13 4 3" xfId="35972"/>
    <cellStyle name="Percent 13 5" xfId="35973"/>
    <cellStyle name="Percent 13 5 2" xfId="35974"/>
    <cellStyle name="Percent 13 6" xfId="35975"/>
    <cellStyle name="Percent 13 6 2" xfId="35976"/>
    <cellStyle name="Percent 13 7" xfId="35977"/>
    <cellStyle name="Percent 13 8" xfId="35978"/>
    <cellStyle name="Percent 14" xfId="1616"/>
    <cellStyle name="Percent 14 2" xfId="35979"/>
    <cellStyle name="Percent 14 2 2" xfId="35980"/>
    <cellStyle name="Percent 14 2 2 2" xfId="35981"/>
    <cellStyle name="Percent 14 2 2 2 2" xfId="35982"/>
    <cellStyle name="Percent 14 2 2 3" xfId="35983"/>
    <cellStyle name="Percent 14 2 2 4" xfId="35984"/>
    <cellStyle name="Percent 14 2 3" xfId="35985"/>
    <cellStyle name="Percent 14 2 3 2" xfId="35986"/>
    <cellStyle name="Percent 14 2 4" xfId="35987"/>
    <cellStyle name="Percent 14 2 4 2" xfId="35988"/>
    <cellStyle name="Percent 14 2 5" xfId="35989"/>
    <cellStyle name="Percent 14 3" xfId="35990"/>
    <cellStyle name="Percent 14 3 2" xfId="35991"/>
    <cellStyle name="Percent 14 3 2 2" xfId="35992"/>
    <cellStyle name="Percent 14 3 3" xfId="35993"/>
    <cellStyle name="Percent 14 3 4" xfId="35994"/>
    <cellStyle name="Percent 14 4" xfId="35995"/>
    <cellStyle name="Percent 14 4 2" xfId="35996"/>
    <cellStyle name="Percent 14 4 2 2" xfId="35997"/>
    <cellStyle name="Percent 14 4 3" xfId="35998"/>
    <cellStyle name="Percent 14 5" xfId="35999"/>
    <cellStyle name="Percent 14 5 2" xfId="36000"/>
    <cellStyle name="Percent 14 6" xfId="36001"/>
    <cellStyle name="Percent 14 6 2" xfId="36002"/>
    <cellStyle name="Percent 14 7" xfId="36003"/>
    <cellStyle name="Percent 15" xfId="1617"/>
    <cellStyle name="Percent 15 2" xfId="36004"/>
    <cellStyle name="Percent 15 2 2" xfId="36005"/>
    <cellStyle name="Percent 15 2 2 2" xfId="36006"/>
    <cellStyle name="Percent 15 2 2 2 2" xfId="36007"/>
    <cellStyle name="Percent 15 2 2 3" xfId="36008"/>
    <cellStyle name="Percent 15 2 2 4" xfId="36009"/>
    <cellStyle name="Percent 15 2 3" xfId="36010"/>
    <cellStyle name="Percent 15 2 3 2" xfId="36011"/>
    <cellStyle name="Percent 15 2 4" xfId="36012"/>
    <cellStyle name="Percent 15 2 4 2" xfId="36013"/>
    <cellStyle name="Percent 15 2 5" xfId="36014"/>
    <cellStyle name="Percent 15 2 6" xfId="36015"/>
    <cellStyle name="Percent 15 3" xfId="36016"/>
    <cellStyle name="Percent 15 3 2" xfId="36017"/>
    <cellStyle name="Percent 15 3 2 2" xfId="36018"/>
    <cellStyle name="Percent 15 3 3" xfId="36019"/>
    <cellStyle name="Percent 15 3 4" xfId="36020"/>
    <cellStyle name="Percent 15 4" xfId="36021"/>
    <cellStyle name="Percent 15 4 2" xfId="36022"/>
    <cellStyle name="Percent 15 4 2 2" xfId="36023"/>
    <cellStyle name="Percent 15 4 3" xfId="36024"/>
    <cellStyle name="Percent 15 5" xfId="36025"/>
    <cellStyle name="Percent 15 5 2" xfId="36026"/>
    <cellStyle name="Percent 15 6" xfId="36027"/>
    <cellStyle name="Percent 15 6 2" xfId="36028"/>
    <cellStyle name="Percent 15 7" xfId="36029"/>
    <cellStyle name="Percent 15 8" xfId="36030"/>
    <cellStyle name="Percent 16" xfId="1618"/>
    <cellStyle name="Percent 16 2" xfId="36031"/>
    <cellStyle name="Percent 16 2 2" xfId="36032"/>
    <cellStyle name="Percent 16 2 2 2" xfId="36033"/>
    <cellStyle name="Percent 16 2 2 2 2" xfId="36034"/>
    <cellStyle name="Percent 16 2 2 3" xfId="36035"/>
    <cellStyle name="Percent 16 2 2 4" xfId="36036"/>
    <cellStyle name="Percent 16 2 3" xfId="36037"/>
    <cellStyle name="Percent 16 2 3 2" xfId="36038"/>
    <cellStyle name="Percent 16 2 4" xfId="36039"/>
    <cellStyle name="Percent 16 2 4 2" xfId="36040"/>
    <cellStyle name="Percent 16 2 5" xfId="36041"/>
    <cellStyle name="Percent 16 3" xfId="36042"/>
    <cellStyle name="Percent 16 3 2" xfId="36043"/>
    <cellStyle name="Percent 16 3 2 2" xfId="36044"/>
    <cellStyle name="Percent 16 3 3" xfId="36045"/>
    <cellStyle name="Percent 16 3 4" xfId="36046"/>
    <cellStyle name="Percent 16 4" xfId="36047"/>
    <cellStyle name="Percent 16 4 2" xfId="36048"/>
    <cellStyle name="Percent 16 4 2 2" xfId="36049"/>
    <cellStyle name="Percent 16 4 3" xfId="36050"/>
    <cellStyle name="Percent 16 5" xfId="36051"/>
    <cellStyle name="Percent 16 5 2" xfId="36052"/>
    <cellStyle name="Percent 16 6" xfId="36053"/>
    <cellStyle name="Percent 17" xfId="1619"/>
    <cellStyle name="Percent 17 2" xfId="36054"/>
    <cellStyle name="Percent 17 2 2" xfId="36055"/>
    <cellStyle name="Percent 17 2 2 2" xfId="36056"/>
    <cellStyle name="Percent 17 2 2 2 2" xfId="36057"/>
    <cellStyle name="Percent 17 2 2 3" xfId="36058"/>
    <cellStyle name="Percent 17 2 2 4" xfId="36059"/>
    <cellStyle name="Percent 17 2 3" xfId="36060"/>
    <cellStyle name="Percent 17 2 3 2" xfId="36061"/>
    <cellStyle name="Percent 17 2 4" xfId="36062"/>
    <cellStyle name="Percent 17 2 4 2" xfId="36063"/>
    <cellStyle name="Percent 17 2 5" xfId="36064"/>
    <cellStyle name="Percent 17 3" xfId="36065"/>
    <cellStyle name="Percent 17 3 2" xfId="36066"/>
    <cellStyle name="Percent 17 3 2 2" xfId="36067"/>
    <cellStyle name="Percent 17 3 3" xfId="36068"/>
    <cellStyle name="Percent 17 3 4" xfId="36069"/>
    <cellStyle name="Percent 17 3 5" xfId="36070"/>
    <cellStyle name="Percent 17 4" xfId="36071"/>
    <cellStyle name="Percent 17 4 2" xfId="36072"/>
    <cellStyle name="Percent 17 4 2 2" xfId="36073"/>
    <cellStyle name="Percent 17 4 3" xfId="36074"/>
    <cellStyle name="Percent 17 5" xfId="36075"/>
    <cellStyle name="Percent 17 5 2" xfId="36076"/>
    <cellStyle name="Percent 17 6" xfId="36077"/>
    <cellStyle name="Percent 18" xfId="1620"/>
    <cellStyle name="Percent 18 2" xfId="36078"/>
    <cellStyle name="Percent 18 2 2" xfId="36079"/>
    <cellStyle name="Percent 18 2 2 2" xfId="36080"/>
    <cellStyle name="Percent 18 2 2 2 2" xfId="36081"/>
    <cellStyle name="Percent 18 2 2 3" xfId="36082"/>
    <cellStyle name="Percent 18 2 2 4" xfId="36083"/>
    <cellStyle name="Percent 18 2 3" xfId="36084"/>
    <cellStyle name="Percent 18 2 3 2" xfId="36085"/>
    <cellStyle name="Percent 18 2 4" xfId="36086"/>
    <cellStyle name="Percent 18 2 4 2" xfId="36087"/>
    <cellStyle name="Percent 18 2 5" xfId="36088"/>
    <cellStyle name="Percent 18 3" xfId="36089"/>
    <cellStyle name="Percent 18 3 2" xfId="36090"/>
    <cellStyle name="Percent 18 3 2 2" xfId="36091"/>
    <cellStyle name="Percent 18 3 3" xfId="36092"/>
    <cellStyle name="Percent 18 3 4" xfId="36093"/>
    <cellStyle name="Percent 18 3 5" xfId="36094"/>
    <cellStyle name="Percent 18 4" xfId="36095"/>
    <cellStyle name="Percent 18 4 2" xfId="36096"/>
    <cellStyle name="Percent 18 4 2 2" xfId="36097"/>
    <cellStyle name="Percent 18 4 3" xfId="36098"/>
    <cellStyle name="Percent 18 5" xfId="36099"/>
    <cellStyle name="Percent 18 5 2" xfId="36100"/>
    <cellStyle name="Percent 18 6" xfId="36101"/>
    <cellStyle name="Percent 19" xfId="1621"/>
    <cellStyle name="Percent 19 2" xfId="36102"/>
    <cellStyle name="Percent 19 2 2" xfId="36103"/>
    <cellStyle name="Percent 19 2 2 2" xfId="36104"/>
    <cellStyle name="Percent 19 2 2 2 2" xfId="36105"/>
    <cellStyle name="Percent 19 2 2 3" xfId="36106"/>
    <cellStyle name="Percent 19 2 2 4" xfId="36107"/>
    <cellStyle name="Percent 19 2 3" xfId="36108"/>
    <cellStyle name="Percent 19 2 3 2" xfId="36109"/>
    <cellStyle name="Percent 19 2 4" xfId="36110"/>
    <cellStyle name="Percent 19 2 4 2" xfId="36111"/>
    <cellStyle name="Percent 19 2 5" xfId="36112"/>
    <cellStyle name="Percent 19 3" xfId="36113"/>
    <cellStyle name="Percent 19 3 2" xfId="36114"/>
    <cellStyle name="Percent 19 3 2 2" xfId="36115"/>
    <cellStyle name="Percent 19 3 3" xfId="36116"/>
    <cellStyle name="Percent 19 3 4" xfId="36117"/>
    <cellStyle name="Percent 19 4" xfId="36118"/>
    <cellStyle name="Percent 19 4 2" xfId="36119"/>
    <cellStyle name="Percent 19 4 2 2" xfId="36120"/>
    <cellStyle name="Percent 19 4 3" xfId="36121"/>
    <cellStyle name="Percent 19 5" xfId="36122"/>
    <cellStyle name="Percent 19 5 2" xfId="36123"/>
    <cellStyle name="Percent 19 6" xfId="36124"/>
    <cellStyle name="Percent 2" xfId="1622"/>
    <cellStyle name="Percent 2 2" xfId="1623"/>
    <cellStyle name="Percent 2 2 2" xfId="1624"/>
    <cellStyle name="Percent 2 2 2 2" xfId="36125"/>
    <cellStyle name="Percent 2 2 2 2 2" xfId="36126"/>
    <cellStyle name="Percent 2 2 2 2 2 2" xfId="36127"/>
    <cellStyle name="Percent 2 2 2 2 3" xfId="36128"/>
    <cellStyle name="Percent 2 2 2 2 4" xfId="36129"/>
    <cellStyle name="Percent 2 2 2 3" xfId="36130"/>
    <cellStyle name="Percent 2 2 2 3 2" xfId="36131"/>
    <cellStyle name="Percent 2 2 2 3 2 2" xfId="36132"/>
    <cellStyle name="Percent 2 2 2 3 3" xfId="36133"/>
    <cellStyle name="Percent 2 2 2 3 4" xfId="36134"/>
    <cellStyle name="Percent 2 2 2 4" xfId="36135"/>
    <cellStyle name="Percent 2 2 2 4 2" xfId="36136"/>
    <cellStyle name="Percent 2 2 2 5" xfId="36137"/>
    <cellStyle name="Percent 2 2 2 5 2" xfId="36138"/>
    <cellStyle name="Percent 2 2 2 6" xfId="36139"/>
    <cellStyle name="Percent 2 2 3" xfId="36140"/>
    <cellStyle name="Percent 2 2 3 2" xfId="36141"/>
    <cellStyle name="Percent 2 2 3 2 2" xfId="36142"/>
    <cellStyle name="Percent 2 2 3 2 2 2" xfId="36143"/>
    <cellStyle name="Percent 2 2 3 2 3" xfId="36144"/>
    <cellStyle name="Percent 2 2 3 3" xfId="36145"/>
    <cellStyle name="Percent 2 2 3 3 2" xfId="36146"/>
    <cellStyle name="Percent 2 2 3 3 2 2" xfId="36147"/>
    <cellStyle name="Percent 2 2 3 3 3" xfId="36148"/>
    <cellStyle name="Percent 2 2 3 4" xfId="36149"/>
    <cellStyle name="Percent 2 2 3 4 2" xfId="36150"/>
    <cellStyle name="Percent 2 2 3 5" xfId="36151"/>
    <cellStyle name="Percent 2 2 3 5 2" xfId="36152"/>
    <cellStyle name="Percent 2 2 3 6" xfId="36153"/>
    <cellStyle name="Percent 2 2 4" xfId="36154"/>
    <cellStyle name="Percent 2 2 4 2" xfId="36155"/>
    <cellStyle name="Percent 2 2 4 2 2" xfId="36156"/>
    <cellStyle name="Percent 2 2 4 3" xfId="36157"/>
    <cellStyle name="Percent 2 2 5" xfId="36158"/>
    <cellStyle name="Percent 2 2 5 2" xfId="36159"/>
    <cellStyle name="Percent 2 2 5 2 2" xfId="36160"/>
    <cellStyle name="Percent 2 2 5 3" xfId="36161"/>
    <cellStyle name="Percent 2 2 5 4" xfId="36162"/>
    <cellStyle name="Percent 2 2 5 5" xfId="36163"/>
    <cellStyle name="Percent 2 2 6" xfId="36164"/>
    <cellStyle name="Percent 2 2 6 2" xfId="36165"/>
    <cellStyle name="Percent 2 2 7" xfId="36166"/>
    <cellStyle name="Percent 2 2 7 2" xfId="36167"/>
    <cellStyle name="Percent 2 2 8" xfId="36168"/>
    <cellStyle name="Percent 2 3" xfId="1625"/>
    <cellStyle name="Percent 2 3 2" xfId="36169"/>
    <cellStyle name="Percent 2 3 2 2" xfId="36170"/>
    <cellStyle name="Percent 2 3 2 2 2" xfId="36171"/>
    <cellStyle name="Percent 2 3 2 2 3" xfId="36172"/>
    <cellStyle name="Percent 2 3 2 3" xfId="36173"/>
    <cellStyle name="Percent 2 3 2 4" xfId="36174"/>
    <cellStyle name="Percent 2 3 2 5" xfId="36175"/>
    <cellStyle name="Percent 2 3 3" xfId="36176"/>
    <cellStyle name="Percent 2 3 3 2" xfId="36177"/>
    <cellStyle name="Percent 2 3 3 3" xfId="36178"/>
    <cellStyle name="Percent 2 3 4" xfId="36179"/>
    <cellStyle name="Percent 2 3 4 2" xfId="36180"/>
    <cellStyle name="Percent 2 3 5" xfId="36181"/>
    <cellStyle name="Percent 2 4" xfId="1626"/>
    <cellStyle name="Percent 2 4 2" xfId="36182"/>
    <cellStyle name="Percent 2 4 2 2" xfId="36183"/>
    <cellStyle name="Percent 2 4 3" xfId="36184"/>
    <cellStyle name="Percent 2 4 3 2" xfId="36185"/>
    <cellStyle name="Percent 2 4 4" xfId="36186"/>
    <cellStyle name="Percent 2 4 5" xfId="36187"/>
    <cellStyle name="Percent 2 5" xfId="36188"/>
    <cellStyle name="Percent 2 5 2" xfId="36189"/>
    <cellStyle name="Percent 2 5 3" xfId="36190"/>
    <cellStyle name="Percent 2 6" xfId="36191"/>
    <cellStyle name="Percent 2 6 2" xfId="36192"/>
    <cellStyle name="Percent 2 7" xfId="36193"/>
    <cellStyle name="Percent 2 7 2" xfId="36194"/>
    <cellStyle name="Percent 2 8" xfId="36195"/>
    <cellStyle name="Percent 20" xfId="1627"/>
    <cellStyle name="Percent 20 2" xfId="36196"/>
    <cellStyle name="Percent 20 2 2" xfId="36197"/>
    <cellStyle name="Percent 20 2 2 2" xfId="36198"/>
    <cellStyle name="Percent 20 2 2 2 2" xfId="36199"/>
    <cellStyle name="Percent 20 2 2 3" xfId="36200"/>
    <cellStyle name="Percent 20 2 2 4" xfId="36201"/>
    <cellStyle name="Percent 20 2 3" xfId="36202"/>
    <cellStyle name="Percent 20 2 3 2" xfId="36203"/>
    <cellStyle name="Percent 20 2 4" xfId="36204"/>
    <cellStyle name="Percent 20 2 4 2" xfId="36205"/>
    <cellStyle name="Percent 20 2 5" xfId="36206"/>
    <cellStyle name="Percent 20 2 6" xfId="36207"/>
    <cellStyle name="Percent 20 3" xfId="36208"/>
    <cellStyle name="Percent 20 3 2" xfId="36209"/>
    <cellStyle name="Percent 20 3 2 2" xfId="36210"/>
    <cellStyle name="Percent 20 3 3" xfId="36211"/>
    <cellStyle name="Percent 20 3 4" xfId="36212"/>
    <cellStyle name="Percent 20 4" xfId="36213"/>
    <cellStyle name="Percent 20 4 2" xfId="36214"/>
    <cellStyle name="Percent 20 5" xfId="36215"/>
    <cellStyle name="Percent 20 5 2" xfId="36216"/>
    <cellStyle name="Percent 20 6" xfId="36217"/>
    <cellStyle name="Percent 20 7" xfId="36218"/>
    <cellStyle name="Percent 21" xfId="1628"/>
    <cellStyle name="Percent 21 2" xfId="36219"/>
    <cellStyle name="Percent 21 2 2" xfId="36220"/>
    <cellStyle name="Percent 21 2 2 2" xfId="36221"/>
    <cellStyle name="Percent 21 2 3" xfId="36222"/>
    <cellStyle name="Percent 21 2 3 2" xfId="36223"/>
    <cellStyle name="Percent 21 2 4" xfId="36224"/>
    <cellStyle name="Percent 21 3" xfId="36225"/>
    <cellStyle name="Percent 21 3 2" xfId="36226"/>
    <cellStyle name="Percent 21 3 2 2" xfId="36227"/>
    <cellStyle name="Percent 21 3 3" xfId="36228"/>
    <cellStyle name="Percent 21 4" xfId="36229"/>
    <cellStyle name="Percent 21 4 2" xfId="36230"/>
    <cellStyle name="Percent 21 4 3" xfId="36231"/>
    <cellStyle name="Percent 21 5" xfId="36232"/>
    <cellStyle name="Percent 21 5 2" xfId="36233"/>
    <cellStyle name="Percent 21 6" xfId="36234"/>
    <cellStyle name="Percent 22" xfId="1629"/>
    <cellStyle name="Percent 22 2" xfId="36235"/>
    <cellStyle name="Percent 22 2 2" xfId="36236"/>
    <cellStyle name="Percent 22 2 2 2" xfId="36237"/>
    <cellStyle name="Percent 22 2 2 3" xfId="36238"/>
    <cellStyle name="Percent 22 2 3" xfId="36239"/>
    <cellStyle name="Percent 22 2 4" xfId="36240"/>
    <cellStyle name="Percent 22 3" xfId="36241"/>
    <cellStyle name="Percent 22 3 2" xfId="36242"/>
    <cellStyle name="Percent 22 3 2 2" xfId="36243"/>
    <cellStyle name="Percent 22 3 3" xfId="36244"/>
    <cellStyle name="Percent 22 3 4" xfId="36245"/>
    <cellStyle name="Percent 22 4" xfId="36246"/>
    <cellStyle name="Percent 22 4 2" xfId="36247"/>
    <cellStyle name="Percent 22 5" xfId="36248"/>
    <cellStyle name="Percent 22 6" xfId="36249"/>
    <cellStyle name="Percent 23" xfId="1630"/>
    <cellStyle name="Percent 23 2" xfId="36250"/>
    <cellStyle name="Percent 23 2 2" xfId="36251"/>
    <cellStyle name="Percent 23 2 2 2" xfId="36252"/>
    <cellStyle name="Percent 23 2 2 3" xfId="36253"/>
    <cellStyle name="Percent 23 2 3" xfId="36254"/>
    <cellStyle name="Percent 23 2 4" xfId="36255"/>
    <cellStyle name="Percent 23 3" xfId="36256"/>
    <cellStyle name="Percent 23 3 2" xfId="36257"/>
    <cellStyle name="Percent 23 3 2 2" xfId="36258"/>
    <cellStyle name="Percent 23 3 3" xfId="36259"/>
    <cellStyle name="Percent 23 3 4" xfId="36260"/>
    <cellStyle name="Percent 23 4" xfId="36261"/>
    <cellStyle name="Percent 23 4 2" xfId="36262"/>
    <cellStyle name="Percent 23 5" xfId="36263"/>
    <cellStyle name="Percent 23 6" xfId="36264"/>
    <cellStyle name="Percent 24" xfId="36265"/>
    <cellStyle name="Percent 24 2" xfId="36266"/>
    <cellStyle name="Percent 24 2 2" xfId="36267"/>
    <cellStyle name="Percent 24 2 2 2" xfId="36268"/>
    <cellStyle name="Percent 24 2 2 3" xfId="36269"/>
    <cellStyle name="Percent 24 2 3" xfId="36270"/>
    <cellStyle name="Percent 24 2 4" xfId="36271"/>
    <cellStyle name="Percent 24 3" xfId="36272"/>
    <cellStyle name="Percent 24 3 2" xfId="36273"/>
    <cellStyle name="Percent 24 3 2 2" xfId="36274"/>
    <cellStyle name="Percent 24 3 3" xfId="36275"/>
    <cellStyle name="Percent 24 3 4" xfId="36276"/>
    <cellStyle name="Percent 24 4" xfId="36277"/>
    <cellStyle name="Percent 24 4 2" xfId="36278"/>
    <cellStyle name="Percent 24 4 2 2" xfId="36279"/>
    <cellStyle name="Percent 24 4 3" xfId="36280"/>
    <cellStyle name="Percent 24 5" xfId="36281"/>
    <cellStyle name="Percent 24 5 2" xfId="36282"/>
    <cellStyle name="Percent 24 6" xfId="36283"/>
    <cellStyle name="Percent 24 7" xfId="36284"/>
    <cellStyle name="Percent 25" xfId="36285"/>
    <cellStyle name="Percent 25 2" xfId="36286"/>
    <cellStyle name="Percent 25 2 2" xfId="36287"/>
    <cellStyle name="Percent 25 2 2 2" xfId="36288"/>
    <cellStyle name="Percent 25 2 3" xfId="36289"/>
    <cellStyle name="Percent 25 3" xfId="36290"/>
    <cellStyle name="Percent 25 3 2" xfId="36291"/>
    <cellStyle name="Percent 25 3 3" xfId="36292"/>
    <cellStyle name="Percent 25 4" xfId="36293"/>
    <cellStyle name="Percent 25 4 2" xfId="36294"/>
    <cellStyle name="Percent 25 4 3" xfId="36295"/>
    <cellStyle name="Percent 25 5" xfId="36296"/>
    <cellStyle name="Percent 25 6" xfId="36297"/>
    <cellStyle name="Percent 25 7" xfId="36298"/>
    <cellStyle name="Percent 25 8" xfId="36299"/>
    <cellStyle name="Percent 26" xfId="36300"/>
    <cellStyle name="Percent 26 2" xfId="36301"/>
    <cellStyle name="Percent 26 2 2" xfId="36302"/>
    <cellStyle name="Percent 26 2 2 2" xfId="36303"/>
    <cellStyle name="Percent 26 3" xfId="36304"/>
    <cellStyle name="Percent 26 3 2" xfId="36305"/>
    <cellStyle name="Percent 26 4" xfId="36306"/>
    <cellStyle name="Percent 26 4 2" xfId="36307"/>
    <cellStyle name="Percent 26 5" xfId="36308"/>
    <cellStyle name="Percent 26 6" xfId="36309"/>
    <cellStyle name="Percent 27" xfId="36310"/>
    <cellStyle name="Percent 27 2" xfId="36311"/>
    <cellStyle name="Percent 27 2 2" xfId="36312"/>
    <cellStyle name="Percent 27 3" xfId="36313"/>
    <cellStyle name="Percent 28" xfId="36314"/>
    <cellStyle name="Percent 28 2" xfId="36315"/>
    <cellStyle name="Percent 28 2 2" xfId="36316"/>
    <cellStyle name="Percent 28 2 3" xfId="36317"/>
    <cellStyle name="Percent 28 3" xfId="36318"/>
    <cellStyle name="Percent 29" xfId="36319"/>
    <cellStyle name="Percent 29 2" xfId="36320"/>
    <cellStyle name="Percent 29 2 2" xfId="36321"/>
    <cellStyle name="Percent 29 2 3" xfId="36322"/>
    <cellStyle name="Percent 29 3" xfId="36323"/>
    <cellStyle name="Percent 3" xfId="1631"/>
    <cellStyle name="Percent 3 10" xfId="36324"/>
    <cellStyle name="Percent 3 2" xfId="1632"/>
    <cellStyle name="Percent 3 2 2" xfId="36325"/>
    <cellStyle name="Percent 3 2 2 2" xfId="36326"/>
    <cellStyle name="Percent 3 2 2 2 2" xfId="36327"/>
    <cellStyle name="Percent 3 2 2 3" xfId="36328"/>
    <cellStyle name="Percent 3 2 2 4" xfId="36329"/>
    <cellStyle name="Percent 3 2 3" xfId="36330"/>
    <cellStyle name="Percent 3 2 3 2" xfId="36331"/>
    <cellStyle name="Percent 3 2 3 2 2" xfId="36332"/>
    <cellStyle name="Percent 3 2 3 3" xfId="36333"/>
    <cellStyle name="Percent 3 2 3 4" xfId="36334"/>
    <cellStyle name="Percent 3 2 4" xfId="36335"/>
    <cellStyle name="Percent 3 2 4 2" xfId="36336"/>
    <cellStyle name="Percent 3 2 5" xfId="36337"/>
    <cellStyle name="Percent 3 2 5 2" xfId="36338"/>
    <cellStyle name="Percent 3 2 6" xfId="36339"/>
    <cellStyle name="Percent 3 3" xfId="1633"/>
    <cellStyle name="Percent 3 3 2" xfId="36340"/>
    <cellStyle name="Percent 3 3 2 2" xfId="36341"/>
    <cellStyle name="Percent 3 3 2 2 2" xfId="36342"/>
    <cellStyle name="Percent 3 3 2 3" xfId="36343"/>
    <cellStyle name="Percent 3 3 3" xfId="36344"/>
    <cellStyle name="Percent 3 3 3 2" xfId="36345"/>
    <cellStyle name="Percent 3 3 3 2 2" xfId="36346"/>
    <cellStyle name="Percent 3 3 3 3" xfId="36347"/>
    <cellStyle name="Percent 3 3 3 4" xfId="36348"/>
    <cellStyle name="Percent 3 3 4" xfId="36349"/>
    <cellStyle name="Percent 3 3 4 2" xfId="36350"/>
    <cellStyle name="Percent 3 3 4 2 2" xfId="36351"/>
    <cellStyle name="Percent 3 3 4 3" xfId="36352"/>
    <cellStyle name="Percent 3 3 5" xfId="36353"/>
    <cellStyle name="Percent 3 3 5 2" xfId="36354"/>
    <cellStyle name="Percent 3 3 6" xfId="36355"/>
    <cellStyle name="Percent 3 3 7" xfId="36356"/>
    <cellStyle name="Percent 3 4" xfId="36357"/>
    <cellStyle name="Percent 3 4 2" xfId="36358"/>
    <cellStyle name="Percent 3 4 2 2" xfId="36359"/>
    <cellStyle name="Percent 3 4 2 2 2" xfId="36360"/>
    <cellStyle name="Percent 3 4 2 3" xfId="36361"/>
    <cellStyle name="Percent 3 4 2 4" xfId="36362"/>
    <cellStyle name="Percent 3 4 3" xfId="36363"/>
    <cellStyle name="Percent 3 4 3 2" xfId="36364"/>
    <cellStyle name="Percent 3 4 3 3" xfId="36365"/>
    <cellStyle name="Percent 3 4 4" xfId="36366"/>
    <cellStyle name="Percent 3 4 4 2" xfId="36367"/>
    <cellStyle name="Percent 3 4 5" xfId="36368"/>
    <cellStyle name="Percent 3 5" xfId="36369"/>
    <cellStyle name="Percent 3 5 2" xfId="36370"/>
    <cellStyle name="Percent 3 5 2 2" xfId="36371"/>
    <cellStyle name="Percent 3 5 3" xfId="36372"/>
    <cellStyle name="Percent 3 6" xfId="36373"/>
    <cellStyle name="Percent 3 6 2" xfId="36374"/>
    <cellStyle name="Percent 3 6 2 2" xfId="36375"/>
    <cellStyle name="Percent 3 6 3" xfId="36376"/>
    <cellStyle name="Percent 3 7" xfId="36377"/>
    <cellStyle name="Percent 3 7 2" xfId="36378"/>
    <cellStyle name="Percent 3 7 3" xfId="36379"/>
    <cellStyle name="Percent 3 8" xfId="36380"/>
    <cellStyle name="Percent 3 8 2" xfId="36381"/>
    <cellStyle name="Percent 3 9" xfId="36382"/>
    <cellStyle name="Percent 3 9 2" xfId="36383"/>
    <cellStyle name="Percent 30" xfId="36384"/>
    <cellStyle name="Percent 30 2" xfId="36385"/>
    <cellStyle name="Percent 30 2 2" xfId="36386"/>
    <cellStyle name="Percent 30 2 3" xfId="36387"/>
    <cellStyle name="Percent 30 3" xfId="36388"/>
    <cellStyle name="Percent 31" xfId="36389"/>
    <cellStyle name="Percent 31 2" xfId="36390"/>
    <cellStyle name="Percent 31 2 2" xfId="36391"/>
    <cellStyle name="Percent 31 2 3" xfId="36392"/>
    <cellStyle name="Percent 31 3" xfId="36393"/>
    <cellStyle name="Percent 32" xfId="36394"/>
    <cellStyle name="Percent 32 2" xfId="36395"/>
    <cellStyle name="Percent 32 2 2" xfId="36396"/>
    <cellStyle name="Percent 32 3" xfId="36397"/>
    <cellStyle name="Percent 32 4" xfId="36398"/>
    <cellStyle name="Percent 33" xfId="36399"/>
    <cellStyle name="Percent 33 2" xfId="36400"/>
    <cellStyle name="Percent 33 2 2" xfId="36401"/>
    <cellStyle name="Percent 33 2 3" xfId="36402"/>
    <cellStyle name="Percent 33 3" xfId="36403"/>
    <cellStyle name="Percent 33 4" xfId="36404"/>
    <cellStyle name="Percent 34" xfId="36405"/>
    <cellStyle name="Percent 34 2" xfId="36406"/>
    <cellStyle name="Percent 34 2 2" xfId="36407"/>
    <cellStyle name="Percent 34 3" xfId="36408"/>
    <cellStyle name="Percent 35" xfId="36409"/>
    <cellStyle name="Percent 35 2" xfId="36410"/>
    <cellStyle name="Percent 35 2 2" xfId="36411"/>
    <cellStyle name="Percent 35 3" xfId="36412"/>
    <cellStyle name="Percent 36" xfId="36413"/>
    <cellStyle name="Percent 36 2" xfId="36414"/>
    <cellStyle name="Percent 36 2 2" xfId="36415"/>
    <cellStyle name="Percent 36 3" xfId="36416"/>
    <cellStyle name="Percent 37" xfId="36417"/>
    <cellStyle name="Percent 37 2" xfId="36418"/>
    <cellStyle name="Percent 37 2 2" xfId="36419"/>
    <cellStyle name="Percent 37 3" xfId="36420"/>
    <cellStyle name="Percent 38" xfId="36421"/>
    <cellStyle name="Percent 38 2" xfId="36422"/>
    <cellStyle name="Percent 38 2 2" xfId="36423"/>
    <cellStyle name="Percent 38 3" xfId="36424"/>
    <cellStyle name="Percent 39" xfId="36425"/>
    <cellStyle name="Percent 39 2" xfId="36426"/>
    <cellStyle name="Percent 39 2 2" xfId="36427"/>
    <cellStyle name="Percent 39 3" xfId="36428"/>
    <cellStyle name="Percent 4" xfId="1634"/>
    <cellStyle name="Percent 4 2" xfId="1635"/>
    <cellStyle name="Percent 4 2 2" xfId="1636"/>
    <cellStyle name="Percent 4 2 2 2" xfId="36429"/>
    <cellStyle name="Percent 4 2 2 2 2" xfId="36430"/>
    <cellStyle name="Percent 4 2 2 2 3" xfId="36431"/>
    <cellStyle name="Percent 4 2 2 3" xfId="36432"/>
    <cellStyle name="Percent 4 2 2 3 2" xfId="36433"/>
    <cellStyle name="Percent 4 2 2 4" xfId="36434"/>
    <cellStyle name="Percent 4 2 3" xfId="36435"/>
    <cellStyle name="Percent 4 2 3 2" xfId="36436"/>
    <cellStyle name="Percent 4 2 3 2 2" xfId="36437"/>
    <cellStyle name="Percent 4 2 3 3" xfId="36438"/>
    <cellStyle name="Percent 4 2 4" xfId="36439"/>
    <cellStyle name="Percent 4 2 4 2" xfId="36440"/>
    <cellStyle name="Percent 4 2 4 3" xfId="36441"/>
    <cellStyle name="Percent 4 2 5" xfId="36442"/>
    <cellStyle name="Percent 4 2 5 2" xfId="36443"/>
    <cellStyle name="Percent 4 2 6" xfId="36444"/>
    <cellStyle name="Percent 4 3" xfId="1637"/>
    <cellStyle name="Percent 4 3 2" xfId="36445"/>
    <cellStyle name="Percent 4 3 2 2" xfId="36446"/>
    <cellStyle name="Percent 4 3 2 2 2" xfId="36447"/>
    <cellStyle name="Percent 4 3 2 3" xfId="36448"/>
    <cellStyle name="Percent 4 3 2 4" xfId="36449"/>
    <cellStyle name="Percent 4 3 3" xfId="36450"/>
    <cellStyle name="Percent 4 3 3 2" xfId="36451"/>
    <cellStyle name="Percent 4 3 4" xfId="36452"/>
    <cellStyle name="Percent 4 3 4 2" xfId="36453"/>
    <cellStyle name="Percent 4 3 5" xfId="36454"/>
    <cellStyle name="Percent 4 3 6" xfId="36455"/>
    <cellStyle name="Percent 4 3 7" xfId="36456"/>
    <cellStyle name="Percent 4 4" xfId="36457"/>
    <cellStyle name="Percent 4 4 2" xfId="36458"/>
    <cellStyle name="Percent 4 4 2 2" xfId="36459"/>
    <cellStyle name="Percent 4 4 3" xfId="36460"/>
    <cellStyle name="Percent 4 4 4" xfId="36461"/>
    <cellStyle name="Percent 4 5" xfId="36462"/>
    <cellStyle name="Percent 4 5 2" xfId="36463"/>
    <cellStyle name="Percent 4 5 2 2" xfId="36464"/>
    <cellStyle name="Percent 4 5 3" xfId="36465"/>
    <cellStyle name="Percent 4 5 4" xfId="36466"/>
    <cellStyle name="Percent 4 6" xfId="36467"/>
    <cellStyle name="Percent 4 6 2" xfId="36468"/>
    <cellStyle name="Percent 4 7" xfId="36469"/>
    <cellStyle name="Percent 4 7 2" xfId="36470"/>
    <cellStyle name="Percent 4 8" xfId="36471"/>
    <cellStyle name="Percent 40" xfId="36472"/>
    <cellStyle name="Percent 40 2" xfId="36473"/>
    <cellStyle name="Percent 40 2 2" xfId="36474"/>
    <cellStyle name="Percent 40 3" xfId="36475"/>
    <cellStyle name="Percent 41" xfId="36476"/>
    <cellStyle name="Percent 41 2" xfId="36477"/>
    <cellStyle name="Percent 41 2 2" xfId="36478"/>
    <cellStyle name="Percent 41 3" xfId="36479"/>
    <cellStyle name="Percent 41 4" xfId="36480"/>
    <cellStyle name="Percent 42" xfId="36481"/>
    <cellStyle name="Percent 42 2" xfId="36482"/>
    <cellStyle name="Percent 42 2 2" xfId="36483"/>
    <cellStyle name="Percent 42 3" xfId="36484"/>
    <cellStyle name="Percent 43" xfId="36485"/>
    <cellStyle name="Percent 43 2" xfId="36486"/>
    <cellStyle name="Percent 43 2 2" xfId="36487"/>
    <cellStyle name="Percent 43 3" xfId="36488"/>
    <cellStyle name="Percent 44" xfId="36489"/>
    <cellStyle name="Percent 44 2" xfId="36490"/>
    <cellStyle name="Percent 44 2 2" xfId="36491"/>
    <cellStyle name="Percent 44 3" xfId="36492"/>
    <cellStyle name="Percent 45" xfId="36493"/>
    <cellStyle name="Percent 45 2" xfId="36494"/>
    <cellStyle name="Percent 45 2 2" xfId="36495"/>
    <cellStyle name="Percent 45 3" xfId="36496"/>
    <cellStyle name="Percent 46" xfId="36497"/>
    <cellStyle name="Percent 46 2" xfId="36498"/>
    <cellStyle name="Percent 46 2 2" xfId="36499"/>
    <cellStyle name="Percent 47" xfId="36500"/>
    <cellStyle name="Percent 47 2" xfId="36501"/>
    <cellStyle name="Percent 47 2 2" xfId="36502"/>
    <cellStyle name="Percent 48" xfId="36503"/>
    <cellStyle name="Percent 48 2" xfId="36504"/>
    <cellStyle name="Percent 48 2 2" xfId="36505"/>
    <cellStyle name="Percent 49" xfId="36506"/>
    <cellStyle name="Percent 49 2" xfId="36507"/>
    <cellStyle name="Percent 49 2 2" xfId="36508"/>
    <cellStyle name="Percent 5" xfId="1638"/>
    <cellStyle name="Percent 5 2" xfId="1639"/>
    <cellStyle name="Percent 5 2 2" xfId="36509"/>
    <cellStyle name="Percent 5 2 2 2" xfId="36510"/>
    <cellStyle name="Percent 5 2 2 2 2" xfId="36511"/>
    <cellStyle name="Percent 5 2 2 3" xfId="36512"/>
    <cellStyle name="Percent 5 2 2 4" xfId="36513"/>
    <cellStyle name="Percent 5 2 3" xfId="36514"/>
    <cellStyle name="Percent 5 2 3 2" xfId="36515"/>
    <cellStyle name="Percent 5 2 4" xfId="36516"/>
    <cellStyle name="Percent 5 2 4 2" xfId="36517"/>
    <cellStyle name="Percent 5 2 5" xfId="36518"/>
    <cellStyle name="Percent 5 3" xfId="36519"/>
    <cellStyle name="Percent 5 3 2" xfId="36520"/>
    <cellStyle name="Percent 5 3 2 2" xfId="36521"/>
    <cellStyle name="Percent 5 3 3" xfId="36522"/>
    <cellStyle name="Percent 5 3 4" xfId="36523"/>
    <cellStyle name="Percent 5 4" xfId="36524"/>
    <cellStyle name="Percent 5 4 2" xfId="36525"/>
    <cellStyle name="Percent 5 4 2 2" xfId="36526"/>
    <cellStyle name="Percent 5 4 3" xfId="36527"/>
    <cellStyle name="Percent 5 4 4" xfId="36528"/>
    <cellStyle name="Percent 5 5" xfId="36529"/>
    <cellStyle name="Percent 5 5 2" xfId="36530"/>
    <cellStyle name="Percent 5 6" xfId="36531"/>
    <cellStyle name="Percent 5 6 2" xfId="36532"/>
    <cellStyle name="Percent 5 7" xfId="36533"/>
    <cellStyle name="Percent 50" xfId="36534"/>
    <cellStyle name="Percent 50 2" xfId="36535"/>
    <cellStyle name="Percent 50 2 2" xfId="36536"/>
    <cellStyle name="Percent 51" xfId="36537"/>
    <cellStyle name="Percent 51 2" xfId="36538"/>
    <cellStyle name="Percent 51 2 2" xfId="36539"/>
    <cellStyle name="Percent 52" xfId="36540"/>
    <cellStyle name="Percent 52 2" xfId="36541"/>
    <cellStyle name="Percent 52 2 2" xfId="36542"/>
    <cellStyle name="Percent 53" xfId="36543"/>
    <cellStyle name="Percent 53 2" xfId="36544"/>
    <cellStyle name="Percent 53 2 2" xfId="36545"/>
    <cellStyle name="Percent 54" xfId="36546"/>
    <cellStyle name="Percent 54 2" xfId="36547"/>
    <cellStyle name="Percent 54 2 2" xfId="36548"/>
    <cellStyle name="Percent 55" xfId="36549"/>
    <cellStyle name="Percent 55 2" xfId="36550"/>
    <cellStyle name="Percent 55 2 2" xfId="36551"/>
    <cellStyle name="Percent 56" xfId="36552"/>
    <cellStyle name="Percent 56 2" xfId="36553"/>
    <cellStyle name="Percent 56 2 2" xfId="36554"/>
    <cellStyle name="Percent 57" xfId="36555"/>
    <cellStyle name="Percent 57 2" xfId="36556"/>
    <cellStyle name="Percent 57 2 2" xfId="36557"/>
    <cellStyle name="Percent 58" xfId="36558"/>
    <cellStyle name="Percent 58 2" xfId="36559"/>
    <cellStyle name="Percent 58 2 2" xfId="36560"/>
    <cellStyle name="Percent 59" xfId="36561"/>
    <cellStyle name="Percent 59 2" xfId="36562"/>
    <cellStyle name="Percent 59 2 2" xfId="36563"/>
    <cellStyle name="Percent 6" xfId="1640"/>
    <cellStyle name="Percent 6 2" xfId="1641"/>
    <cellStyle name="Percent 6 2 2" xfId="36564"/>
    <cellStyle name="Percent 6 2 2 2" xfId="36565"/>
    <cellStyle name="Percent 6 2 2 2 2" xfId="36566"/>
    <cellStyle name="Percent 6 2 2 2 3" xfId="36567"/>
    <cellStyle name="Percent 6 2 2 3" xfId="36568"/>
    <cellStyle name="Percent 6 2 2 4" xfId="36569"/>
    <cellStyle name="Percent 6 2 3" xfId="36570"/>
    <cellStyle name="Percent 6 2 3 2" xfId="36571"/>
    <cellStyle name="Percent 6 2 3 2 2" xfId="36572"/>
    <cellStyle name="Percent 6 2 3 3" xfId="36573"/>
    <cellStyle name="Percent 6 2 4" xfId="36574"/>
    <cellStyle name="Percent 6 2 4 2" xfId="36575"/>
    <cellStyle name="Percent 6 2 5" xfId="36576"/>
    <cellStyle name="Percent 6 2 6" xfId="36577"/>
    <cellStyle name="Percent 6 3" xfId="1642"/>
    <cellStyle name="Percent 6 3 2" xfId="36578"/>
    <cellStyle name="Percent 6 3 2 2" xfId="36579"/>
    <cellStyle name="Percent 6 3 3" xfId="36580"/>
    <cellStyle name="Percent 6 3 4" xfId="36581"/>
    <cellStyle name="Percent 6 4" xfId="36582"/>
    <cellStyle name="Percent 6 4 2" xfId="36583"/>
    <cellStyle name="Percent 6 4 2 2" xfId="36584"/>
    <cellStyle name="Percent 6 4 3" xfId="36585"/>
    <cellStyle name="Percent 6 4 4" xfId="36586"/>
    <cellStyle name="Percent 6 5" xfId="36587"/>
    <cellStyle name="Percent 6 5 2" xfId="36588"/>
    <cellStyle name="Percent 6 6" xfId="36589"/>
    <cellStyle name="Percent 6 6 2" xfId="36590"/>
    <cellStyle name="Percent 6 7" xfId="36591"/>
    <cellStyle name="Percent 60" xfId="36592"/>
    <cellStyle name="Percent 60 2" xfId="36593"/>
    <cellStyle name="Percent 60 2 2" xfId="36594"/>
    <cellStyle name="Percent 61" xfId="36595"/>
    <cellStyle name="Percent 61 2" xfId="36596"/>
    <cellStyle name="Percent 61 2 2" xfId="36597"/>
    <cellStyle name="Percent 62" xfId="36598"/>
    <cellStyle name="Percent 62 2" xfId="36599"/>
    <cellStyle name="Percent 62 2 2" xfId="36600"/>
    <cellStyle name="Percent 63" xfId="36601"/>
    <cellStyle name="Percent 63 2" xfId="36602"/>
    <cellStyle name="Percent 63 2 2" xfId="36603"/>
    <cellStyle name="Percent 64" xfId="36604"/>
    <cellStyle name="Percent 64 2" xfId="36605"/>
    <cellStyle name="Percent 64 2 2" xfId="36606"/>
    <cellStyle name="Percent 64 3" xfId="36607"/>
    <cellStyle name="Percent 65" xfId="36608"/>
    <cellStyle name="Percent 65 2" xfId="36609"/>
    <cellStyle name="Percent 65 2 2" xfId="36610"/>
    <cellStyle name="Percent 65 2 2 2" xfId="36611"/>
    <cellStyle name="Percent 65 2 3" xfId="36612"/>
    <cellStyle name="Percent 65 3" xfId="36613"/>
    <cellStyle name="Percent 65 3 2" xfId="36614"/>
    <cellStyle name="Percent 65 4" xfId="36615"/>
    <cellStyle name="Percent 66" xfId="36616"/>
    <cellStyle name="Percent 66 2" xfId="36617"/>
    <cellStyle name="Percent 66 2 2" xfId="36618"/>
    <cellStyle name="Percent 66 3" xfId="36619"/>
    <cellStyle name="Percent 67" xfId="36620"/>
    <cellStyle name="Percent 67 2" xfId="36621"/>
    <cellStyle name="Percent 67 2 2" xfId="36622"/>
    <cellStyle name="Percent 67 3" xfId="36623"/>
    <cellStyle name="Percent 68" xfId="36624"/>
    <cellStyle name="Percent 68 2" xfId="36625"/>
    <cellStyle name="Percent 68 2 2" xfId="36626"/>
    <cellStyle name="Percent 68 3" xfId="36627"/>
    <cellStyle name="Percent 69" xfId="36628"/>
    <cellStyle name="Percent 69 2" xfId="36629"/>
    <cellStyle name="Percent 69 2 2" xfId="36630"/>
    <cellStyle name="Percent 69 3" xfId="36631"/>
    <cellStyle name="Percent 7" xfId="1643"/>
    <cellStyle name="Percent 7 10" xfId="36632"/>
    <cellStyle name="Percent 7 2" xfId="1644"/>
    <cellStyle name="Percent 7 2 2" xfId="36633"/>
    <cellStyle name="Percent 7 2 2 2" xfId="36634"/>
    <cellStyle name="Percent 7 2 2 3" xfId="36635"/>
    <cellStyle name="Percent 7 2 3" xfId="36636"/>
    <cellStyle name="Percent 7 2 3 2" xfId="36637"/>
    <cellStyle name="Percent 7 2 4" xfId="36638"/>
    <cellStyle name="Percent 7 2 5" xfId="36639"/>
    <cellStyle name="Percent 7 3" xfId="1645"/>
    <cellStyle name="Percent 7 3 2" xfId="36640"/>
    <cellStyle name="Percent 7 3 2 2" xfId="36641"/>
    <cellStyle name="Percent 7 3 3" xfId="36642"/>
    <cellStyle name="Percent 7 3 3 2" xfId="36643"/>
    <cellStyle name="Percent 7 3 4" xfId="36644"/>
    <cellStyle name="Percent 7 3 4 2" xfId="36645"/>
    <cellStyle name="Percent 7 3 5" xfId="36646"/>
    <cellStyle name="Percent 7 4" xfId="36647"/>
    <cellStyle name="Percent 7 4 2" xfId="36648"/>
    <cellStyle name="Percent 7 4 2 2" xfId="36649"/>
    <cellStyle name="Percent 7 4 3" xfId="36650"/>
    <cellStyle name="Percent 7 5" xfId="36651"/>
    <cellStyle name="Percent 7 5 2" xfId="36652"/>
    <cellStyle name="Percent 7 5 2 2" xfId="36653"/>
    <cellStyle name="Percent 7 5 3" xfId="36654"/>
    <cellStyle name="Percent 7 6" xfId="36655"/>
    <cellStyle name="Percent 7 6 2" xfId="36656"/>
    <cellStyle name="Percent 7 7" xfId="36657"/>
    <cellStyle name="Percent 7 7 2" xfId="36658"/>
    <cellStyle name="Percent 7 8" xfId="36659"/>
    <cellStyle name="Percent 7 8 2" xfId="36660"/>
    <cellStyle name="Percent 7 9" xfId="36661"/>
    <cellStyle name="Percent 70" xfId="36662"/>
    <cellStyle name="Percent 70 2" xfId="36663"/>
    <cellStyle name="Percent 70 2 2" xfId="36664"/>
    <cellStyle name="Percent 70 3" xfId="36665"/>
    <cellStyle name="Percent 71" xfId="36666"/>
    <cellStyle name="Percent 71 2" xfId="36667"/>
    <cellStyle name="Percent 71 2 2" xfId="36668"/>
    <cellStyle name="Percent 71 3" xfId="36669"/>
    <cellStyle name="Percent 72" xfId="36670"/>
    <cellStyle name="Percent 72 2" xfId="36671"/>
    <cellStyle name="Percent 72 2 2" xfId="36672"/>
    <cellStyle name="Percent 72 3" xfId="36673"/>
    <cellStyle name="Percent 73" xfId="36674"/>
    <cellStyle name="Percent 73 2" xfId="36675"/>
    <cellStyle name="Percent 73 2 2" xfId="36676"/>
    <cellStyle name="Percent 73 3" xfId="36677"/>
    <cellStyle name="Percent 74" xfId="36678"/>
    <cellStyle name="Percent 74 2" xfId="36679"/>
    <cellStyle name="Percent 74 2 2" xfId="36680"/>
    <cellStyle name="Percent 74 3" xfId="36681"/>
    <cellStyle name="Percent 75" xfId="36682"/>
    <cellStyle name="Percent 75 2" xfId="36683"/>
    <cellStyle name="Percent 75 2 2" xfId="36684"/>
    <cellStyle name="Percent 75 3" xfId="36685"/>
    <cellStyle name="Percent 76" xfId="36686"/>
    <cellStyle name="Percent 76 2" xfId="36687"/>
    <cellStyle name="Percent 76 2 2" xfId="36688"/>
    <cellStyle name="Percent 76 3" xfId="36689"/>
    <cellStyle name="Percent 77" xfId="36690"/>
    <cellStyle name="Percent 77 2" xfId="36691"/>
    <cellStyle name="Percent 78" xfId="36692"/>
    <cellStyle name="Percent 78 2" xfId="36693"/>
    <cellStyle name="Percent 79" xfId="36694"/>
    <cellStyle name="Percent 79 2" xfId="36695"/>
    <cellStyle name="Percent 79 3" xfId="36696"/>
    <cellStyle name="Percent 79 4" xfId="36697"/>
    <cellStyle name="Percent 8" xfId="1646"/>
    <cellStyle name="Percent 8 2" xfId="1647"/>
    <cellStyle name="Percent 8 2 2" xfId="36698"/>
    <cellStyle name="Percent 8 2 2 2" xfId="36699"/>
    <cellStyle name="Percent 8 2 2 2 2" xfId="36700"/>
    <cellStyle name="Percent 8 2 2 2 3" xfId="36701"/>
    <cellStyle name="Percent 8 2 2 2 4" xfId="36702"/>
    <cellStyle name="Percent 8 2 2 3" xfId="36703"/>
    <cellStyle name="Percent 8 2 2 4" xfId="36704"/>
    <cellStyle name="Percent 8 2 2 5" xfId="36705"/>
    <cellStyle name="Percent 8 2 3" xfId="36706"/>
    <cellStyle name="Percent 8 2 3 2" xfId="36707"/>
    <cellStyle name="Percent 8 2 3 2 2" xfId="36708"/>
    <cellStyle name="Percent 8 2 3 3" xfId="36709"/>
    <cellStyle name="Percent 8 2 4" xfId="36710"/>
    <cellStyle name="Percent 8 2 4 2" xfId="36711"/>
    <cellStyle name="Percent 8 2 5" xfId="36712"/>
    <cellStyle name="Percent 8 2 6" xfId="36713"/>
    <cellStyle name="Percent 8 3" xfId="36714"/>
    <cellStyle name="Percent 8 3 2" xfId="36715"/>
    <cellStyle name="Percent 8 3 2 2" xfId="36716"/>
    <cellStyle name="Percent 8 3 2 3" xfId="36717"/>
    <cellStyle name="Percent 8 3 3" xfId="36718"/>
    <cellStyle name="Percent 8 3 4" xfId="36719"/>
    <cellStyle name="Percent 8 4" xfId="36720"/>
    <cellStyle name="Percent 8 4 2" xfId="36721"/>
    <cellStyle name="Percent 8 4 2 2" xfId="36722"/>
    <cellStyle name="Percent 8 4 3" xfId="36723"/>
    <cellStyle name="Percent 8 4 4" xfId="36724"/>
    <cellStyle name="Percent 8 5" xfId="36725"/>
    <cellStyle name="Percent 8 5 2" xfId="36726"/>
    <cellStyle name="Percent 8 5 2 2" xfId="36727"/>
    <cellStyle name="Percent 8 5 3" xfId="36728"/>
    <cellStyle name="Percent 8 6" xfId="36729"/>
    <cellStyle name="Percent 8 6 2" xfId="36730"/>
    <cellStyle name="Percent 8 7" xfId="36731"/>
    <cellStyle name="Percent 8 8" xfId="36732"/>
    <cellStyle name="Percent 80" xfId="36733"/>
    <cellStyle name="Percent 80 2" xfId="36734"/>
    <cellStyle name="Percent 80 3" xfId="36735"/>
    <cellStyle name="Percent 80 4" xfId="36736"/>
    <cellStyle name="Percent 81" xfId="36737"/>
    <cellStyle name="Percent 81 2" xfId="36738"/>
    <cellStyle name="Percent 81 3" xfId="36739"/>
    <cellStyle name="Percent 81 4" xfId="36740"/>
    <cellStyle name="Percent 82" xfId="36741"/>
    <cellStyle name="Percent 82 2" xfId="36742"/>
    <cellStyle name="Percent 82 3" xfId="36743"/>
    <cellStyle name="Percent 82 4" xfId="36744"/>
    <cellStyle name="Percent 83" xfId="36745"/>
    <cellStyle name="Percent 83 2" xfId="36746"/>
    <cellStyle name="Percent 83 3" xfId="36747"/>
    <cellStyle name="Percent 83 4" xfId="36748"/>
    <cellStyle name="Percent 84" xfId="36749"/>
    <cellStyle name="Percent 84 2" xfId="36750"/>
    <cellStyle name="Percent 84 3" xfId="36751"/>
    <cellStyle name="Percent 84 4" xfId="36752"/>
    <cellStyle name="Percent 85" xfId="36753"/>
    <cellStyle name="Percent 85 2" xfId="36754"/>
    <cellStyle name="Percent 85 3" xfId="36755"/>
    <cellStyle name="Percent 85 4" xfId="36756"/>
    <cellStyle name="Percent 86" xfId="36757"/>
    <cellStyle name="Percent 86 2" xfId="36758"/>
    <cellStyle name="Percent 87" xfId="36759"/>
    <cellStyle name="Percent 87 2" xfId="36760"/>
    <cellStyle name="Percent 87 3" xfId="36761"/>
    <cellStyle name="Percent 88" xfId="36762"/>
    <cellStyle name="Percent 88 2" xfId="36763"/>
    <cellStyle name="Percent 88 3" xfId="36764"/>
    <cellStyle name="Percent 89" xfId="36765"/>
    <cellStyle name="Percent 89 2" xfId="36766"/>
    <cellStyle name="Percent 89 3" xfId="36767"/>
    <cellStyle name="Percent 9" xfId="1648"/>
    <cellStyle name="Percent 9 2" xfId="1649"/>
    <cellStyle name="Percent 9 2 2" xfId="36768"/>
    <cellStyle name="Percent 9 2 2 2" xfId="36769"/>
    <cellStyle name="Percent 9 2 2 2 2" xfId="36770"/>
    <cellStyle name="Percent 9 2 2 2 3" xfId="36771"/>
    <cellStyle name="Percent 9 2 2 3" xfId="36772"/>
    <cellStyle name="Percent 9 2 2 4" xfId="36773"/>
    <cellStyle name="Percent 9 2 3" xfId="36774"/>
    <cellStyle name="Percent 9 2 3 2" xfId="36775"/>
    <cellStyle name="Percent 9 2 3 2 2" xfId="36776"/>
    <cellStyle name="Percent 9 2 3 3" xfId="36777"/>
    <cellStyle name="Percent 9 2 4" xfId="36778"/>
    <cellStyle name="Percent 9 2 4 2" xfId="36779"/>
    <cellStyle name="Percent 9 2 5" xfId="36780"/>
    <cellStyle name="Percent 9 2 6" xfId="36781"/>
    <cellStyle name="Percent 9 3" xfId="36782"/>
    <cellStyle name="Percent 9 3 2" xfId="36783"/>
    <cellStyle name="Percent 9 3 2 2" xfId="36784"/>
    <cellStyle name="Percent 9 3 2 3" xfId="36785"/>
    <cellStyle name="Percent 9 3 3" xfId="36786"/>
    <cellStyle name="Percent 9 3 4" xfId="36787"/>
    <cellStyle name="Percent 9 4" xfId="36788"/>
    <cellStyle name="Percent 9 4 2" xfId="36789"/>
    <cellStyle name="Percent 9 4 2 2" xfId="36790"/>
    <cellStyle name="Percent 9 4 3" xfId="36791"/>
    <cellStyle name="Percent 9 5" xfId="36792"/>
    <cellStyle name="Percent 9 5 2" xfId="36793"/>
    <cellStyle name="Percent 9 5 2 2" xfId="36794"/>
    <cellStyle name="Percent 9 5 3" xfId="36795"/>
    <cellStyle name="Percent 9 6" xfId="36796"/>
    <cellStyle name="Percent 9 6 2" xfId="36797"/>
    <cellStyle name="Percent 9 7" xfId="36798"/>
    <cellStyle name="Percent 9 8" xfId="36799"/>
    <cellStyle name="Percent 90" xfId="36800"/>
    <cellStyle name="Percent 90 2" xfId="36801"/>
    <cellStyle name="Percent 91" xfId="36802"/>
    <cellStyle name="Percent 91 2" xfId="36803"/>
    <cellStyle name="Percent 92" xfId="36804"/>
    <cellStyle name="Percent 92 2" xfId="36805"/>
    <cellStyle name="Percent 93" xfId="36806"/>
    <cellStyle name="Percent 93 2" xfId="36807"/>
    <cellStyle name="Percent 94" xfId="36808"/>
    <cellStyle name="Percent 94 2" xfId="36809"/>
    <cellStyle name="Percent 95" xfId="36810"/>
    <cellStyle name="Percent 95 2" xfId="36811"/>
    <cellStyle name="Percent 96" xfId="36812"/>
    <cellStyle name="Percent 96 2" xfId="36813"/>
    <cellStyle name="Percent 97" xfId="36814"/>
    <cellStyle name="Percent 97 2" xfId="36815"/>
    <cellStyle name="Percent 98" xfId="36816"/>
    <cellStyle name="Percent 99" xfId="36817"/>
    <cellStyle name="Processing" xfId="1650"/>
    <cellStyle name="Processing 2" xfId="36818"/>
    <cellStyle name="Processing 2 2" xfId="36819"/>
    <cellStyle name="Processing 2 2 2" xfId="36820"/>
    <cellStyle name="Processing 2 2 2 2" xfId="36821"/>
    <cellStyle name="Processing 2 2 2 2 2" xfId="36822"/>
    <cellStyle name="Processing 2 2 2 3" xfId="36823"/>
    <cellStyle name="Processing 2 2 2 4" xfId="36824"/>
    <cellStyle name="Processing 2 2 3" xfId="36825"/>
    <cellStyle name="Processing 2 2 3 2" xfId="36826"/>
    <cellStyle name="Processing 2 2 4" xfId="36827"/>
    <cellStyle name="Processing 2 2 4 2" xfId="36828"/>
    <cellStyle name="Processing 2 2 5" xfId="36829"/>
    <cellStyle name="Processing 2 3" xfId="36830"/>
    <cellStyle name="Processing 2 3 2" xfId="36831"/>
    <cellStyle name="Processing 2 3 2 2" xfId="36832"/>
    <cellStyle name="Processing 2 3 3" xfId="36833"/>
    <cellStyle name="Processing 2 3 4" xfId="36834"/>
    <cellStyle name="Processing 2 4" xfId="36835"/>
    <cellStyle name="Processing 2 4 2" xfId="36836"/>
    <cellStyle name="Processing 2 4 2 2" xfId="36837"/>
    <cellStyle name="Processing 2 4 3" xfId="36838"/>
    <cellStyle name="Processing 2 5" xfId="36839"/>
    <cellStyle name="Processing 2 5 2" xfId="36840"/>
    <cellStyle name="Processing 2 6" xfId="36841"/>
    <cellStyle name="Processing 2 6 2" xfId="36842"/>
    <cellStyle name="Processing 2 7" xfId="36843"/>
    <cellStyle name="Processing 3" xfId="36844"/>
    <cellStyle name="Processing 3 2" xfId="36845"/>
    <cellStyle name="Processing 3 2 2" xfId="36846"/>
    <cellStyle name="Processing 3 2 2 2" xfId="36847"/>
    <cellStyle name="Processing 3 2 3" xfId="36848"/>
    <cellStyle name="Processing 3 2 4" xfId="36849"/>
    <cellStyle name="Processing 3 3" xfId="36850"/>
    <cellStyle name="Processing 3 3 2" xfId="36851"/>
    <cellStyle name="Processing 3 4" xfId="36852"/>
    <cellStyle name="Processing 3 4 2" xfId="36853"/>
    <cellStyle name="Processing 3 5" xfId="36854"/>
    <cellStyle name="Processing 4" xfId="36855"/>
    <cellStyle name="Processing 4 2" xfId="36856"/>
    <cellStyle name="Processing 4 2 2" xfId="36857"/>
    <cellStyle name="Processing 4 3" xfId="36858"/>
    <cellStyle name="Processing 4 4" xfId="36859"/>
    <cellStyle name="Processing 5" xfId="36860"/>
    <cellStyle name="Processing 5 2" xfId="36861"/>
    <cellStyle name="Processing 5 2 2" xfId="36862"/>
    <cellStyle name="Processing 5 3" xfId="36863"/>
    <cellStyle name="Processing 5 4" xfId="36864"/>
    <cellStyle name="Processing 6" xfId="36865"/>
    <cellStyle name="Processing 6 2" xfId="36866"/>
    <cellStyle name="Processing 7" xfId="36867"/>
    <cellStyle name="Processing 7 2" xfId="36868"/>
    <cellStyle name="Processing 8" xfId="36869"/>
    <cellStyle name="Processing_AURORA Total New" xfId="36870"/>
    <cellStyle name="Protected" xfId="36871"/>
    <cellStyle name="ProtectedDates" xfId="36872"/>
    <cellStyle name="PSChar" xfId="1651"/>
    <cellStyle name="PSChar 2" xfId="36873"/>
    <cellStyle name="PSChar 2 2" xfId="36874"/>
    <cellStyle name="PSChar 2 2 2" xfId="36875"/>
    <cellStyle name="PSChar 2 2 3" xfId="36876"/>
    <cellStyle name="PSChar 2 3" xfId="36877"/>
    <cellStyle name="PSChar 2 3 2" xfId="36878"/>
    <cellStyle name="PSChar 2 4" xfId="36879"/>
    <cellStyle name="PSChar 2 5" xfId="36880"/>
    <cellStyle name="PSChar 3" xfId="36881"/>
    <cellStyle name="PSChar 3 2" xfId="36882"/>
    <cellStyle name="PSChar 3 3" xfId="36883"/>
    <cellStyle name="PSChar 4" xfId="36884"/>
    <cellStyle name="PSChar 4 2" xfId="36885"/>
    <cellStyle name="PSChar 5" xfId="36886"/>
    <cellStyle name="PSChar 6" xfId="36887"/>
    <cellStyle name="PSDate" xfId="1652"/>
    <cellStyle name="PSDate 2" xfId="36888"/>
    <cellStyle name="PSDate 2 2" xfId="36889"/>
    <cellStyle name="PSDate 2 2 2" xfId="36890"/>
    <cellStyle name="PSDate 2 2 3" xfId="36891"/>
    <cellStyle name="PSDate 2 3" xfId="36892"/>
    <cellStyle name="PSDate 2 3 2" xfId="36893"/>
    <cellStyle name="PSDate 2 4" xfId="36894"/>
    <cellStyle name="PSDate 2 5" xfId="36895"/>
    <cellStyle name="PSDate 3" xfId="36896"/>
    <cellStyle name="PSDate 3 2" xfId="36897"/>
    <cellStyle name="PSDate 3 3" xfId="36898"/>
    <cellStyle name="PSDate 4" xfId="36899"/>
    <cellStyle name="PSDate 4 2" xfId="36900"/>
    <cellStyle name="PSDate 5" xfId="36901"/>
    <cellStyle name="PSDate 6" xfId="36902"/>
    <cellStyle name="PSDec" xfId="1653"/>
    <cellStyle name="PSDec 2" xfId="36903"/>
    <cellStyle name="PSDec 2 2" xfId="36904"/>
    <cellStyle name="PSDec 2 2 2" xfId="36905"/>
    <cellStyle name="PSDec 2 2 3" xfId="36906"/>
    <cellStyle name="PSDec 2 3" xfId="36907"/>
    <cellStyle name="PSDec 2 3 2" xfId="36908"/>
    <cellStyle name="PSDec 2 4" xfId="36909"/>
    <cellStyle name="PSDec 2 5" xfId="36910"/>
    <cellStyle name="PSDec 3" xfId="36911"/>
    <cellStyle name="PSDec 3 2" xfId="36912"/>
    <cellStyle name="PSDec 3 3" xfId="36913"/>
    <cellStyle name="PSDec 4" xfId="36914"/>
    <cellStyle name="PSDec 4 2" xfId="36915"/>
    <cellStyle name="PSDec 5" xfId="36916"/>
    <cellStyle name="PSDec 6" xfId="36917"/>
    <cellStyle name="PSHeading" xfId="1654"/>
    <cellStyle name="PSHeading 2" xfId="36918"/>
    <cellStyle name="PSHeading 2 2" xfId="36919"/>
    <cellStyle name="PSHeading 2 2 2" xfId="36920"/>
    <cellStyle name="PSHeading 2 2 3" xfId="36921"/>
    <cellStyle name="PSHeading 2 2 4" xfId="36922"/>
    <cellStyle name="PSHeading 2 3" xfId="36923"/>
    <cellStyle name="PSHeading 2 3 2" xfId="36924"/>
    <cellStyle name="PSHeading 2 4" xfId="36925"/>
    <cellStyle name="PSHeading 2 5" xfId="36926"/>
    <cellStyle name="PSHeading 3" xfId="36927"/>
    <cellStyle name="PSHeading 3 2" xfId="36928"/>
    <cellStyle name="PSHeading 3 3" xfId="36929"/>
    <cellStyle name="PSHeading 4" xfId="36930"/>
    <cellStyle name="PSHeading 4 2" xfId="36931"/>
    <cellStyle name="PSHeading 5" xfId="36932"/>
    <cellStyle name="PSHeading 6" xfId="36933"/>
    <cellStyle name="PSInt" xfId="1655"/>
    <cellStyle name="PSInt 2" xfId="36934"/>
    <cellStyle name="PSInt 2 2" xfId="36935"/>
    <cellStyle name="PSInt 2 2 2" xfId="36936"/>
    <cellStyle name="PSInt 2 2 3" xfId="36937"/>
    <cellStyle name="PSInt 2 3" xfId="36938"/>
    <cellStyle name="PSInt 2 3 2" xfId="36939"/>
    <cellStyle name="PSInt 2 4" xfId="36940"/>
    <cellStyle name="PSInt 2 5" xfId="36941"/>
    <cellStyle name="PSInt 3" xfId="36942"/>
    <cellStyle name="PSInt 3 2" xfId="36943"/>
    <cellStyle name="PSInt 3 3" xfId="36944"/>
    <cellStyle name="PSInt 4" xfId="36945"/>
    <cellStyle name="PSInt 4 2" xfId="36946"/>
    <cellStyle name="PSInt 5" xfId="36947"/>
    <cellStyle name="PSInt 6" xfId="36948"/>
    <cellStyle name="PSSpacer" xfId="1656"/>
    <cellStyle name="PSSpacer 2" xfId="36949"/>
    <cellStyle name="PSSpacer 2 2" xfId="36950"/>
    <cellStyle name="PSSpacer 2 2 2" xfId="36951"/>
    <cellStyle name="PSSpacer 2 2 3" xfId="36952"/>
    <cellStyle name="PSSpacer 2 3" xfId="36953"/>
    <cellStyle name="PSSpacer 2 3 2" xfId="36954"/>
    <cellStyle name="PSSpacer 2 4" xfId="36955"/>
    <cellStyle name="PSSpacer 2 5" xfId="36956"/>
    <cellStyle name="PSSpacer 3" xfId="36957"/>
    <cellStyle name="PSSpacer 3 2" xfId="36958"/>
    <cellStyle name="PSSpacer 3 3" xfId="36959"/>
    <cellStyle name="PSSpacer 4" xfId="36960"/>
    <cellStyle name="PSSpacer 4 2" xfId="36961"/>
    <cellStyle name="PSSpacer 5" xfId="36962"/>
    <cellStyle name="PSSpacer 6" xfId="36963"/>
    <cellStyle name="purple - Style8" xfId="1657"/>
    <cellStyle name="purple - Style8 2" xfId="36964"/>
    <cellStyle name="purple - Style8 2 2" xfId="36965"/>
    <cellStyle name="purple - Style8 2 2 2" xfId="36966"/>
    <cellStyle name="purple - Style8 2 3" xfId="36967"/>
    <cellStyle name="purple - Style8 2 4" xfId="36968"/>
    <cellStyle name="purple - Style8 3" xfId="36969"/>
    <cellStyle name="purple - Style8 3 2" xfId="36970"/>
    <cellStyle name="purple - Style8 3 2 2" xfId="36971"/>
    <cellStyle name="purple - Style8 3 3" xfId="36972"/>
    <cellStyle name="purple - Style8 3 4" xfId="36973"/>
    <cellStyle name="purple - Style8 4" xfId="36974"/>
    <cellStyle name="purple - Style8 4 2" xfId="36975"/>
    <cellStyle name="purple - Style8 5" xfId="36976"/>
    <cellStyle name="purple - Style8 6" xfId="36977"/>
    <cellStyle name="purple - Style8_Electric Rev Req Model (2009 GRC) Rebuttal" xfId="36978"/>
    <cellStyle name="RED" xfId="1658"/>
    <cellStyle name="Red - Style7" xfId="1659"/>
    <cellStyle name="Red - Style7 2" xfId="36979"/>
    <cellStyle name="Red - Style7 2 2" xfId="36980"/>
    <cellStyle name="Red - Style7 2 2 2" xfId="36981"/>
    <cellStyle name="Red - Style7 2 3" xfId="36982"/>
    <cellStyle name="Red - Style7 2 4" xfId="36983"/>
    <cellStyle name="Red - Style7 3" xfId="36984"/>
    <cellStyle name="Red - Style7 3 2" xfId="36985"/>
    <cellStyle name="Red - Style7 3 2 2" xfId="36986"/>
    <cellStyle name="Red - Style7 3 3" xfId="36987"/>
    <cellStyle name="Red - Style7 3 4" xfId="36988"/>
    <cellStyle name="Red - Style7 4" xfId="36989"/>
    <cellStyle name="Red - Style7 4 2" xfId="36990"/>
    <cellStyle name="Red - Style7 5" xfId="36991"/>
    <cellStyle name="Red - Style7 6" xfId="36992"/>
    <cellStyle name="Red - Style7_Electric Rev Req Model (2009 GRC) Rebuttal" xfId="36993"/>
    <cellStyle name="RED 10" xfId="36994"/>
    <cellStyle name="RED 10 2" xfId="36995"/>
    <cellStyle name="RED 10 2 2" xfId="36996"/>
    <cellStyle name="RED 10 3" xfId="36997"/>
    <cellStyle name="RED 11" xfId="36998"/>
    <cellStyle name="RED 11 2" xfId="36999"/>
    <cellStyle name="RED 11 2 2" xfId="37000"/>
    <cellStyle name="RED 11 3" xfId="37001"/>
    <cellStyle name="RED 12" xfId="37002"/>
    <cellStyle name="RED 12 2" xfId="37003"/>
    <cellStyle name="RED 12 2 2" xfId="37004"/>
    <cellStyle name="RED 12 3" xfId="37005"/>
    <cellStyle name="RED 13" xfId="37006"/>
    <cellStyle name="RED 13 2" xfId="37007"/>
    <cellStyle name="RED 13 2 2" xfId="37008"/>
    <cellStyle name="RED 13 3" xfId="37009"/>
    <cellStyle name="RED 14" xfId="37010"/>
    <cellStyle name="RED 14 2" xfId="37011"/>
    <cellStyle name="RED 15" xfId="37012"/>
    <cellStyle name="RED 15 2" xfId="37013"/>
    <cellStyle name="RED 16" xfId="37014"/>
    <cellStyle name="RED 16 2" xfId="37015"/>
    <cellStyle name="RED 17" xfId="37016"/>
    <cellStyle name="RED 17 2" xfId="37017"/>
    <cellStyle name="RED 18" xfId="37018"/>
    <cellStyle name="RED 18 2" xfId="37019"/>
    <cellStyle name="RED 19" xfId="37020"/>
    <cellStyle name="RED 19 2" xfId="37021"/>
    <cellStyle name="RED 2" xfId="37022"/>
    <cellStyle name="RED 2 2" xfId="37023"/>
    <cellStyle name="RED 2 2 2" xfId="37024"/>
    <cellStyle name="RED 2 2 3" xfId="37025"/>
    <cellStyle name="RED 2 3" xfId="37026"/>
    <cellStyle name="RED 2 3 2" xfId="37027"/>
    <cellStyle name="RED 2 4" xfId="37028"/>
    <cellStyle name="RED 2 5" xfId="37029"/>
    <cellStyle name="RED 20" xfId="37030"/>
    <cellStyle name="RED 20 2" xfId="37031"/>
    <cellStyle name="RED 21" xfId="37032"/>
    <cellStyle name="RED 21 2" xfId="37033"/>
    <cellStyle name="RED 22" xfId="37034"/>
    <cellStyle name="RED 22 2" xfId="37035"/>
    <cellStyle name="RED 23" xfId="37036"/>
    <cellStyle name="RED 23 2" xfId="37037"/>
    <cellStyle name="RED 24" xfId="37038"/>
    <cellStyle name="RED 24 2" xfId="37039"/>
    <cellStyle name="RED 25" xfId="37040"/>
    <cellStyle name="RED 25 2" xfId="37041"/>
    <cellStyle name="RED 26" xfId="37042"/>
    <cellStyle name="RED 26 2" xfId="37043"/>
    <cellStyle name="RED 27" xfId="37044"/>
    <cellStyle name="RED 28" xfId="37045"/>
    <cellStyle name="RED 29" xfId="37046"/>
    <cellStyle name="RED 3" xfId="37047"/>
    <cellStyle name="RED 3 2" xfId="37048"/>
    <cellStyle name="RED 3 2 2" xfId="37049"/>
    <cellStyle name="RED 3 3" xfId="37050"/>
    <cellStyle name="RED 30" xfId="37051"/>
    <cellStyle name="RED 31" xfId="37052"/>
    <cellStyle name="RED 4" xfId="37053"/>
    <cellStyle name="RED 4 2" xfId="37054"/>
    <cellStyle name="RED 4 2 2" xfId="37055"/>
    <cellStyle name="RED 4 3" xfId="37056"/>
    <cellStyle name="RED 5" xfId="37057"/>
    <cellStyle name="RED 5 2" xfId="37058"/>
    <cellStyle name="RED 5 2 2" xfId="37059"/>
    <cellStyle name="RED 5 3" xfId="37060"/>
    <cellStyle name="RED 6" xfId="37061"/>
    <cellStyle name="RED 6 2" xfId="37062"/>
    <cellStyle name="RED 6 2 2" xfId="37063"/>
    <cellStyle name="RED 6 3" xfId="37064"/>
    <cellStyle name="RED 7" xfId="37065"/>
    <cellStyle name="RED 7 2" xfId="37066"/>
    <cellStyle name="RED 7 2 2" xfId="37067"/>
    <cellStyle name="RED 7 3" xfId="37068"/>
    <cellStyle name="RED 7 4" xfId="37069"/>
    <cellStyle name="RED 8" xfId="37070"/>
    <cellStyle name="RED 8 2" xfId="37071"/>
    <cellStyle name="RED 8 2 2" xfId="37072"/>
    <cellStyle name="RED 8 3" xfId="37073"/>
    <cellStyle name="RED 9" xfId="37074"/>
    <cellStyle name="RED 9 2" xfId="37075"/>
    <cellStyle name="RED 9 2 2" xfId="37076"/>
    <cellStyle name="RED 9 3" xfId="37077"/>
    <cellStyle name="RED_04 07E Wild Horse Wind Expansion (C) (2)" xfId="1660"/>
    <cellStyle name="Report" xfId="1661"/>
    <cellStyle name="Report - Style5" xfId="37078"/>
    <cellStyle name="Report - Style5 2" xfId="37079"/>
    <cellStyle name="Report - Style6" xfId="37080"/>
    <cellStyle name="Report - Style6 2" xfId="37081"/>
    <cellStyle name="Report - Style7" xfId="37082"/>
    <cellStyle name="Report - Style7 2" xfId="37083"/>
    <cellStyle name="Report - Style7 3" xfId="37084"/>
    <cellStyle name="Report - Style7 4" xfId="37085"/>
    <cellStyle name="Report - Style7 5" xfId="37086"/>
    <cellStyle name="Report - Style7 6" xfId="37087"/>
    <cellStyle name="Report - Style7 7" xfId="37088"/>
    <cellStyle name="Report - Style8" xfId="37089"/>
    <cellStyle name="Report - Style8 2" xfId="37090"/>
    <cellStyle name="Report - Style8 3" xfId="37091"/>
    <cellStyle name="Report - Style8 4" xfId="37092"/>
    <cellStyle name="Report - Style8 5" xfId="37093"/>
    <cellStyle name="Report - Style8 6" xfId="37094"/>
    <cellStyle name="Report - Style8 7" xfId="37095"/>
    <cellStyle name="Report 2" xfId="37096"/>
    <cellStyle name="Report 2 2" xfId="37097"/>
    <cellStyle name="Report 2 2 2" xfId="37098"/>
    <cellStyle name="Report 2 2 2 2" xfId="37099"/>
    <cellStyle name="Report 2 2 2 2 2" xfId="37100"/>
    <cellStyle name="Report 2 2 2 3" xfId="37101"/>
    <cellStyle name="Report 2 2 2 4" xfId="37102"/>
    <cellStyle name="Report 2 2 3" xfId="37103"/>
    <cellStyle name="Report 2 2 3 2" xfId="37104"/>
    <cellStyle name="Report 2 2 4" xfId="37105"/>
    <cellStyle name="Report 2 2 4 2" xfId="37106"/>
    <cellStyle name="Report 2 2 5" xfId="37107"/>
    <cellStyle name="Report 2 3" xfId="37108"/>
    <cellStyle name="Report 2 3 2" xfId="37109"/>
    <cellStyle name="Report 2 3 2 2" xfId="37110"/>
    <cellStyle name="Report 2 3 3" xfId="37111"/>
    <cellStyle name="Report 2 3 4" xfId="37112"/>
    <cellStyle name="Report 2 4" xfId="37113"/>
    <cellStyle name="Report 2 4 2" xfId="37114"/>
    <cellStyle name="Report 2 4 2 2" xfId="37115"/>
    <cellStyle name="Report 2 4 3" xfId="37116"/>
    <cellStyle name="Report 2 5" xfId="37117"/>
    <cellStyle name="Report 2 5 2" xfId="37118"/>
    <cellStyle name="Report 2 6" xfId="37119"/>
    <cellStyle name="Report 2 6 2" xfId="37120"/>
    <cellStyle name="Report 2 7" xfId="37121"/>
    <cellStyle name="Report 3" xfId="37122"/>
    <cellStyle name="Report 3 2" xfId="37123"/>
    <cellStyle name="Report 3 2 2" xfId="37124"/>
    <cellStyle name="Report 3 2 2 2" xfId="37125"/>
    <cellStyle name="Report 3 2 3" xfId="37126"/>
    <cellStyle name="Report 3 2 4" xfId="37127"/>
    <cellStyle name="Report 3 3" xfId="37128"/>
    <cellStyle name="Report 3 3 2" xfId="37129"/>
    <cellStyle name="Report 3 4" xfId="37130"/>
    <cellStyle name="Report 3 4 2" xfId="37131"/>
    <cellStyle name="Report 3 5" xfId="37132"/>
    <cellStyle name="Report 4" xfId="37133"/>
    <cellStyle name="Report 4 2" xfId="37134"/>
    <cellStyle name="Report 4 2 2" xfId="37135"/>
    <cellStyle name="Report 4 3" xfId="37136"/>
    <cellStyle name="Report 4 4" xfId="37137"/>
    <cellStyle name="Report 5" xfId="37138"/>
    <cellStyle name="Report 5 2" xfId="37139"/>
    <cellStyle name="Report 5 2 2" xfId="37140"/>
    <cellStyle name="Report 5 3" xfId="37141"/>
    <cellStyle name="Report 5 4" xfId="37142"/>
    <cellStyle name="Report 6" xfId="37143"/>
    <cellStyle name="Report 6 2" xfId="37144"/>
    <cellStyle name="Report 7" xfId="37145"/>
    <cellStyle name="Report 7 2" xfId="37146"/>
    <cellStyle name="Report 8" xfId="37147"/>
    <cellStyle name="Report Bar" xfId="1662"/>
    <cellStyle name="Report Bar 2" xfId="37148"/>
    <cellStyle name="Report Bar 2 2" xfId="37149"/>
    <cellStyle name="Report Bar 2 2 2" xfId="37150"/>
    <cellStyle name="Report Bar 2 2 2 2" xfId="37151"/>
    <cellStyle name="Report Bar 2 2 2 2 2" xfId="37152"/>
    <cellStyle name="Report Bar 2 2 2 3" xfId="37153"/>
    <cellStyle name="Report Bar 2 2 2 4" xfId="37154"/>
    <cellStyle name="Report Bar 2 2 3" xfId="37155"/>
    <cellStyle name="Report Bar 2 2 3 2" xfId="37156"/>
    <cellStyle name="Report Bar 2 2 4" xfId="37157"/>
    <cellStyle name="Report Bar 2 2 4 2" xfId="37158"/>
    <cellStyle name="Report Bar 2 2 5" xfId="37159"/>
    <cellStyle name="Report Bar 2 2 6" xfId="37160"/>
    <cellStyle name="Report Bar 2 2 7" xfId="37161"/>
    <cellStyle name="Report Bar 2 3" xfId="37162"/>
    <cellStyle name="Report Bar 2 3 2" xfId="37163"/>
    <cellStyle name="Report Bar 2 3 2 2" xfId="37164"/>
    <cellStyle name="Report Bar 2 3 3" xfId="37165"/>
    <cellStyle name="Report Bar 2 3 4" xfId="37166"/>
    <cellStyle name="Report Bar 2 4" xfId="37167"/>
    <cellStyle name="Report Bar 2 4 2" xfId="37168"/>
    <cellStyle name="Report Bar 2 4 2 2" xfId="37169"/>
    <cellStyle name="Report Bar 2 4 3" xfId="37170"/>
    <cellStyle name="Report Bar 2 5" xfId="37171"/>
    <cellStyle name="Report Bar 2 5 2" xfId="37172"/>
    <cellStyle name="Report Bar 2 6" xfId="37173"/>
    <cellStyle name="Report Bar 2 6 2" xfId="37174"/>
    <cellStyle name="Report Bar 2 7" xfId="37175"/>
    <cellStyle name="Report Bar 2 8" xfId="37176"/>
    <cellStyle name="Report Bar 3" xfId="37177"/>
    <cellStyle name="Report Bar 3 2" xfId="37178"/>
    <cellStyle name="Report Bar 3 2 2" xfId="37179"/>
    <cellStyle name="Report Bar 3 2 2 2" xfId="37180"/>
    <cellStyle name="Report Bar 3 2 3" xfId="37181"/>
    <cellStyle name="Report Bar 3 2 4" xfId="37182"/>
    <cellStyle name="Report Bar 3 3" xfId="37183"/>
    <cellStyle name="Report Bar 3 3 2" xfId="37184"/>
    <cellStyle name="Report Bar 3 4" xfId="37185"/>
    <cellStyle name="Report Bar 3 4 2" xfId="37186"/>
    <cellStyle name="Report Bar 3 5" xfId="37187"/>
    <cellStyle name="Report Bar 3 6" xfId="37188"/>
    <cellStyle name="Report Bar 3 7" xfId="37189"/>
    <cellStyle name="Report Bar 4" xfId="37190"/>
    <cellStyle name="Report Bar 4 2" xfId="37191"/>
    <cellStyle name="Report Bar 4 2 2" xfId="37192"/>
    <cellStyle name="Report Bar 4 3" xfId="37193"/>
    <cellStyle name="Report Bar 4 4" xfId="37194"/>
    <cellStyle name="Report Bar 4 5" xfId="37195"/>
    <cellStyle name="Report Bar 4 6" xfId="37196"/>
    <cellStyle name="Report Bar 4 7" xfId="37197"/>
    <cellStyle name="Report Bar 4 8" xfId="37198"/>
    <cellStyle name="Report Bar 5" xfId="37199"/>
    <cellStyle name="Report Bar 5 2" xfId="37200"/>
    <cellStyle name="Report Bar 5 2 2" xfId="37201"/>
    <cellStyle name="Report Bar 5 3" xfId="37202"/>
    <cellStyle name="Report Bar 5 4" xfId="37203"/>
    <cellStyle name="Report Bar 6" xfId="37204"/>
    <cellStyle name="Report Bar 6 2" xfId="37205"/>
    <cellStyle name="Report Bar 7" xfId="37206"/>
    <cellStyle name="Report Bar 7 2" xfId="37207"/>
    <cellStyle name="Report Bar 8" xfId="37208"/>
    <cellStyle name="Report Bar_AURORA Total New" xfId="37209"/>
    <cellStyle name="Report Heading" xfId="1663"/>
    <cellStyle name="Report Heading 2" xfId="1664"/>
    <cellStyle name="Report Heading 2 2" xfId="37210"/>
    <cellStyle name="Report Heading 2 2 2" xfId="37211"/>
    <cellStyle name="Report Heading 2 2 2 2" xfId="37212"/>
    <cellStyle name="Report Heading 2 2 3" xfId="37213"/>
    <cellStyle name="Report Heading 2 3" xfId="37214"/>
    <cellStyle name="Report Heading 2 3 2" xfId="37215"/>
    <cellStyle name="Report Heading 2 4" xfId="37216"/>
    <cellStyle name="Report Heading 3" xfId="37217"/>
    <cellStyle name="Report Heading 3 2" xfId="37218"/>
    <cellStyle name="Report Heading 3 2 2" xfId="37219"/>
    <cellStyle name="Report Heading 3 3" xfId="37220"/>
    <cellStyle name="Report Heading 3 4" xfId="37221"/>
    <cellStyle name="Report Heading 4" xfId="37222"/>
    <cellStyle name="Report Heading 4 2" xfId="37223"/>
    <cellStyle name="Report Heading 5" xfId="37224"/>
    <cellStyle name="Report Heading 5 2" xfId="37225"/>
    <cellStyle name="Report Heading 6" xfId="37226"/>
    <cellStyle name="Report Heading_Electric Rev Req Model (2009 GRC) Rebuttal" xfId="37227"/>
    <cellStyle name="Report Percent" xfId="1665"/>
    <cellStyle name="Report Percent 10" xfId="37228"/>
    <cellStyle name="Report Percent 10 2" xfId="37229"/>
    <cellStyle name="Report Percent 11" xfId="37230"/>
    <cellStyle name="Report Percent 11 2" xfId="37231"/>
    <cellStyle name="Report Percent 11 3" xfId="37232"/>
    <cellStyle name="Report Percent 12" xfId="37233"/>
    <cellStyle name="Report Percent 2" xfId="1666"/>
    <cellStyle name="Report Percent 2 2" xfId="37234"/>
    <cellStyle name="Report Percent 2 2 2" xfId="37235"/>
    <cellStyle name="Report Percent 2 2 2 2" xfId="37236"/>
    <cellStyle name="Report Percent 2 2 2 2 2" xfId="37237"/>
    <cellStyle name="Report Percent 2 2 2 3" xfId="37238"/>
    <cellStyle name="Report Percent 2 2 2 4" xfId="37239"/>
    <cellStyle name="Report Percent 2 2 3" xfId="37240"/>
    <cellStyle name="Report Percent 2 2 3 2" xfId="37241"/>
    <cellStyle name="Report Percent 2 2 4" xfId="37242"/>
    <cellStyle name="Report Percent 2 2 4 2" xfId="37243"/>
    <cellStyle name="Report Percent 2 2 5" xfId="37244"/>
    <cellStyle name="Report Percent 2 3" xfId="37245"/>
    <cellStyle name="Report Percent 2 3 2" xfId="37246"/>
    <cellStyle name="Report Percent 2 3 2 2" xfId="37247"/>
    <cellStyle name="Report Percent 2 3 2 3" xfId="37248"/>
    <cellStyle name="Report Percent 2 3 3" xfId="37249"/>
    <cellStyle name="Report Percent 2 3 4" xfId="37250"/>
    <cellStyle name="Report Percent 2 4" xfId="37251"/>
    <cellStyle name="Report Percent 2 4 2" xfId="37252"/>
    <cellStyle name="Report Percent 2 4 2 2" xfId="37253"/>
    <cellStyle name="Report Percent 2 4 3" xfId="37254"/>
    <cellStyle name="Report Percent 2 5" xfId="37255"/>
    <cellStyle name="Report Percent 2 5 2" xfId="37256"/>
    <cellStyle name="Report Percent 2 6" xfId="37257"/>
    <cellStyle name="Report Percent 2 6 2" xfId="37258"/>
    <cellStyle name="Report Percent 2 7" xfId="37259"/>
    <cellStyle name="Report Percent 3" xfId="37260"/>
    <cellStyle name="Report Percent 3 2" xfId="37261"/>
    <cellStyle name="Report Percent 3 2 2" xfId="37262"/>
    <cellStyle name="Report Percent 3 2 2 2" xfId="37263"/>
    <cellStyle name="Report Percent 3 2 3" xfId="37264"/>
    <cellStyle name="Report Percent 3 2 4" xfId="37265"/>
    <cellStyle name="Report Percent 3 2 5" xfId="37266"/>
    <cellStyle name="Report Percent 3 3" xfId="37267"/>
    <cellStyle name="Report Percent 3 3 2" xfId="37268"/>
    <cellStyle name="Report Percent 3 3 2 2" xfId="37269"/>
    <cellStyle name="Report Percent 3 3 3" xfId="37270"/>
    <cellStyle name="Report Percent 3 4" xfId="37271"/>
    <cellStyle name="Report Percent 3 4 2" xfId="37272"/>
    <cellStyle name="Report Percent 3 4 2 2" xfId="37273"/>
    <cellStyle name="Report Percent 3 4 3" xfId="37274"/>
    <cellStyle name="Report Percent 3 5" xfId="37275"/>
    <cellStyle name="Report Percent 3 5 2" xfId="37276"/>
    <cellStyle name="Report Percent 3 6" xfId="37277"/>
    <cellStyle name="Report Percent 4" xfId="37278"/>
    <cellStyle name="Report Percent 4 2" xfId="37279"/>
    <cellStyle name="Report Percent 4 2 2" xfId="37280"/>
    <cellStyle name="Report Percent 4 2 2 2" xfId="37281"/>
    <cellStyle name="Report Percent 4 2 2 2 2" xfId="37282"/>
    <cellStyle name="Report Percent 4 2 2 3" xfId="37283"/>
    <cellStyle name="Report Percent 4 2 2 4" xfId="37284"/>
    <cellStyle name="Report Percent 4 2 3" xfId="37285"/>
    <cellStyle name="Report Percent 4 2 3 2" xfId="37286"/>
    <cellStyle name="Report Percent 4 2 4" xfId="37287"/>
    <cellStyle name="Report Percent 4 2 4 2" xfId="37288"/>
    <cellStyle name="Report Percent 4 2 5" xfId="37289"/>
    <cellStyle name="Report Percent 4 3" xfId="37290"/>
    <cellStyle name="Report Percent 4 3 2" xfId="37291"/>
    <cellStyle name="Report Percent 4 3 2 2" xfId="37292"/>
    <cellStyle name="Report Percent 4 3 3" xfId="37293"/>
    <cellStyle name="Report Percent 4 3 4" xfId="37294"/>
    <cellStyle name="Report Percent 4 3 5" xfId="37295"/>
    <cellStyle name="Report Percent 4 4" xfId="37296"/>
    <cellStyle name="Report Percent 4 4 2" xfId="37297"/>
    <cellStyle name="Report Percent 4 4 2 2" xfId="37298"/>
    <cellStyle name="Report Percent 4 4 3" xfId="37299"/>
    <cellStyle name="Report Percent 4 5" xfId="37300"/>
    <cellStyle name="Report Percent 4 5 2" xfId="37301"/>
    <cellStyle name="Report Percent 4 6" xfId="37302"/>
    <cellStyle name="Report Percent 4 6 2" xfId="37303"/>
    <cellStyle name="Report Percent 4 7" xfId="37304"/>
    <cellStyle name="Report Percent 5" xfId="37305"/>
    <cellStyle name="Report Percent 5 2" xfId="37306"/>
    <cellStyle name="Report Percent 5 2 2" xfId="37307"/>
    <cellStyle name="Report Percent 5 2 2 2" xfId="37308"/>
    <cellStyle name="Report Percent 5 2 2 2 2" xfId="37309"/>
    <cellStyle name="Report Percent 5 2 3" xfId="37310"/>
    <cellStyle name="Report Percent 5 2 3 2" xfId="37311"/>
    <cellStyle name="Report Percent 5 2 4" xfId="37312"/>
    <cellStyle name="Report Percent 5 2 4 2" xfId="37313"/>
    <cellStyle name="Report Percent 5 2 5" xfId="37314"/>
    <cellStyle name="Report Percent 5 3" xfId="37315"/>
    <cellStyle name="Report Percent 5 3 2" xfId="37316"/>
    <cellStyle name="Report Percent 5 3 2 2" xfId="37317"/>
    <cellStyle name="Report Percent 5 4" xfId="37318"/>
    <cellStyle name="Report Percent 5 4 2" xfId="37319"/>
    <cellStyle name="Report Percent 5 5" xfId="37320"/>
    <cellStyle name="Report Percent 5 5 2" xfId="37321"/>
    <cellStyle name="Report Percent 5 6" xfId="37322"/>
    <cellStyle name="Report Percent 6" xfId="37323"/>
    <cellStyle name="Report Percent 6 2" xfId="37324"/>
    <cellStyle name="Report Percent 6 2 2" xfId="37325"/>
    <cellStyle name="Report Percent 6 2 2 2" xfId="37326"/>
    <cellStyle name="Report Percent 6 3" xfId="37327"/>
    <cellStyle name="Report Percent 6 3 2" xfId="37328"/>
    <cellStyle name="Report Percent 6 4" xfId="37329"/>
    <cellStyle name="Report Percent 6 4 2" xfId="37330"/>
    <cellStyle name="Report Percent 7" xfId="37331"/>
    <cellStyle name="Report Percent 7 2" xfId="37332"/>
    <cellStyle name="Report Percent 7 2 2" xfId="37333"/>
    <cellStyle name="Report Percent 7 3" xfId="37334"/>
    <cellStyle name="Report Percent 8" xfId="37335"/>
    <cellStyle name="Report Percent 8 2" xfId="37336"/>
    <cellStyle name="Report Percent 8 2 2" xfId="37337"/>
    <cellStyle name="Report Percent 8 3" xfId="37338"/>
    <cellStyle name="Report Percent 8 4" xfId="37339"/>
    <cellStyle name="Report Percent 9" xfId="37340"/>
    <cellStyle name="Report Percent 9 2" xfId="37341"/>
    <cellStyle name="Report Percent 9 2 2" xfId="37342"/>
    <cellStyle name="Report Percent 9 2 2 2" xfId="37343"/>
    <cellStyle name="Report Percent 9 2 3" xfId="37344"/>
    <cellStyle name="Report Percent 9 3" xfId="37345"/>
    <cellStyle name="Report Percent 9 3 2" xfId="37346"/>
    <cellStyle name="Report Percent 9 4" xfId="37347"/>
    <cellStyle name="Report Percent_AURORA Total New" xfId="37348"/>
    <cellStyle name="Report Unit Cost" xfId="1667"/>
    <cellStyle name="Report Unit Cost 10" xfId="37349"/>
    <cellStyle name="Report Unit Cost 10 2" xfId="37350"/>
    <cellStyle name="Report Unit Cost 10 2 2" xfId="37351"/>
    <cellStyle name="Report Unit Cost 10 2 2 2" xfId="37352"/>
    <cellStyle name="Report Unit Cost 10 2 3" xfId="37353"/>
    <cellStyle name="Report Unit Cost 10 3" xfId="37354"/>
    <cellStyle name="Report Unit Cost 10 3 2" xfId="37355"/>
    <cellStyle name="Report Unit Cost 10 4" xfId="37356"/>
    <cellStyle name="Report Unit Cost 11" xfId="37357"/>
    <cellStyle name="Report Unit Cost 11 2" xfId="37358"/>
    <cellStyle name="Report Unit Cost 12" xfId="37359"/>
    <cellStyle name="Report Unit Cost 12 2" xfId="37360"/>
    <cellStyle name="Report Unit Cost 12 3" xfId="37361"/>
    <cellStyle name="Report Unit Cost 13" xfId="37362"/>
    <cellStyle name="Report Unit Cost 2" xfId="1668"/>
    <cellStyle name="Report Unit Cost 2 2" xfId="37363"/>
    <cellStyle name="Report Unit Cost 2 2 2" xfId="37364"/>
    <cellStyle name="Report Unit Cost 2 2 2 2" xfId="37365"/>
    <cellStyle name="Report Unit Cost 2 2 2 2 2" xfId="37366"/>
    <cellStyle name="Report Unit Cost 2 2 2 3" xfId="37367"/>
    <cellStyle name="Report Unit Cost 2 2 2 4" xfId="37368"/>
    <cellStyle name="Report Unit Cost 2 2 3" xfId="37369"/>
    <cellStyle name="Report Unit Cost 2 2 3 2" xfId="37370"/>
    <cellStyle name="Report Unit Cost 2 2 4" xfId="37371"/>
    <cellStyle name="Report Unit Cost 2 2 4 2" xfId="37372"/>
    <cellStyle name="Report Unit Cost 2 2 5" xfId="37373"/>
    <cellStyle name="Report Unit Cost 2 3" xfId="37374"/>
    <cellStyle name="Report Unit Cost 2 3 2" xfId="37375"/>
    <cellStyle name="Report Unit Cost 2 3 2 2" xfId="37376"/>
    <cellStyle name="Report Unit Cost 2 3 2 3" xfId="37377"/>
    <cellStyle name="Report Unit Cost 2 3 3" xfId="37378"/>
    <cellStyle name="Report Unit Cost 2 3 4" xfId="37379"/>
    <cellStyle name="Report Unit Cost 2 4" xfId="37380"/>
    <cellStyle name="Report Unit Cost 2 4 2" xfId="37381"/>
    <cellStyle name="Report Unit Cost 2 4 2 2" xfId="37382"/>
    <cellStyle name="Report Unit Cost 2 4 3" xfId="37383"/>
    <cellStyle name="Report Unit Cost 2 5" xfId="37384"/>
    <cellStyle name="Report Unit Cost 2 5 2" xfId="37385"/>
    <cellStyle name="Report Unit Cost 2 6" xfId="37386"/>
    <cellStyle name="Report Unit Cost 2 6 2" xfId="37387"/>
    <cellStyle name="Report Unit Cost 2 7" xfId="37388"/>
    <cellStyle name="Report Unit Cost 3" xfId="37389"/>
    <cellStyle name="Report Unit Cost 3 2" xfId="37390"/>
    <cellStyle name="Report Unit Cost 3 2 2" xfId="37391"/>
    <cellStyle name="Report Unit Cost 3 2 2 2" xfId="37392"/>
    <cellStyle name="Report Unit Cost 3 2 3" xfId="37393"/>
    <cellStyle name="Report Unit Cost 3 2 4" xfId="37394"/>
    <cellStyle name="Report Unit Cost 3 2 5" xfId="37395"/>
    <cellStyle name="Report Unit Cost 3 3" xfId="37396"/>
    <cellStyle name="Report Unit Cost 3 3 2" xfId="37397"/>
    <cellStyle name="Report Unit Cost 3 3 2 2" xfId="37398"/>
    <cellStyle name="Report Unit Cost 3 3 3" xfId="37399"/>
    <cellStyle name="Report Unit Cost 3 4" xfId="37400"/>
    <cellStyle name="Report Unit Cost 3 4 2" xfId="37401"/>
    <cellStyle name="Report Unit Cost 3 4 2 2" xfId="37402"/>
    <cellStyle name="Report Unit Cost 3 4 3" xfId="37403"/>
    <cellStyle name="Report Unit Cost 3 5" xfId="37404"/>
    <cellStyle name="Report Unit Cost 3 5 2" xfId="37405"/>
    <cellStyle name="Report Unit Cost 3 6" xfId="37406"/>
    <cellStyle name="Report Unit Cost 4" xfId="37407"/>
    <cellStyle name="Report Unit Cost 4 2" xfId="37408"/>
    <cellStyle name="Report Unit Cost 4 2 2" xfId="37409"/>
    <cellStyle name="Report Unit Cost 4 2 2 2" xfId="37410"/>
    <cellStyle name="Report Unit Cost 4 2 2 2 2" xfId="37411"/>
    <cellStyle name="Report Unit Cost 4 2 2 3" xfId="37412"/>
    <cellStyle name="Report Unit Cost 4 2 2 4" xfId="37413"/>
    <cellStyle name="Report Unit Cost 4 2 3" xfId="37414"/>
    <cellStyle name="Report Unit Cost 4 2 3 2" xfId="37415"/>
    <cellStyle name="Report Unit Cost 4 2 4" xfId="37416"/>
    <cellStyle name="Report Unit Cost 4 2 4 2" xfId="37417"/>
    <cellStyle name="Report Unit Cost 4 2 5" xfId="37418"/>
    <cellStyle name="Report Unit Cost 4 3" xfId="37419"/>
    <cellStyle name="Report Unit Cost 4 3 2" xfId="37420"/>
    <cellStyle name="Report Unit Cost 4 3 2 2" xfId="37421"/>
    <cellStyle name="Report Unit Cost 4 3 3" xfId="37422"/>
    <cellStyle name="Report Unit Cost 4 3 4" xfId="37423"/>
    <cellStyle name="Report Unit Cost 4 3 5" xfId="37424"/>
    <cellStyle name="Report Unit Cost 4 4" xfId="37425"/>
    <cellStyle name="Report Unit Cost 4 4 2" xfId="37426"/>
    <cellStyle name="Report Unit Cost 4 4 2 2" xfId="37427"/>
    <cellStyle name="Report Unit Cost 4 4 3" xfId="37428"/>
    <cellStyle name="Report Unit Cost 4 5" xfId="37429"/>
    <cellStyle name="Report Unit Cost 4 5 2" xfId="37430"/>
    <cellStyle name="Report Unit Cost 4 6" xfId="37431"/>
    <cellStyle name="Report Unit Cost 4 6 2" xfId="37432"/>
    <cellStyle name="Report Unit Cost 4 7" xfId="37433"/>
    <cellStyle name="Report Unit Cost 5" xfId="37434"/>
    <cellStyle name="Report Unit Cost 5 2" xfId="37435"/>
    <cellStyle name="Report Unit Cost 5 2 2" xfId="37436"/>
    <cellStyle name="Report Unit Cost 5 2 2 2" xfId="37437"/>
    <cellStyle name="Report Unit Cost 5 2 2 2 2" xfId="37438"/>
    <cellStyle name="Report Unit Cost 5 2 3" xfId="37439"/>
    <cellStyle name="Report Unit Cost 5 2 3 2" xfId="37440"/>
    <cellStyle name="Report Unit Cost 5 2 4" xfId="37441"/>
    <cellStyle name="Report Unit Cost 5 2 4 2" xfId="37442"/>
    <cellStyle name="Report Unit Cost 5 2 5" xfId="37443"/>
    <cellStyle name="Report Unit Cost 5 3" xfId="37444"/>
    <cellStyle name="Report Unit Cost 5 3 2" xfId="37445"/>
    <cellStyle name="Report Unit Cost 5 3 2 2" xfId="37446"/>
    <cellStyle name="Report Unit Cost 5 3 3" xfId="37447"/>
    <cellStyle name="Report Unit Cost 5 4" xfId="37448"/>
    <cellStyle name="Report Unit Cost 5 4 2" xfId="37449"/>
    <cellStyle name="Report Unit Cost 5 4 2 2" xfId="37450"/>
    <cellStyle name="Report Unit Cost 5 4 3" xfId="37451"/>
    <cellStyle name="Report Unit Cost 5 5" xfId="37452"/>
    <cellStyle name="Report Unit Cost 5 5 2" xfId="37453"/>
    <cellStyle name="Report Unit Cost 5 6" xfId="37454"/>
    <cellStyle name="Report Unit Cost 5 6 2" xfId="37455"/>
    <cellStyle name="Report Unit Cost 5 7" xfId="37456"/>
    <cellStyle name="Report Unit Cost 6" xfId="37457"/>
    <cellStyle name="Report Unit Cost 6 2" xfId="37458"/>
    <cellStyle name="Report Unit Cost 6 2 2" xfId="37459"/>
    <cellStyle name="Report Unit Cost 6 2 2 2" xfId="37460"/>
    <cellStyle name="Report Unit Cost 6 2 2 2 2" xfId="37461"/>
    <cellStyle name="Report Unit Cost 6 2 3" xfId="37462"/>
    <cellStyle name="Report Unit Cost 6 2 3 2" xfId="37463"/>
    <cellStyle name="Report Unit Cost 6 2 4" xfId="37464"/>
    <cellStyle name="Report Unit Cost 6 2 4 2" xfId="37465"/>
    <cellStyle name="Report Unit Cost 6 2 5" xfId="37466"/>
    <cellStyle name="Report Unit Cost 6 3" xfId="37467"/>
    <cellStyle name="Report Unit Cost 6 3 2" xfId="37468"/>
    <cellStyle name="Report Unit Cost 6 3 2 2" xfId="37469"/>
    <cellStyle name="Report Unit Cost 6 4" xfId="37470"/>
    <cellStyle name="Report Unit Cost 6 4 2" xfId="37471"/>
    <cellStyle name="Report Unit Cost 6 5" xfId="37472"/>
    <cellStyle name="Report Unit Cost 6 5 2" xfId="37473"/>
    <cellStyle name="Report Unit Cost 6 6" xfId="37474"/>
    <cellStyle name="Report Unit Cost 7" xfId="37475"/>
    <cellStyle name="Report Unit Cost 7 2" xfId="37476"/>
    <cellStyle name="Report Unit Cost 7 2 2" xfId="37477"/>
    <cellStyle name="Report Unit Cost 7 2 2 2" xfId="37478"/>
    <cellStyle name="Report Unit Cost 7 3" xfId="37479"/>
    <cellStyle name="Report Unit Cost 7 3 2" xfId="37480"/>
    <cellStyle name="Report Unit Cost 7 4" xfId="37481"/>
    <cellStyle name="Report Unit Cost 7 4 2" xfId="37482"/>
    <cellStyle name="Report Unit Cost 8" xfId="37483"/>
    <cellStyle name="Report Unit Cost 8 2" xfId="37484"/>
    <cellStyle name="Report Unit Cost 8 2 2" xfId="37485"/>
    <cellStyle name="Report Unit Cost 8 3" xfId="37486"/>
    <cellStyle name="Report Unit Cost 9" xfId="37487"/>
    <cellStyle name="Report Unit Cost 9 2" xfId="37488"/>
    <cellStyle name="Report Unit Cost 9 2 2" xfId="37489"/>
    <cellStyle name="Report Unit Cost 9 3" xfId="37490"/>
    <cellStyle name="Report Unit Cost 9 4" xfId="37491"/>
    <cellStyle name="Report Unit Cost_AURORA Total New" xfId="37492"/>
    <cellStyle name="Report_Adj Bench DR 3 for Initial Briefs (Electric)" xfId="1669"/>
    <cellStyle name="Reports" xfId="1670"/>
    <cellStyle name="Reports 2" xfId="37493"/>
    <cellStyle name="Reports 2 2" xfId="37494"/>
    <cellStyle name="Reports 2 2 2" xfId="37495"/>
    <cellStyle name="Reports 2 3" xfId="37496"/>
    <cellStyle name="Reports 2 4" xfId="37497"/>
    <cellStyle name="Reports 3" xfId="37498"/>
    <cellStyle name="Reports 3 2" xfId="37499"/>
    <cellStyle name="Reports 3 3" xfId="37500"/>
    <cellStyle name="Reports 4" xfId="37501"/>
    <cellStyle name="Reports 4 2" xfId="37502"/>
    <cellStyle name="Reports 5" xfId="37503"/>
    <cellStyle name="Reports Total" xfId="1671"/>
    <cellStyle name="Reports Total 2" xfId="37504"/>
    <cellStyle name="Reports Total 2 2" xfId="37505"/>
    <cellStyle name="Reports Total 2 2 2" xfId="37506"/>
    <cellStyle name="Reports Total 2 2 2 2" xfId="37507"/>
    <cellStyle name="Reports Total 2 2 2 2 2" xfId="37508"/>
    <cellStyle name="Reports Total 2 2 2 3" xfId="37509"/>
    <cellStyle name="Reports Total 2 2 2 4" xfId="37510"/>
    <cellStyle name="Reports Total 2 2 3" xfId="37511"/>
    <cellStyle name="Reports Total 2 2 3 2" xfId="37512"/>
    <cellStyle name="Reports Total 2 2 4" xfId="37513"/>
    <cellStyle name="Reports Total 2 2 4 2" xfId="37514"/>
    <cellStyle name="Reports Total 2 2 5" xfId="37515"/>
    <cellStyle name="Reports Total 2 2 6" xfId="37516"/>
    <cellStyle name="Reports Total 2 2 7" xfId="37517"/>
    <cellStyle name="Reports Total 2 2 8" xfId="37518"/>
    <cellStyle name="Reports Total 2 3" xfId="37519"/>
    <cellStyle name="Reports Total 2 3 2" xfId="37520"/>
    <cellStyle name="Reports Total 2 3 2 2" xfId="37521"/>
    <cellStyle name="Reports Total 2 3 3" xfId="37522"/>
    <cellStyle name="Reports Total 2 3 4" xfId="37523"/>
    <cellStyle name="Reports Total 2 4" xfId="37524"/>
    <cellStyle name="Reports Total 2 4 2" xfId="37525"/>
    <cellStyle name="Reports Total 2 4 2 2" xfId="37526"/>
    <cellStyle name="Reports Total 2 4 3" xfId="37527"/>
    <cellStyle name="Reports Total 2 5" xfId="37528"/>
    <cellStyle name="Reports Total 2 5 2" xfId="37529"/>
    <cellStyle name="Reports Total 2 6" xfId="37530"/>
    <cellStyle name="Reports Total 2 6 2" xfId="37531"/>
    <cellStyle name="Reports Total 2 7" xfId="37532"/>
    <cellStyle name="Reports Total 2 8" xfId="37533"/>
    <cellStyle name="Reports Total 2 9" xfId="37534"/>
    <cellStyle name="Reports Total 3" xfId="37535"/>
    <cellStyle name="Reports Total 3 2" xfId="37536"/>
    <cellStyle name="Reports Total 3 2 2" xfId="37537"/>
    <cellStyle name="Reports Total 3 2 2 2" xfId="37538"/>
    <cellStyle name="Reports Total 3 2 3" xfId="37539"/>
    <cellStyle name="Reports Total 3 2 4" xfId="37540"/>
    <cellStyle name="Reports Total 3 3" xfId="37541"/>
    <cellStyle name="Reports Total 3 3 2" xfId="37542"/>
    <cellStyle name="Reports Total 3 4" xfId="37543"/>
    <cellStyle name="Reports Total 3 4 2" xfId="37544"/>
    <cellStyle name="Reports Total 3 5" xfId="37545"/>
    <cellStyle name="Reports Total 3 6" xfId="37546"/>
    <cellStyle name="Reports Total 3 7" xfId="37547"/>
    <cellStyle name="Reports Total 3 8" xfId="37548"/>
    <cellStyle name="Reports Total 4" xfId="37549"/>
    <cellStyle name="Reports Total 4 2" xfId="37550"/>
    <cellStyle name="Reports Total 4 2 2" xfId="37551"/>
    <cellStyle name="Reports Total 4 3" xfId="37552"/>
    <cellStyle name="Reports Total 4 4" xfId="37553"/>
    <cellStyle name="Reports Total 4 5" xfId="37554"/>
    <cellStyle name="Reports Total 4 6" xfId="37555"/>
    <cellStyle name="Reports Total 4 7" xfId="37556"/>
    <cellStyle name="Reports Total 4 8" xfId="37557"/>
    <cellStyle name="Reports Total 5" xfId="37558"/>
    <cellStyle name="Reports Total 5 2" xfId="37559"/>
    <cellStyle name="Reports Total 5 2 2" xfId="37560"/>
    <cellStyle name="Reports Total 5 3" xfId="37561"/>
    <cellStyle name="Reports Total 5 4" xfId="37562"/>
    <cellStyle name="Reports Total 6" xfId="37563"/>
    <cellStyle name="Reports Total 6 2" xfId="37564"/>
    <cellStyle name="Reports Total 7" xfId="37565"/>
    <cellStyle name="Reports Total 7 2" xfId="37566"/>
    <cellStyle name="Reports Total 8" xfId="37567"/>
    <cellStyle name="Reports Total_AURORA Total New" xfId="37568"/>
    <cellStyle name="Reports Unit Cost Total" xfId="1672"/>
    <cellStyle name="Reports Unit Cost Total 2" xfId="37569"/>
    <cellStyle name="Reports Unit Cost Total 2 2" xfId="37570"/>
    <cellStyle name="Reports Unit Cost Total 2 2 2" xfId="37571"/>
    <cellStyle name="Reports Unit Cost Total 2 2 2 2" xfId="37572"/>
    <cellStyle name="Reports Unit Cost Total 2 2 3" xfId="37573"/>
    <cellStyle name="Reports Unit Cost Total 2 2 4" xfId="37574"/>
    <cellStyle name="Reports Unit Cost Total 2 3" xfId="37575"/>
    <cellStyle name="Reports Unit Cost Total 2 3 2" xfId="37576"/>
    <cellStyle name="Reports Unit Cost Total 2 4" xfId="37577"/>
    <cellStyle name="Reports Unit Cost Total 2 4 2" xfId="37578"/>
    <cellStyle name="Reports Unit Cost Total 2 5" xfId="37579"/>
    <cellStyle name="Reports Unit Cost Total 2 6" xfId="37580"/>
    <cellStyle name="Reports Unit Cost Total 2 7" xfId="37581"/>
    <cellStyle name="Reports Unit Cost Total 3" xfId="37582"/>
    <cellStyle name="Reports Unit Cost Total 3 2" xfId="37583"/>
    <cellStyle name="Reports Unit Cost Total 3 2 2" xfId="37584"/>
    <cellStyle name="Reports Unit Cost Total 3 3" xfId="37585"/>
    <cellStyle name="Reports Unit Cost Total 4" xfId="37586"/>
    <cellStyle name="Reports Unit Cost Total 4 2" xfId="37587"/>
    <cellStyle name="Reports Unit Cost Total 4 3" xfId="37588"/>
    <cellStyle name="Reports Unit Cost Total 5" xfId="37589"/>
    <cellStyle name="Reports Unit Cost Total 5 2" xfId="37590"/>
    <cellStyle name="Reports Unit Cost Total 6" xfId="37591"/>
    <cellStyle name="Reports_14.21G &amp; 16.28E Incentive Pay" xfId="37592"/>
    <cellStyle name="RevList" xfId="1673"/>
    <cellStyle name="RevList 2" xfId="37593"/>
    <cellStyle name="RevList 2 2" xfId="37594"/>
    <cellStyle name="RevList 2 2 2" xfId="37595"/>
    <cellStyle name="RevList 2 3" xfId="37596"/>
    <cellStyle name="RevList 3" xfId="37597"/>
    <cellStyle name="RevList 3 2" xfId="37598"/>
    <cellStyle name="RevList 3 3" xfId="37599"/>
    <cellStyle name="RevList 4" xfId="37600"/>
    <cellStyle name="RevList 4 2" xfId="37601"/>
    <cellStyle name="RevList 5" xfId="37602"/>
    <cellStyle name="round100" xfId="1674"/>
    <cellStyle name="round100 10" xfId="37603"/>
    <cellStyle name="round100 10 2" xfId="37604"/>
    <cellStyle name="round100 11" xfId="37605"/>
    <cellStyle name="round100 11 2" xfId="37606"/>
    <cellStyle name="round100 11 3" xfId="37607"/>
    <cellStyle name="round100 12" xfId="37608"/>
    <cellStyle name="round100 2" xfId="1675"/>
    <cellStyle name="round100 2 2" xfId="37609"/>
    <cellStyle name="round100 2 2 2" xfId="37610"/>
    <cellStyle name="round100 2 2 2 2" xfId="37611"/>
    <cellStyle name="round100 2 2 2 2 2" xfId="37612"/>
    <cellStyle name="round100 2 2 2 3" xfId="37613"/>
    <cellStyle name="round100 2 2 2 4" xfId="37614"/>
    <cellStyle name="round100 2 2 3" xfId="37615"/>
    <cellStyle name="round100 2 2 3 2" xfId="37616"/>
    <cellStyle name="round100 2 2 4" xfId="37617"/>
    <cellStyle name="round100 2 2 4 2" xfId="37618"/>
    <cellStyle name="round100 2 2 5" xfId="37619"/>
    <cellStyle name="round100 2 3" xfId="37620"/>
    <cellStyle name="round100 2 3 2" xfId="37621"/>
    <cellStyle name="round100 2 3 2 2" xfId="37622"/>
    <cellStyle name="round100 2 3 2 3" xfId="37623"/>
    <cellStyle name="round100 2 3 3" xfId="37624"/>
    <cellStyle name="round100 2 3 4" xfId="37625"/>
    <cellStyle name="round100 2 4" xfId="37626"/>
    <cellStyle name="round100 2 4 2" xfId="37627"/>
    <cellStyle name="round100 2 4 2 2" xfId="37628"/>
    <cellStyle name="round100 2 4 3" xfId="37629"/>
    <cellStyle name="round100 2 5" xfId="37630"/>
    <cellStyle name="round100 2 5 2" xfId="37631"/>
    <cellStyle name="round100 2 6" xfId="37632"/>
    <cellStyle name="round100 2 6 2" xfId="37633"/>
    <cellStyle name="round100 2 7" xfId="37634"/>
    <cellStyle name="round100 3" xfId="37635"/>
    <cellStyle name="round100 3 2" xfId="37636"/>
    <cellStyle name="round100 3 2 2" xfId="37637"/>
    <cellStyle name="round100 3 2 2 2" xfId="37638"/>
    <cellStyle name="round100 3 2 3" xfId="37639"/>
    <cellStyle name="round100 3 2 4" xfId="37640"/>
    <cellStyle name="round100 3 2 5" xfId="37641"/>
    <cellStyle name="round100 3 3" xfId="37642"/>
    <cellStyle name="round100 3 3 2" xfId="37643"/>
    <cellStyle name="round100 3 3 2 2" xfId="37644"/>
    <cellStyle name="round100 3 3 3" xfId="37645"/>
    <cellStyle name="round100 3 4" xfId="37646"/>
    <cellStyle name="round100 3 4 2" xfId="37647"/>
    <cellStyle name="round100 3 4 2 2" xfId="37648"/>
    <cellStyle name="round100 3 4 3" xfId="37649"/>
    <cellStyle name="round100 3 5" xfId="37650"/>
    <cellStyle name="round100 3 5 2" xfId="37651"/>
    <cellStyle name="round100 3 6" xfId="37652"/>
    <cellStyle name="round100 4" xfId="37653"/>
    <cellStyle name="round100 4 2" xfId="37654"/>
    <cellStyle name="round100 4 2 2" xfId="37655"/>
    <cellStyle name="round100 4 2 2 2" xfId="37656"/>
    <cellStyle name="round100 4 2 2 2 2" xfId="37657"/>
    <cellStyle name="round100 4 2 2 3" xfId="37658"/>
    <cellStyle name="round100 4 2 2 4" xfId="37659"/>
    <cellStyle name="round100 4 2 3" xfId="37660"/>
    <cellStyle name="round100 4 2 3 2" xfId="37661"/>
    <cellStyle name="round100 4 2 4" xfId="37662"/>
    <cellStyle name="round100 4 2 4 2" xfId="37663"/>
    <cellStyle name="round100 4 2 5" xfId="37664"/>
    <cellStyle name="round100 4 3" xfId="37665"/>
    <cellStyle name="round100 4 3 2" xfId="37666"/>
    <cellStyle name="round100 4 3 2 2" xfId="37667"/>
    <cellStyle name="round100 4 3 3" xfId="37668"/>
    <cellStyle name="round100 4 3 4" xfId="37669"/>
    <cellStyle name="round100 4 3 5" xfId="37670"/>
    <cellStyle name="round100 4 4" xfId="37671"/>
    <cellStyle name="round100 4 4 2" xfId="37672"/>
    <cellStyle name="round100 4 4 2 2" xfId="37673"/>
    <cellStyle name="round100 4 4 3" xfId="37674"/>
    <cellStyle name="round100 4 5" xfId="37675"/>
    <cellStyle name="round100 4 5 2" xfId="37676"/>
    <cellStyle name="round100 4 6" xfId="37677"/>
    <cellStyle name="round100 4 6 2" xfId="37678"/>
    <cellStyle name="round100 4 7" xfId="37679"/>
    <cellStyle name="round100 5" xfId="37680"/>
    <cellStyle name="round100 5 2" xfId="37681"/>
    <cellStyle name="round100 5 2 2" xfId="37682"/>
    <cellStyle name="round100 5 2 2 2" xfId="37683"/>
    <cellStyle name="round100 5 2 2 2 2" xfId="37684"/>
    <cellStyle name="round100 5 2 3" xfId="37685"/>
    <cellStyle name="round100 5 2 3 2" xfId="37686"/>
    <cellStyle name="round100 5 2 4" xfId="37687"/>
    <cellStyle name="round100 5 2 4 2" xfId="37688"/>
    <cellStyle name="round100 5 2 5" xfId="37689"/>
    <cellStyle name="round100 5 3" xfId="37690"/>
    <cellStyle name="round100 5 3 2" xfId="37691"/>
    <cellStyle name="round100 5 3 2 2" xfId="37692"/>
    <cellStyle name="round100 5 4" xfId="37693"/>
    <cellStyle name="round100 5 4 2" xfId="37694"/>
    <cellStyle name="round100 5 5" xfId="37695"/>
    <cellStyle name="round100 5 5 2" xfId="37696"/>
    <cellStyle name="round100 5 6" xfId="37697"/>
    <cellStyle name="round100 6" xfId="37698"/>
    <cellStyle name="round100 6 2" xfId="37699"/>
    <cellStyle name="round100 6 2 2" xfId="37700"/>
    <cellStyle name="round100 6 2 2 2" xfId="37701"/>
    <cellStyle name="round100 6 3" xfId="37702"/>
    <cellStyle name="round100 6 3 2" xfId="37703"/>
    <cellStyle name="round100 6 4" xfId="37704"/>
    <cellStyle name="round100 6 4 2" xfId="37705"/>
    <cellStyle name="round100 7" xfId="37706"/>
    <cellStyle name="round100 7 2" xfId="37707"/>
    <cellStyle name="round100 7 2 2" xfId="37708"/>
    <cellStyle name="round100 7 3" xfId="37709"/>
    <cellStyle name="round100 8" xfId="37710"/>
    <cellStyle name="round100 8 2" xfId="37711"/>
    <cellStyle name="round100 8 2 2" xfId="37712"/>
    <cellStyle name="round100 8 3" xfId="37713"/>
    <cellStyle name="round100 8 4" xfId="37714"/>
    <cellStyle name="round100 9" xfId="37715"/>
    <cellStyle name="round100 9 2" xfId="37716"/>
    <cellStyle name="round100 9 2 2" xfId="37717"/>
    <cellStyle name="round100 9 2 2 2" xfId="37718"/>
    <cellStyle name="round100 9 2 3" xfId="37719"/>
    <cellStyle name="round100 9 3" xfId="37720"/>
    <cellStyle name="round100 9 3 2" xfId="37721"/>
    <cellStyle name="round100 9 4" xfId="37722"/>
    <cellStyle name="RowHeading" xfId="37723"/>
    <cellStyle name="SAPBEXaggData" xfId="1676"/>
    <cellStyle name="SAPBEXaggData 2" xfId="37724"/>
    <cellStyle name="SAPBEXaggData 2 2" xfId="37725"/>
    <cellStyle name="SAPBEXaggData 2 2 2" xfId="37726"/>
    <cellStyle name="SAPBEXaggData 2 3" xfId="37727"/>
    <cellStyle name="SAPBEXaggData 2 4" xfId="37728"/>
    <cellStyle name="SAPBEXaggData 2 5" xfId="37729"/>
    <cellStyle name="SAPBEXaggData 2 6" xfId="37730"/>
    <cellStyle name="SAPBEXaggData 2 7" xfId="37731"/>
    <cellStyle name="SAPBEXaggData 3" xfId="37732"/>
    <cellStyle name="SAPBEXaggData 3 2" xfId="37733"/>
    <cellStyle name="SAPBEXaggData 4" xfId="37734"/>
    <cellStyle name="SAPBEXaggData 4 2" xfId="37735"/>
    <cellStyle name="SAPBEXaggData 5" xfId="37736"/>
    <cellStyle name="SAPBEXaggDataEmph" xfId="1677"/>
    <cellStyle name="SAPBEXaggDataEmph 2" xfId="37737"/>
    <cellStyle name="SAPBEXaggDataEmph 2 2" xfId="37738"/>
    <cellStyle name="SAPBEXaggDataEmph 2 2 2" xfId="37739"/>
    <cellStyle name="SAPBEXaggDataEmph 2 3" xfId="37740"/>
    <cellStyle name="SAPBEXaggDataEmph 2 4" xfId="37741"/>
    <cellStyle name="SAPBEXaggDataEmph 2 5" xfId="37742"/>
    <cellStyle name="SAPBEXaggDataEmph 2 6" xfId="37743"/>
    <cellStyle name="SAPBEXaggDataEmph 2 7" xfId="37744"/>
    <cellStyle name="SAPBEXaggDataEmph 3" xfId="37745"/>
    <cellStyle name="SAPBEXaggDataEmph 3 2" xfId="37746"/>
    <cellStyle name="SAPBEXaggDataEmph 4" xfId="37747"/>
    <cellStyle name="SAPBEXaggDataEmph 4 2" xfId="37748"/>
    <cellStyle name="SAPBEXaggDataEmph 5" xfId="37749"/>
    <cellStyle name="SAPBEXaggItem" xfId="1678"/>
    <cellStyle name="SAPBEXaggItem 2" xfId="37750"/>
    <cellStyle name="SAPBEXaggItem 2 2" xfId="37751"/>
    <cellStyle name="SAPBEXaggItem 2 2 2" xfId="37752"/>
    <cellStyle name="SAPBEXaggItem 2 3" xfId="37753"/>
    <cellStyle name="SAPBEXaggItem 2 4" xfId="37754"/>
    <cellStyle name="SAPBEXaggItem 2 5" xfId="37755"/>
    <cellStyle name="SAPBEXaggItem 2 6" xfId="37756"/>
    <cellStyle name="SAPBEXaggItem 2 7" xfId="37757"/>
    <cellStyle name="SAPBEXaggItem 3" xfId="37758"/>
    <cellStyle name="SAPBEXaggItem 3 2" xfId="37759"/>
    <cellStyle name="SAPBEXaggItem 4" xfId="37760"/>
    <cellStyle name="SAPBEXaggItem 4 2" xfId="37761"/>
    <cellStyle name="SAPBEXaggItem 5" xfId="37762"/>
    <cellStyle name="SAPBEXaggItemX" xfId="1679"/>
    <cellStyle name="SAPBEXaggItemX 2" xfId="37763"/>
    <cellStyle name="SAPBEXaggItemX 2 2" xfId="37764"/>
    <cellStyle name="SAPBEXaggItemX 2 2 2" xfId="37765"/>
    <cellStyle name="SAPBEXaggItemX 2 3" xfId="37766"/>
    <cellStyle name="SAPBEXaggItemX 2 4" xfId="37767"/>
    <cellStyle name="SAPBEXaggItemX 2 5" xfId="37768"/>
    <cellStyle name="SAPBEXaggItemX 2 6" xfId="37769"/>
    <cellStyle name="SAPBEXaggItemX 2 7" xfId="37770"/>
    <cellStyle name="SAPBEXaggItemX 3" xfId="37771"/>
    <cellStyle name="SAPBEXaggItemX 3 2" xfId="37772"/>
    <cellStyle name="SAPBEXaggItemX 4" xfId="37773"/>
    <cellStyle name="SAPBEXaggItemX 4 2" xfId="37774"/>
    <cellStyle name="SAPBEXaggItemX 5" xfId="37775"/>
    <cellStyle name="SAPBEXchaText" xfId="1680"/>
    <cellStyle name="SAPBEXchaText 2" xfId="1681"/>
    <cellStyle name="SAPBEXchaText 2 10" xfId="37776"/>
    <cellStyle name="SAPBEXchaText 2 2" xfId="37777"/>
    <cellStyle name="SAPBEXchaText 2 2 2" xfId="37778"/>
    <cellStyle name="SAPBEXchaText 2 2 2 2" xfId="37779"/>
    <cellStyle name="SAPBEXchaText 2 2 2 3" xfId="37780"/>
    <cellStyle name="SAPBEXchaText 2 2 2 4" xfId="37781"/>
    <cellStyle name="SAPBEXchaText 2 2 2 5" xfId="37782"/>
    <cellStyle name="SAPBEXchaText 2 2 2 6" xfId="37783"/>
    <cellStyle name="SAPBEXchaText 2 2 2 7" xfId="37784"/>
    <cellStyle name="SAPBEXchaText 2 2 3" xfId="37785"/>
    <cellStyle name="SAPBEXchaText 2 2 4" xfId="37786"/>
    <cellStyle name="SAPBEXchaText 2 2 5" xfId="37787"/>
    <cellStyle name="SAPBEXchaText 2 2 6" xfId="37788"/>
    <cellStyle name="SAPBEXchaText 2 2 7" xfId="37789"/>
    <cellStyle name="SAPBEXchaText 2 2 8" xfId="37790"/>
    <cellStyle name="SAPBEXchaText 2 3" xfId="37791"/>
    <cellStyle name="SAPBEXchaText 2 3 2" xfId="37792"/>
    <cellStyle name="SAPBEXchaText 2 3 3" xfId="37793"/>
    <cellStyle name="SAPBEXchaText 2 3 4" xfId="37794"/>
    <cellStyle name="SAPBEXchaText 2 3 5" xfId="37795"/>
    <cellStyle name="SAPBEXchaText 2 3 6" xfId="37796"/>
    <cellStyle name="SAPBEXchaText 2 3 7" xfId="37797"/>
    <cellStyle name="SAPBEXchaText 2 4" xfId="37798"/>
    <cellStyle name="SAPBEXchaText 2 5" xfId="37799"/>
    <cellStyle name="SAPBEXchaText 2 6" xfId="37800"/>
    <cellStyle name="SAPBEXchaText 2 7" xfId="37801"/>
    <cellStyle name="SAPBEXchaText 2 8" xfId="37802"/>
    <cellStyle name="SAPBEXchaText 2 9" xfId="37803"/>
    <cellStyle name="SAPBEXchaText 3" xfId="37804"/>
    <cellStyle name="SAPBEXchaText 3 10" xfId="37805"/>
    <cellStyle name="SAPBEXchaText 3 2" xfId="37806"/>
    <cellStyle name="SAPBEXchaText 3 2 2" xfId="37807"/>
    <cellStyle name="SAPBEXchaText 3 2 2 2" xfId="37808"/>
    <cellStyle name="SAPBEXchaText 3 2 2 3" xfId="37809"/>
    <cellStyle name="SAPBEXchaText 3 2 2 4" xfId="37810"/>
    <cellStyle name="SAPBEXchaText 3 2 2 5" xfId="37811"/>
    <cellStyle name="SAPBEXchaText 3 2 2 6" xfId="37812"/>
    <cellStyle name="SAPBEXchaText 3 2 2 7" xfId="37813"/>
    <cellStyle name="SAPBEXchaText 3 2 3" xfId="37814"/>
    <cellStyle name="SAPBEXchaText 3 2 4" xfId="37815"/>
    <cellStyle name="SAPBEXchaText 3 2 5" xfId="37816"/>
    <cellStyle name="SAPBEXchaText 3 2 6" xfId="37817"/>
    <cellStyle name="SAPBEXchaText 3 2 7" xfId="37818"/>
    <cellStyle name="SAPBEXchaText 3 2 8" xfId="37819"/>
    <cellStyle name="SAPBEXchaText 3 3" xfId="37820"/>
    <cellStyle name="SAPBEXchaText 3 3 2" xfId="37821"/>
    <cellStyle name="SAPBEXchaText 3 3 2 2" xfId="37822"/>
    <cellStyle name="SAPBEXchaText 3 3 2 3" xfId="37823"/>
    <cellStyle name="SAPBEXchaText 3 3 2 4" xfId="37824"/>
    <cellStyle name="SAPBEXchaText 3 3 2 5" xfId="37825"/>
    <cellStyle name="SAPBEXchaText 3 3 2 6" xfId="37826"/>
    <cellStyle name="SAPBEXchaText 3 3 2 7" xfId="37827"/>
    <cellStyle name="SAPBEXchaText 3 3 3" xfId="37828"/>
    <cellStyle name="SAPBEXchaText 3 3 4" xfId="37829"/>
    <cellStyle name="SAPBEXchaText 3 3 5" xfId="37830"/>
    <cellStyle name="SAPBEXchaText 3 3 6" xfId="37831"/>
    <cellStyle name="SAPBEXchaText 3 3 7" xfId="37832"/>
    <cellStyle name="SAPBEXchaText 3 3 8" xfId="37833"/>
    <cellStyle name="SAPBEXchaText 3 4" xfId="37834"/>
    <cellStyle name="SAPBEXchaText 3 4 2" xfId="37835"/>
    <cellStyle name="SAPBEXchaText 3 4 2 2" xfId="37836"/>
    <cellStyle name="SAPBEXchaText 3 4 2 3" xfId="37837"/>
    <cellStyle name="SAPBEXchaText 3 4 2 4" xfId="37838"/>
    <cellStyle name="SAPBEXchaText 3 4 2 5" xfId="37839"/>
    <cellStyle name="SAPBEXchaText 3 4 2 6" xfId="37840"/>
    <cellStyle name="SAPBEXchaText 3 4 2 7" xfId="37841"/>
    <cellStyle name="SAPBEXchaText 3 4 3" xfId="37842"/>
    <cellStyle name="SAPBEXchaText 3 4 4" xfId="37843"/>
    <cellStyle name="SAPBEXchaText 3 4 5" xfId="37844"/>
    <cellStyle name="SAPBEXchaText 3 4 6" xfId="37845"/>
    <cellStyle name="SAPBEXchaText 3 4 7" xfId="37846"/>
    <cellStyle name="SAPBEXchaText 3 4 8" xfId="37847"/>
    <cellStyle name="SAPBEXchaText 3 5" xfId="37848"/>
    <cellStyle name="SAPBEXchaText 3 6" xfId="37849"/>
    <cellStyle name="SAPBEXchaText 3 7" xfId="37850"/>
    <cellStyle name="SAPBEXchaText 3 8" xfId="37851"/>
    <cellStyle name="SAPBEXchaText 3 9" xfId="37852"/>
    <cellStyle name="SAPBEXchaText 4" xfId="37853"/>
    <cellStyle name="SAPBEXchaText 4 2" xfId="37854"/>
    <cellStyle name="SAPBEXchaText 4 2 2" xfId="37855"/>
    <cellStyle name="SAPBEXchaText 4 2 3" xfId="37856"/>
    <cellStyle name="SAPBEXchaText 4 2 4" xfId="37857"/>
    <cellStyle name="SAPBEXchaText 4 2 5" xfId="37858"/>
    <cellStyle name="SAPBEXchaText 4 2 6" xfId="37859"/>
    <cellStyle name="SAPBEXchaText 4 2 7" xfId="37860"/>
    <cellStyle name="SAPBEXchaText 4 3" xfId="37861"/>
    <cellStyle name="SAPBEXchaText 4 4" xfId="37862"/>
    <cellStyle name="SAPBEXchaText 4 5" xfId="37863"/>
    <cellStyle name="SAPBEXchaText 4 6" xfId="37864"/>
    <cellStyle name="SAPBEXchaText 4 7" xfId="37865"/>
    <cellStyle name="SAPBEXchaText 4 8" xfId="37866"/>
    <cellStyle name="SAPBEXchaText 5" xfId="37867"/>
    <cellStyle name="SAPBEXchaText 5 2" xfId="37868"/>
    <cellStyle name="SAPBEXchaText 5 3" xfId="37869"/>
    <cellStyle name="SAPBEXchaText 5 4" xfId="37870"/>
    <cellStyle name="SAPBEXchaText 5 5" xfId="37871"/>
    <cellStyle name="SAPBEXchaText 5 6" xfId="37872"/>
    <cellStyle name="SAPBEXchaText 5 7" xfId="37873"/>
    <cellStyle name="SAPBEXchaText 6" xfId="37874"/>
    <cellStyle name="SAPBEXchaText 7" xfId="37875"/>
    <cellStyle name="SAPBEXexcBad7" xfId="1682"/>
    <cellStyle name="SAPBEXexcBad7 2" xfId="37876"/>
    <cellStyle name="SAPBEXexcBad7 2 2" xfId="37877"/>
    <cellStyle name="SAPBEXexcBad7 2 2 2" xfId="37878"/>
    <cellStyle name="SAPBEXexcBad7 2 3" xfId="37879"/>
    <cellStyle name="SAPBEXexcBad7 2 4" xfId="37880"/>
    <cellStyle name="SAPBEXexcBad7 2 5" xfId="37881"/>
    <cellStyle name="SAPBEXexcBad7 2 6" xfId="37882"/>
    <cellStyle name="SAPBEXexcBad7 2 7" xfId="37883"/>
    <cellStyle name="SAPBEXexcBad7 3" xfId="37884"/>
    <cellStyle name="SAPBEXexcBad7 3 2" xfId="37885"/>
    <cellStyle name="SAPBEXexcBad7 4" xfId="37886"/>
    <cellStyle name="SAPBEXexcBad7 4 2" xfId="37887"/>
    <cellStyle name="SAPBEXexcBad7 5" xfId="37888"/>
    <cellStyle name="SAPBEXexcBad8" xfId="1683"/>
    <cellStyle name="SAPBEXexcBad8 2" xfId="37889"/>
    <cellStyle name="SAPBEXexcBad8 2 2" xfId="37890"/>
    <cellStyle name="SAPBEXexcBad8 2 2 2" xfId="37891"/>
    <cellStyle name="SAPBEXexcBad8 2 3" xfId="37892"/>
    <cellStyle name="SAPBEXexcBad8 2 4" xfId="37893"/>
    <cellStyle name="SAPBEXexcBad8 2 5" xfId="37894"/>
    <cellStyle name="SAPBEXexcBad8 2 6" xfId="37895"/>
    <cellStyle name="SAPBEXexcBad8 2 7" xfId="37896"/>
    <cellStyle name="SAPBEXexcBad8 3" xfId="37897"/>
    <cellStyle name="SAPBEXexcBad8 3 2" xfId="37898"/>
    <cellStyle name="SAPBEXexcBad8 4" xfId="37899"/>
    <cellStyle name="SAPBEXexcBad8 4 2" xfId="37900"/>
    <cellStyle name="SAPBEXexcBad8 5" xfId="37901"/>
    <cellStyle name="SAPBEXexcBad9" xfId="1684"/>
    <cellStyle name="SAPBEXexcBad9 2" xfId="37902"/>
    <cellStyle name="SAPBEXexcBad9 2 2" xfId="37903"/>
    <cellStyle name="SAPBEXexcBad9 2 2 2" xfId="37904"/>
    <cellStyle name="SAPBEXexcBad9 2 3" xfId="37905"/>
    <cellStyle name="SAPBEXexcBad9 2 4" xfId="37906"/>
    <cellStyle name="SAPBEXexcBad9 2 5" xfId="37907"/>
    <cellStyle name="SAPBEXexcBad9 2 6" xfId="37908"/>
    <cellStyle name="SAPBEXexcBad9 2 7" xfId="37909"/>
    <cellStyle name="SAPBEXexcBad9 3" xfId="37910"/>
    <cellStyle name="SAPBEXexcBad9 3 2" xfId="37911"/>
    <cellStyle name="SAPBEXexcBad9 4" xfId="37912"/>
    <cellStyle name="SAPBEXexcBad9 4 2" xfId="37913"/>
    <cellStyle name="SAPBEXexcBad9 5" xfId="37914"/>
    <cellStyle name="SAPBEXexcCritical4" xfId="1685"/>
    <cellStyle name="SAPBEXexcCritical4 2" xfId="37915"/>
    <cellStyle name="SAPBEXexcCritical4 2 2" xfId="37916"/>
    <cellStyle name="SAPBEXexcCritical4 2 2 2" xfId="37917"/>
    <cellStyle name="SAPBEXexcCritical4 2 3" xfId="37918"/>
    <cellStyle name="SAPBEXexcCritical4 2 4" xfId="37919"/>
    <cellStyle name="SAPBEXexcCritical4 2 5" xfId="37920"/>
    <cellStyle name="SAPBEXexcCritical4 2 6" xfId="37921"/>
    <cellStyle name="SAPBEXexcCritical4 2 7" xfId="37922"/>
    <cellStyle name="SAPBEXexcCritical4 3" xfId="37923"/>
    <cellStyle name="SAPBEXexcCritical4 3 2" xfId="37924"/>
    <cellStyle name="SAPBEXexcCritical4 4" xfId="37925"/>
    <cellStyle name="SAPBEXexcCritical4 4 2" xfId="37926"/>
    <cellStyle name="SAPBEXexcCritical4 5" xfId="37927"/>
    <cellStyle name="SAPBEXexcCritical5" xfId="1686"/>
    <cellStyle name="SAPBEXexcCritical5 2" xfId="37928"/>
    <cellStyle name="SAPBEXexcCritical5 2 2" xfId="37929"/>
    <cellStyle name="SAPBEXexcCritical5 2 2 2" xfId="37930"/>
    <cellStyle name="SAPBEXexcCritical5 2 3" xfId="37931"/>
    <cellStyle name="SAPBEXexcCritical5 2 4" xfId="37932"/>
    <cellStyle name="SAPBEXexcCritical5 2 5" xfId="37933"/>
    <cellStyle name="SAPBEXexcCritical5 2 6" xfId="37934"/>
    <cellStyle name="SAPBEXexcCritical5 2 7" xfId="37935"/>
    <cellStyle name="SAPBEXexcCritical5 3" xfId="37936"/>
    <cellStyle name="SAPBEXexcCritical5 3 2" xfId="37937"/>
    <cellStyle name="SAPBEXexcCritical5 4" xfId="37938"/>
    <cellStyle name="SAPBEXexcCritical5 4 2" xfId="37939"/>
    <cellStyle name="SAPBEXexcCritical5 5" xfId="37940"/>
    <cellStyle name="SAPBEXexcCritical6" xfId="1687"/>
    <cellStyle name="SAPBEXexcCritical6 2" xfId="37941"/>
    <cellStyle name="SAPBEXexcCritical6 2 2" xfId="37942"/>
    <cellStyle name="SAPBEXexcCritical6 2 2 2" xfId="37943"/>
    <cellStyle name="SAPBEXexcCritical6 2 3" xfId="37944"/>
    <cellStyle name="SAPBEXexcCritical6 2 4" xfId="37945"/>
    <cellStyle name="SAPBEXexcCritical6 2 5" xfId="37946"/>
    <cellStyle name="SAPBEXexcCritical6 2 6" xfId="37947"/>
    <cellStyle name="SAPBEXexcCritical6 2 7" xfId="37948"/>
    <cellStyle name="SAPBEXexcCritical6 3" xfId="37949"/>
    <cellStyle name="SAPBEXexcCritical6 3 2" xfId="37950"/>
    <cellStyle name="SAPBEXexcCritical6 4" xfId="37951"/>
    <cellStyle name="SAPBEXexcCritical6 4 2" xfId="37952"/>
    <cellStyle name="SAPBEXexcCritical6 5" xfId="37953"/>
    <cellStyle name="SAPBEXexcGood1" xfId="1688"/>
    <cellStyle name="SAPBEXexcGood1 2" xfId="37954"/>
    <cellStyle name="SAPBEXexcGood1 2 2" xfId="37955"/>
    <cellStyle name="SAPBEXexcGood1 2 2 2" xfId="37956"/>
    <cellStyle name="SAPBEXexcGood1 2 3" xfId="37957"/>
    <cellStyle name="SAPBEXexcGood1 2 4" xfId="37958"/>
    <cellStyle name="SAPBEXexcGood1 2 5" xfId="37959"/>
    <cellStyle name="SAPBEXexcGood1 2 6" xfId="37960"/>
    <cellStyle name="SAPBEXexcGood1 2 7" xfId="37961"/>
    <cellStyle name="SAPBEXexcGood1 3" xfId="37962"/>
    <cellStyle name="SAPBEXexcGood1 3 2" xfId="37963"/>
    <cellStyle name="SAPBEXexcGood1 4" xfId="37964"/>
    <cellStyle name="SAPBEXexcGood1 4 2" xfId="37965"/>
    <cellStyle name="SAPBEXexcGood1 5" xfId="37966"/>
    <cellStyle name="SAPBEXexcGood2" xfId="1689"/>
    <cellStyle name="SAPBEXexcGood2 2" xfId="37967"/>
    <cellStyle name="SAPBEXexcGood2 2 2" xfId="37968"/>
    <cellStyle name="SAPBEXexcGood2 2 2 2" xfId="37969"/>
    <cellStyle name="SAPBEXexcGood2 2 3" xfId="37970"/>
    <cellStyle name="SAPBEXexcGood2 2 4" xfId="37971"/>
    <cellStyle name="SAPBEXexcGood2 2 5" xfId="37972"/>
    <cellStyle name="SAPBEXexcGood2 2 6" xfId="37973"/>
    <cellStyle name="SAPBEXexcGood2 2 7" xfId="37974"/>
    <cellStyle name="SAPBEXexcGood2 3" xfId="37975"/>
    <cellStyle name="SAPBEXexcGood2 3 2" xfId="37976"/>
    <cellStyle name="SAPBEXexcGood2 4" xfId="37977"/>
    <cellStyle name="SAPBEXexcGood2 4 2" xfId="37978"/>
    <cellStyle name="SAPBEXexcGood2 5" xfId="37979"/>
    <cellStyle name="SAPBEXexcGood3" xfId="1690"/>
    <cellStyle name="SAPBEXexcGood3 2" xfId="37980"/>
    <cellStyle name="SAPBEXexcGood3 2 2" xfId="37981"/>
    <cellStyle name="SAPBEXexcGood3 2 2 2" xfId="37982"/>
    <cellStyle name="SAPBEXexcGood3 2 3" xfId="37983"/>
    <cellStyle name="SAPBEXexcGood3 2 4" xfId="37984"/>
    <cellStyle name="SAPBEXexcGood3 2 5" xfId="37985"/>
    <cellStyle name="SAPBEXexcGood3 2 6" xfId="37986"/>
    <cellStyle name="SAPBEXexcGood3 2 7" xfId="37987"/>
    <cellStyle name="SAPBEXexcGood3 3" xfId="37988"/>
    <cellStyle name="SAPBEXexcGood3 3 2" xfId="37989"/>
    <cellStyle name="SAPBEXexcGood3 4" xfId="37990"/>
    <cellStyle name="SAPBEXexcGood3 4 2" xfId="37991"/>
    <cellStyle name="SAPBEXexcGood3 5" xfId="37992"/>
    <cellStyle name="SAPBEXfilterDrill" xfId="1691"/>
    <cellStyle name="SAPBEXfilterDrill 2" xfId="37993"/>
    <cellStyle name="SAPBEXfilterDrill 2 2" xfId="37994"/>
    <cellStyle name="SAPBEXfilterDrill 2 2 2" xfId="37995"/>
    <cellStyle name="SAPBEXfilterDrill 2 3" xfId="37996"/>
    <cellStyle name="SAPBEXfilterDrill 2 4" xfId="37997"/>
    <cellStyle name="SAPBEXfilterDrill 2 5" xfId="37998"/>
    <cellStyle name="SAPBEXfilterDrill 2 6" xfId="37999"/>
    <cellStyle name="SAPBEXfilterDrill 2 7" xfId="38000"/>
    <cellStyle name="SAPBEXfilterDrill 3" xfId="38001"/>
    <cellStyle name="SAPBEXfilterDrill 3 2" xfId="38002"/>
    <cellStyle name="SAPBEXfilterDrill 4" xfId="38003"/>
    <cellStyle name="SAPBEXfilterDrill 4 2" xfId="38004"/>
    <cellStyle name="SAPBEXfilterDrill 5" xfId="38005"/>
    <cellStyle name="SAPBEXfilterItem" xfId="1692"/>
    <cellStyle name="SAPBEXfilterItem 2" xfId="38006"/>
    <cellStyle name="SAPBEXfilterItem 2 2" xfId="38007"/>
    <cellStyle name="SAPBEXfilterItem 2 2 2" xfId="38008"/>
    <cellStyle name="SAPBEXfilterItem 2 3" xfId="38009"/>
    <cellStyle name="SAPBEXfilterItem 2 4" xfId="38010"/>
    <cellStyle name="SAPBEXfilterItem 2 5" xfId="38011"/>
    <cellStyle name="SAPBEXfilterItem 2 6" xfId="38012"/>
    <cellStyle name="SAPBEXfilterItem 2 7" xfId="38013"/>
    <cellStyle name="SAPBEXfilterItem 3" xfId="38014"/>
    <cellStyle name="SAPBEXfilterItem 3 2" xfId="38015"/>
    <cellStyle name="SAPBEXfilterItem 4" xfId="38016"/>
    <cellStyle name="SAPBEXfilterItem 4 2" xfId="38017"/>
    <cellStyle name="SAPBEXfilterItem 5" xfId="38018"/>
    <cellStyle name="SAPBEXfilterText" xfId="1693"/>
    <cellStyle name="SAPBEXfilterText 2" xfId="38019"/>
    <cellStyle name="SAPBEXfilterText 2 2" xfId="38020"/>
    <cellStyle name="SAPBEXfilterText 2 2 2" xfId="38021"/>
    <cellStyle name="SAPBEXfilterText 2 3" xfId="38022"/>
    <cellStyle name="SAPBEXfilterText 3" xfId="38023"/>
    <cellStyle name="SAPBEXfilterText 3 2" xfId="38024"/>
    <cellStyle name="SAPBEXfilterText 4" xfId="38025"/>
    <cellStyle name="SAPBEXfilterText 4 2" xfId="38026"/>
    <cellStyle name="SAPBEXfilterText 5" xfId="38027"/>
    <cellStyle name="SAPBEXformats" xfId="1694"/>
    <cellStyle name="SAPBEXformats 2" xfId="38028"/>
    <cellStyle name="SAPBEXformats 2 2" xfId="38029"/>
    <cellStyle name="SAPBEXformats 2 2 2" xfId="38030"/>
    <cellStyle name="SAPBEXformats 2 2 3" xfId="38031"/>
    <cellStyle name="SAPBEXformats 2 2 4" xfId="38032"/>
    <cellStyle name="SAPBEXformats 2 2 5" xfId="38033"/>
    <cellStyle name="SAPBEXformats 2 2 6" xfId="38034"/>
    <cellStyle name="SAPBEXformats 2 2 7" xfId="38035"/>
    <cellStyle name="SAPBEXformats 2 3" xfId="38036"/>
    <cellStyle name="SAPBEXformats 2 4" xfId="38037"/>
    <cellStyle name="SAPBEXformats 2 5" xfId="38038"/>
    <cellStyle name="SAPBEXformats 2 6" xfId="38039"/>
    <cellStyle name="SAPBEXformats 2 7" xfId="38040"/>
    <cellStyle name="SAPBEXformats 2 8" xfId="38041"/>
    <cellStyle name="SAPBEXformats 2 9" xfId="38042"/>
    <cellStyle name="SAPBEXformats 3" xfId="38043"/>
    <cellStyle name="SAPBEXformats 3 2" xfId="38044"/>
    <cellStyle name="SAPBEXformats 3 2 2" xfId="38045"/>
    <cellStyle name="SAPBEXformats 3 3" xfId="38046"/>
    <cellStyle name="SAPBEXformats 3 4" xfId="38047"/>
    <cellStyle name="SAPBEXformats 3 5" xfId="38048"/>
    <cellStyle name="SAPBEXformats 3 6" xfId="38049"/>
    <cellStyle name="SAPBEXformats 3 7" xfId="38050"/>
    <cellStyle name="SAPBEXformats 4" xfId="38051"/>
    <cellStyle name="SAPBEXformats 4 2" xfId="38052"/>
    <cellStyle name="SAPBEXformats 5" xfId="38053"/>
    <cellStyle name="SAPBEXformats 5 2" xfId="38054"/>
    <cellStyle name="SAPBEXformats 6" xfId="38055"/>
    <cellStyle name="SAPBEXheaderItem" xfId="1695"/>
    <cellStyle name="SAPBEXheaderItem 2" xfId="38056"/>
    <cellStyle name="SAPBEXheaderItem 2 2" xfId="38057"/>
    <cellStyle name="SAPBEXheaderItem 2 2 2" xfId="38058"/>
    <cellStyle name="SAPBEXheaderItem 2 3" xfId="38059"/>
    <cellStyle name="SAPBEXheaderItem 2 4" xfId="38060"/>
    <cellStyle name="SAPBEXheaderItem 2 5" xfId="38061"/>
    <cellStyle name="SAPBEXheaderItem 2 6" xfId="38062"/>
    <cellStyle name="SAPBEXheaderItem 2 7" xfId="38063"/>
    <cellStyle name="SAPBEXheaderItem 3" xfId="38064"/>
    <cellStyle name="SAPBEXheaderItem 3 2" xfId="38065"/>
    <cellStyle name="SAPBEXheaderItem 4" xfId="38066"/>
    <cellStyle name="SAPBEXheaderItem 4 2" xfId="38067"/>
    <cellStyle name="SAPBEXheaderItem 5" xfId="38068"/>
    <cellStyle name="SAPBEXheaderText" xfId="1696"/>
    <cellStyle name="SAPBEXheaderText 2" xfId="38069"/>
    <cellStyle name="SAPBEXheaderText 2 2" xfId="38070"/>
    <cellStyle name="SAPBEXheaderText 2 2 2" xfId="38071"/>
    <cellStyle name="SAPBEXheaderText 2 3" xfId="38072"/>
    <cellStyle name="SAPBEXheaderText 2 4" xfId="38073"/>
    <cellStyle name="SAPBEXheaderText 2 5" xfId="38074"/>
    <cellStyle name="SAPBEXheaderText 2 6" xfId="38075"/>
    <cellStyle name="SAPBEXheaderText 2 7" xfId="38076"/>
    <cellStyle name="SAPBEXheaderText 3" xfId="38077"/>
    <cellStyle name="SAPBEXheaderText 3 2" xfId="38078"/>
    <cellStyle name="SAPBEXheaderText 4" xfId="38079"/>
    <cellStyle name="SAPBEXheaderText 4 2" xfId="38080"/>
    <cellStyle name="SAPBEXheaderText 5" xfId="38081"/>
    <cellStyle name="SAPBEXHLevel0" xfId="1697"/>
    <cellStyle name="SAPBEXHLevel0 2" xfId="38082"/>
    <cellStyle name="SAPBEXHLevel0 2 2" xfId="38083"/>
    <cellStyle name="SAPBEXHLevel0 2 2 2" xfId="38084"/>
    <cellStyle name="SAPBEXHLevel0 2 2 3" xfId="38085"/>
    <cellStyle name="SAPBEXHLevel0 2 2 4" xfId="38086"/>
    <cellStyle name="SAPBEXHLevel0 2 2 5" xfId="38087"/>
    <cellStyle name="SAPBEXHLevel0 2 2 6" xfId="38088"/>
    <cellStyle name="SAPBEXHLevel0 2 2 7" xfId="38089"/>
    <cellStyle name="SAPBEXHLevel0 2 3" xfId="38090"/>
    <cellStyle name="SAPBEXHLevel0 2 4" xfId="38091"/>
    <cellStyle name="SAPBEXHLevel0 2 5" xfId="38092"/>
    <cellStyle name="SAPBEXHLevel0 2 6" xfId="38093"/>
    <cellStyle name="SAPBEXHLevel0 2 7" xfId="38094"/>
    <cellStyle name="SAPBEXHLevel0 2 8" xfId="38095"/>
    <cellStyle name="SAPBEXHLevel0 2 9" xfId="38096"/>
    <cellStyle name="SAPBEXHLevel0 3" xfId="38097"/>
    <cellStyle name="SAPBEXHLevel0 3 2" xfId="38098"/>
    <cellStyle name="SAPBEXHLevel0 3 2 2" xfId="38099"/>
    <cellStyle name="SAPBEXHLevel0 3 3" xfId="38100"/>
    <cellStyle name="SAPBEXHLevel0 3 4" xfId="38101"/>
    <cellStyle name="SAPBEXHLevel0 3 5" xfId="38102"/>
    <cellStyle name="SAPBEXHLevel0 3 6" xfId="38103"/>
    <cellStyle name="SAPBEXHLevel0 3 7" xfId="38104"/>
    <cellStyle name="SAPBEXHLevel0 3 8" xfId="38105"/>
    <cellStyle name="SAPBEXHLevel0 4" xfId="38106"/>
    <cellStyle name="SAPBEXHLevel0 4 2" xfId="38107"/>
    <cellStyle name="SAPBEXHLevel0 5" xfId="38108"/>
    <cellStyle name="SAPBEXHLevel0 5 2" xfId="38109"/>
    <cellStyle name="SAPBEXHLevel0 6" xfId="38110"/>
    <cellStyle name="SAPBEXHLevel0_2012-04-19 PROJECTIONS-Costs Thru Mar 2012" xfId="38111"/>
    <cellStyle name="SAPBEXHLevel0X" xfId="1698"/>
    <cellStyle name="SAPBEXHLevel0X 2" xfId="38112"/>
    <cellStyle name="SAPBEXHLevel0X 2 10" xfId="38113"/>
    <cellStyle name="SAPBEXHLevel0X 2 2" xfId="38114"/>
    <cellStyle name="SAPBEXHLevel0X 2 2 2" xfId="38115"/>
    <cellStyle name="SAPBEXHLevel0X 2 2 2 2" xfId="38116"/>
    <cellStyle name="SAPBEXHLevel0X 2 2 2 3" xfId="38117"/>
    <cellStyle name="SAPBEXHLevel0X 2 2 2 4" xfId="38118"/>
    <cellStyle name="SAPBEXHLevel0X 2 2 2 5" xfId="38119"/>
    <cellStyle name="SAPBEXHLevel0X 2 2 2 6" xfId="38120"/>
    <cellStyle name="SAPBEXHLevel0X 2 2 2 7" xfId="38121"/>
    <cellStyle name="SAPBEXHLevel0X 2 2 3" xfId="38122"/>
    <cellStyle name="SAPBEXHLevel0X 2 2 4" xfId="38123"/>
    <cellStyle name="SAPBEXHLevel0X 2 2 5" xfId="38124"/>
    <cellStyle name="SAPBEXHLevel0X 2 2 6" xfId="38125"/>
    <cellStyle name="SAPBEXHLevel0X 2 2 7" xfId="38126"/>
    <cellStyle name="SAPBEXHLevel0X 2 2 8" xfId="38127"/>
    <cellStyle name="SAPBEXHLevel0X 2 3" xfId="38128"/>
    <cellStyle name="SAPBEXHLevel0X 2 3 2" xfId="38129"/>
    <cellStyle name="SAPBEXHLevel0X 2 3 3" xfId="38130"/>
    <cellStyle name="SAPBEXHLevel0X 2 3 4" xfId="38131"/>
    <cellStyle name="SAPBEXHLevel0X 2 3 5" xfId="38132"/>
    <cellStyle name="SAPBEXHLevel0X 2 3 6" xfId="38133"/>
    <cellStyle name="SAPBEXHLevel0X 2 3 7" xfId="38134"/>
    <cellStyle name="SAPBEXHLevel0X 2 4" xfId="38135"/>
    <cellStyle name="SAPBEXHLevel0X 2 5" xfId="38136"/>
    <cellStyle name="SAPBEXHLevel0X 2 6" xfId="38137"/>
    <cellStyle name="SAPBEXHLevel0X 2 7" xfId="38138"/>
    <cellStyle name="SAPBEXHLevel0X 2 8" xfId="38139"/>
    <cellStyle name="SAPBEXHLevel0X 2 9" xfId="38140"/>
    <cellStyle name="SAPBEXHLevel0X 3" xfId="38141"/>
    <cellStyle name="SAPBEXHLevel0X 3 10" xfId="38142"/>
    <cellStyle name="SAPBEXHLevel0X 3 11" xfId="38143"/>
    <cellStyle name="SAPBEXHLevel0X 3 2" xfId="38144"/>
    <cellStyle name="SAPBEXHLevel0X 3 2 2" xfId="38145"/>
    <cellStyle name="SAPBEXHLevel0X 3 2 2 2" xfId="38146"/>
    <cellStyle name="SAPBEXHLevel0X 3 2 2 3" xfId="38147"/>
    <cellStyle name="SAPBEXHLevel0X 3 2 2 4" xfId="38148"/>
    <cellStyle name="SAPBEXHLevel0X 3 2 2 5" xfId="38149"/>
    <cellStyle name="SAPBEXHLevel0X 3 2 2 6" xfId="38150"/>
    <cellStyle name="SAPBEXHLevel0X 3 2 2 7" xfId="38151"/>
    <cellStyle name="SAPBEXHLevel0X 3 2 3" xfId="38152"/>
    <cellStyle name="SAPBEXHLevel0X 3 2 4" xfId="38153"/>
    <cellStyle name="SAPBEXHLevel0X 3 2 5" xfId="38154"/>
    <cellStyle name="SAPBEXHLevel0X 3 2 6" xfId="38155"/>
    <cellStyle name="SAPBEXHLevel0X 3 2 7" xfId="38156"/>
    <cellStyle name="SAPBEXHLevel0X 3 2 8" xfId="38157"/>
    <cellStyle name="SAPBEXHLevel0X 3 3" xfId="38158"/>
    <cellStyle name="SAPBEXHLevel0X 3 3 2" xfId="38159"/>
    <cellStyle name="SAPBEXHLevel0X 3 3 2 2" xfId="38160"/>
    <cellStyle name="SAPBEXHLevel0X 3 3 2 3" xfId="38161"/>
    <cellStyle name="SAPBEXHLevel0X 3 3 2 4" xfId="38162"/>
    <cellStyle name="SAPBEXHLevel0X 3 3 2 5" xfId="38163"/>
    <cellStyle name="SAPBEXHLevel0X 3 3 2 6" xfId="38164"/>
    <cellStyle name="SAPBEXHLevel0X 3 3 2 7" xfId="38165"/>
    <cellStyle name="SAPBEXHLevel0X 3 3 3" xfId="38166"/>
    <cellStyle name="SAPBEXHLevel0X 3 3 4" xfId="38167"/>
    <cellStyle name="SAPBEXHLevel0X 3 3 5" xfId="38168"/>
    <cellStyle name="SAPBEXHLevel0X 3 3 6" xfId="38169"/>
    <cellStyle name="SAPBEXHLevel0X 3 3 7" xfId="38170"/>
    <cellStyle name="SAPBEXHLevel0X 3 3 8" xfId="38171"/>
    <cellStyle name="SAPBEXHLevel0X 3 4" xfId="38172"/>
    <cellStyle name="SAPBEXHLevel0X 3 4 2" xfId="38173"/>
    <cellStyle name="SAPBEXHLevel0X 3 4 2 2" xfId="38174"/>
    <cellStyle name="SAPBEXHLevel0X 3 4 2 3" xfId="38175"/>
    <cellStyle name="SAPBEXHLevel0X 3 4 2 4" xfId="38176"/>
    <cellStyle name="SAPBEXHLevel0X 3 4 2 5" xfId="38177"/>
    <cellStyle name="SAPBEXHLevel0X 3 4 2 6" xfId="38178"/>
    <cellStyle name="SAPBEXHLevel0X 3 4 2 7" xfId="38179"/>
    <cellStyle name="SAPBEXHLevel0X 3 4 3" xfId="38180"/>
    <cellStyle name="SAPBEXHLevel0X 3 4 4" xfId="38181"/>
    <cellStyle name="SAPBEXHLevel0X 3 4 5" xfId="38182"/>
    <cellStyle name="SAPBEXHLevel0X 3 4 6" xfId="38183"/>
    <cellStyle name="SAPBEXHLevel0X 3 4 7" xfId="38184"/>
    <cellStyle name="SAPBEXHLevel0X 3 4 8" xfId="38185"/>
    <cellStyle name="SAPBEXHLevel0X 3 5" xfId="38186"/>
    <cellStyle name="SAPBEXHLevel0X 3 6" xfId="38187"/>
    <cellStyle name="SAPBEXHLevel0X 3 7" xfId="38188"/>
    <cellStyle name="SAPBEXHLevel0X 3 8" xfId="38189"/>
    <cellStyle name="SAPBEXHLevel0X 3 9" xfId="38190"/>
    <cellStyle name="SAPBEXHLevel0X 4" xfId="38191"/>
    <cellStyle name="SAPBEXHLevel0X 4 2" xfId="38192"/>
    <cellStyle name="SAPBEXHLevel0X 4 2 2" xfId="38193"/>
    <cellStyle name="SAPBEXHLevel0X 4 2 3" xfId="38194"/>
    <cellStyle name="SAPBEXHLevel0X 4 2 4" xfId="38195"/>
    <cellStyle name="SAPBEXHLevel0X 4 2 5" xfId="38196"/>
    <cellStyle name="SAPBEXHLevel0X 4 2 6" xfId="38197"/>
    <cellStyle name="SAPBEXHLevel0X 4 2 7" xfId="38198"/>
    <cellStyle name="SAPBEXHLevel0X 4 3" xfId="38199"/>
    <cellStyle name="SAPBEXHLevel0X 4 4" xfId="38200"/>
    <cellStyle name="SAPBEXHLevel0X 4 5" xfId="38201"/>
    <cellStyle name="SAPBEXHLevel0X 4 6" xfId="38202"/>
    <cellStyle name="SAPBEXHLevel0X 4 7" xfId="38203"/>
    <cellStyle name="SAPBEXHLevel0X 4 8" xfId="38204"/>
    <cellStyle name="SAPBEXHLevel0X 5" xfId="38205"/>
    <cellStyle name="SAPBEXHLevel0X 5 2" xfId="38206"/>
    <cellStyle name="SAPBEXHLevel0X 5 3" xfId="38207"/>
    <cellStyle name="SAPBEXHLevel0X 5 4" xfId="38208"/>
    <cellStyle name="SAPBEXHLevel0X 5 5" xfId="38209"/>
    <cellStyle name="SAPBEXHLevel0X 5 6" xfId="38210"/>
    <cellStyle name="SAPBEXHLevel0X 5 7" xfId="38211"/>
    <cellStyle name="SAPBEXHLevel0X 6" xfId="38212"/>
    <cellStyle name="SAPBEXHLevel0X 7" xfId="38213"/>
    <cellStyle name="SAPBEXHLevel0X_2012-04-19 PROJECTIONS-Costs Thru Mar 2012" xfId="38214"/>
    <cellStyle name="SAPBEXHLevel1" xfId="1699"/>
    <cellStyle name="SAPBEXHLevel1 2" xfId="38215"/>
    <cellStyle name="SAPBEXHLevel1 2 2" xfId="38216"/>
    <cellStyle name="SAPBEXHLevel1 2 2 2" xfId="38217"/>
    <cellStyle name="SAPBEXHLevel1 2 2 3" xfId="38218"/>
    <cellStyle name="SAPBEXHLevel1 2 2 4" xfId="38219"/>
    <cellStyle name="SAPBEXHLevel1 2 2 5" xfId="38220"/>
    <cellStyle name="SAPBEXHLevel1 2 2 6" xfId="38221"/>
    <cellStyle name="SAPBEXHLevel1 2 2 7" xfId="38222"/>
    <cellStyle name="SAPBEXHLevel1 2 3" xfId="38223"/>
    <cellStyle name="SAPBEXHLevel1 2 4" xfId="38224"/>
    <cellStyle name="SAPBEXHLevel1 2 5" xfId="38225"/>
    <cellStyle name="SAPBEXHLevel1 2 6" xfId="38226"/>
    <cellStyle name="SAPBEXHLevel1 2 7" xfId="38227"/>
    <cellStyle name="SAPBEXHLevel1 2 8" xfId="38228"/>
    <cellStyle name="SAPBEXHLevel1 2 9" xfId="38229"/>
    <cellStyle name="SAPBEXHLevel1 3" xfId="38230"/>
    <cellStyle name="SAPBEXHLevel1 3 2" xfId="38231"/>
    <cellStyle name="SAPBEXHLevel1 3 2 2" xfId="38232"/>
    <cellStyle name="SAPBEXHLevel1 3 3" xfId="38233"/>
    <cellStyle name="SAPBEXHLevel1 3 4" xfId="38234"/>
    <cellStyle name="SAPBEXHLevel1 3 5" xfId="38235"/>
    <cellStyle name="SAPBEXHLevel1 3 6" xfId="38236"/>
    <cellStyle name="SAPBEXHLevel1 3 7" xfId="38237"/>
    <cellStyle name="SAPBEXHLevel1 3 8" xfId="38238"/>
    <cellStyle name="SAPBEXHLevel1 4" xfId="38239"/>
    <cellStyle name="SAPBEXHLevel1 4 2" xfId="38240"/>
    <cellStyle name="SAPBEXHLevel1 5" xfId="38241"/>
    <cellStyle name="SAPBEXHLevel1 5 2" xfId="38242"/>
    <cellStyle name="SAPBEXHLevel1 6" xfId="38243"/>
    <cellStyle name="SAPBEXHLevel1_2012-04-19 PROJECTIONS-Costs Thru Mar 2012" xfId="38244"/>
    <cellStyle name="SAPBEXHLevel1X" xfId="1700"/>
    <cellStyle name="SAPBEXHLevel1X 2" xfId="38245"/>
    <cellStyle name="SAPBEXHLevel1X 2 2" xfId="38246"/>
    <cellStyle name="SAPBEXHLevel1X 2 2 2" xfId="38247"/>
    <cellStyle name="SAPBEXHLevel1X 2 2 3" xfId="38248"/>
    <cellStyle name="SAPBEXHLevel1X 2 2 4" xfId="38249"/>
    <cellStyle name="SAPBEXHLevel1X 2 2 5" xfId="38250"/>
    <cellStyle name="SAPBEXHLevel1X 2 2 6" xfId="38251"/>
    <cellStyle name="SAPBEXHLevel1X 2 2 7" xfId="38252"/>
    <cellStyle name="SAPBEXHLevel1X 2 3" xfId="38253"/>
    <cellStyle name="SAPBEXHLevel1X 2 4" xfId="38254"/>
    <cellStyle name="SAPBEXHLevel1X 2 5" xfId="38255"/>
    <cellStyle name="SAPBEXHLevel1X 2 6" xfId="38256"/>
    <cellStyle name="SAPBEXHLevel1X 2 7" xfId="38257"/>
    <cellStyle name="SAPBEXHLevel1X 2 8" xfId="38258"/>
    <cellStyle name="SAPBEXHLevel1X 2 9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3 8" xfId="38268"/>
    <cellStyle name="SAPBEXHLevel1X 4" xfId="38269"/>
    <cellStyle name="SAPBEXHLevel1X 4 2" xfId="38270"/>
    <cellStyle name="SAPBEXHLevel1X 5" xfId="38271"/>
    <cellStyle name="SAPBEXHLevel1X 5 2" xfId="38272"/>
    <cellStyle name="SAPBEXHLevel1X 6" xfId="38273"/>
    <cellStyle name="SAPBEXHLevel1X_2012-04-19 PROJECTIONS-Costs Thru Mar 2012" xfId="38274"/>
    <cellStyle name="SAPBEXHLevel2" xfId="1701"/>
    <cellStyle name="SAPBEXHLevel2 2" xfId="38275"/>
    <cellStyle name="SAPBEXHLevel2 2 2" xfId="38276"/>
    <cellStyle name="SAPBEXHLevel2 2 2 2" xfId="38277"/>
    <cellStyle name="SAPBEXHLevel2 2 2 3" xfId="38278"/>
    <cellStyle name="SAPBEXHLevel2 2 2 4" xfId="38279"/>
    <cellStyle name="SAPBEXHLevel2 2 2 5" xfId="38280"/>
    <cellStyle name="SAPBEXHLevel2 2 2 6" xfId="38281"/>
    <cellStyle name="SAPBEXHLevel2 2 2 7" xfId="38282"/>
    <cellStyle name="SAPBEXHLevel2 2 3" xfId="38283"/>
    <cellStyle name="SAPBEXHLevel2 2 4" xfId="38284"/>
    <cellStyle name="SAPBEXHLevel2 2 5" xfId="38285"/>
    <cellStyle name="SAPBEXHLevel2 2 6" xfId="38286"/>
    <cellStyle name="SAPBEXHLevel2 2 7" xfId="38287"/>
    <cellStyle name="SAPBEXHLevel2 2 8" xfId="38288"/>
    <cellStyle name="SAPBEXHLevel2 2 9" xfId="38289"/>
    <cellStyle name="SAPBEXHLevel2 3" xfId="38290"/>
    <cellStyle name="SAPBEXHLevel2 3 2" xfId="38291"/>
    <cellStyle name="SAPBEXHLevel2 3 2 2" xfId="38292"/>
    <cellStyle name="SAPBEXHLevel2 3 3" xfId="38293"/>
    <cellStyle name="SAPBEXHLevel2 3 4" xfId="38294"/>
    <cellStyle name="SAPBEXHLevel2 3 5" xfId="38295"/>
    <cellStyle name="SAPBEXHLevel2 3 6" xfId="38296"/>
    <cellStyle name="SAPBEXHLevel2 3 7" xfId="38297"/>
    <cellStyle name="SAPBEXHLevel2 3 8" xfId="38298"/>
    <cellStyle name="SAPBEXHLevel2 4" xfId="38299"/>
    <cellStyle name="SAPBEXHLevel2 4 2" xfId="38300"/>
    <cellStyle name="SAPBEXHLevel2 5" xfId="38301"/>
    <cellStyle name="SAPBEXHLevel2 5 2" xfId="38302"/>
    <cellStyle name="SAPBEXHLevel2 6" xfId="38303"/>
    <cellStyle name="SAPBEXHLevel2_2012-04-19 PROJECTIONS-Costs Thru Mar 2012" xfId="38304"/>
    <cellStyle name="SAPBEXHLevel2X" xfId="1702"/>
    <cellStyle name="SAPBEXHLevel2X 2" xfId="38305"/>
    <cellStyle name="SAPBEXHLevel2X 2 2" xfId="38306"/>
    <cellStyle name="SAPBEXHLevel2X 2 2 2" xfId="38307"/>
    <cellStyle name="SAPBEXHLevel2X 2 2 3" xfId="38308"/>
    <cellStyle name="SAPBEXHLevel2X 2 2 4" xfId="38309"/>
    <cellStyle name="SAPBEXHLevel2X 2 2 5" xfId="38310"/>
    <cellStyle name="SAPBEXHLevel2X 2 2 6" xfId="38311"/>
    <cellStyle name="SAPBEXHLevel2X 2 2 7" xfId="38312"/>
    <cellStyle name="SAPBEXHLevel2X 2 3" xfId="38313"/>
    <cellStyle name="SAPBEXHLevel2X 2 4" xfId="38314"/>
    <cellStyle name="SAPBEXHLevel2X 2 5" xfId="38315"/>
    <cellStyle name="SAPBEXHLevel2X 2 6" xfId="38316"/>
    <cellStyle name="SAPBEXHLevel2X 2 7" xfId="38317"/>
    <cellStyle name="SAPBEXHLevel2X 2 8" xfId="38318"/>
    <cellStyle name="SAPBEXHLevel2X 2 9" xfId="38319"/>
    <cellStyle name="SAPBEXHLevel2X 3" xfId="38320"/>
    <cellStyle name="SAPBEXHLevel2X 3 2" xfId="38321"/>
    <cellStyle name="SAPBEXHLevel2X 3 2 2" xfId="38322"/>
    <cellStyle name="SAPBEXHLevel2X 3 3" xfId="38323"/>
    <cellStyle name="SAPBEXHLevel2X 3 4" xfId="38324"/>
    <cellStyle name="SAPBEXHLevel2X 3 5" xfId="38325"/>
    <cellStyle name="SAPBEXHLevel2X 3 6" xfId="38326"/>
    <cellStyle name="SAPBEXHLevel2X 3 7" xfId="38327"/>
    <cellStyle name="SAPBEXHLevel2X 3 8" xfId="38328"/>
    <cellStyle name="SAPBEXHLevel2X 4" xfId="38329"/>
    <cellStyle name="SAPBEXHLevel2X 4 2" xfId="38330"/>
    <cellStyle name="SAPBEXHLevel2X 5" xfId="38331"/>
    <cellStyle name="SAPBEXHLevel2X 5 2" xfId="38332"/>
    <cellStyle name="SAPBEXHLevel2X 6" xfId="38333"/>
    <cellStyle name="SAPBEXHLevel2X_2012-04-19 PROJECTIONS-Costs Thru Mar 2012" xfId="38334"/>
    <cellStyle name="SAPBEXHLevel3" xfId="1703"/>
    <cellStyle name="SAPBEXHLevel3 2" xfId="38335"/>
    <cellStyle name="SAPBEXHLevel3 2 2" xfId="38336"/>
    <cellStyle name="SAPBEXHLevel3 2 2 2" xfId="38337"/>
    <cellStyle name="SAPBEXHLevel3 2 2 3" xfId="38338"/>
    <cellStyle name="SAPBEXHLevel3 2 2 4" xfId="38339"/>
    <cellStyle name="SAPBEXHLevel3 2 2 5" xfId="38340"/>
    <cellStyle name="SAPBEXHLevel3 2 2 6" xfId="38341"/>
    <cellStyle name="SAPBEXHLevel3 2 2 7" xfId="38342"/>
    <cellStyle name="SAPBEXHLevel3 2 3" xfId="38343"/>
    <cellStyle name="SAPBEXHLevel3 2 4" xfId="38344"/>
    <cellStyle name="SAPBEXHLevel3 2 5" xfId="38345"/>
    <cellStyle name="SAPBEXHLevel3 2 6" xfId="38346"/>
    <cellStyle name="SAPBEXHLevel3 2 7" xfId="38347"/>
    <cellStyle name="SAPBEXHLevel3 2 8" xfId="38348"/>
    <cellStyle name="SAPBEXHLevel3 2 9" xfId="38349"/>
    <cellStyle name="SAPBEXHLevel3 3" xfId="38350"/>
    <cellStyle name="SAPBEXHLevel3 3 2" xfId="38351"/>
    <cellStyle name="SAPBEXHLevel3 3 2 2" xfId="38352"/>
    <cellStyle name="SAPBEXHLevel3 3 3" xfId="38353"/>
    <cellStyle name="SAPBEXHLevel3 3 4" xfId="38354"/>
    <cellStyle name="SAPBEXHLevel3 3 5" xfId="38355"/>
    <cellStyle name="SAPBEXHLevel3 3 6" xfId="38356"/>
    <cellStyle name="SAPBEXHLevel3 3 7" xfId="38357"/>
    <cellStyle name="SAPBEXHLevel3 3 8" xfId="38358"/>
    <cellStyle name="SAPBEXHLevel3 4" xfId="38359"/>
    <cellStyle name="SAPBEXHLevel3 4 2" xfId="38360"/>
    <cellStyle name="SAPBEXHLevel3 5" xfId="38361"/>
    <cellStyle name="SAPBEXHLevel3 5 2" xfId="38362"/>
    <cellStyle name="SAPBEXHLevel3 6" xfId="38363"/>
    <cellStyle name="SAPBEXHLevel3_2012-04-19 PROJECTIONS-Costs Thru Mar 2012" xfId="38364"/>
    <cellStyle name="SAPBEXHLevel3X" xfId="1704"/>
    <cellStyle name="SAPBEXHLevel3X 2" xfId="38365"/>
    <cellStyle name="SAPBEXHLevel3X 2 2" xfId="38366"/>
    <cellStyle name="SAPBEXHLevel3X 2 2 2" xfId="38367"/>
    <cellStyle name="SAPBEXHLevel3X 2 2 3" xfId="38368"/>
    <cellStyle name="SAPBEXHLevel3X 2 2 4" xfId="38369"/>
    <cellStyle name="SAPBEXHLevel3X 2 2 5" xfId="38370"/>
    <cellStyle name="SAPBEXHLevel3X 2 2 6" xfId="38371"/>
    <cellStyle name="SAPBEXHLevel3X 2 2 7" xfId="38372"/>
    <cellStyle name="SAPBEXHLevel3X 2 3" xfId="38373"/>
    <cellStyle name="SAPBEXHLevel3X 2 4" xfId="38374"/>
    <cellStyle name="SAPBEXHLevel3X 2 5" xfId="38375"/>
    <cellStyle name="SAPBEXHLevel3X 2 6" xfId="38376"/>
    <cellStyle name="SAPBEXHLevel3X 2 7" xfId="38377"/>
    <cellStyle name="SAPBEXHLevel3X 2 8" xfId="38378"/>
    <cellStyle name="SAPBEXHLevel3X 2 9" xfId="38379"/>
    <cellStyle name="SAPBEXHLevel3X 3" xfId="38380"/>
    <cellStyle name="SAPBEXHLevel3X 3 2" xfId="38381"/>
    <cellStyle name="SAPBEXHLevel3X 3 2 2" xfId="38382"/>
    <cellStyle name="SAPBEXHLevel3X 3 3" xfId="38383"/>
    <cellStyle name="SAPBEXHLevel3X 3 4" xfId="38384"/>
    <cellStyle name="SAPBEXHLevel3X 3 5" xfId="38385"/>
    <cellStyle name="SAPBEXHLevel3X 3 6" xfId="38386"/>
    <cellStyle name="SAPBEXHLevel3X 3 7" xfId="38387"/>
    <cellStyle name="SAPBEXHLevel3X 3 8" xfId="38388"/>
    <cellStyle name="SAPBEXHLevel3X 4" xfId="38389"/>
    <cellStyle name="SAPBEXHLevel3X 4 2" xfId="38390"/>
    <cellStyle name="SAPBEXHLevel3X 5" xfId="38391"/>
    <cellStyle name="SAPBEXHLevel3X 5 2" xfId="38392"/>
    <cellStyle name="SAPBEXHLevel3X 6" xfId="38393"/>
    <cellStyle name="SAPBEXHLevel3X_2012-04-19 PROJECTIONS-Costs Thru Mar 2012" xfId="38394"/>
    <cellStyle name="SAPBEXinputData" xfId="1705"/>
    <cellStyle name="SAPBEXinputData 2" xfId="38395"/>
    <cellStyle name="SAPBEXinputData 2 2" xfId="38396"/>
    <cellStyle name="SAPBEXinputData 2 2 2" xfId="38397"/>
    <cellStyle name="SAPBEXinputData 2 2 3" xfId="38398"/>
    <cellStyle name="SAPBEXinputData 2 2 4" xfId="38399"/>
    <cellStyle name="SAPBEXinputData 2 2 5" xfId="38400"/>
    <cellStyle name="SAPBEXinputData 2 2 6" xfId="38401"/>
    <cellStyle name="SAPBEXinputData 2 2 7" xfId="38402"/>
    <cellStyle name="SAPBEXinputData 2 3" xfId="38403"/>
    <cellStyle name="SAPBEXinputData 2 4" xfId="38404"/>
    <cellStyle name="SAPBEXinputData 2 5" xfId="38405"/>
    <cellStyle name="SAPBEXinputData 2 6" xfId="38406"/>
    <cellStyle name="SAPBEXinputData 2 7" xfId="38407"/>
    <cellStyle name="SAPBEXinputData 2 8" xfId="38408"/>
    <cellStyle name="SAPBEXinputData 2 9" xfId="38409"/>
    <cellStyle name="SAPBEXinputData 3" xfId="38410"/>
    <cellStyle name="SAPBEXinputData 3 2" xfId="38411"/>
    <cellStyle name="SAPBEXinputData 3 3" xfId="38412"/>
    <cellStyle name="SAPBEXinputData 3 4" xfId="38413"/>
    <cellStyle name="SAPBEXinputData 3 5" xfId="38414"/>
    <cellStyle name="SAPBEXinputData 3 6" xfId="38415"/>
    <cellStyle name="SAPBEXinputData 3 7" xfId="38416"/>
    <cellStyle name="SAPBEXinputData 4" xfId="38417"/>
    <cellStyle name="SAPBEXinputData 5" xfId="38418"/>
    <cellStyle name="SAPBEXItemHeader" xfId="1706"/>
    <cellStyle name="SAPBEXItemHeader 2" xfId="38419"/>
    <cellStyle name="SAPBEXresData" xfId="1707"/>
    <cellStyle name="SAPBEXresData 2" xfId="38420"/>
    <cellStyle name="SAPBEXresData 2 2" xfId="38421"/>
    <cellStyle name="SAPBEXresData 2 2 2" xfId="38422"/>
    <cellStyle name="SAPBEXresData 2 3" xfId="38423"/>
    <cellStyle name="SAPBEXresData 2 4" xfId="38424"/>
    <cellStyle name="SAPBEXresData 2 5" xfId="38425"/>
    <cellStyle name="SAPBEXresData 2 6" xfId="38426"/>
    <cellStyle name="SAPBEXresData 2 7" xfId="38427"/>
    <cellStyle name="SAPBEXresData 3" xfId="38428"/>
    <cellStyle name="SAPBEXresData 3 2" xfId="38429"/>
    <cellStyle name="SAPBEXresData 4" xfId="38430"/>
    <cellStyle name="SAPBEXresData 4 2" xfId="38431"/>
    <cellStyle name="SAPBEXresData 5" xfId="38432"/>
    <cellStyle name="SAPBEXresDataEmph" xfId="1708"/>
    <cellStyle name="SAPBEXresDataEmph 2" xfId="38433"/>
    <cellStyle name="SAPBEXresDataEmph 2 2" xfId="38434"/>
    <cellStyle name="SAPBEXresDataEmph 2 2 2" xfId="38435"/>
    <cellStyle name="SAPBEXresDataEmph 2 3" xfId="38436"/>
    <cellStyle name="SAPBEXresDataEmph 2 4" xfId="38437"/>
    <cellStyle name="SAPBEXresDataEmph 2 5" xfId="38438"/>
    <cellStyle name="SAPBEXresDataEmph 2 6" xfId="38439"/>
    <cellStyle name="SAPBEXresDataEmph 2 7" xfId="38440"/>
    <cellStyle name="SAPBEXresDataEmph 3" xfId="38441"/>
    <cellStyle name="SAPBEXresDataEmph 3 2" xfId="38442"/>
    <cellStyle name="SAPBEXresDataEmph 4" xfId="38443"/>
    <cellStyle name="SAPBEXresDataEmph 4 2" xfId="38444"/>
    <cellStyle name="SAPBEXresDataEmph 5" xfId="38445"/>
    <cellStyle name="SAPBEXresItem" xfId="1709"/>
    <cellStyle name="SAPBEXresItem 2" xfId="38446"/>
    <cellStyle name="SAPBEXresItem 2 2" xfId="38447"/>
    <cellStyle name="SAPBEXresItem 2 2 2" xfId="38448"/>
    <cellStyle name="SAPBEXresItem 2 3" xfId="38449"/>
    <cellStyle name="SAPBEXresItem 2 4" xfId="38450"/>
    <cellStyle name="SAPBEXresItem 2 5" xfId="38451"/>
    <cellStyle name="SAPBEXresItem 2 6" xfId="38452"/>
    <cellStyle name="SAPBEXresItem 2 7" xfId="38453"/>
    <cellStyle name="SAPBEXresItem 3" xfId="38454"/>
    <cellStyle name="SAPBEXresItem 3 2" xfId="38455"/>
    <cellStyle name="SAPBEXresItem 4" xfId="38456"/>
    <cellStyle name="SAPBEXresItem 4 2" xfId="38457"/>
    <cellStyle name="SAPBEXresItem 5" xfId="38458"/>
    <cellStyle name="SAPBEXresItemX" xfId="1710"/>
    <cellStyle name="SAPBEXresItemX 2" xfId="38459"/>
    <cellStyle name="SAPBEXresItemX 2 2" xfId="38460"/>
    <cellStyle name="SAPBEXresItemX 2 2 2" xfId="38461"/>
    <cellStyle name="SAPBEXresItemX 2 3" xfId="38462"/>
    <cellStyle name="SAPBEXresItemX 2 4" xfId="38463"/>
    <cellStyle name="SAPBEXresItemX 2 5" xfId="38464"/>
    <cellStyle name="SAPBEXresItemX 2 6" xfId="38465"/>
    <cellStyle name="SAPBEXresItemX 2 7" xfId="38466"/>
    <cellStyle name="SAPBEXresItemX 3" xfId="38467"/>
    <cellStyle name="SAPBEXresItemX 3 2" xfId="38468"/>
    <cellStyle name="SAPBEXresItemX 4" xfId="38469"/>
    <cellStyle name="SAPBEXresItemX 4 2" xfId="38470"/>
    <cellStyle name="SAPBEXresItemX 5" xfId="38471"/>
    <cellStyle name="SAPBEXstdData" xfId="1711"/>
    <cellStyle name="SAPBEXstdData 2" xfId="38472"/>
    <cellStyle name="SAPBEXstdData 2 2" xfId="38473"/>
    <cellStyle name="SAPBEXstdData 2 2 2" xfId="38474"/>
    <cellStyle name="SAPBEXstdData 2 2 3" xfId="38475"/>
    <cellStyle name="SAPBEXstdData 2 3" xfId="38476"/>
    <cellStyle name="SAPBEXstdData 2 3 2" xfId="38477"/>
    <cellStyle name="SAPBEXstdData 2 4" xfId="38478"/>
    <cellStyle name="SAPBEXstdData 2 5" xfId="38479"/>
    <cellStyle name="SAPBEXstdData 2 6" xfId="38480"/>
    <cellStyle name="SAPBEXstdData 2 7" xfId="38481"/>
    <cellStyle name="SAPBEXstdData 2 8" xfId="38482"/>
    <cellStyle name="SAPBEXstdData 3" xfId="38483"/>
    <cellStyle name="SAPBEXstdData 3 2" xfId="38484"/>
    <cellStyle name="SAPBEXstdData 3 2 2" xfId="38485"/>
    <cellStyle name="SAPBEXstdData 3 3" xfId="38486"/>
    <cellStyle name="SAPBEXstdData 3 4" xfId="38487"/>
    <cellStyle name="SAPBEXstdData 3 5" xfId="38488"/>
    <cellStyle name="SAPBEXstdData 3 6" xfId="38489"/>
    <cellStyle name="SAPBEXstdData 3 7" xfId="38490"/>
    <cellStyle name="SAPBEXstdData 4" xfId="38491"/>
    <cellStyle name="SAPBEXstdData 4 2" xfId="38492"/>
    <cellStyle name="SAPBEXstdData 4 3" xfId="38493"/>
    <cellStyle name="SAPBEXstdData 5" xfId="38494"/>
    <cellStyle name="SAPBEXstdData 5 2" xfId="38495"/>
    <cellStyle name="SAPBEXstdData 6" xfId="38496"/>
    <cellStyle name="SAPBEXstdDataEmph" xfId="1712"/>
    <cellStyle name="SAPBEXstdDataEmph 2" xfId="38497"/>
    <cellStyle name="SAPBEXstdDataEmph 2 2" xfId="38498"/>
    <cellStyle name="SAPBEXstdDataEmph 2 2 2" xfId="38499"/>
    <cellStyle name="SAPBEXstdDataEmph 2 3" xfId="38500"/>
    <cellStyle name="SAPBEXstdDataEmph 2 4" xfId="38501"/>
    <cellStyle name="SAPBEXstdDataEmph 2 5" xfId="38502"/>
    <cellStyle name="SAPBEXstdDataEmph 2 6" xfId="38503"/>
    <cellStyle name="SAPBEXstdDataEmph 2 7" xfId="38504"/>
    <cellStyle name="SAPBEXstdDataEmph 3" xfId="38505"/>
    <cellStyle name="SAPBEXstdDataEmph 3 2" xfId="38506"/>
    <cellStyle name="SAPBEXstdDataEmph 4" xfId="38507"/>
    <cellStyle name="SAPBEXstdDataEmph 4 2" xfId="38508"/>
    <cellStyle name="SAPBEXstdDataEmph 5" xfId="38509"/>
    <cellStyle name="SAPBEXstdItem" xfId="1713"/>
    <cellStyle name="SAPBEXstdItem 2" xfId="38510"/>
    <cellStyle name="SAPBEXstdItem 2 10" xfId="38511"/>
    <cellStyle name="SAPBEXstdItem 2 2" xfId="38512"/>
    <cellStyle name="SAPBEXstdItem 2 2 2" xfId="38513"/>
    <cellStyle name="SAPBEXstdItem 2 2 2 2" xfId="38514"/>
    <cellStyle name="SAPBEXstdItem 2 2 2 3" xfId="38515"/>
    <cellStyle name="SAPBEXstdItem 2 2 2 4" xfId="38516"/>
    <cellStyle name="SAPBEXstdItem 2 2 2 5" xfId="38517"/>
    <cellStyle name="SAPBEXstdItem 2 2 2 6" xfId="38518"/>
    <cellStyle name="SAPBEXstdItem 2 2 2 7" xfId="38519"/>
    <cellStyle name="SAPBEXstdItem 2 2 3" xfId="38520"/>
    <cellStyle name="SAPBEXstdItem 2 2 4" xfId="38521"/>
    <cellStyle name="SAPBEXstdItem 2 2 5" xfId="38522"/>
    <cellStyle name="SAPBEXstdItem 2 2 6" xfId="38523"/>
    <cellStyle name="SAPBEXstdItem 2 2 7" xfId="38524"/>
    <cellStyle name="SAPBEXstdItem 2 2 8" xfId="38525"/>
    <cellStyle name="SAPBEXstdItem 2 3" xfId="38526"/>
    <cellStyle name="SAPBEXstdItem 2 3 2" xfId="38527"/>
    <cellStyle name="SAPBEXstdItem 2 3 3" xfId="38528"/>
    <cellStyle name="SAPBEXstdItem 2 3 4" xfId="38529"/>
    <cellStyle name="SAPBEXstdItem 2 3 5" xfId="38530"/>
    <cellStyle name="SAPBEXstdItem 2 3 6" xfId="38531"/>
    <cellStyle name="SAPBEXstdItem 2 3 7" xfId="38532"/>
    <cellStyle name="SAPBEXstdItem 2 4" xfId="38533"/>
    <cellStyle name="SAPBEXstdItem 2 5" xfId="38534"/>
    <cellStyle name="SAPBEXstdItem 2 6" xfId="38535"/>
    <cellStyle name="SAPBEXstdItem 2 7" xfId="38536"/>
    <cellStyle name="SAPBEXstdItem 2 8" xfId="38537"/>
    <cellStyle name="SAPBEXstdItem 2 9" xfId="38538"/>
    <cellStyle name="SAPBEXstdItem 3" xfId="38539"/>
    <cellStyle name="SAPBEXstdItem 3 10" xfId="38540"/>
    <cellStyle name="SAPBEXstdItem 3 2" xfId="38541"/>
    <cellStyle name="SAPBEXstdItem 3 2 2" xfId="38542"/>
    <cellStyle name="SAPBEXstdItem 3 2 2 2" xfId="38543"/>
    <cellStyle name="SAPBEXstdItem 3 2 2 3" xfId="38544"/>
    <cellStyle name="SAPBEXstdItem 3 2 2 4" xfId="38545"/>
    <cellStyle name="SAPBEXstdItem 3 2 2 5" xfId="38546"/>
    <cellStyle name="SAPBEXstdItem 3 2 2 6" xfId="38547"/>
    <cellStyle name="SAPBEXstdItem 3 2 2 7" xfId="38548"/>
    <cellStyle name="SAPBEXstdItem 3 2 3" xfId="38549"/>
    <cellStyle name="SAPBEXstdItem 3 2 4" xfId="38550"/>
    <cellStyle name="SAPBEXstdItem 3 2 5" xfId="38551"/>
    <cellStyle name="SAPBEXstdItem 3 2 6" xfId="38552"/>
    <cellStyle name="SAPBEXstdItem 3 2 7" xfId="38553"/>
    <cellStyle name="SAPBEXstdItem 3 2 8" xfId="38554"/>
    <cellStyle name="SAPBEXstdItem 3 3" xfId="38555"/>
    <cellStyle name="SAPBEXstdItem 3 3 2" xfId="38556"/>
    <cellStyle name="SAPBEXstdItem 3 3 2 2" xfId="38557"/>
    <cellStyle name="SAPBEXstdItem 3 3 2 3" xfId="38558"/>
    <cellStyle name="SAPBEXstdItem 3 3 2 4" xfId="38559"/>
    <cellStyle name="SAPBEXstdItem 3 3 2 5" xfId="38560"/>
    <cellStyle name="SAPBEXstdItem 3 3 2 6" xfId="38561"/>
    <cellStyle name="SAPBEXstdItem 3 3 2 7" xfId="38562"/>
    <cellStyle name="SAPBEXstdItem 3 3 3" xfId="38563"/>
    <cellStyle name="SAPBEXstdItem 3 3 4" xfId="38564"/>
    <cellStyle name="SAPBEXstdItem 3 3 5" xfId="38565"/>
    <cellStyle name="SAPBEXstdItem 3 3 6" xfId="38566"/>
    <cellStyle name="SAPBEXstdItem 3 3 7" xfId="38567"/>
    <cellStyle name="SAPBEXstdItem 3 3 8" xfId="38568"/>
    <cellStyle name="SAPBEXstdItem 3 4" xfId="38569"/>
    <cellStyle name="SAPBEXstdItem 3 4 2" xfId="38570"/>
    <cellStyle name="SAPBEXstdItem 3 4 2 2" xfId="38571"/>
    <cellStyle name="SAPBEXstdItem 3 4 2 3" xfId="38572"/>
    <cellStyle name="SAPBEXstdItem 3 4 2 4" xfId="38573"/>
    <cellStyle name="SAPBEXstdItem 3 4 2 5" xfId="38574"/>
    <cellStyle name="SAPBEXstdItem 3 4 2 6" xfId="38575"/>
    <cellStyle name="SAPBEXstdItem 3 4 2 7" xfId="38576"/>
    <cellStyle name="SAPBEXstdItem 3 4 3" xfId="38577"/>
    <cellStyle name="SAPBEXstdItem 3 4 4" xfId="38578"/>
    <cellStyle name="SAPBEXstdItem 3 4 5" xfId="38579"/>
    <cellStyle name="SAPBEXstdItem 3 4 6" xfId="38580"/>
    <cellStyle name="SAPBEXstdItem 3 4 7" xfId="38581"/>
    <cellStyle name="SAPBEXstdItem 3 4 8" xfId="38582"/>
    <cellStyle name="SAPBEXstdItem 3 5" xfId="38583"/>
    <cellStyle name="SAPBEXstdItem 3 6" xfId="38584"/>
    <cellStyle name="SAPBEXstdItem 3 7" xfId="38585"/>
    <cellStyle name="SAPBEXstdItem 3 8" xfId="38586"/>
    <cellStyle name="SAPBEXstdItem 3 9" xfId="38587"/>
    <cellStyle name="SAPBEXstdItem 4" xfId="38588"/>
    <cellStyle name="SAPBEXstdItem 4 2" xfId="38589"/>
    <cellStyle name="SAPBEXstdItem 4 2 2" xfId="38590"/>
    <cellStyle name="SAPBEXstdItem 4 2 3" xfId="38591"/>
    <cellStyle name="SAPBEXstdItem 4 2 4" xfId="38592"/>
    <cellStyle name="SAPBEXstdItem 4 2 5" xfId="38593"/>
    <cellStyle name="SAPBEXstdItem 4 2 6" xfId="38594"/>
    <cellStyle name="SAPBEXstdItem 4 2 7" xfId="38595"/>
    <cellStyle name="SAPBEXstdItem 4 3" xfId="38596"/>
    <cellStyle name="SAPBEXstdItem 4 4" xfId="38597"/>
    <cellStyle name="SAPBEXstdItem 4 5" xfId="38598"/>
    <cellStyle name="SAPBEXstdItem 4 6" xfId="38599"/>
    <cellStyle name="SAPBEXstdItem 4 7" xfId="38600"/>
    <cellStyle name="SAPBEXstdItem 4 8" xfId="38601"/>
    <cellStyle name="SAPBEXstdItem 5" xfId="38602"/>
    <cellStyle name="SAPBEXstdItem 5 2" xfId="38603"/>
    <cellStyle name="SAPBEXstdItem 5 3" xfId="38604"/>
    <cellStyle name="SAPBEXstdItem 5 4" xfId="38605"/>
    <cellStyle name="SAPBEXstdItem 5 5" xfId="38606"/>
    <cellStyle name="SAPBEXstdItem 5 6" xfId="38607"/>
    <cellStyle name="SAPBEXstdItem 5 7" xfId="38608"/>
    <cellStyle name="SAPBEXstdItem 6" xfId="38609"/>
    <cellStyle name="SAPBEXstdItem 7" xfId="38610"/>
    <cellStyle name="SAPBEXstdItemX" xfId="1714"/>
    <cellStyle name="SAPBEXstdItemX 2" xfId="38611"/>
    <cellStyle name="SAPBEXstdItemX 2 10" xfId="38612"/>
    <cellStyle name="SAPBEXstdItemX 2 2" xfId="38613"/>
    <cellStyle name="SAPBEXstdItemX 2 2 2" xfId="38614"/>
    <cellStyle name="SAPBEXstdItemX 2 2 2 2" xfId="38615"/>
    <cellStyle name="SAPBEXstdItemX 2 2 2 3" xfId="38616"/>
    <cellStyle name="SAPBEXstdItemX 2 2 2 4" xfId="38617"/>
    <cellStyle name="SAPBEXstdItemX 2 2 2 5" xfId="38618"/>
    <cellStyle name="SAPBEXstdItemX 2 2 2 6" xfId="38619"/>
    <cellStyle name="SAPBEXstdItemX 2 2 2 7" xfId="38620"/>
    <cellStyle name="SAPBEXstdItemX 2 2 3" xfId="38621"/>
    <cellStyle name="SAPBEXstdItemX 2 2 4" xfId="38622"/>
    <cellStyle name="SAPBEXstdItemX 2 2 5" xfId="38623"/>
    <cellStyle name="SAPBEXstdItemX 2 2 6" xfId="38624"/>
    <cellStyle name="SAPBEXstdItemX 2 2 7" xfId="38625"/>
    <cellStyle name="SAPBEXstdItemX 2 2 8" xfId="38626"/>
    <cellStyle name="SAPBEXstdItemX 2 3" xfId="38627"/>
    <cellStyle name="SAPBEXstdItemX 2 3 2" xfId="38628"/>
    <cellStyle name="SAPBEXstdItemX 2 3 3" xfId="38629"/>
    <cellStyle name="SAPBEXstdItemX 2 3 4" xfId="38630"/>
    <cellStyle name="SAPBEXstdItemX 2 3 5" xfId="38631"/>
    <cellStyle name="SAPBEXstdItemX 2 3 6" xfId="38632"/>
    <cellStyle name="SAPBEXstdItemX 2 3 7" xfId="38633"/>
    <cellStyle name="SAPBEXstdItemX 2 4" xfId="38634"/>
    <cellStyle name="SAPBEXstdItemX 2 5" xfId="38635"/>
    <cellStyle name="SAPBEXstdItemX 2 6" xfId="38636"/>
    <cellStyle name="SAPBEXstdItemX 2 7" xfId="38637"/>
    <cellStyle name="SAPBEXstdItemX 2 8" xfId="38638"/>
    <cellStyle name="SAPBEXstdItemX 2 9" xfId="38639"/>
    <cellStyle name="SAPBEXstdItemX 3" xfId="38640"/>
    <cellStyle name="SAPBEXstdItemX 3 10" xfId="38641"/>
    <cellStyle name="SAPBEXstdItemX 3 2" xfId="38642"/>
    <cellStyle name="SAPBEXstdItemX 3 2 2" xfId="38643"/>
    <cellStyle name="SAPBEXstdItemX 3 2 2 2" xfId="38644"/>
    <cellStyle name="SAPBEXstdItemX 3 2 2 3" xfId="38645"/>
    <cellStyle name="SAPBEXstdItemX 3 2 2 4" xfId="38646"/>
    <cellStyle name="SAPBEXstdItemX 3 2 2 5" xfId="38647"/>
    <cellStyle name="SAPBEXstdItemX 3 2 2 6" xfId="38648"/>
    <cellStyle name="SAPBEXstdItemX 3 2 2 7" xfId="38649"/>
    <cellStyle name="SAPBEXstdItemX 3 2 3" xfId="38650"/>
    <cellStyle name="SAPBEXstdItemX 3 2 4" xfId="38651"/>
    <cellStyle name="SAPBEXstdItemX 3 2 5" xfId="38652"/>
    <cellStyle name="SAPBEXstdItemX 3 2 6" xfId="38653"/>
    <cellStyle name="SAPBEXstdItemX 3 2 7" xfId="38654"/>
    <cellStyle name="SAPBEXstdItemX 3 2 8" xfId="38655"/>
    <cellStyle name="SAPBEXstdItemX 3 3" xfId="38656"/>
    <cellStyle name="SAPBEXstdItemX 3 3 2" xfId="38657"/>
    <cellStyle name="SAPBEXstdItemX 3 3 2 2" xfId="38658"/>
    <cellStyle name="SAPBEXstdItemX 3 3 2 3" xfId="38659"/>
    <cellStyle name="SAPBEXstdItemX 3 3 2 4" xfId="38660"/>
    <cellStyle name="SAPBEXstdItemX 3 3 2 5" xfId="38661"/>
    <cellStyle name="SAPBEXstdItemX 3 3 2 6" xfId="38662"/>
    <cellStyle name="SAPBEXstdItemX 3 3 2 7" xfId="38663"/>
    <cellStyle name="SAPBEXstdItemX 3 3 3" xfId="38664"/>
    <cellStyle name="SAPBEXstdItemX 3 3 4" xfId="38665"/>
    <cellStyle name="SAPBEXstdItemX 3 3 5" xfId="38666"/>
    <cellStyle name="SAPBEXstdItemX 3 3 6" xfId="38667"/>
    <cellStyle name="SAPBEXstdItemX 3 3 7" xfId="38668"/>
    <cellStyle name="SAPBEXstdItemX 3 3 8" xfId="38669"/>
    <cellStyle name="SAPBEXstdItemX 3 4" xfId="38670"/>
    <cellStyle name="SAPBEXstdItemX 3 4 2" xfId="38671"/>
    <cellStyle name="SAPBEXstdItemX 3 4 2 2" xfId="38672"/>
    <cellStyle name="SAPBEXstdItemX 3 4 2 3" xfId="38673"/>
    <cellStyle name="SAPBEXstdItemX 3 4 2 4" xfId="38674"/>
    <cellStyle name="SAPBEXstdItemX 3 4 2 5" xfId="38675"/>
    <cellStyle name="SAPBEXstdItemX 3 4 2 6" xfId="38676"/>
    <cellStyle name="SAPBEXstdItemX 3 4 2 7" xfId="38677"/>
    <cellStyle name="SAPBEXstdItemX 3 4 3" xfId="38678"/>
    <cellStyle name="SAPBEXstdItemX 3 4 4" xfId="38679"/>
    <cellStyle name="SAPBEXstdItemX 3 4 5" xfId="38680"/>
    <cellStyle name="SAPBEXstdItemX 3 4 6" xfId="38681"/>
    <cellStyle name="SAPBEXstdItemX 3 4 7" xfId="38682"/>
    <cellStyle name="SAPBEXstdItemX 3 4 8" xfId="38683"/>
    <cellStyle name="SAPBEXstdItemX 3 5" xfId="38684"/>
    <cellStyle name="SAPBEXstdItemX 3 6" xfId="38685"/>
    <cellStyle name="SAPBEXstdItemX 3 7" xfId="38686"/>
    <cellStyle name="SAPBEXstdItemX 3 8" xfId="38687"/>
    <cellStyle name="SAPBEXstdItemX 3 9" xfId="38688"/>
    <cellStyle name="SAPBEXstdItemX 4" xfId="38689"/>
    <cellStyle name="SAPBEXstdItemX 4 2" xfId="38690"/>
    <cellStyle name="SAPBEXstdItemX 4 2 2" xfId="38691"/>
    <cellStyle name="SAPBEXstdItemX 4 2 3" xfId="38692"/>
    <cellStyle name="SAPBEXstdItemX 4 2 4" xfId="38693"/>
    <cellStyle name="SAPBEXstdItemX 4 2 5" xfId="38694"/>
    <cellStyle name="SAPBEXstdItemX 4 2 6" xfId="38695"/>
    <cellStyle name="SAPBEXstdItemX 4 2 7" xfId="38696"/>
    <cellStyle name="SAPBEXstdItemX 4 3" xfId="38697"/>
    <cellStyle name="SAPBEXstdItemX 4 4" xfId="38698"/>
    <cellStyle name="SAPBEXstdItemX 4 5" xfId="38699"/>
    <cellStyle name="SAPBEXstdItemX 4 6" xfId="38700"/>
    <cellStyle name="SAPBEXstdItemX 4 7" xfId="38701"/>
    <cellStyle name="SAPBEXstdItemX 4 8" xfId="38702"/>
    <cellStyle name="SAPBEXstdItemX 5" xfId="38703"/>
    <cellStyle name="SAPBEXstdItemX 5 2" xfId="38704"/>
    <cellStyle name="SAPBEXstdItemX 5 3" xfId="38705"/>
    <cellStyle name="SAPBEXstdItemX 5 4" xfId="38706"/>
    <cellStyle name="SAPBEXstdItemX 5 5" xfId="38707"/>
    <cellStyle name="SAPBEXstdItemX 5 6" xfId="38708"/>
    <cellStyle name="SAPBEXstdItemX 5 7" xfId="38709"/>
    <cellStyle name="SAPBEXstdItemX 6" xfId="38710"/>
    <cellStyle name="SAPBEXstdItemX 7" xfId="38711"/>
    <cellStyle name="SAPBEXtitle" xfId="1715"/>
    <cellStyle name="SAPBEXtitle 2" xfId="38712"/>
    <cellStyle name="SAPBEXtitle 2 2" xfId="38713"/>
    <cellStyle name="SAPBEXtitle 2 2 2" xfId="38714"/>
    <cellStyle name="SAPBEXtitle 2 3" xfId="38715"/>
    <cellStyle name="SAPBEXtitle 3" xfId="38716"/>
    <cellStyle name="SAPBEXtitle 3 2" xfId="38717"/>
    <cellStyle name="SAPBEXtitle 4" xfId="38718"/>
    <cellStyle name="SAPBEXtitle 4 2" xfId="38719"/>
    <cellStyle name="SAPBEXtitle 5" xfId="38720"/>
    <cellStyle name="SAPBEXunassignedItem" xfId="1716"/>
    <cellStyle name="SAPBEXunassignedItem 2" xfId="38721"/>
    <cellStyle name="SAPBEXundefined" xfId="1717"/>
    <cellStyle name="SAPBEXundefined 2" xfId="38722"/>
    <cellStyle name="SAPBEXundefined 2 2" xfId="38723"/>
    <cellStyle name="SAPBEXundefined 2 2 2" xfId="38724"/>
    <cellStyle name="SAPBEXundefined 2 3" xfId="38725"/>
    <cellStyle name="SAPBEXundefined 2 4" xfId="38726"/>
    <cellStyle name="SAPBEXundefined 2 5" xfId="38727"/>
    <cellStyle name="SAPBEXundefined 2 6" xfId="38728"/>
    <cellStyle name="SAPBEXundefined 2 7" xfId="38729"/>
    <cellStyle name="SAPBEXundefined 3" xfId="38730"/>
    <cellStyle name="SAPBEXundefined 3 2" xfId="38731"/>
    <cellStyle name="SAPBEXundefined 4" xfId="38732"/>
    <cellStyle name="SAPBEXundefined 4 2" xfId="38733"/>
    <cellStyle name="SAPBEXundefined 5" xfId="38734"/>
    <cellStyle name="shade" xfId="1718"/>
    <cellStyle name="shade 10" xfId="38735"/>
    <cellStyle name="shade 10 2" xfId="38736"/>
    <cellStyle name="shade 11" xfId="38737"/>
    <cellStyle name="shade 11 2" xfId="38738"/>
    <cellStyle name="shade 12" xfId="38739"/>
    <cellStyle name="shade 12 2" xfId="38740"/>
    <cellStyle name="shade 12 3" xfId="38741"/>
    <cellStyle name="shade 13" xfId="38742"/>
    <cellStyle name="shade 2" xfId="1719"/>
    <cellStyle name="shade 2 2" xfId="38743"/>
    <cellStyle name="shade 2 2 2" xfId="38744"/>
    <cellStyle name="shade 2 2 2 2" xfId="38745"/>
    <cellStyle name="shade 2 2 2 2 2" xfId="38746"/>
    <cellStyle name="shade 2 2 2 3" xfId="38747"/>
    <cellStyle name="shade 2 2 2 4" xfId="38748"/>
    <cellStyle name="shade 2 2 3" xfId="38749"/>
    <cellStyle name="shade 2 2 3 2" xfId="38750"/>
    <cellStyle name="shade 2 2 4" xfId="38751"/>
    <cellStyle name="shade 2 2 4 2" xfId="38752"/>
    <cellStyle name="shade 2 2 5" xfId="38753"/>
    <cellStyle name="shade 2 3" xfId="38754"/>
    <cellStyle name="shade 2 3 2" xfId="38755"/>
    <cellStyle name="shade 2 3 2 2" xfId="38756"/>
    <cellStyle name="shade 2 3 2 3" xfId="38757"/>
    <cellStyle name="shade 2 3 3" xfId="38758"/>
    <cellStyle name="shade 2 3 4" xfId="38759"/>
    <cellStyle name="shade 2 4" xfId="38760"/>
    <cellStyle name="shade 2 4 2" xfId="38761"/>
    <cellStyle name="shade 2 4 2 2" xfId="38762"/>
    <cellStyle name="shade 2 4 3" xfId="38763"/>
    <cellStyle name="shade 2 5" xfId="38764"/>
    <cellStyle name="shade 2 5 2" xfId="38765"/>
    <cellStyle name="shade 2 6" xfId="38766"/>
    <cellStyle name="shade 2 6 2" xfId="38767"/>
    <cellStyle name="shade 2 7" xfId="38768"/>
    <cellStyle name="shade 3" xfId="38769"/>
    <cellStyle name="shade 3 2" xfId="38770"/>
    <cellStyle name="shade 3 2 2" xfId="38771"/>
    <cellStyle name="shade 3 2 2 2" xfId="38772"/>
    <cellStyle name="shade 3 2 3" xfId="38773"/>
    <cellStyle name="shade 3 2 4" xfId="38774"/>
    <cellStyle name="shade 3 2 5" xfId="38775"/>
    <cellStyle name="shade 3 3" xfId="38776"/>
    <cellStyle name="shade 3 3 2" xfId="38777"/>
    <cellStyle name="shade 3 3 2 2" xfId="38778"/>
    <cellStyle name="shade 3 3 3" xfId="38779"/>
    <cellStyle name="shade 3 4" xfId="38780"/>
    <cellStyle name="shade 3 4 2" xfId="38781"/>
    <cellStyle name="shade 3 4 2 2" xfId="38782"/>
    <cellStyle name="shade 3 4 3" xfId="38783"/>
    <cellStyle name="shade 3 5" xfId="38784"/>
    <cellStyle name="shade 3 5 2" xfId="38785"/>
    <cellStyle name="shade 3 6" xfId="38786"/>
    <cellStyle name="shade 4" xfId="38787"/>
    <cellStyle name="shade 4 2" xfId="38788"/>
    <cellStyle name="shade 4 2 2" xfId="38789"/>
    <cellStyle name="shade 4 2 2 2" xfId="38790"/>
    <cellStyle name="shade 4 2 2 2 2" xfId="38791"/>
    <cellStyle name="shade 4 2 2 3" xfId="38792"/>
    <cellStyle name="shade 4 2 2 4" xfId="38793"/>
    <cellStyle name="shade 4 2 3" xfId="38794"/>
    <cellStyle name="shade 4 2 3 2" xfId="38795"/>
    <cellStyle name="shade 4 2 4" xfId="38796"/>
    <cellStyle name="shade 4 2 4 2" xfId="38797"/>
    <cellStyle name="shade 4 2 5" xfId="38798"/>
    <cellStyle name="shade 4 3" xfId="38799"/>
    <cellStyle name="shade 4 3 2" xfId="38800"/>
    <cellStyle name="shade 4 3 2 2" xfId="38801"/>
    <cellStyle name="shade 4 3 3" xfId="38802"/>
    <cellStyle name="shade 4 3 4" xfId="38803"/>
    <cellStyle name="shade 4 3 5" xfId="38804"/>
    <cellStyle name="shade 4 4" xfId="38805"/>
    <cellStyle name="shade 4 4 2" xfId="38806"/>
    <cellStyle name="shade 4 4 2 2" xfId="38807"/>
    <cellStyle name="shade 4 4 3" xfId="38808"/>
    <cellStyle name="shade 4 5" xfId="38809"/>
    <cellStyle name="shade 4 5 2" xfId="38810"/>
    <cellStyle name="shade 4 6" xfId="38811"/>
    <cellStyle name="shade 4 6 2" xfId="38812"/>
    <cellStyle name="shade 4 7" xfId="38813"/>
    <cellStyle name="shade 5" xfId="38814"/>
    <cellStyle name="shade 5 2" xfId="38815"/>
    <cellStyle name="shade 5 2 2" xfId="38816"/>
    <cellStyle name="shade 5 2 2 2" xfId="38817"/>
    <cellStyle name="shade 5 2 2 2 2" xfId="38818"/>
    <cellStyle name="shade 5 2 3" xfId="38819"/>
    <cellStyle name="shade 5 2 3 2" xfId="38820"/>
    <cellStyle name="shade 5 2 4" xfId="38821"/>
    <cellStyle name="shade 5 2 4 2" xfId="38822"/>
    <cellStyle name="shade 5 2 5" xfId="38823"/>
    <cellStyle name="shade 5 3" xfId="38824"/>
    <cellStyle name="shade 5 3 2" xfId="38825"/>
    <cellStyle name="shade 5 3 2 2" xfId="38826"/>
    <cellStyle name="shade 5 4" xfId="38827"/>
    <cellStyle name="shade 5 4 2" xfId="38828"/>
    <cellStyle name="shade 5 5" xfId="38829"/>
    <cellStyle name="shade 5 5 2" xfId="38830"/>
    <cellStyle name="shade 6" xfId="38831"/>
    <cellStyle name="shade 6 2" xfId="38832"/>
    <cellStyle name="shade 6 2 2" xfId="38833"/>
    <cellStyle name="shade 6 2 2 2" xfId="38834"/>
    <cellStyle name="shade 6 3" xfId="38835"/>
    <cellStyle name="shade 6 3 2" xfId="38836"/>
    <cellStyle name="shade 6 4" xfId="38837"/>
    <cellStyle name="shade 6 4 2" xfId="38838"/>
    <cellStyle name="shade 7" xfId="38839"/>
    <cellStyle name="shade 7 2" xfId="38840"/>
    <cellStyle name="shade 7 2 2" xfId="38841"/>
    <cellStyle name="shade 7 3" xfId="38842"/>
    <cellStyle name="shade 8" xfId="38843"/>
    <cellStyle name="shade 8 2" xfId="38844"/>
    <cellStyle name="shade 8 2 2" xfId="38845"/>
    <cellStyle name="shade 8 3" xfId="38846"/>
    <cellStyle name="shade 8 4" xfId="38847"/>
    <cellStyle name="shade 9" xfId="38848"/>
    <cellStyle name="shade 9 2" xfId="38849"/>
    <cellStyle name="shade 9 2 2" xfId="38850"/>
    <cellStyle name="shade 9 2 2 2" xfId="38851"/>
    <cellStyle name="shade 9 2 3" xfId="38852"/>
    <cellStyle name="shade 9 3" xfId="38853"/>
    <cellStyle name="shade 9 3 2" xfId="38854"/>
    <cellStyle name="shade 9 4" xfId="38855"/>
    <cellStyle name="shade_AURORA Total New" xfId="38856"/>
    <cellStyle name="Sheet Title" xfId="1720"/>
    <cellStyle name="Sheet Title 2" xfId="38857"/>
    <cellStyle name="Sheet Title 3" xfId="38858"/>
    <cellStyle name="StmtTtl1" xfId="1721"/>
    <cellStyle name="StmtTtl1 2" xfId="1722"/>
    <cellStyle name="StmtTtl1 2 2" xfId="38859"/>
    <cellStyle name="StmtTtl1 2 2 2" xfId="38860"/>
    <cellStyle name="StmtTtl1 2 2 2 2" xfId="38861"/>
    <cellStyle name="StmtTtl1 2 2 3" xfId="38862"/>
    <cellStyle name="StmtTtl1 2 3" xfId="38863"/>
    <cellStyle name="StmtTtl1 2 3 2" xfId="38864"/>
    <cellStyle name="StmtTtl1 2 3 3" xfId="38865"/>
    <cellStyle name="StmtTtl1 2 4" xfId="38866"/>
    <cellStyle name="StmtTtl1 2 4 2" xfId="38867"/>
    <cellStyle name="StmtTtl1 2 5" xfId="38868"/>
    <cellStyle name="StmtTtl1 3" xfId="1723"/>
    <cellStyle name="StmtTtl1 3 2" xfId="38869"/>
    <cellStyle name="StmtTtl1 3 2 2" xfId="38870"/>
    <cellStyle name="StmtTtl1 3 2 2 2" xfId="38871"/>
    <cellStyle name="StmtTtl1 3 2 3" xfId="38872"/>
    <cellStyle name="StmtTtl1 3 3" xfId="38873"/>
    <cellStyle name="StmtTtl1 3 3 2" xfId="38874"/>
    <cellStyle name="StmtTtl1 3 3 3" xfId="38875"/>
    <cellStyle name="StmtTtl1 3 4" xfId="38876"/>
    <cellStyle name="StmtTtl1 3 4 2" xfId="38877"/>
    <cellStyle name="StmtTtl1 3 5" xfId="38878"/>
    <cellStyle name="StmtTtl1 4" xfId="1724"/>
    <cellStyle name="StmtTtl1 4 2" xfId="38879"/>
    <cellStyle name="StmtTtl1 4 2 2" xfId="38880"/>
    <cellStyle name="StmtTtl1 4 2 2 2" xfId="38881"/>
    <cellStyle name="StmtTtl1 4 2 3" xfId="38882"/>
    <cellStyle name="StmtTtl1 4 3" xfId="38883"/>
    <cellStyle name="StmtTtl1 4 3 2" xfId="38884"/>
    <cellStyle name="StmtTtl1 4 3 3" xfId="38885"/>
    <cellStyle name="StmtTtl1 4 4" xfId="38886"/>
    <cellStyle name="StmtTtl1 4 4 2" xfId="38887"/>
    <cellStyle name="StmtTtl1 4 5" xfId="38888"/>
    <cellStyle name="StmtTtl1 5" xfId="38889"/>
    <cellStyle name="StmtTtl1 5 2" xfId="38890"/>
    <cellStyle name="StmtTtl1 5 2 2" xfId="38891"/>
    <cellStyle name="StmtTtl1 5 2 3" xfId="38892"/>
    <cellStyle name="StmtTtl1 5 3" xfId="38893"/>
    <cellStyle name="StmtTtl1 5 3 2" xfId="38894"/>
    <cellStyle name="StmtTtl1 5 4" xfId="38895"/>
    <cellStyle name="StmtTtl1 5 5" xfId="38896"/>
    <cellStyle name="StmtTtl1 6" xfId="38897"/>
    <cellStyle name="StmtTtl1 6 2" xfId="38898"/>
    <cellStyle name="StmtTtl1 6 3" xfId="38899"/>
    <cellStyle name="StmtTtl1 7" xfId="38900"/>
    <cellStyle name="StmtTtl1 7 2" xfId="38901"/>
    <cellStyle name="StmtTtl1 8" xfId="38902"/>
    <cellStyle name="StmtTtl1 8 2" xfId="38903"/>
    <cellStyle name="StmtTtl1 9" xfId="38904"/>
    <cellStyle name="StmtTtl1_(C) WHE Proforma with ITC cash grant 10 Yr Amort_for deferral_102809" xfId="1725"/>
    <cellStyle name="StmtTtl2" xfId="1726"/>
    <cellStyle name="StmtTtl2 2" xfId="38905"/>
    <cellStyle name="StmtTtl2 2 2" xfId="38906"/>
    <cellStyle name="StmtTtl2 2 2 2" xfId="38907"/>
    <cellStyle name="StmtTtl2 2 2 3" xfId="38908"/>
    <cellStyle name="StmtTtl2 2 3" xfId="38909"/>
    <cellStyle name="StmtTtl2 2 3 2" xfId="38910"/>
    <cellStyle name="StmtTtl2 2 4" xfId="38911"/>
    <cellStyle name="StmtTtl2 2 5" xfId="38912"/>
    <cellStyle name="StmtTtl2 2 6" xfId="38913"/>
    <cellStyle name="StmtTtl2 2 7" xfId="38914"/>
    <cellStyle name="StmtTtl2 2 8" xfId="38915"/>
    <cellStyle name="StmtTtl2 3" xfId="38916"/>
    <cellStyle name="StmtTtl2 3 2" xfId="38917"/>
    <cellStyle name="StmtTtl2 3 2 2" xfId="38918"/>
    <cellStyle name="StmtTtl2 3 2 3" xfId="38919"/>
    <cellStyle name="StmtTtl2 3 2 4" xfId="38920"/>
    <cellStyle name="StmtTtl2 3 2 5" xfId="38921"/>
    <cellStyle name="StmtTtl2 3 2 6" xfId="38922"/>
    <cellStyle name="StmtTtl2 3 2 7" xfId="38923"/>
    <cellStyle name="StmtTtl2 3 2 8" xfId="38924"/>
    <cellStyle name="StmtTtl2 3 3" xfId="38925"/>
    <cellStyle name="StmtTtl2 3 3 2" xfId="38926"/>
    <cellStyle name="StmtTtl2 3 4" xfId="38927"/>
    <cellStyle name="StmtTtl2 3 5" xfId="38928"/>
    <cellStyle name="StmtTtl2 4" xfId="38929"/>
    <cellStyle name="StmtTtl2 4 2" xfId="38930"/>
    <cellStyle name="StmtTtl2 4 3" xfId="38931"/>
    <cellStyle name="StmtTtl2 4 4" xfId="38932"/>
    <cellStyle name="StmtTtl2 4 5" xfId="38933"/>
    <cellStyle name="StmtTtl2 4 6" xfId="38934"/>
    <cellStyle name="StmtTtl2 4 7" xfId="38935"/>
    <cellStyle name="StmtTtl2 5" xfId="38936"/>
    <cellStyle name="StmtTtl2 5 2" xfId="38937"/>
    <cellStyle name="StmtTtl2 6" xfId="38938"/>
    <cellStyle name="StmtTtl2 6 2" xfId="38939"/>
    <cellStyle name="StmtTtl2 7" xfId="38940"/>
    <cellStyle name="STYL1 - Style1" xfId="1727"/>
    <cellStyle name="STYL1 - Style1 2" xfId="38941"/>
    <cellStyle name="STYL1 - Style1 2 2" xfId="38942"/>
    <cellStyle name="STYL1 - Style1 2 2 2" xfId="38943"/>
    <cellStyle name="STYL1 - Style1 2 3" xfId="38944"/>
    <cellStyle name="STYL1 - Style1 2 4" xfId="38945"/>
    <cellStyle name="STYL1 - Style1 3" xfId="38946"/>
    <cellStyle name="STYL1 - Style1 3 2" xfId="38947"/>
    <cellStyle name="STYL1 - Style1 3 3" xfId="38948"/>
    <cellStyle name="STYL1 - Style1 4" xfId="38949"/>
    <cellStyle name="STYL1 - Style1 4 2" xfId="38950"/>
    <cellStyle name="STYL1 - Style1 5" xfId="38951"/>
    <cellStyle name="STYL1 - Style1 5 2" xfId="38952"/>
    <cellStyle name="STYL1 - Style1 6" xfId="38953"/>
    <cellStyle name="Style 1" xfId="1728"/>
    <cellStyle name="Style 1 10" xfId="38954"/>
    <cellStyle name="Style 1 10 2" xfId="38955"/>
    <cellStyle name="Style 1 10 2 2" xfId="38956"/>
    <cellStyle name="Style 1 10 2 2 2" xfId="38957"/>
    <cellStyle name="Style 1 10 2 2 2 2" xfId="38958"/>
    <cellStyle name="Style 1 10 2 3" xfId="38959"/>
    <cellStyle name="Style 1 10 2 3 2" xfId="38960"/>
    <cellStyle name="Style 1 10 2 4" xfId="38961"/>
    <cellStyle name="Style 1 10 2 4 2" xfId="38962"/>
    <cellStyle name="Style 1 10 3" xfId="38963"/>
    <cellStyle name="Style 1 10 3 2" xfId="38964"/>
    <cellStyle name="Style 1 10 3 2 2" xfId="38965"/>
    <cellStyle name="Style 1 10 3 3" xfId="38966"/>
    <cellStyle name="Style 1 10 4" xfId="38967"/>
    <cellStyle name="Style 1 10 4 2" xfId="38968"/>
    <cellStyle name="Style 1 10 4 2 2" xfId="38969"/>
    <cellStyle name="Style 1 10 4 3" xfId="38970"/>
    <cellStyle name="Style 1 10 5" xfId="38971"/>
    <cellStyle name="Style 1 10 5 2" xfId="38972"/>
    <cellStyle name="Style 1 10 6" xfId="38973"/>
    <cellStyle name="Style 1 10 6 2" xfId="38974"/>
    <cellStyle name="Style 1 10 7" xfId="38975"/>
    <cellStyle name="Style 1 11" xfId="38976"/>
    <cellStyle name="Style 1 11 2" xfId="38977"/>
    <cellStyle name="Style 1 11 2 2" xfId="38978"/>
    <cellStyle name="Style 1 11 2 2 2" xfId="38979"/>
    <cellStyle name="Style 1 11 2 2 2 2" xfId="38980"/>
    <cellStyle name="Style 1 11 2 3" xfId="38981"/>
    <cellStyle name="Style 1 11 2 3 2" xfId="38982"/>
    <cellStyle name="Style 1 11 2 4" xfId="38983"/>
    <cellStyle name="Style 1 11 2 4 2" xfId="38984"/>
    <cellStyle name="Style 1 11 2 5" xfId="38985"/>
    <cellStyle name="Style 1 11 2 6" xfId="38986"/>
    <cellStyle name="Style 1 11 3" xfId="38987"/>
    <cellStyle name="Style 1 11 3 2" xfId="38988"/>
    <cellStyle name="Style 1 11 3 2 2" xfId="38989"/>
    <cellStyle name="Style 1 11 4" xfId="38990"/>
    <cellStyle name="Style 1 11 4 2" xfId="38991"/>
    <cellStyle name="Style 1 11 5" xfId="38992"/>
    <cellStyle name="Style 1 11 5 2" xfId="38993"/>
    <cellStyle name="Style 1 11 6" xfId="38994"/>
    <cellStyle name="Style 1 12" xfId="38995"/>
    <cellStyle name="Style 1 12 2" xfId="38996"/>
    <cellStyle name="Style 1 12 2 2" xfId="38997"/>
    <cellStyle name="Style 1 12 2 2 2" xfId="38998"/>
    <cellStyle name="Style 1 12 2 3" xfId="38999"/>
    <cellStyle name="Style 1 12 3" xfId="39000"/>
    <cellStyle name="Style 1 12 3 2" xfId="39001"/>
    <cellStyle name="Style 1 12 3 3" xfId="39002"/>
    <cellStyle name="Style 1 12 4" xfId="39003"/>
    <cellStyle name="Style 1 12 4 2" xfId="39004"/>
    <cellStyle name="Style 1 12 5" xfId="39005"/>
    <cellStyle name="Style 1 13" xfId="39006"/>
    <cellStyle name="Style 1 13 2" xfId="39007"/>
    <cellStyle name="Style 1 13 2 2" xfId="39008"/>
    <cellStyle name="Style 1 13 3" xfId="39009"/>
    <cellStyle name="Style 1 14" xfId="39010"/>
    <cellStyle name="Style 1 14 2" xfId="39011"/>
    <cellStyle name="Style 1 14 2 2" xfId="39012"/>
    <cellStyle name="Style 1 14 3" xfId="39013"/>
    <cellStyle name="Style 1 15" xfId="39014"/>
    <cellStyle name="Style 1 15 2" xfId="39015"/>
    <cellStyle name="Style 1 15 2 2" xfId="39016"/>
    <cellStyle name="Style 1 15 2 2 2" xfId="39017"/>
    <cellStyle name="Style 1 15 2 3" xfId="39018"/>
    <cellStyle name="Style 1 15 3" xfId="39019"/>
    <cellStyle name="Style 1 15 3 2" xfId="39020"/>
    <cellStyle name="Style 1 15 4" xfId="39021"/>
    <cellStyle name="Style 1 16" xfId="39022"/>
    <cellStyle name="Style 1 16 2" xfId="39023"/>
    <cellStyle name="Style 1 17" xfId="39024"/>
    <cellStyle name="Style 1 17 2" xfId="39025"/>
    <cellStyle name="Style 1 18" xfId="39026"/>
    <cellStyle name="Style 1 18 2" xfId="39027"/>
    <cellStyle name="Style 1 19" xfId="39028"/>
    <cellStyle name="Style 1 2" xfId="1729"/>
    <cellStyle name="Style 1 2 10" xfId="39029"/>
    <cellStyle name="Style 1 2 2" xfId="39030"/>
    <cellStyle name="Style 1 2 2 2" xfId="39031"/>
    <cellStyle name="Style 1 2 2 2 2" xfId="39032"/>
    <cellStyle name="Style 1 2 2 2 2 2" xfId="39033"/>
    <cellStyle name="Style 1 2 2 2 3" xfId="39034"/>
    <cellStyle name="Style 1 2 2 2 4" xfId="39035"/>
    <cellStyle name="Style 1 2 2 3" xfId="39036"/>
    <cellStyle name="Style 1 2 2 3 2" xfId="39037"/>
    <cellStyle name="Style 1 2 2 3 2 2" xfId="39038"/>
    <cellStyle name="Style 1 2 2 3 3" xfId="39039"/>
    <cellStyle name="Style 1 2 2 3 4" xfId="39040"/>
    <cellStyle name="Style 1 2 2 3 5" xfId="39041"/>
    <cellStyle name="Style 1 2 2 4" xfId="39042"/>
    <cellStyle name="Style 1 2 2 4 2" xfId="39043"/>
    <cellStyle name="Style 1 2 2 4 3" xfId="39044"/>
    <cellStyle name="Style 1 2 2 5" xfId="39045"/>
    <cellStyle name="Style 1 2 2 5 2" xfId="39046"/>
    <cellStyle name="Style 1 2 2 6" xfId="39047"/>
    <cellStyle name="Style 1 2 3" xfId="39048"/>
    <cellStyle name="Style 1 2 3 2" xfId="39049"/>
    <cellStyle name="Style 1 2 3 2 2" xfId="39050"/>
    <cellStyle name="Style 1 2 3 2 2 2" xfId="39051"/>
    <cellStyle name="Style 1 2 3 2 3" xfId="39052"/>
    <cellStyle name="Style 1 2 3 2 4" xfId="39053"/>
    <cellStyle name="Style 1 2 3 2 5" xfId="39054"/>
    <cellStyle name="Style 1 2 3 3" xfId="39055"/>
    <cellStyle name="Style 1 2 3 3 2" xfId="39056"/>
    <cellStyle name="Style 1 2 3 3 2 2" xfId="39057"/>
    <cellStyle name="Style 1 2 3 3 3" xfId="39058"/>
    <cellStyle name="Style 1 2 3 3 4" xfId="39059"/>
    <cellStyle name="Style 1 2 3 3 5" xfId="39060"/>
    <cellStyle name="Style 1 2 3 4" xfId="39061"/>
    <cellStyle name="Style 1 2 3 4 2" xfId="39062"/>
    <cellStyle name="Style 1 2 3 5" xfId="39063"/>
    <cellStyle name="Style 1 2 3 5 2" xfId="39064"/>
    <cellStyle name="Style 1 2 3 6" xfId="39065"/>
    <cellStyle name="Style 1 2 3 7" xfId="39066"/>
    <cellStyle name="Style 1 2 4" xfId="39067"/>
    <cellStyle name="Style 1 2 4 2" xfId="39068"/>
    <cellStyle name="Style 1 2 4 2 2" xfId="39069"/>
    <cellStyle name="Style 1 2 4 2 3" xfId="39070"/>
    <cellStyle name="Style 1 2 4 3" xfId="39071"/>
    <cellStyle name="Style 1 2 4 4" xfId="39072"/>
    <cellStyle name="Style 1 2 5" xfId="39073"/>
    <cellStyle name="Style 1 2 5 2" xfId="39074"/>
    <cellStyle name="Style 1 2 5 2 2" xfId="39075"/>
    <cellStyle name="Style 1 2 5 2 3" xfId="39076"/>
    <cellStyle name="Style 1 2 5 3" xfId="39077"/>
    <cellStyle name="Style 1 2 5 4" xfId="39078"/>
    <cellStyle name="Style 1 2 6" xfId="39079"/>
    <cellStyle name="Style 1 2 6 2" xfId="39080"/>
    <cellStyle name="Style 1 2 6 3" xfId="39081"/>
    <cellStyle name="Style 1 2 6 4" xfId="39082"/>
    <cellStyle name="Style 1 2 7" xfId="39083"/>
    <cellStyle name="Style 1 2 7 2" xfId="39084"/>
    <cellStyle name="Style 1 2 7 2 2" xfId="39085"/>
    <cellStyle name="Style 1 2 7 3" xfId="39086"/>
    <cellStyle name="Style 1 2 8" xfId="39087"/>
    <cellStyle name="Style 1 2 8 2" xfId="39088"/>
    <cellStyle name="Style 1 2 9" xfId="39089"/>
    <cellStyle name="Style 1 2_4 31E Reg Asset  Liab and EXH D" xfId="39090"/>
    <cellStyle name="Style 1 20" xfId="39091"/>
    <cellStyle name="Style 1 3" xfId="1730"/>
    <cellStyle name="Style 1 3 2" xfId="1731"/>
    <cellStyle name="Style 1 3 2 2" xfId="1732"/>
    <cellStyle name="Style 1 3 2 2 2" xfId="39092"/>
    <cellStyle name="Style 1 3 2 2 2 2" xfId="39093"/>
    <cellStyle name="Style 1 3 2 2 2 3" xfId="39094"/>
    <cellStyle name="Style 1 3 2 2 3" xfId="39095"/>
    <cellStyle name="Style 1 3 2 2 3 2" xfId="39096"/>
    <cellStyle name="Style 1 3 2 2 3 3" xfId="39097"/>
    <cellStyle name="Style 1 3 2 2 4" xfId="39098"/>
    <cellStyle name="Style 1 3 2 2 5" xfId="39099"/>
    <cellStyle name="Style 1 3 2 3" xfId="39100"/>
    <cellStyle name="Style 1 3 2 3 2" xfId="39101"/>
    <cellStyle name="Style 1 3 2 3 2 2" xfId="39102"/>
    <cellStyle name="Style 1 3 2 3 2 3" xfId="39103"/>
    <cellStyle name="Style 1 3 2 3 2 4" xfId="39104"/>
    <cellStyle name="Style 1 3 2 3 3" xfId="39105"/>
    <cellStyle name="Style 1 3 2 3 4" xfId="39106"/>
    <cellStyle name="Style 1 3 2 3 5" xfId="39107"/>
    <cellStyle name="Style 1 3 2 4" xfId="39108"/>
    <cellStyle name="Style 1 3 2 4 2" xfId="39109"/>
    <cellStyle name="Style 1 3 2 4 3" xfId="39110"/>
    <cellStyle name="Style 1 3 2 5" xfId="39111"/>
    <cellStyle name="Style 1 3 2 5 2" xfId="39112"/>
    <cellStyle name="Style 1 3 2 6" xfId="39113"/>
    <cellStyle name="Style 1 3 3" xfId="1733"/>
    <cellStyle name="Style 1 3 3 2" xfId="39114"/>
    <cellStyle name="Style 1 3 3 2 2" xfId="39115"/>
    <cellStyle name="Style 1 3 3 2 2 2" xfId="39116"/>
    <cellStyle name="Style 1 3 3 2 3" xfId="39117"/>
    <cellStyle name="Style 1 3 3 2 4" xfId="39118"/>
    <cellStyle name="Style 1 3 3 3" xfId="39119"/>
    <cellStyle name="Style 1 3 3 3 2" xfId="39120"/>
    <cellStyle name="Style 1 3 3 3 2 2" xfId="39121"/>
    <cellStyle name="Style 1 3 3 3 3" xfId="39122"/>
    <cellStyle name="Style 1 3 3 3 4" xfId="39123"/>
    <cellStyle name="Style 1 3 3 4" xfId="39124"/>
    <cellStyle name="Style 1 3 3 4 2" xfId="39125"/>
    <cellStyle name="Style 1 3 3 5" xfId="39126"/>
    <cellStyle name="Style 1 3 3 5 2" xfId="39127"/>
    <cellStyle name="Style 1 3 3 6" xfId="39128"/>
    <cellStyle name="Style 1 3 4" xfId="1734"/>
    <cellStyle name="Style 1 3 4 2" xfId="39129"/>
    <cellStyle name="Style 1 3 4 2 2" xfId="39130"/>
    <cellStyle name="Style 1 3 4 2 3" xfId="39131"/>
    <cellStyle name="Style 1 3 4 3" xfId="39132"/>
    <cellStyle name="Style 1 3 4 3 2" xfId="39133"/>
    <cellStyle name="Style 1 3 4 3 3" xfId="39134"/>
    <cellStyle name="Style 1 3 4 4" xfId="39135"/>
    <cellStyle name="Style 1 3 4 5" xfId="39136"/>
    <cellStyle name="Style 1 3 5" xfId="39137"/>
    <cellStyle name="Style 1 3 5 2" xfId="39138"/>
    <cellStyle name="Style 1 3 5 2 2" xfId="39139"/>
    <cellStyle name="Style 1 3 5 2 3" xfId="39140"/>
    <cellStyle name="Style 1 3 5 3" xfId="39141"/>
    <cellStyle name="Style 1 3 5 4" xfId="39142"/>
    <cellStyle name="Style 1 3 5 5" xfId="39143"/>
    <cellStyle name="Style 1 3 6" xfId="39144"/>
    <cellStyle name="Style 1 3 6 2" xfId="39145"/>
    <cellStyle name="Style 1 3 6 3" xfId="39146"/>
    <cellStyle name="Style 1 3 7" xfId="39147"/>
    <cellStyle name="Style 1 3 7 2" xfId="39148"/>
    <cellStyle name="Style 1 3 8" xfId="39149"/>
    <cellStyle name="Style 1 4" xfId="1735"/>
    <cellStyle name="Style 1 4 2" xfId="39150"/>
    <cellStyle name="Style 1 4 2 2" xfId="39151"/>
    <cellStyle name="Style 1 4 2 2 2" xfId="39152"/>
    <cellStyle name="Style 1 4 2 2 2 2" xfId="39153"/>
    <cellStyle name="Style 1 4 2 2 3" xfId="39154"/>
    <cellStyle name="Style 1 4 2 2 4" xfId="39155"/>
    <cellStyle name="Style 1 4 2 3" xfId="39156"/>
    <cellStyle name="Style 1 4 2 3 2" xfId="39157"/>
    <cellStyle name="Style 1 4 2 4" xfId="39158"/>
    <cellStyle name="Style 1 4 2 4 2" xfId="39159"/>
    <cellStyle name="Style 1 4 2 5" xfId="39160"/>
    <cellStyle name="Style 1 4 3" xfId="39161"/>
    <cellStyle name="Style 1 4 3 2" xfId="39162"/>
    <cellStyle name="Style 1 4 3 2 2" xfId="39163"/>
    <cellStyle name="Style 1 4 3 3" xfId="39164"/>
    <cellStyle name="Style 1 4 3 4" xfId="39165"/>
    <cellStyle name="Style 1 4 4" xfId="39166"/>
    <cellStyle name="Style 1 4 4 2" xfId="39167"/>
    <cellStyle name="Style 1 4 4 2 2" xfId="39168"/>
    <cellStyle name="Style 1 4 4 3" xfId="39169"/>
    <cellStyle name="Style 1 4 4 4" xfId="39170"/>
    <cellStyle name="Style 1 4 5" xfId="39171"/>
    <cellStyle name="Style 1 4 5 2" xfId="39172"/>
    <cellStyle name="Style 1 4 5 3" xfId="39173"/>
    <cellStyle name="Style 1 4 6" xfId="39174"/>
    <cellStyle name="Style 1 4 6 2" xfId="39175"/>
    <cellStyle name="Style 1 4 7" xfId="39176"/>
    <cellStyle name="Style 1 5" xfId="1736"/>
    <cellStyle name="Style 1 5 2" xfId="39177"/>
    <cellStyle name="Style 1 5 2 2" xfId="39178"/>
    <cellStyle name="Style 1 5 2 2 2" xfId="39179"/>
    <cellStyle name="Style 1 5 2 2 2 2" xfId="39180"/>
    <cellStyle name="Style 1 5 2 2 3" xfId="39181"/>
    <cellStyle name="Style 1 5 2 2 4" xfId="39182"/>
    <cellStyle name="Style 1 5 2 3" xfId="39183"/>
    <cellStyle name="Style 1 5 2 3 2" xfId="39184"/>
    <cellStyle name="Style 1 5 2 4" xfId="39185"/>
    <cellStyle name="Style 1 5 2 4 2" xfId="39186"/>
    <cellStyle name="Style 1 5 2 5" xfId="39187"/>
    <cellStyle name="Style 1 5 3" xfId="39188"/>
    <cellStyle name="Style 1 5 3 2" xfId="39189"/>
    <cellStyle name="Style 1 5 3 2 2" xfId="39190"/>
    <cellStyle name="Style 1 5 3 3" xfId="39191"/>
    <cellStyle name="Style 1 5 3 3 2" xfId="39192"/>
    <cellStyle name="Style 1 5 3 4" xfId="39193"/>
    <cellStyle name="Style 1 5 3 5" xfId="39194"/>
    <cellStyle name="Style 1 5 4" xfId="39195"/>
    <cellStyle name="Style 1 5 4 2" xfId="39196"/>
    <cellStyle name="Style 1 5 4 2 2" xfId="39197"/>
    <cellStyle name="Style 1 5 4 3" xfId="39198"/>
    <cellStyle name="Style 1 5 5" xfId="39199"/>
    <cellStyle name="Style 1 5 5 2" xfId="39200"/>
    <cellStyle name="Style 1 5 5 2 2" xfId="39201"/>
    <cellStyle name="Style 1 5 5 3" xfId="39202"/>
    <cellStyle name="Style 1 5 5 4" xfId="39203"/>
    <cellStyle name="Style 1 5 6" xfId="39204"/>
    <cellStyle name="Style 1 5 6 2" xfId="39205"/>
    <cellStyle name="Style 1 5 7" xfId="39206"/>
    <cellStyle name="Style 1 6" xfId="1737"/>
    <cellStyle name="Style 1 6 10" xfId="39207"/>
    <cellStyle name="Style 1 6 11" xfId="39208"/>
    <cellStyle name="Style 1 6 2" xfId="1738"/>
    <cellStyle name="Style 1 6 2 2" xfId="39209"/>
    <cellStyle name="Style 1 6 2 2 2" xfId="39210"/>
    <cellStyle name="Style 1 6 2 2 2 2" xfId="39211"/>
    <cellStyle name="Style 1 6 2 2 3" xfId="39212"/>
    <cellStyle name="Style 1 6 2 2 4" xfId="39213"/>
    <cellStyle name="Style 1 6 2 3" xfId="39214"/>
    <cellStyle name="Style 1 6 2 3 2" xfId="39215"/>
    <cellStyle name="Style 1 6 2 3 2 2" xfId="39216"/>
    <cellStyle name="Style 1 6 2 3 3" xfId="39217"/>
    <cellStyle name="Style 1 6 2 3 4" xfId="39218"/>
    <cellStyle name="Style 1 6 2 4" xfId="39219"/>
    <cellStyle name="Style 1 6 2 4 2" xfId="39220"/>
    <cellStyle name="Style 1 6 2 5" xfId="39221"/>
    <cellStyle name="Style 1 6 2 5 2" xfId="39222"/>
    <cellStyle name="Style 1 6 2 6" xfId="39223"/>
    <cellStyle name="Style 1 6 2 7" xfId="39224"/>
    <cellStyle name="Style 1 6 3" xfId="1739"/>
    <cellStyle name="Style 1 6 3 2" xfId="39225"/>
    <cellStyle name="Style 1 6 3 2 2" xfId="39226"/>
    <cellStyle name="Style 1 6 3 2 2 2" xfId="39227"/>
    <cellStyle name="Style 1 6 3 2 3" xfId="39228"/>
    <cellStyle name="Style 1 6 3 2 4" xfId="39229"/>
    <cellStyle name="Style 1 6 3 3" xfId="39230"/>
    <cellStyle name="Style 1 6 3 3 2" xfId="39231"/>
    <cellStyle name="Style 1 6 3 3 2 2" xfId="39232"/>
    <cellStyle name="Style 1 6 3 3 3" xfId="39233"/>
    <cellStyle name="Style 1 6 3 4" xfId="39234"/>
    <cellStyle name="Style 1 6 3 4 2" xfId="39235"/>
    <cellStyle name="Style 1 6 3 5" xfId="39236"/>
    <cellStyle name="Style 1 6 3 5 2" xfId="39237"/>
    <cellStyle name="Style 1 6 3 6" xfId="39238"/>
    <cellStyle name="Style 1 6 3 7" xfId="39239"/>
    <cellStyle name="Style 1 6 4" xfId="1740"/>
    <cellStyle name="Style 1 6 4 2" xfId="39240"/>
    <cellStyle name="Style 1 6 4 2 2" xfId="39241"/>
    <cellStyle name="Style 1 6 4 2 2 2" xfId="39242"/>
    <cellStyle name="Style 1 6 4 2 3" xfId="39243"/>
    <cellStyle name="Style 1 6 4 2 4" xfId="39244"/>
    <cellStyle name="Style 1 6 4 3" xfId="39245"/>
    <cellStyle name="Style 1 6 4 3 2" xfId="39246"/>
    <cellStyle name="Style 1 6 4 3 2 2" xfId="39247"/>
    <cellStyle name="Style 1 6 4 3 3" xfId="39248"/>
    <cellStyle name="Style 1 6 4 4" xfId="39249"/>
    <cellStyle name="Style 1 6 4 4 2" xfId="39250"/>
    <cellStyle name="Style 1 6 4 5" xfId="39251"/>
    <cellStyle name="Style 1 6 4 5 2" xfId="39252"/>
    <cellStyle name="Style 1 6 4 6" xfId="39253"/>
    <cellStyle name="Style 1 6 4 7" xfId="39254"/>
    <cellStyle name="Style 1 6 5" xfId="1741"/>
    <cellStyle name="Style 1 6 5 2" xfId="39255"/>
    <cellStyle name="Style 1 6 5 2 2" xfId="39256"/>
    <cellStyle name="Style 1 6 5 2 2 2" xfId="39257"/>
    <cellStyle name="Style 1 6 5 2 3" xfId="39258"/>
    <cellStyle name="Style 1 6 5 2 4" xfId="39259"/>
    <cellStyle name="Style 1 6 5 3" xfId="39260"/>
    <cellStyle name="Style 1 6 5 3 2" xfId="39261"/>
    <cellStyle name="Style 1 6 5 3 2 2" xfId="39262"/>
    <cellStyle name="Style 1 6 5 3 3" xfId="39263"/>
    <cellStyle name="Style 1 6 5 4" xfId="39264"/>
    <cellStyle name="Style 1 6 5 4 2" xfId="39265"/>
    <cellStyle name="Style 1 6 5 5" xfId="39266"/>
    <cellStyle name="Style 1 6 5 5 2" xfId="39267"/>
    <cellStyle name="Style 1 6 5 6" xfId="39268"/>
    <cellStyle name="Style 1 6 6" xfId="39269"/>
    <cellStyle name="Style 1 6 6 2" xfId="39270"/>
    <cellStyle name="Style 1 6 6 2 2" xfId="39271"/>
    <cellStyle name="Style 1 6 6 3" xfId="39272"/>
    <cellStyle name="Style 1 6 6 4" xfId="39273"/>
    <cellStyle name="Style 1 6 7" xfId="39274"/>
    <cellStyle name="Style 1 6 7 2" xfId="39275"/>
    <cellStyle name="Style 1 6 7 2 2" xfId="39276"/>
    <cellStyle name="Style 1 6 7 3" xfId="39277"/>
    <cellStyle name="Style 1 6 7 4" xfId="39278"/>
    <cellStyle name="Style 1 6 8" xfId="39279"/>
    <cellStyle name="Style 1 6 8 2" xfId="39280"/>
    <cellStyle name="Style 1 6 9" xfId="39281"/>
    <cellStyle name="Style 1 6 9 2" xfId="39282"/>
    <cellStyle name="Style 1 7" xfId="39283"/>
    <cellStyle name="Style 1 7 2" xfId="39284"/>
    <cellStyle name="Style 1 7 2 2" xfId="39285"/>
    <cellStyle name="Style 1 7 2 2 2" xfId="39286"/>
    <cellStyle name="Style 1 7 2 2 2 2" xfId="39287"/>
    <cellStyle name="Style 1 7 2 3" xfId="39288"/>
    <cellStyle name="Style 1 7 2 3 2" xfId="39289"/>
    <cellStyle name="Style 1 7 2 4" xfId="39290"/>
    <cellStyle name="Style 1 7 2 4 2" xfId="39291"/>
    <cellStyle name="Style 1 7 2 5" xfId="39292"/>
    <cellStyle name="Style 1 7 2 6" xfId="39293"/>
    <cellStyle name="Style 1 7 3" xfId="39294"/>
    <cellStyle name="Style 1 7 3 2" xfId="39295"/>
    <cellStyle name="Style 1 7 3 2 2" xfId="39296"/>
    <cellStyle name="Style 1 7 3 3" xfId="39297"/>
    <cellStyle name="Style 1 7 4" xfId="39298"/>
    <cellStyle name="Style 1 7 4 2" xfId="39299"/>
    <cellStyle name="Style 1 7 4 2 2" xfId="39300"/>
    <cellStyle name="Style 1 7 4 3" xfId="39301"/>
    <cellStyle name="Style 1 7 5" xfId="39302"/>
    <cellStyle name="Style 1 7 5 2" xfId="39303"/>
    <cellStyle name="Style 1 7 6" xfId="39304"/>
    <cellStyle name="Style 1 7 6 2" xfId="39305"/>
    <cellStyle name="Style 1 7 7" xfId="39306"/>
    <cellStyle name="Style 1 7 8" xfId="39307"/>
    <cellStyle name="Style 1 8" xfId="39308"/>
    <cellStyle name="Style 1 8 2" xfId="39309"/>
    <cellStyle name="Style 1 8 2 2" xfId="39310"/>
    <cellStyle name="Style 1 8 2 2 2" xfId="39311"/>
    <cellStyle name="Style 1 8 2 2 2 2" xfId="39312"/>
    <cellStyle name="Style 1 8 2 3" xfId="39313"/>
    <cellStyle name="Style 1 8 2 3 2" xfId="39314"/>
    <cellStyle name="Style 1 8 2 4" xfId="39315"/>
    <cellStyle name="Style 1 8 2 4 2" xfId="39316"/>
    <cellStyle name="Style 1 8 2 5" xfId="39317"/>
    <cellStyle name="Style 1 8 3" xfId="39318"/>
    <cellStyle name="Style 1 8 3 2" xfId="39319"/>
    <cellStyle name="Style 1 8 3 2 2" xfId="39320"/>
    <cellStyle name="Style 1 8 3 3" xfId="39321"/>
    <cellStyle name="Style 1 8 4" xfId="39322"/>
    <cellStyle name="Style 1 8 4 2" xfId="39323"/>
    <cellStyle name="Style 1 8 4 2 2" xfId="39324"/>
    <cellStyle name="Style 1 8 4 3" xfId="39325"/>
    <cellStyle name="Style 1 8 5" xfId="39326"/>
    <cellStyle name="Style 1 8 5 2" xfId="39327"/>
    <cellStyle name="Style 1 8 6" xfId="39328"/>
    <cellStyle name="Style 1 8 6 2" xfId="39329"/>
    <cellStyle name="Style 1 8 7" xfId="39330"/>
    <cellStyle name="Style 1 8 8" xfId="39331"/>
    <cellStyle name="Style 1 9" xfId="39332"/>
    <cellStyle name="Style 1 9 2" xfId="39333"/>
    <cellStyle name="Style 1 9 2 2" xfId="39334"/>
    <cellStyle name="Style 1 9 2 2 2" xfId="39335"/>
    <cellStyle name="Style 1 9 2 2 2 2" xfId="39336"/>
    <cellStyle name="Style 1 9 2 3" xfId="39337"/>
    <cellStyle name="Style 1 9 2 3 2" xfId="39338"/>
    <cellStyle name="Style 1 9 2 4" xfId="39339"/>
    <cellStyle name="Style 1 9 2 4 2" xfId="39340"/>
    <cellStyle name="Style 1 9 3" xfId="39341"/>
    <cellStyle name="Style 1 9 3 2" xfId="39342"/>
    <cellStyle name="Style 1 9 3 2 2" xfId="39343"/>
    <cellStyle name="Style 1 9 3 3" xfId="39344"/>
    <cellStyle name="Style 1 9 4" xfId="39345"/>
    <cellStyle name="Style 1 9 4 2" xfId="39346"/>
    <cellStyle name="Style 1 9 4 2 2" xfId="39347"/>
    <cellStyle name="Style 1 9 4 3" xfId="39348"/>
    <cellStyle name="Style 1 9 5" xfId="39349"/>
    <cellStyle name="Style 1 9 5 2" xfId="39350"/>
    <cellStyle name="Style 1 9 6" xfId="39351"/>
    <cellStyle name="Style 1 9 6 2" xfId="39352"/>
    <cellStyle name="Style 1 9 7" xfId="39353"/>
    <cellStyle name="Style 1_ Price Inputs" xfId="39354"/>
    <cellStyle name="Style 21" xfId="39355"/>
    <cellStyle name="Style 21 2" xfId="39356"/>
    <cellStyle name="Style 21 2 2" xfId="39357"/>
    <cellStyle name="Style 21 2 2 2" xfId="39358"/>
    <cellStyle name="Style 21 2 3" xfId="39359"/>
    <cellStyle name="Style 21 2 4" xfId="39360"/>
    <cellStyle name="Style 21 3" xfId="39361"/>
    <cellStyle name="Style 21 3 2" xfId="39362"/>
    <cellStyle name="Style 21 4" xfId="39363"/>
    <cellStyle name="Style 21 4 2" xfId="39364"/>
    <cellStyle name="Style 21 5" xfId="39365"/>
    <cellStyle name="Style 22" xfId="39366"/>
    <cellStyle name="Style 22 2" xfId="39367"/>
    <cellStyle name="Style 22 2 2" xfId="39368"/>
    <cellStyle name="Style 22 2 2 2" xfId="39369"/>
    <cellStyle name="Style 22 2 3" xfId="39370"/>
    <cellStyle name="Style 22 2 4" xfId="39371"/>
    <cellStyle name="Style 22 3" xfId="39372"/>
    <cellStyle name="Style 22 3 2" xfId="39373"/>
    <cellStyle name="Style 22 4" xfId="39374"/>
    <cellStyle name="Style 22 4 2" xfId="39375"/>
    <cellStyle name="Style 22 5" xfId="39376"/>
    <cellStyle name="Style 23" xfId="39377"/>
    <cellStyle name="Style 23 2" xfId="39378"/>
    <cellStyle name="Style 23 2 2" xfId="39379"/>
    <cellStyle name="Style 23 2 2 2" xfId="39380"/>
    <cellStyle name="Style 23 2 3" xfId="39381"/>
    <cellStyle name="Style 23 2 4" xfId="39382"/>
    <cellStyle name="Style 23 2 5" xfId="39383"/>
    <cellStyle name="Style 23 3" xfId="39384"/>
    <cellStyle name="Style 23 3 2" xfId="39385"/>
    <cellStyle name="Style 23 4" xfId="39386"/>
    <cellStyle name="Style 23 4 2" xfId="39387"/>
    <cellStyle name="Style 23 5" xfId="39388"/>
    <cellStyle name="Style 24" xfId="39389"/>
    <cellStyle name="Style 24 2" xfId="39390"/>
    <cellStyle name="Style 24 2 2" xfId="39391"/>
    <cellStyle name="Style 24 2 2 2" xfId="39392"/>
    <cellStyle name="Style 24 2 3" xfId="39393"/>
    <cellStyle name="Style 24 2 4" xfId="39394"/>
    <cellStyle name="Style 24 2 5" xfId="39395"/>
    <cellStyle name="Style 24 3" xfId="39396"/>
    <cellStyle name="Style 24 3 2" xfId="39397"/>
    <cellStyle name="Style 24 4" xfId="39398"/>
    <cellStyle name="Style 24 4 2" xfId="39399"/>
    <cellStyle name="Style 24 5" xfId="39400"/>
    <cellStyle name="Style 25" xfId="39401"/>
    <cellStyle name="Style 25 2" xfId="39402"/>
    <cellStyle name="Style 25 2 2" xfId="39403"/>
    <cellStyle name="Style 25 2 2 2" xfId="39404"/>
    <cellStyle name="Style 25 2 3" xfId="39405"/>
    <cellStyle name="Style 25 2 4" xfId="39406"/>
    <cellStyle name="Style 25 2 5" xfId="39407"/>
    <cellStyle name="Style 25 3" xfId="39408"/>
    <cellStyle name="Style 25 3 2" xfId="39409"/>
    <cellStyle name="Style 25 4" xfId="39410"/>
    <cellStyle name="Style 25 4 2" xfId="39411"/>
    <cellStyle name="Style 25 5" xfId="39412"/>
    <cellStyle name="Style 26" xfId="39413"/>
    <cellStyle name="Style 26 2" xfId="39414"/>
    <cellStyle name="Style 26 2 2" xfId="39415"/>
    <cellStyle name="Style 26 2 2 2" xfId="39416"/>
    <cellStyle name="Style 26 2 3" xfId="39417"/>
    <cellStyle name="Style 26 2 4" xfId="39418"/>
    <cellStyle name="Style 26 2 5" xfId="39419"/>
    <cellStyle name="Style 26 3" xfId="39420"/>
    <cellStyle name="Style 26 3 2" xfId="39421"/>
    <cellStyle name="Style 26 4" xfId="39422"/>
    <cellStyle name="Style 26 4 2" xfId="39423"/>
    <cellStyle name="Style 26 5" xfId="39424"/>
    <cellStyle name="Style 27" xfId="39425"/>
    <cellStyle name="Style 27 2" xfId="39426"/>
    <cellStyle name="Style 27 2 2" xfId="39427"/>
    <cellStyle name="Style 27 2 2 2" xfId="39428"/>
    <cellStyle name="Style 27 2 3" xfId="39429"/>
    <cellStyle name="Style 27 2 4" xfId="39430"/>
    <cellStyle name="Style 27 2 5" xfId="39431"/>
    <cellStyle name="Style 27 3" xfId="39432"/>
    <cellStyle name="Style 27 3 2" xfId="39433"/>
    <cellStyle name="Style 27 4" xfId="39434"/>
    <cellStyle name="Style 27 4 2" xfId="39435"/>
    <cellStyle name="Style 27 5" xfId="39436"/>
    <cellStyle name="Style 28" xfId="39437"/>
    <cellStyle name="Style 28 2" xfId="39438"/>
    <cellStyle name="Style 28 2 2" xfId="39439"/>
    <cellStyle name="Style 28 2 2 2" xfId="39440"/>
    <cellStyle name="Style 28 2 3" xfId="39441"/>
    <cellStyle name="Style 28 2 4" xfId="39442"/>
    <cellStyle name="Style 28 2 5" xfId="39443"/>
    <cellStyle name="Style 28 3" xfId="39444"/>
    <cellStyle name="Style 28 3 2" xfId="39445"/>
    <cellStyle name="Style 28 4" xfId="39446"/>
    <cellStyle name="Style 28 4 2" xfId="39447"/>
    <cellStyle name="Style 28 5" xfId="39448"/>
    <cellStyle name="Style 29" xfId="39449"/>
    <cellStyle name="Style 29 2" xfId="39450"/>
    <cellStyle name="Style 29 2 2" xfId="39451"/>
    <cellStyle name="Style 29 2 2 2" xfId="39452"/>
    <cellStyle name="Style 29 2 2 2 2" xfId="39453"/>
    <cellStyle name="Style 29 2 3" xfId="39454"/>
    <cellStyle name="Style 29 2 3 2" xfId="39455"/>
    <cellStyle name="Style 29 2 4" xfId="39456"/>
    <cellStyle name="Style 29 2 4 2" xfId="39457"/>
    <cellStyle name="Style 29 2 5" xfId="39458"/>
    <cellStyle name="Style 29 3" xfId="39459"/>
    <cellStyle name="Style 29 3 2" xfId="39460"/>
    <cellStyle name="Style 29 3 2 2" xfId="39461"/>
    <cellStyle name="Style 29 3 3" xfId="39462"/>
    <cellStyle name="Style 29 4" xfId="39463"/>
    <cellStyle name="Style 29 4 2" xfId="39464"/>
    <cellStyle name="Style 29 4 2 2" xfId="39465"/>
    <cellStyle name="Style 29 4 3" xfId="39466"/>
    <cellStyle name="Style 29 5" xfId="39467"/>
    <cellStyle name="Style 29 5 2" xfId="39468"/>
    <cellStyle name="Style 29 6" xfId="39469"/>
    <cellStyle name="Style 29 6 2" xfId="39470"/>
    <cellStyle name="Style 29 7" xfId="39471"/>
    <cellStyle name="Style 30" xfId="39472"/>
    <cellStyle name="Style 30 2" xfId="39473"/>
    <cellStyle name="Style 30 2 2" xfId="39474"/>
    <cellStyle name="Style 30 2 2 2" xfId="39475"/>
    <cellStyle name="Style 30 2 2 2 2" xfId="39476"/>
    <cellStyle name="Style 30 2 3" xfId="39477"/>
    <cellStyle name="Style 30 2 3 2" xfId="39478"/>
    <cellStyle name="Style 30 2 4" xfId="39479"/>
    <cellStyle name="Style 30 2 4 2" xfId="39480"/>
    <cellStyle name="Style 30 2 5" xfId="39481"/>
    <cellStyle name="Style 30 3" xfId="39482"/>
    <cellStyle name="Style 30 3 2" xfId="39483"/>
    <cellStyle name="Style 30 3 2 2" xfId="39484"/>
    <cellStyle name="Style 30 3 3" xfId="39485"/>
    <cellStyle name="Style 30 4" xfId="39486"/>
    <cellStyle name="Style 30 4 2" xfId="39487"/>
    <cellStyle name="Style 30 4 2 2" xfId="39488"/>
    <cellStyle name="Style 30 4 3" xfId="39489"/>
    <cellStyle name="Style 30 5" xfId="39490"/>
    <cellStyle name="Style 30 5 2" xfId="39491"/>
    <cellStyle name="Style 30 6" xfId="39492"/>
    <cellStyle name="Style 30 6 2" xfId="39493"/>
    <cellStyle name="Style 30 7" xfId="39494"/>
    <cellStyle name="Style 31" xfId="39495"/>
    <cellStyle name="Style 31 2" xfId="39496"/>
    <cellStyle name="Style 31 2 2" xfId="39497"/>
    <cellStyle name="Style 31 2 2 2" xfId="39498"/>
    <cellStyle name="Style 31 2 3" xfId="39499"/>
    <cellStyle name="Style 31 2 4" xfId="39500"/>
    <cellStyle name="Style 31 2 5" xfId="39501"/>
    <cellStyle name="Style 31 3" xfId="39502"/>
    <cellStyle name="Style 31 3 2" xfId="39503"/>
    <cellStyle name="Style 31 4" xfId="39504"/>
    <cellStyle name="Style 31 4 2" xfId="39505"/>
    <cellStyle name="Style 31 5" xfId="39506"/>
    <cellStyle name="Style 32" xfId="39507"/>
    <cellStyle name="Style 32 2" xfId="39508"/>
    <cellStyle name="Style 32 2 2" xfId="39509"/>
    <cellStyle name="Style 32 2 2 2" xfId="39510"/>
    <cellStyle name="Style 32 2 3" xfId="39511"/>
    <cellStyle name="Style 32 2 4" xfId="39512"/>
    <cellStyle name="Style 32 2 5" xfId="39513"/>
    <cellStyle name="Style 32 3" xfId="39514"/>
    <cellStyle name="Style 32 3 2" xfId="39515"/>
    <cellStyle name="Style 32 4" xfId="39516"/>
    <cellStyle name="Style 32 4 2" xfId="39517"/>
    <cellStyle name="Style 32 5" xfId="39518"/>
    <cellStyle name="Style 33" xfId="39519"/>
    <cellStyle name="Style 33 2" xfId="39520"/>
    <cellStyle name="Style 33 2 2" xfId="39521"/>
    <cellStyle name="Style 33 2 2 2" xfId="39522"/>
    <cellStyle name="Style 33 2 2 2 2" xfId="39523"/>
    <cellStyle name="Style 33 2 3" xfId="39524"/>
    <cellStyle name="Style 33 2 3 2" xfId="39525"/>
    <cellStyle name="Style 33 2 4" xfId="39526"/>
    <cellStyle name="Style 33 2 4 2" xfId="39527"/>
    <cellStyle name="Style 33 2 5" xfId="39528"/>
    <cellStyle name="Style 33 3" xfId="39529"/>
    <cellStyle name="Style 33 3 2" xfId="39530"/>
    <cellStyle name="Style 33 3 2 2" xfId="39531"/>
    <cellStyle name="Style 33 3 3" xfId="39532"/>
    <cellStyle name="Style 33 4" xfId="39533"/>
    <cellStyle name="Style 33 4 2" xfId="39534"/>
    <cellStyle name="Style 33 4 2 2" xfId="39535"/>
    <cellStyle name="Style 33 4 3" xfId="39536"/>
    <cellStyle name="Style 33 5" xfId="39537"/>
    <cellStyle name="Style 33 5 2" xfId="39538"/>
    <cellStyle name="Style 33 6" xfId="39539"/>
    <cellStyle name="Style 33 6 2" xfId="39540"/>
    <cellStyle name="Style 33 7" xfId="39541"/>
    <cellStyle name="Style 34" xfId="39542"/>
    <cellStyle name="Style 34 2" xfId="39543"/>
    <cellStyle name="Style 34 2 2" xfId="39544"/>
    <cellStyle name="Style 34 2 2 2" xfId="39545"/>
    <cellStyle name="Style 34 2 2 2 2" xfId="39546"/>
    <cellStyle name="Style 34 2 3" xfId="39547"/>
    <cellStyle name="Style 34 2 3 2" xfId="39548"/>
    <cellStyle name="Style 34 2 4" xfId="39549"/>
    <cellStyle name="Style 34 2 4 2" xfId="39550"/>
    <cellStyle name="Style 34 3" xfId="39551"/>
    <cellStyle name="Style 34 3 2" xfId="39552"/>
    <cellStyle name="Style 34 3 2 2" xfId="39553"/>
    <cellStyle name="Style 34 3 3" xfId="39554"/>
    <cellStyle name="Style 34 4" xfId="39555"/>
    <cellStyle name="Style 34 4 2" xfId="39556"/>
    <cellStyle name="Style 34 4 2 2" xfId="39557"/>
    <cellStyle name="Style 34 4 3" xfId="39558"/>
    <cellStyle name="Style 34 5" xfId="39559"/>
    <cellStyle name="Style 34 5 2" xfId="39560"/>
    <cellStyle name="Style 34 6" xfId="39561"/>
    <cellStyle name="Style 34 6 2" xfId="39562"/>
    <cellStyle name="Style 34 7" xfId="39563"/>
    <cellStyle name="Style 35" xfId="39564"/>
    <cellStyle name="Style 35 2" xfId="39565"/>
    <cellStyle name="Style 35 2 2" xfId="39566"/>
    <cellStyle name="Style 35 2 2 2" xfId="39567"/>
    <cellStyle name="Style 35 2 2 2 2" xfId="39568"/>
    <cellStyle name="Style 35 2 3" xfId="39569"/>
    <cellStyle name="Style 35 2 3 2" xfId="39570"/>
    <cellStyle name="Style 35 2 4" xfId="39571"/>
    <cellStyle name="Style 35 2 4 2" xfId="39572"/>
    <cellStyle name="Style 35 3" xfId="39573"/>
    <cellStyle name="Style 35 3 2" xfId="39574"/>
    <cellStyle name="Style 35 3 2 2" xfId="39575"/>
    <cellStyle name="Style 35 3 3" xfId="39576"/>
    <cellStyle name="Style 35 4" xfId="39577"/>
    <cellStyle name="Style 35 4 2" xfId="39578"/>
    <cellStyle name="Style 35 4 2 2" xfId="39579"/>
    <cellStyle name="Style 35 4 3" xfId="39580"/>
    <cellStyle name="Style 35 5" xfId="39581"/>
    <cellStyle name="Style 35 5 2" xfId="39582"/>
    <cellStyle name="Style 35 6" xfId="39583"/>
    <cellStyle name="Style 35 6 2" xfId="39584"/>
    <cellStyle name="Style 35 7" xfId="39585"/>
    <cellStyle name="Style 36" xfId="39586"/>
    <cellStyle name="Style 36 2" xfId="39587"/>
    <cellStyle name="Style 36 2 2" xfId="39588"/>
    <cellStyle name="Style 36 2 2 2" xfId="39589"/>
    <cellStyle name="Style 36 2 2 2 2" xfId="39590"/>
    <cellStyle name="Style 36 2 3" xfId="39591"/>
    <cellStyle name="Style 36 2 3 2" xfId="39592"/>
    <cellStyle name="Style 36 2 4" xfId="39593"/>
    <cellStyle name="Style 36 2 4 2" xfId="39594"/>
    <cellStyle name="Style 36 3" xfId="39595"/>
    <cellStyle name="Style 36 3 2" xfId="39596"/>
    <cellStyle name="Style 36 3 2 2" xfId="39597"/>
    <cellStyle name="Style 36 3 3" xfId="39598"/>
    <cellStyle name="Style 36 4" xfId="39599"/>
    <cellStyle name="Style 36 4 2" xfId="39600"/>
    <cellStyle name="Style 36 4 2 2" xfId="39601"/>
    <cellStyle name="Style 36 4 3" xfId="39602"/>
    <cellStyle name="Style 36 5" xfId="39603"/>
    <cellStyle name="Style 36 5 2" xfId="39604"/>
    <cellStyle name="Style 36 6" xfId="39605"/>
    <cellStyle name="Style 36 6 2" xfId="39606"/>
    <cellStyle name="Style 36 7" xfId="39607"/>
    <cellStyle name="Style 39" xfId="39608"/>
    <cellStyle name="Style 39 2" xfId="39609"/>
    <cellStyle name="Style 39 2 2" xfId="39610"/>
    <cellStyle name="Style 39 2 2 2" xfId="39611"/>
    <cellStyle name="Style 39 2 2 2 2" xfId="39612"/>
    <cellStyle name="Style 39 2 3" xfId="39613"/>
    <cellStyle name="Style 39 2 3 2" xfId="39614"/>
    <cellStyle name="Style 39 2 4" xfId="39615"/>
    <cellStyle name="Style 39 2 4 2" xfId="39616"/>
    <cellStyle name="Style 39 3" xfId="39617"/>
    <cellStyle name="Style 39 3 2" xfId="39618"/>
    <cellStyle name="Style 39 3 2 2" xfId="39619"/>
    <cellStyle name="Style 39 3 3" xfId="39620"/>
    <cellStyle name="Style 39 4" xfId="39621"/>
    <cellStyle name="Style 39 4 2" xfId="39622"/>
    <cellStyle name="Style 39 4 2 2" xfId="39623"/>
    <cellStyle name="Style 39 4 3" xfId="39624"/>
    <cellStyle name="Style 39 5" xfId="39625"/>
    <cellStyle name="Style 39 5 2" xfId="39626"/>
    <cellStyle name="Style 39 6" xfId="39627"/>
    <cellStyle name="Style 39 6 2" xfId="39628"/>
    <cellStyle name="STYLE1" xfId="39629"/>
    <cellStyle name="STYLE1 2" xfId="39630"/>
    <cellStyle name="STYLE2" xfId="39631"/>
    <cellStyle name="STYLE2 2" xfId="39632"/>
    <cellStyle name="STYLE3" xfId="39633"/>
    <cellStyle name="STYLE3 2" xfId="39634"/>
    <cellStyle name="SubHeading" xfId="39635"/>
    <cellStyle name="SubsidTitle" xfId="39636"/>
    <cellStyle name="sub-tl - Style3" xfId="39637"/>
    <cellStyle name="subtot - Style5" xfId="39638"/>
    <cellStyle name="Subtotal" xfId="1742"/>
    <cellStyle name="Sub-total" xfId="1743"/>
    <cellStyle name="Subtotal 10" xfId="39639"/>
    <cellStyle name="Sub-total 10" xfId="39640"/>
    <cellStyle name="Subtotal 10 10" xfId="39641"/>
    <cellStyle name="Sub-total 10 10" xfId="39642"/>
    <cellStyle name="Subtotal 10 10 2" xfId="39643"/>
    <cellStyle name="Sub-total 10 10 2" xfId="39644"/>
    <cellStyle name="Subtotal 10 10 3" xfId="39645"/>
    <cellStyle name="Sub-total 10 10 3" xfId="39646"/>
    <cellStyle name="Subtotal 10 10 4" xfId="39647"/>
    <cellStyle name="Sub-total 10 10 4" xfId="39648"/>
    <cellStyle name="Subtotal 10 10 5" xfId="39649"/>
    <cellStyle name="Sub-total 10 10 5" xfId="39650"/>
    <cellStyle name="Subtotal 10 10 6" xfId="39651"/>
    <cellStyle name="Sub-total 10 10 6" xfId="39652"/>
    <cellStyle name="Subtotal 10 11" xfId="39653"/>
    <cellStyle name="Sub-total 10 11" xfId="39654"/>
    <cellStyle name="Subtotal 10 11 2" xfId="39655"/>
    <cellStyle name="Sub-total 10 11 2" xfId="39656"/>
    <cellStyle name="Subtotal 10 11 3" xfId="39657"/>
    <cellStyle name="Sub-total 10 11 3" xfId="39658"/>
    <cellStyle name="Subtotal 10 11 4" xfId="39659"/>
    <cellStyle name="Sub-total 10 11 4" xfId="39660"/>
    <cellStyle name="Subtotal 10 11 5" xfId="39661"/>
    <cellStyle name="Sub-total 10 11 5" xfId="39662"/>
    <cellStyle name="Subtotal 10 11 6" xfId="39663"/>
    <cellStyle name="Sub-total 10 11 6" xfId="39664"/>
    <cellStyle name="Subtotal 10 12" xfId="39665"/>
    <cellStyle name="Sub-total 10 12" xfId="39666"/>
    <cellStyle name="Subtotal 10 12 2" xfId="39667"/>
    <cellStyle name="Sub-total 10 12 2" xfId="39668"/>
    <cellStyle name="Subtotal 10 12 3" xfId="39669"/>
    <cellStyle name="Sub-total 10 12 3" xfId="39670"/>
    <cellStyle name="Subtotal 10 12 4" xfId="39671"/>
    <cellStyle name="Sub-total 10 12 4" xfId="39672"/>
    <cellStyle name="Subtotal 10 12 5" xfId="39673"/>
    <cellStyle name="Sub-total 10 12 5" xfId="39674"/>
    <cellStyle name="Subtotal 10 12 6" xfId="39675"/>
    <cellStyle name="Sub-total 10 12 6" xfId="39676"/>
    <cellStyle name="Subtotal 10 13" xfId="39677"/>
    <cellStyle name="Sub-total 10 13" xfId="39678"/>
    <cellStyle name="Subtotal 10 13 2" xfId="39679"/>
    <cellStyle name="Sub-total 10 13 2" xfId="39680"/>
    <cellStyle name="Subtotal 10 13 3" xfId="39681"/>
    <cellStyle name="Sub-total 10 13 3" xfId="39682"/>
    <cellStyle name="Subtotal 10 13 4" xfId="39683"/>
    <cellStyle name="Sub-total 10 13 4" xfId="39684"/>
    <cellStyle name="Subtotal 10 13 5" xfId="39685"/>
    <cellStyle name="Sub-total 10 13 5" xfId="39686"/>
    <cellStyle name="Subtotal 10 13 6" xfId="39687"/>
    <cellStyle name="Sub-total 10 13 6" xfId="39688"/>
    <cellStyle name="Subtotal 10 14" xfId="39689"/>
    <cellStyle name="Sub-total 10 14" xfId="39690"/>
    <cellStyle name="Subtotal 10 15" xfId="39691"/>
    <cellStyle name="Sub-total 10 15" xfId="39692"/>
    <cellStyle name="Subtotal 10 16" xfId="39693"/>
    <cellStyle name="Sub-total 10 16" xfId="39694"/>
    <cellStyle name="Subtotal 10 17" xfId="39695"/>
    <cellStyle name="Sub-total 10 17" xfId="39696"/>
    <cellStyle name="Subtotal 10 18" xfId="39697"/>
    <cellStyle name="Sub-total 10 18" xfId="39698"/>
    <cellStyle name="Subtotal 10 2" xfId="39699"/>
    <cellStyle name="Sub-total 10 2" xfId="39700"/>
    <cellStyle name="Subtotal 10 2 2" xfId="39701"/>
    <cellStyle name="Sub-total 10 2 2" xfId="39702"/>
    <cellStyle name="Subtotal 10 2 3" xfId="39703"/>
    <cellStyle name="Sub-total 10 2 3" xfId="39704"/>
    <cellStyle name="Subtotal 10 2 4" xfId="39705"/>
    <cellStyle name="Sub-total 10 2 4" xfId="39706"/>
    <cellStyle name="Subtotal 10 2 5" xfId="39707"/>
    <cellStyle name="Sub-total 10 2 5" xfId="39708"/>
    <cellStyle name="Subtotal 10 2 6" xfId="39709"/>
    <cellStyle name="Sub-total 10 2 6" xfId="39710"/>
    <cellStyle name="Subtotal 10 3" xfId="39711"/>
    <cellStyle name="Sub-total 10 3" xfId="39712"/>
    <cellStyle name="Subtotal 10 3 2" xfId="39713"/>
    <cellStyle name="Sub-total 10 3 2" xfId="39714"/>
    <cellStyle name="Subtotal 10 3 3" xfId="39715"/>
    <cellStyle name="Sub-total 10 3 3" xfId="39716"/>
    <cellStyle name="Subtotal 10 3 4" xfId="39717"/>
    <cellStyle name="Sub-total 10 3 4" xfId="39718"/>
    <cellStyle name="Subtotal 10 3 5" xfId="39719"/>
    <cellStyle name="Sub-total 10 3 5" xfId="39720"/>
    <cellStyle name="Subtotal 10 3 6" xfId="39721"/>
    <cellStyle name="Sub-total 10 3 6" xfId="39722"/>
    <cellStyle name="Subtotal 10 4" xfId="39723"/>
    <cellStyle name="Sub-total 10 4" xfId="39724"/>
    <cellStyle name="Subtotal 10 4 2" xfId="39725"/>
    <cellStyle name="Sub-total 10 4 2" xfId="39726"/>
    <cellStyle name="Subtotal 10 4 3" xfId="39727"/>
    <cellStyle name="Sub-total 10 4 3" xfId="39728"/>
    <cellStyle name="Subtotal 10 4 4" xfId="39729"/>
    <cellStyle name="Sub-total 10 4 4" xfId="39730"/>
    <cellStyle name="Subtotal 10 4 5" xfId="39731"/>
    <cellStyle name="Sub-total 10 4 5" xfId="39732"/>
    <cellStyle name="Subtotal 10 4 6" xfId="39733"/>
    <cellStyle name="Sub-total 10 4 6" xfId="39734"/>
    <cellStyle name="Subtotal 10 5" xfId="39735"/>
    <cellStyle name="Sub-total 10 5" xfId="39736"/>
    <cellStyle name="Subtotal 10 5 2" xfId="39737"/>
    <cellStyle name="Sub-total 10 5 2" xfId="39738"/>
    <cellStyle name="Subtotal 10 5 3" xfId="39739"/>
    <cellStyle name="Sub-total 10 5 3" xfId="39740"/>
    <cellStyle name="Subtotal 10 5 4" xfId="39741"/>
    <cellStyle name="Sub-total 10 5 4" xfId="39742"/>
    <cellStyle name="Subtotal 10 5 5" xfId="39743"/>
    <cellStyle name="Sub-total 10 5 5" xfId="39744"/>
    <cellStyle name="Subtotal 10 5 6" xfId="39745"/>
    <cellStyle name="Sub-total 10 5 6" xfId="39746"/>
    <cellStyle name="Subtotal 10 6" xfId="39747"/>
    <cellStyle name="Sub-total 10 6" xfId="39748"/>
    <cellStyle name="Subtotal 10 6 2" xfId="39749"/>
    <cellStyle name="Sub-total 10 6 2" xfId="39750"/>
    <cellStyle name="Subtotal 10 6 3" xfId="39751"/>
    <cellStyle name="Sub-total 10 6 3" xfId="39752"/>
    <cellStyle name="Subtotal 10 6 4" xfId="39753"/>
    <cellStyle name="Sub-total 10 6 4" xfId="39754"/>
    <cellStyle name="Subtotal 10 6 5" xfId="39755"/>
    <cellStyle name="Sub-total 10 6 5" xfId="39756"/>
    <cellStyle name="Subtotal 10 6 6" xfId="39757"/>
    <cellStyle name="Sub-total 10 6 6" xfId="39758"/>
    <cellStyle name="Subtotal 10 7" xfId="39759"/>
    <cellStyle name="Sub-total 10 7" xfId="39760"/>
    <cellStyle name="Subtotal 10 7 2" xfId="39761"/>
    <cellStyle name="Sub-total 10 7 2" xfId="39762"/>
    <cellStyle name="Subtotal 10 7 3" xfId="39763"/>
    <cellStyle name="Sub-total 10 7 3" xfId="39764"/>
    <cellStyle name="Subtotal 10 7 4" xfId="39765"/>
    <cellStyle name="Sub-total 10 7 4" xfId="39766"/>
    <cellStyle name="Subtotal 10 7 5" xfId="39767"/>
    <cellStyle name="Sub-total 10 7 5" xfId="39768"/>
    <cellStyle name="Subtotal 10 7 6" xfId="39769"/>
    <cellStyle name="Sub-total 10 7 6" xfId="39770"/>
    <cellStyle name="Subtotal 10 8" xfId="39771"/>
    <cellStyle name="Sub-total 10 8" xfId="39772"/>
    <cellStyle name="Subtotal 10 8 2" xfId="39773"/>
    <cellStyle name="Sub-total 10 8 2" xfId="39774"/>
    <cellStyle name="Subtotal 10 8 3" xfId="39775"/>
    <cellStyle name="Sub-total 10 8 3" xfId="39776"/>
    <cellStyle name="Subtotal 10 8 4" xfId="39777"/>
    <cellStyle name="Sub-total 10 8 4" xfId="39778"/>
    <cellStyle name="Subtotal 10 8 5" xfId="39779"/>
    <cellStyle name="Sub-total 10 8 5" xfId="39780"/>
    <cellStyle name="Subtotal 10 8 6" xfId="39781"/>
    <cellStyle name="Sub-total 10 8 6" xfId="39782"/>
    <cellStyle name="Subtotal 10 9" xfId="39783"/>
    <cellStyle name="Sub-total 10 9" xfId="39784"/>
    <cellStyle name="Subtotal 10 9 2" xfId="39785"/>
    <cellStyle name="Sub-total 10 9 2" xfId="39786"/>
    <cellStyle name="Subtotal 10 9 3" xfId="39787"/>
    <cellStyle name="Sub-total 10 9 3" xfId="39788"/>
    <cellStyle name="Subtotal 10 9 4" xfId="39789"/>
    <cellStyle name="Sub-total 10 9 4" xfId="39790"/>
    <cellStyle name="Subtotal 10 9 5" xfId="39791"/>
    <cellStyle name="Sub-total 10 9 5" xfId="39792"/>
    <cellStyle name="Subtotal 10 9 6" xfId="39793"/>
    <cellStyle name="Sub-total 10 9 6" xfId="39794"/>
    <cellStyle name="Subtotal 11" xfId="39795"/>
    <cellStyle name="Sub-total 11" xfId="39796"/>
    <cellStyle name="Subtotal 11 10" xfId="39797"/>
    <cellStyle name="Sub-total 11 10" xfId="39798"/>
    <cellStyle name="Subtotal 11 10 2" xfId="39799"/>
    <cellStyle name="Sub-total 11 10 2" xfId="39800"/>
    <cellStyle name="Subtotal 11 10 3" xfId="39801"/>
    <cellStyle name="Sub-total 11 10 3" xfId="39802"/>
    <cellStyle name="Subtotal 11 10 4" xfId="39803"/>
    <cellStyle name="Sub-total 11 10 4" xfId="39804"/>
    <cellStyle name="Subtotal 11 10 5" xfId="39805"/>
    <cellStyle name="Sub-total 11 10 5" xfId="39806"/>
    <cellStyle name="Subtotal 11 10 6" xfId="39807"/>
    <cellStyle name="Sub-total 11 10 6" xfId="39808"/>
    <cellStyle name="Subtotal 11 11" xfId="39809"/>
    <cellStyle name="Sub-total 11 11" xfId="39810"/>
    <cellStyle name="Subtotal 11 11 2" xfId="39811"/>
    <cellStyle name="Sub-total 11 11 2" xfId="39812"/>
    <cellStyle name="Subtotal 11 11 3" xfId="39813"/>
    <cellStyle name="Sub-total 11 11 3" xfId="39814"/>
    <cellStyle name="Subtotal 11 11 4" xfId="39815"/>
    <cellStyle name="Sub-total 11 11 4" xfId="39816"/>
    <cellStyle name="Subtotal 11 11 5" xfId="39817"/>
    <cellStyle name="Sub-total 11 11 5" xfId="39818"/>
    <cellStyle name="Subtotal 11 11 6" xfId="39819"/>
    <cellStyle name="Sub-total 11 11 6" xfId="39820"/>
    <cellStyle name="Subtotal 11 12" xfId="39821"/>
    <cellStyle name="Sub-total 11 12" xfId="39822"/>
    <cellStyle name="Subtotal 11 12 2" xfId="39823"/>
    <cellStyle name="Sub-total 11 12 2" xfId="39824"/>
    <cellStyle name="Subtotal 11 12 3" xfId="39825"/>
    <cellStyle name="Sub-total 11 12 3" xfId="39826"/>
    <cellStyle name="Subtotal 11 12 4" xfId="39827"/>
    <cellStyle name="Sub-total 11 12 4" xfId="39828"/>
    <cellStyle name="Subtotal 11 12 5" xfId="39829"/>
    <cellStyle name="Sub-total 11 12 5" xfId="39830"/>
    <cellStyle name="Subtotal 11 12 6" xfId="39831"/>
    <cellStyle name="Sub-total 11 12 6" xfId="39832"/>
    <cellStyle name="Subtotal 11 13" xfId="39833"/>
    <cellStyle name="Sub-total 11 13" xfId="39834"/>
    <cellStyle name="Subtotal 11 13 2" xfId="39835"/>
    <cellStyle name="Sub-total 11 13 2" xfId="39836"/>
    <cellStyle name="Subtotal 11 13 3" xfId="39837"/>
    <cellStyle name="Sub-total 11 13 3" xfId="39838"/>
    <cellStyle name="Subtotal 11 13 4" xfId="39839"/>
    <cellStyle name="Sub-total 11 13 4" xfId="39840"/>
    <cellStyle name="Subtotal 11 13 5" xfId="39841"/>
    <cellStyle name="Sub-total 11 13 5" xfId="39842"/>
    <cellStyle name="Subtotal 11 13 6" xfId="39843"/>
    <cellStyle name="Sub-total 11 13 6" xfId="39844"/>
    <cellStyle name="Subtotal 11 14" xfId="39845"/>
    <cellStyle name="Sub-total 11 14" xfId="39846"/>
    <cellStyle name="Subtotal 11 15" xfId="39847"/>
    <cellStyle name="Sub-total 11 15" xfId="39848"/>
    <cellStyle name="Subtotal 11 16" xfId="39849"/>
    <cellStyle name="Sub-total 11 16" xfId="39850"/>
    <cellStyle name="Subtotal 11 17" xfId="39851"/>
    <cellStyle name="Sub-total 11 17" xfId="39852"/>
    <cellStyle name="Subtotal 11 18" xfId="39853"/>
    <cellStyle name="Sub-total 11 18" xfId="39854"/>
    <cellStyle name="Subtotal 11 2" xfId="39855"/>
    <cellStyle name="Sub-total 11 2" xfId="39856"/>
    <cellStyle name="Subtotal 11 2 2" xfId="39857"/>
    <cellStyle name="Sub-total 11 2 2" xfId="39858"/>
    <cellStyle name="Subtotal 11 2 3" xfId="39859"/>
    <cellStyle name="Sub-total 11 2 3" xfId="39860"/>
    <cellStyle name="Subtotal 11 2 4" xfId="39861"/>
    <cellStyle name="Sub-total 11 2 4" xfId="39862"/>
    <cellStyle name="Subtotal 11 2 5" xfId="39863"/>
    <cellStyle name="Sub-total 11 2 5" xfId="39864"/>
    <cellStyle name="Subtotal 11 2 6" xfId="39865"/>
    <cellStyle name="Sub-total 11 2 6" xfId="39866"/>
    <cellStyle name="Subtotal 11 3" xfId="39867"/>
    <cellStyle name="Sub-total 11 3" xfId="39868"/>
    <cellStyle name="Subtotal 11 3 2" xfId="39869"/>
    <cellStyle name="Sub-total 11 3 2" xfId="39870"/>
    <cellStyle name="Subtotal 11 3 3" xfId="39871"/>
    <cellStyle name="Sub-total 11 3 3" xfId="39872"/>
    <cellStyle name="Subtotal 11 3 4" xfId="39873"/>
    <cellStyle name="Sub-total 11 3 4" xfId="39874"/>
    <cellStyle name="Subtotal 11 3 5" xfId="39875"/>
    <cellStyle name="Sub-total 11 3 5" xfId="39876"/>
    <cellStyle name="Subtotal 11 3 6" xfId="39877"/>
    <cellStyle name="Sub-total 11 3 6" xfId="39878"/>
    <cellStyle name="Subtotal 11 4" xfId="39879"/>
    <cellStyle name="Sub-total 11 4" xfId="39880"/>
    <cellStyle name="Subtotal 11 4 2" xfId="39881"/>
    <cellStyle name="Sub-total 11 4 2" xfId="39882"/>
    <cellStyle name="Subtotal 11 4 3" xfId="39883"/>
    <cellStyle name="Sub-total 11 4 3" xfId="39884"/>
    <cellStyle name="Subtotal 11 4 4" xfId="39885"/>
    <cellStyle name="Sub-total 11 4 4" xfId="39886"/>
    <cellStyle name="Subtotal 11 4 5" xfId="39887"/>
    <cellStyle name="Sub-total 11 4 5" xfId="39888"/>
    <cellStyle name="Subtotal 11 4 6" xfId="39889"/>
    <cellStyle name="Sub-total 11 4 6" xfId="39890"/>
    <cellStyle name="Subtotal 11 5" xfId="39891"/>
    <cellStyle name="Sub-total 11 5" xfId="39892"/>
    <cellStyle name="Subtotal 11 5 2" xfId="39893"/>
    <cellStyle name="Sub-total 11 5 2" xfId="39894"/>
    <cellStyle name="Subtotal 11 5 3" xfId="39895"/>
    <cellStyle name="Sub-total 11 5 3" xfId="39896"/>
    <cellStyle name="Subtotal 11 5 4" xfId="39897"/>
    <cellStyle name="Sub-total 11 5 4" xfId="39898"/>
    <cellStyle name="Subtotal 11 5 5" xfId="39899"/>
    <cellStyle name="Sub-total 11 5 5" xfId="39900"/>
    <cellStyle name="Subtotal 11 5 6" xfId="39901"/>
    <cellStyle name="Sub-total 11 5 6" xfId="39902"/>
    <cellStyle name="Subtotal 11 6" xfId="39903"/>
    <cellStyle name="Sub-total 11 6" xfId="39904"/>
    <cellStyle name="Subtotal 11 6 2" xfId="39905"/>
    <cellStyle name="Sub-total 11 6 2" xfId="39906"/>
    <cellStyle name="Subtotal 11 6 3" xfId="39907"/>
    <cellStyle name="Sub-total 11 6 3" xfId="39908"/>
    <cellStyle name="Subtotal 11 6 4" xfId="39909"/>
    <cellStyle name="Sub-total 11 6 4" xfId="39910"/>
    <cellStyle name="Subtotal 11 6 5" xfId="39911"/>
    <cellStyle name="Sub-total 11 6 5" xfId="39912"/>
    <cellStyle name="Subtotal 11 6 6" xfId="39913"/>
    <cellStyle name="Sub-total 11 6 6" xfId="39914"/>
    <cellStyle name="Subtotal 11 7" xfId="39915"/>
    <cellStyle name="Sub-total 11 7" xfId="39916"/>
    <cellStyle name="Subtotal 11 7 2" xfId="39917"/>
    <cellStyle name="Sub-total 11 7 2" xfId="39918"/>
    <cellStyle name="Subtotal 11 7 3" xfId="39919"/>
    <cellStyle name="Sub-total 11 7 3" xfId="39920"/>
    <cellStyle name="Subtotal 11 7 4" xfId="39921"/>
    <cellStyle name="Sub-total 11 7 4" xfId="39922"/>
    <cellStyle name="Subtotal 11 7 5" xfId="39923"/>
    <cellStyle name="Sub-total 11 7 5" xfId="39924"/>
    <cellStyle name="Subtotal 11 7 6" xfId="39925"/>
    <cellStyle name="Sub-total 11 7 6" xfId="39926"/>
    <cellStyle name="Subtotal 11 8" xfId="39927"/>
    <cellStyle name="Sub-total 11 8" xfId="39928"/>
    <cellStyle name="Subtotal 11 8 2" xfId="39929"/>
    <cellStyle name="Sub-total 11 8 2" xfId="39930"/>
    <cellStyle name="Subtotal 11 8 3" xfId="39931"/>
    <cellStyle name="Sub-total 11 8 3" xfId="39932"/>
    <cellStyle name="Subtotal 11 8 4" xfId="39933"/>
    <cellStyle name="Sub-total 11 8 4" xfId="39934"/>
    <cellStyle name="Subtotal 11 8 5" xfId="39935"/>
    <cellStyle name="Sub-total 11 8 5" xfId="39936"/>
    <cellStyle name="Subtotal 11 8 6" xfId="39937"/>
    <cellStyle name="Sub-total 11 8 6" xfId="39938"/>
    <cellStyle name="Subtotal 11 9" xfId="39939"/>
    <cellStyle name="Sub-total 11 9" xfId="39940"/>
    <cellStyle name="Subtotal 11 9 2" xfId="39941"/>
    <cellStyle name="Sub-total 11 9 2" xfId="39942"/>
    <cellStyle name="Subtotal 11 9 3" xfId="39943"/>
    <cellStyle name="Sub-total 11 9 3" xfId="39944"/>
    <cellStyle name="Subtotal 11 9 4" xfId="39945"/>
    <cellStyle name="Sub-total 11 9 4" xfId="39946"/>
    <cellStyle name="Subtotal 11 9 5" xfId="39947"/>
    <cellStyle name="Sub-total 11 9 5" xfId="39948"/>
    <cellStyle name="Subtotal 11 9 6" xfId="39949"/>
    <cellStyle name="Sub-total 11 9 6" xfId="39950"/>
    <cellStyle name="Subtotal 12" xfId="39951"/>
    <cellStyle name="Sub-total 12" xfId="39952"/>
    <cellStyle name="Subtotal 12 10" xfId="39953"/>
    <cellStyle name="Sub-total 12 10" xfId="39954"/>
    <cellStyle name="Subtotal 12 10 2" xfId="39955"/>
    <cellStyle name="Sub-total 12 10 2" xfId="39956"/>
    <cellStyle name="Subtotal 12 10 3" xfId="39957"/>
    <cellStyle name="Sub-total 12 10 3" xfId="39958"/>
    <cellStyle name="Subtotal 12 10 4" xfId="39959"/>
    <cellStyle name="Sub-total 12 10 4" xfId="39960"/>
    <cellStyle name="Subtotal 12 10 5" xfId="39961"/>
    <cellStyle name="Sub-total 12 10 5" xfId="39962"/>
    <cellStyle name="Subtotal 12 10 6" xfId="39963"/>
    <cellStyle name="Sub-total 12 10 6" xfId="39964"/>
    <cellStyle name="Subtotal 12 11" xfId="39965"/>
    <cellStyle name="Sub-total 12 11" xfId="39966"/>
    <cellStyle name="Subtotal 12 11 2" xfId="39967"/>
    <cellStyle name="Sub-total 12 11 2" xfId="39968"/>
    <cellStyle name="Subtotal 12 11 3" xfId="39969"/>
    <cellStyle name="Sub-total 12 11 3" xfId="39970"/>
    <cellStyle name="Subtotal 12 11 4" xfId="39971"/>
    <cellStyle name="Sub-total 12 11 4" xfId="39972"/>
    <cellStyle name="Subtotal 12 11 5" xfId="39973"/>
    <cellStyle name="Sub-total 12 11 5" xfId="39974"/>
    <cellStyle name="Subtotal 12 11 6" xfId="39975"/>
    <cellStyle name="Sub-total 12 11 6" xfId="39976"/>
    <cellStyle name="Subtotal 12 12" xfId="39977"/>
    <cellStyle name="Sub-total 12 12" xfId="39978"/>
    <cellStyle name="Subtotal 12 12 2" xfId="39979"/>
    <cellStyle name="Sub-total 12 12 2" xfId="39980"/>
    <cellStyle name="Subtotal 12 12 3" xfId="39981"/>
    <cellStyle name="Sub-total 12 12 3" xfId="39982"/>
    <cellStyle name="Subtotal 12 12 4" xfId="39983"/>
    <cellStyle name="Sub-total 12 12 4" xfId="39984"/>
    <cellStyle name="Subtotal 12 12 5" xfId="39985"/>
    <cellStyle name="Sub-total 12 12 5" xfId="39986"/>
    <cellStyle name="Subtotal 12 12 6" xfId="39987"/>
    <cellStyle name="Sub-total 12 12 6" xfId="39988"/>
    <cellStyle name="Subtotal 12 13" xfId="39989"/>
    <cellStyle name="Sub-total 12 13" xfId="39990"/>
    <cellStyle name="Subtotal 12 13 2" xfId="39991"/>
    <cellStyle name="Sub-total 12 13 2" xfId="39992"/>
    <cellStyle name="Subtotal 12 13 3" xfId="39993"/>
    <cellStyle name="Sub-total 12 13 3" xfId="39994"/>
    <cellStyle name="Subtotal 12 13 4" xfId="39995"/>
    <cellStyle name="Sub-total 12 13 4" xfId="39996"/>
    <cellStyle name="Subtotal 12 13 5" xfId="39997"/>
    <cellStyle name="Sub-total 12 13 5" xfId="39998"/>
    <cellStyle name="Subtotal 12 13 6" xfId="39999"/>
    <cellStyle name="Sub-total 12 13 6" xfId="40000"/>
    <cellStyle name="Subtotal 12 14" xfId="40001"/>
    <cellStyle name="Sub-total 12 14" xfId="40002"/>
    <cellStyle name="Subtotal 12 15" xfId="40003"/>
    <cellStyle name="Sub-total 12 15" xfId="40004"/>
    <cellStyle name="Subtotal 12 16" xfId="40005"/>
    <cellStyle name="Sub-total 12 16" xfId="40006"/>
    <cellStyle name="Subtotal 12 17" xfId="40007"/>
    <cellStyle name="Sub-total 12 17" xfId="40008"/>
    <cellStyle name="Subtotal 12 18" xfId="40009"/>
    <cellStyle name="Sub-total 12 18" xfId="40010"/>
    <cellStyle name="Subtotal 12 2" xfId="40011"/>
    <cellStyle name="Sub-total 12 2" xfId="40012"/>
    <cellStyle name="Subtotal 12 2 2" xfId="40013"/>
    <cellStyle name="Sub-total 12 2 2" xfId="40014"/>
    <cellStyle name="Subtotal 12 2 3" xfId="40015"/>
    <cellStyle name="Sub-total 12 2 3" xfId="40016"/>
    <cellStyle name="Subtotal 12 2 4" xfId="40017"/>
    <cellStyle name="Sub-total 12 2 4" xfId="40018"/>
    <cellStyle name="Subtotal 12 2 5" xfId="40019"/>
    <cellStyle name="Sub-total 12 2 5" xfId="40020"/>
    <cellStyle name="Subtotal 12 2 6" xfId="40021"/>
    <cellStyle name="Sub-total 12 2 6" xfId="40022"/>
    <cellStyle name="Subtotal 12 3" xfId="40023"/>
    <cellStyle name="Sub-total 12 3" xfId="40024"/>
    <cellStyle name="Subtotal 12 3 2" xfId="40025"/>
    <cellStyle name="Sub-total 12 3 2" xfId="40026"/>
    <cellStyle name="Subtotal 12 3 3" xfId="40027"/>
    <cellStyle name="Sub-total 12 3 3" xfId="40028"/>
    <cellStyle name="Subtotal 12 3 4" xfId="40029"/>
    <cellStyle name="Sub-total 12 3 4" xfId="40030"/>
    <cellStyle name="Subtotal 12 3 5" xfId="40031"/>
    <cellStyle name="Sub-total 12 3 5" xfId="40032"/>
    <cellStyle name="Subtotal 12 3 6" xfId="40033"/>
    <cellStyle name="Sub-total 12 3 6" xfId="40034"/>
    <cellStyle name="Subtotal 12 4" xfId="40035"/>
    <cellStyle name="Sub-total 12 4" xfId="40036"/>
    <cellStyle name="Subtotal 12 4 2" xfId="40037"/>
    <cellStyle name="Sub-total 12 4 2" xfId="40038"/>
    <cellStyle name="Subtotal 12 4 3" xfId="40039"/>
    <cellStyle name="Sub-total 12 4 3" xfId="40040"/>
    <cellStyle name="Subtotal 12 4 4" xfId="40041"/>
    <cellStyle name="Sub-total 12 4 4" xfId="40042"/>
    <cellStyle name="Subtotal 12 4 5" xfId="40043"/>
    <cellStyle name="Sub-total 12 4 5" xfId="40044"/>
    <cellStyle name="Subtotal 12 4 6" xfId="40045"/>
    <cellStyle name="Sub-total 12 4 6" xfId="40046"/>
    <cellStyle name="Subtotal 12 5" xfId="40047"/>
    <cellStyle name="Sub-total 12 5" xfId="40048"/>
    <cellStyle name="Subtotal 12 5 2" xfId="40049"/>
    <cellStyle name="Sub-total 12 5 2" xfId="40050"/>
    <cellStyle name="Subtotal 12 5 3" xfId="40051"/>
    <cellStyle name="Sub-total 12 5 3" xfId="40052"/>
    <cellStyle name="Subtotal 12 5 4" xfId="40053"/>
    <cellStyle name="Sub-total 12 5 4" xfId="40054"/>
    <cellStyle name="Subtotal 12 5 5" xfId="40055"/>
    <cellStyle name="Sub-total 12 5 5" xfId="40056"/>
    <cellStyle name="Subtotal 12 5 6" xfId="40057"/>
    <cellStyle name="Sub-total 12 5 6" xfId="40058"/>
    <cellStyle name="Subtotal 12 6" xfId="40059"/>
    <cellStyle name="Sub-total 12 6" xfId="40060"/>
    <cellStyle name="Subtotal 12 6 2" xfId="40061"/>
    <cellStyle name="Sub-total 12 6 2" xfId="40062"/>
    <cellStyle name="Subtotal 12 6 3" xfId="40063"/>
    <cellStyle name="Sub-total 12 6 3" xfId="40064"/>
    <cellStyle name="Subtotal 12 6 4" xfId="40065"/>
    <cellStyle name="Sub-total 12 6 4" xfId="40066"/>
    <cellStyle name="Subtotal 12 6 5" xfId="40067"/>
    <cellStyle name="Sub-total 12 6 5" xfId="40068"/>
    <cellStyle name="Subtotal 12 6 6" xfId="40069"/>
    <cellStyle name="Sub-total 12 6 6" xfId="40070"/>
    <cellStyle name="Subtotal 12 7" xfId="40071"/>
    <cellStyle name="Sub-total 12 7" xfId="40072"/>
    <cellStyle name="Subtotal 12 7 2" xfId="40073"/>
    <cellStyle name="Sub-total 12 7 2" xfId="40074"/>
    <cellStyle name="Subtotal 12 7 3" xfId="40075"/>
    <cellStyle name="Sub-total 12 7 3" xfId="40076"/>
    <cellStyle name="Subtotal 12 7 4" xfId="40077"/>
    <cellStyle name="Sub-total 12 7 4" xfId="40078"/>
    <cellStyle name="Subtotal 12 7 5" xfId="40079"/>
    <cellStyle name="Sub-total 12 7 5" xfId="40080"/>
    <cellStyle name="Subtotal 12 7 6" xfId="40081"/>
    <cellStyle name="Sub-total 12 7 6" xfId="40082"/>
    <cellStyle name="Subtotal 12 8" xfId="40083"/>
    <cellStyle name="Sub-total 12 8" xfId="40084"/>
    <cellStyle name="Subtotal 12 8 2" xfId="40085"/>
    <cellStyle name="Sub-total 12 8 2" xfId="40086"/>
    <cellStyle name="Subtotal 12 8 3" xfId="40087"/>
    <cellStyle name="Sub-total 12 8 3" xfId="40088"/>
    <cellStyle name="Subtotal 12 8 4" xfId="40089"/>
    <cellStyle name="Sub-total 12 8 4" xfId="40090"/>
    <cellStyle name="Subtotal 12 8 5" xfId="40091"/>
    <cellStyle name="Sub-total 12 8 5" xfId="40092"/>
    <cellStyle name="Subtotal 12 8 6" xfId="40093"/>
    <cellStyle name="Sub-total 12 8 6" xfId="40094"/>
    <cellStyle name="Subtotal 12 9" xfId="40095"/>
    <cellStyle name="Sub-total 12 9" xfId="40096"/>
    <cellStyle name="Subtotal 12 9 2" xfId="40097"/>
    <cellStyle name="Sub-total 12 9 2" xfId="40098"/>
    <cellStyle name="Subtotal 12 9 3" xfId="40099"/>
    <cellStyle name="Sub-total 12 9 3" xfId="40100"/>
    <cellStyle name="Subtotal 12 9 4" xfId="40101"/>
    <cellStyle name="Sub-total 12 9 4" xfId="40102"/>
    <cellStyle name="Subtotal 12 9 5" xfId="40103"/>
    <cellStyle name="Sub-total 12 9 5" xfId="40104"/>
    <cellStyle name="Subtotal 12 9 6" xfId="40105"/>
    <cellStyle name="Sub-total 12 9 6" xfId="40106"/>
    <cellStyle name="Subtotal 13" xfId="40107"/>
    <cellStyle name="Sub-total 13" xfId="40108"/>
    <cellStyle name="Subtotal 13 10" xfId="40109"/>
    <cellStyle name="Sub-total 13 10" xfId="40110"/>
    <cellStyle name="Subtotal 13 10 2" xfId="40111"/>
    <cellStyle name="Sub-total 13 10 2" xfId="40112"/>
    <cellStyle name="Subtotal 13 10 3" xfId="40113"/>
    <cellStyle name="Sub-total 13 10 3" xfId="40114"/>
    <cellStyle name="Subtotal 13 10 4" xfId="40115"/>
    <cellStyle name="Sub-total 13 10 4" xfId="40116"/>
    <cellStyle name="Subtotal 13 10 5" xfId="40117"/>
    <cellStyle name="Sub-total 13 10 5" xfId="40118"/>
    <cellStyle name="Subtotal 13 10 6" xfId="40119"/>
    <cellStyle name="Sub-total 13 10 6" xfId="40120"/>
    <cellStyle name="Subtotal 13 11" xfId="40121"/>
    <cellStyle name="Sub-total 13 11" xfId="40122"/>
    <cellStyle name="Subtotal 13 11 2" xfId="40123"/>
    <cellStyle name="Sub-total 13 11 2" xfId="40124"/>
    <cellStyle name="Subtotal 13 11 3" xfId="40125"/>
    <cellStyle name="Sub-total 13 11 3" xfId="40126"/>
    <cellStyle name="Subtotal 13 11 4" xfId="40127"/>
    <cellStyle name="Sub-total 13 11 4" xfId="40128"/>
    <cellStyle name="Subtotal 13 11 5" xfId="40129"/>
    <cellStyle name="Sub-total 13 11 5" xfId="40130"/>
    <cellStyle name="Subtotal 13 11 6" xfId="40131"/>
    <cellStyle name="Sub-total 13 11 6" xfId="40132"/>
    <cellStyle name="Subtotal 13 12" xfId="40133"/>
    <cellStyle name="Sub-total 13 12" xfId="40134"/>
    <cellStyle name="Subtotal 13 12 2" xfId="40135"/>
    <cellStyle name="Sub-total 13 12 2" xfId="40136"/>
    <cellStyle name="Subtotal 13 12 3" xfId="40137"/>
    <cellStyle name="Sub-total 13 12 3" xfId="40138"/>
    <cellStyle name="Subtotal 13 12 4" xfId="40139"/>
    <cellStyle name="Sub-total 13 12 4" xfId="40140"/>
    <cellStyle name="Subtotal 13 12 5" xfId="40141"/>
    <cellStyle name="Sub-total 13 12 5" xfId="40142"/>
    <cellStyle name="Subtotal 13 12 6" xfId="40143"/>
    <cellStyle name="Sub-total 13 12 6" xfId="40144"/>
    <cellStyle name="Subtotal 13 13" xfId="40145"/>
    <cellStyle name="Sub-total 13 13" xfId="40146"/>
    <cellStyle name="Subtotal 13 13 2" xfId="40147"/>
    <cellStyle name="Sub-total 13 13 2" xfId="40148"/>
    <cellStyle name="Subtotal 13 13 3" xfId="40149"/>
    <cellStyle name="Sub-total 13 13 3" xfId="40150"/>
    <cellStyle name="Subtotal 13 13 4" xfId="40151"/>
    <cellStyle name="Sub-total 13 13 4" xfId="40152"/>
    <cellStyle name="Subtotal 13 13 5" xfId="40153"/>
    <cellStyle name="Sub-total 13 13 5" xfId="40154"/>
    <cellStyle name="Subtotal 13 13 6" xfId="40155"/>
    <cellStyle name="Sub-total 13 13 6" xfId="40156"/>
    <cellStyle name="Subtotal 13 14" xfId="40157"/>
    <cellStyle name="Sub-total 13 14" xfId="40158"/>
    <cellStyle name="Subtotal 13 15" xfId="40159"/>
    <cellStyle name="Sub-total 13 15" xfId="40160"/>
    <cellStyle name="Subtotal 13 16" xfId="40161"/>
    <cellStyle name="Sub-total 13 16" xfId="40162"/>
    <cellStyle name="Subtotal 13 17" xfId="40163"/>
    <cellStyle name="Sub-total 13 17" xfId="40164"/>
    <cellStyle name="Subtotal 13 18" xfId="40165"/>
    <cellStyle name="Sub-total 13 18" xfId="40166"/>
    <cellStyle name="Subtotal 13 2" xfId="40167"/>
    <cellStyle name="Sub-total 13 2" xfId="40168"/>
    <cellStyle name="Subtotal 13 2 2" xfId="40169"/>
    <cellStyle name="Sub-total 13 2 2" xfId="40170"/>
    <cellStyle name="Subtotal 13 2 3" xfId="40171"/>
    <cellStyle name="Sub-total 13 2 3" xfId="40172"/>
    <cellStyle name="Subtotal 13 2 4" xfId="40173"/>
    <cellStyle name="Sub-total 13 2 4" xfId="40174"/>
    <cellStyle name="Subtotal 13 2 5" xfId="40175"/>
    <cellStyle name="Sub-total 13 2 5" xfId="40176"/>
    <cellStyle name="Subtotal 13 2 6" xfId="40177"/>
    <cellStyle name="Sub-total 13 2 6" xfId="40178"/>
    <cellStyle name="Subtotal 13 3" xfId="40179"/>
    <cellStyle name="Sub-total 13 3" xfId="40180"/>
    <cellStyle name="Subtotal 13 3 2" xfId="40181"/>
    <cellStyle name="Sub-total 13 3 2" xfId="40182"/>
    <cellStyle name="Subtotal 13 3 3" xfId="40183"/>
    <cellStyle name="Sub-total 13 3 3" xfId="40184"/>
    <cellStyle name="Subtotal 13 3 4" xfId="40185"/>
    <cellStyle name="Sub-total 13 3 4" xfId="40186"/>
    <cellStyle name="Subtotal 13 3 5" xfId="40187"/>
    <cellStyle name="Sub-total 13 3 5" xfId="40188"/>
    <cellStyle name="Subtotal 13 3 6" xfId="40189"/>
    <cellStyle name="Sub-total 13 3 6" xfId="40190"/>
    <cellStyle name="Subtotal 13 4" xfId="40191"/>
    <cellStyle name="Sub-total 13 4" xfId="40192"/>
    <cellStyle name="Subtotal 13 4 2" xfId="40193"/>
    <cellStyle name="Sub-total 13 4 2" xfId="40194"/>
    <cellStyle name="Subtotal 13 4 3" xfId="40195"/>
    <cellStyle name="Sub-total 13 4 3" xfId="40196"/>
    <cellStyle name="Subtotal 13 4 4" xfId="40197"/>
    <cellStyle name="Sub-total 13 4 4" xfId="40198"/>
    <cellStyle name="Subtotal 13 4 5" xfId="40199"/>
    <cellStyle name="Sub-total 13 4 5" xfId="40200"/>
    <cellStyle name="Subtotal 13 4 6" xfId="40201"/>
    <cellStyle name="Sub-total 13 4 6" xfId="40202"/>
    <cellStyle name="Subtotal 13 5" xfId="40203"/>
    <cellStyle name="Sub-total 13 5" xfId="40204"/>
    <cellStyle name="Subtotal 13 5 2" xfId="40205"/>
    <cellStyle name="Sub-total 13 5 2" xfId="40206"/>
    <cellStyle name="Subtotal 13 5 3" xfId="40207"/>
    <cellStyle name="Sub-total 13 5 3" xfId="40208"/>
    <cellStyle name="Subtotal 13 5 4" xfId="40209"/>
    <cellStyle name="Sub-total 13 5 4" xfId="40210"/>
    <cellStyle name="Subtotal 13 5 5" xfId="40211"/>
    <cellStyle name="Sub-total 13 5 5" xfId="40212"/>
    <cellStyle name="Subtotal 13 5 6" xfId="40213"/>
    <cellStyle name="Sub-total 13 5 6" xfId="40214"/>
    <cellStyle name="Subtotal 13 6" xfId="40215"/>
    <cellStyle name="Sub-total 13 6" xfId="40216"/>
    <cellStyle name="Subtotal 13 6 2" xfId="40217"/>
    <cellStyle name="Sub-total 13 6 2" xfId="40218"/>
    <cellStyle name="Subtotal 13 6 3" xfId="40219"/>
    <cellStyle name="Sub-total 13 6 3" xfId="40220"/>
    <cellStyle name="Subtotal 13 6 4" xfId="40221"/>
    <cellStyle name="Sub-total 13 6 4" xfId="40222"/>
    <cellStyle name="Subtotal 13 6 5" xfId="40223"/>
    <cellStyle name="Sub-total 13 6 5" xfId="40224"/>
    <cellStyle name="Subtotal 13 6 6" xfId="40225"/>
    <cellStyle name="Sub-total 13 6 6" xfId="40226"/>
    <cellStyle name="Subtotal 13 7" xfId="40227"/>
    <cellStyle name="Sub-total 13 7" xfId="40228"/>
    <cellStyle name="Subtotal 13 7 2" xfId="40229"/>
    <cellStyle name="Sub-total 13 7 2" xfId="40230"/>
    <cellStyle name="Subtotal 13 7 3" xfId="40231"/>
    <cellStyle name="Sub-total 13 7 3" xfId="40232"/>
    <cellStyle name="Subtotal 13 7 4" xfId="40233"/>
    <cellStyle name="Sub-total 13 7 4" xfId="40234"/>
    <cellStyle name="Subtotal 13 7 5" xfId="40235"/>
    <cellStyle name="Sub-total 13 7 5" xfId="40236"/>
    <cellStyle name="Subtotal 13 7 6" xfId="40237"/>
    <cellStyle name="Sub-total 13 7 6" xfId="40238"/>
    <cellStyle name="Subtotal 13 8" xfId="40239"/>
    <cellStyle name="Sub-total 13 8" xfId="40240"/>
    <cellStyle name="Subtotal 13 8 2" xfId="40241"/>
    <cellStyle name="Sub-total 13 8 2" xfId="40242"/>
    <cellStyle name="Subtotal 13 8 3" xfId="40243"/>
    <cellStyle name="Sub-total 13 8 3" xfId="40244"/>
    <cellStyle name="Subtotal 13 8 4" xfId="40245"/>
    <cellStyle name="Sub-total 13 8 4" xfId="40246"/>
    <cellStyle name="Subtotal 13 8 5" xfId="40247"/>
    <cellStyle name="Sub-total 13 8 5" xfId="40248"/>
    <cellStyle name="Subtotal 13 8 6" xfId="40249"/>
    <cellStyle name="Sub-total 13 8 6" xfId="40250"/>
    <cellStyle name="Subtotal 13 9" xfId="40251"/>
    <cellStyle name="Sub-total 13 9" xfId="40252"/>
    <cellStyle name="Subtotal 13 9 2" xfId="40253"/>
    <cellStyle name="Sub-total 13 9 2" xfId="40254"/>
    <cellStyle name="Subtotal 13 9 3" xfId="40255"/>
    <cellStyle name="Sub-total 13 9 3" xfId="40256"/>
    <cellStyle name="Subtotal 13 9 4" xfId="40257"/>
    <cellStyle name="Sub-total 13 9 4" xfId="40258"/>
    <cellStyle name="Subtotal 13 9 5" xfId="40259"/>
    <cellStyle name="Sub-total 13 9 5" xfId="40260"/>
    <cellStyle name="Subtotal 13 9 6" xfId="40261"/>
    <cellStyle name="Sub-total 13 9 6" xfId="40262"/>
    <cellStyle name="Subtotal 14" xfId="40263"/>
    <cellStyle name="Sub-total 14" xfId="40264"/>
    <cellStyle name="Subtotal 14 2" xfId="40265"/>
    <cellStyle name="Sub-total 14 2" xfId="40266"/>
    <cellStyle name="Subtotal 14 3" xfId="40267"/>
    <cellStyle name="Sub-total 14 3" xfId="40268"/>
    <cellStyle name="Subtotal 14 4" xfId="40269"/>
    <cellStyle name="Sub-total 14 4" xfId="40270"/>
    <cellStyle name="Subtotal 14 5" xfId="40271"/>
    <cellStyle name="Sub-total 14 5" xfId="40272"/>
    <cellStyle name="Subtotal 14 6" xfId="40273"/>
    <cellStyle name="Sub-total 14 6" xfId="40274"/>
    <cellStyle name="Subtotal 15" xfId="40275"/>
    <cellStyle name="Sub-total 15" xfId="40276"/>
    <cellStyle name="Subtotal 15 2" xfId="40277"/>
    <cellStyle name="Sub-total 15 2" xfId="40278"/>
    <cellStyle name="Subtotal 15 3" xfId="40279"/>
    <cellStyle name="Sub-total 15 3" xfId="40280"/>
    <cellStyle name="Subtotal 15 4" xfId="40281"/>
    <cellStyle name="Sub-total 15 4" xfId="40282"/>
    <cellStyle name="Subtotal 15 5" xfId="40283"/>
    <cellStyle name="Sub-total 15 5" xfId="40284"/>
    <cellStyle name="Subtotal 15 6" xfId="40285"/>
    <cellStyle name="Sub-total 15 6" xfId="40286"/>
    <cellStyle name="Subtotal 16" xfId="40287"/>
    <cellStyle name="Sub-total 16" xfId="40288"/>
    <cellStyle name="Subtotal 16 2" xfId="40289"/>
    <cellStyle name="Sub-total 16 2" xfId="40290"/>
    <cellStyle name="Subtotal 16 3" xfId="40291"/>
    <cellStyle name="Sub-total 16 3" xfId="40292"/>
    <cellStyle name="Subtotal 16 4" xfId="40293"/>
    <cellStyle name="Sub-total 16 4" xfId="40294"/>
    <cellStyle name="Subtotal 16 5" xfId="40295"/>
    <cellStyle name="Sub-total 16 5" xfId="40296"/>
    <cellStyle name="Subtotal 16 6" xfId="40297"/>
    <cellStyle name="Sub-total 16 6" xfId="40298"/>
    <cellStyle name="Subtotal 17" xfId="40299"/>
    <cellStyle name="Sub-total 17" xfId="40300"/>
    <cellStyle name="Subtotal 17 2" xfId="40301"/>
    <cellStyle name="Sub-total 17 2" xfId="40302"/>
    <cellStyle name="Subtotal 17 3" xfId="40303"/>
    <cellStyle name="Sub-total 17 3" xfId="40304"/>
    <cellStyle name="Subtotal 17 4" xfId="40305"/>
    <cellStyle name="Sub-total 17 4" xfId="40306"/>
    <cellStyle name="Subtotal 17 5" xfId="40307"/>
    <cellStyle name="Sub-total 17 5" xfId="40308"/>
    <cellStyle name="Subtotal 17 6" xfId="40309"/>
    <cellStyle name="Sub-total 17 6" xfId="40310"/>
    <cellStyle name="Subtotal 18" xfId="40311"/>
    <cellStyle name="Sub-total 18" xfId="40312"/>
    <cellStyle name="Subtotal 18 2" xfId="40313"/>
    <cellStyle name="Sub-total 18 2" xfId="40314"/>
    <cellStyle name="Subtotal 18 3" xfId="40315"/>
    <cellStyle name="Sub-total 18 3" xfId="40316"/>
    <cellStyle name="Subtotal 18 4" xfId="40317"/>
    <cellStyle name="Sub-total 18 4" xfId="40318"/>
    <cellStyle name="Subtotal 18 5" xfId="40319"/>
    <cellStyle name="Sub-total 18 5" xfId="40320"/>
    <cellStyle name="Subtotal 18 6" xfId="40321"/>
    <cellStyle name="Sub-total 18 6" xfId="40322"/>
    <cellStyle name="Subtotal 19" xfId="40323"/>
    <cellStyle name="Sub-total 19" xfId="40324"/>
    <cellStyle name="Subtotal 19 2" xfId="40325"/>
    <cellStyle name="Sub-total 19 2" xfId="40326"/>
    <cellStyle name="Subtotal 19 3" xfId="40327"/>
    <cellStyle name="Sub-total 19 3" xfId="40328"/>
    <cellStyle name="Subtotal 19 4" xfId="40329"/>
    <cellStyle name="Sub-total 19 4" xfId="40330"/>
    <cellStyle name="Subtotal 19 5" xfId="40331"/>
    <cellStyle name="Sub-total 19 5" xfId="40332"/>
    <cellStyle name="Subtotal 19 6" xfId="40333"/>
    <cellStyle name="Sub-total 19 6" xfId="40334"/>
    <cellStyle name="Subtotal 2" xfId="40335"/>
    <cellStyle name="Sub-total 2" xfId="40336"/>
    <cellStyle name="Subtotal 2 10" xfId="40337"/>
    <cellStyle name="Sub-total 2 10" xfId="40338"/>
    <cellStyle name="Subtotal 2 10 2" xfId="40339"/>
    <cellStyle name="Sub-total 2 10 2" xfId="40340"/>
    <cellStyle name="Subtotal 2 10 3" xfId="40341"/>
    <cellStyle name="Sub-total 2 10 3" xfId="40342"/>
    <cellStyle name="Subtotal 2 10 4" xfId="40343"/>
    <cellStyle name="Sub-total 2 10 4" xfId="40344"/>
    <cellStyle name="Subtotal 2 10 5" xfId="40345"/>
    <cellStyle name="Sub-total 2 10 5" xfId="40346"/>
    <cellStyle name="Subtotal 2 10 6" xfId="40347"/>
    <cellStyle name="Sub-total 2 10 6" xfId="40348"/>
    <cellStyle name="Subtotal 2 11" xfId="40349"/>
    <cellStyle name="Sub-total 2 11" xfId="40350"/>
    <cellStyle name="Subtotal 2 11 2" xfId="40351"/>
    <cellStyle name="Sub-total 2 11 2" xfId="40352"/>
    <cellStyle name="Subtotal 2 11 3" xfId="40353"/>
    <cellStyle name="Sub-total 2 11 3" xfId="40354"/>
    <cellStyle name="Subtotal 2 11 4" xfId="40355"/>
    <cellStyle name="Sub-total 2 11 4" xfId="40356"/>
    <cellStyle name="Subtotal 2 11 5" xfId="40357"/>
    <cellStyle name="Sub-total 2 11 5" xfId="40358"/>
    <cellStyle name="Subtotal 2 11 6" xfId="40359"/>
    <cellStyle name="Sub-total 2 11 6" xfId="40360"/>
    <cellStyle name="Subtotal 2 12" xfId="40361"/>
    <cellStyle name="Sub-total 2 12" xfId="40362"/>
    <cellStyle name="Subtotal 2 12 2" xfId="40363"/>
    <cellStyle name="Sub-total 2 12 2" xfId="40364"/>
    <cellStyle name="Subtotal 2 12 3" xfId="40365"/>
    <cellStyle name="Sub-total 2 12 3" xfId="40366"/>
    <cellStyle name="Subtotal 2 12 4" xfId="40367"/>
    <cellStyle name="Sub-total 2 12 4" xfId="40368"/>
    <cellStyle name="Subtotal 2 12 5" xfId="40369"/>
    <cellStyle name="Sub-total 2 12 5" xfId="40370"/>
    <cellStyle name="Subtotal 2 12 6" xfId="40371"/>
    <cellStyle name="Sub-total 2 12 6" xfId="40372"/>
    <cellStyle name="Subtotal 2 13" xfId="40373"/>
    <cellStyle name="Sub-total 2 13" xfId="40374"/>
    <cellStyle name="Subtotal 2 13 2" xfId="40375"/>
    <cellStyle name="Sub-total 2 13 2" xfId="40376"/>
    <cellStyle name="Subtotal 2 13 3" xfId="40377"/>
    <cellStyle name="Sub-total 2 13 3" xfId="40378"/>
    <cellStyle name="Subtotal 2 13 4" xfId="40379"/>
    <cellStyle name="Sub-total 2 13 4" xfId="40380"/>
    <cellStyle name="Subtotal 2 13 5" xfId="40381"/>
    <cellStyle name="Sub-total 2 13 5" xfId="40382"/>
    <cellStyle name="Subtotal 2 13 6" xfId="40383"/>
    <cellStyle name="Sub-total 2 13 6" xfId="40384"/>
    <cellStyle name="Subtotal 2 14" xfId="40385"/>
    <cellStyle name="Sub-total 2 14" xfId="40386"/>
    <cellStyle name="Subtotal 2 15" xfId="40387"/>
    <cellStyle name="Sub-total 2 15" xfId="40388"/>
    <cellStyle name="Subtotal 2 16" xfId="40389"/>
    <cellStyle name="Sub-total 2 16" xfId="40390"/>
    <cellStyle name="Subtotal 2 17" xfId="40391"/>
    <cellStyle name="Sub-total 2 17" xfId="40392"/>
    <cellStyle name="Subtotal 2 18" xfId="40393"/>
    <cellStyle name="Sub-total 2 18" xfId="40394"/>
    <cellStyle name="Subtotal 2 2" xfId="40395"/>
    <cellStyle name="Sub-total 2 2" xfId="40396"/>
    <cellStyle name="Subtotal 2 2 10" xfId="40397"/>
    <cellStyle name="Sub-total 2 2 10" xfId="40398"/>
    <cellStyle name="Subtotal 2 2 11" xfId="40399"/>
    <cellStyle name="Sub-total 2 2 11" xfId="40400"/>
    <cellStyle name="Subtotal 2 2 12" xfId="40401"/>
    <cellStyle name="Sub-total 2 2 12" xfId="40402"/>
    <cellStyle name="Subtotal 2 2 13" xfId="40403"/>
    <cellStyle name="Sub-total 2 2 13" xfId="40404"/>
    <cellStyle name="Subtotal 2 2 14" xfId="40405"/>
    <cellStyle name="Sub-total 2 2 14" xfId="40406"/>
    <cellStyle name="Subtotal 2 2 15" xfId="40407"/>
    <cellStyle name="Sub-total 2 2 15" xfId="40408"/>
    <cellStyle name="Subtotal 2 2 16" xfId="40409"/>
    <cellStyle name="Sub-total 2 2 16" xfId="40410"/>
    <cellStyle name="Subtotal 2 2 17" xfId="40411"/>
    <cellStyle name="Sub-total 2 2 17" xfId="40412"/>
    <cellStyle name="Subtotal 2 2 18" xfId="40413"/>
    <cellStyle name="Sub-total 2 2 18" xfId="40414"/>
    <cellStyle name="Subtotal 2 2 19" xfId="40415"/>
    <cellStyle name="Sub-total 2 2 19" xfId="40416"/>
    <cellStyle name="Subtotal 2 2 2" xfId="40417"/>
    <cellStyle name="Sub-total 2 2 2" xfId="40418"/>
    <cellStyle name="Subtotal 2 2 20" xfId="40419"/>
    <cellStyle name="Sub-total 2 2 20" xfId="40420"/>
    <cellStyle name="Subtotal 2 2 21" xfId="40421"/>
    <cellStyle name="Sub-total 2 2 21" xfId="40422"/>
    <cellStyle name="Subtotal 2 2 22" xfId="40423"/>
    <cellStyle name="Sub-total 2 2 22" xfId="40424"/>
    <cellStyle name="Subtotal 2 2 23" xfId="40425"/>
    <cellStyle name="Sub-total 2 2 23" xfId="40426"/>
    <cellStyle name="Subtotal 2 2 3" xfId="40427"/>
    <cellStyle name="Sub-total 2 2 3" xfId="40428"/>
    <cellStyle name="Subtotal 2 2 4" xfId="40429"/>
    <cellStyle name="Sub-total 2 2 4" xfId="40430"/>
    <cellStyle name="Subtotal 2 2 5" xfId="40431"/>
    <cellStyle name="Sub-total 2 2 5" xfId="40432"/>
    <cellStyle name="Subtotal 2 2 6" xfId="40433"/>
    <cellStyle name="Sub-total 2 2 6" xfId="40434"/>
    <cellStyle name="Subtotal 2 2 7" xfId="40435"/>
    <cellStyle name="Sub-total 2 2 7" xfId="40436"/>
    <cellStyle name="Subtotal 2 2 8" xfId="40437"/>
    <cellStyle name="Sub-total 2 2 8" xfId="40438"/>
    <cellStyle name="Subtotal 2 2 9" xfId="40439"/>
    <cellStyle name="Sub-total 2 2 9" xfId="40440"/>
    <cellStyle name="Subtotal 2 3" xfId="40441"/>
    <cellStyle name="Sub-total 2 3" xfId="40442"/>
    <cellStyle name="Subtotal 2 3 10" xfId="40443"/>
    <cellStyle name="Sub-total 2 3 10" xfId="40444"/>
    <cellStyle name="Subtotal 2 3 11" xfId="40445"/>
    <cellStyle name="Sub-total 2 3 11" xfId="40446"/>
    <cellStyle name="Subtotal 2 3 12" xfId="40447"/>
    <cellStyle name="Sub-total 2 3 12" xfId="40448"/>
    <cellStyle name="Subtotal 2 3 13" xfId="40449"/>
    <cellStyle name="Sub-total 2 3 13" xfId="40450"/>
    <cellStyle name="Subtotal 2 3 14" xfId="40451"/>
    <cellStyle name="Sub-total 2 3 14" xfId="40452"/>
    <cellStyle name="Subtotal 2 3 15" xfId="40453"/>
    <cellStyle name="Sub-total 2 3 15" xfId="40454"/>
    <cellStyle name="Subtotal 2 3 16" xfId="40455"/>
    <cellStyle name="Sub-total 2 3 16" xfId="40456"/>
    <cellStyle name="Subtotal 2 3 17" xfId="40457"/>
    <cellStyle name="Sub-total 2 3 17" xfId="40458"/>
    <cellStyle name="Subtotal 2 3 18" xfId="40459"/>
    <cellStyle name="Sub-total 2 3 18" xfId="40460"/>
    <cellStyle name="Subtotal 2 3 19" xfId="40461"/>
    <cellStyle name="Sub-total 2 3 19" xfId="40462"/>
    <cellStyle name="Subtotal 2 3 2" xfId="40463"/>
    <cellStyle name="Sub-total 2 3 2" xfId="40464"/>
    <cellStyle name="Subtotal 2 3 20" xfId="40465"/>
    <cellStyle name="Sub-total 2 3 20" xfId="40466"/>
    <cellStyle name="Subtotal 2 3 21" xfId="40467"/>
    <cellStyle name="Sub-total 2 3 21" xfId="40468"/>
    <cellStyle name="Subtotal 2 3 22" xfId="40469"/>
    <cellStyle name="Sub-total 2 3 22" xfId="40470"/>
    <cellStyle name="Subtotal 2 3 23" xfId="40471"/>
    <cellStyle name="Sub-total 2 3 23" xfId="40472"/>
    <cellStyle name="Subtotal 2 3 3" xfId="40473"/>
    <cellStyle name="Sub-total 2 3 3" xfId="40474"/>
    <cellStyle name="Subtotal 2 3 4" xfId="40475"/>
    <cellStyle name="Sub-total 2 3 4" xfId="40476"/>
    <cellStyle name="Subtotal 2 3 5" xfId="40477"/>
    <cellStyle name="Sub-total 2 3 5" xfId="40478"/>
    <cellStyle name="Subtotal 2 3 6" xfId="40479"/>
    <cellStyle name="Sub-total 2 3 6" xfId="40480"/>
    <cellStyle name="Subtotal 2 3 7" xfId="40481"/>
    <cellStyle name="Sub-total 2 3 7" xfId="40482"/>
    <cellStyle name="Subtotal 2 3 8" xfId="40483"/>
    <cellStyle name="Sub-total 2 3 8" xfId="40484"/>
    <cellStyle name="Subtotal 2 3 9" xfId="40485"/>
    <cellStyle name="Sub-total 2 3 9" xfId="40486"/>
    <cellStyle name="Subtotal 2 4" xfId="40487"/>
    <cellStyle name="Sub-total 2 4" xfId="40488"/>
    <cellStyle name="Subtotal 2 4 2" xfId="40489"/>
    <cellStyle name="Sub-total 2 4 2" xfId="40490"/>
    <cellStyle name="Subtotal 2 4 3" xfId="40491"/>
    <cellStyle name="Sub-total 2 4 3" xfId="40492"/>
    <cellStyle name="Subtotal 2 4 4" xfId="40493"/>
    <cellStyle name="Sub-total 2 4 4" xfId="40494"/>
    <cellStyle name="Subtotal 2 4 5" xfId="40495"/>
    <cellStyle name="Sub-total 2 4 5" xfId="40496"/>
    <cellStyle name="Subtotal 2 4 6" xfId="40497"/>
    <cellStyle name="Sub-total 2 4 6" xfId="40498"/>
    <cellStyle name="Subtotal 2 5" xfId="40499"/>
    <cellStyle name="Sub-total 2 5" xfId="40500"/>
    <cellStyle name="Subtotal 2 5 2" xfId="40501"/>
    <cellStyle name="Sub-total 2 5 2" xfId="40502"/>
    <cellStyle name="Subtotal 2 5 3" xfId="40503"/>
    <cellStyle name="Sub-total 2 5 3" xfId="40504"/>
    <cellStyle name="Subtotal 2 5 4" xfId="40505"/>
    <cellStyle name="Sub-total 2 5 4" xfId="40506"/>
    <cellStyle name="Subtotal 2 5 5" xfId="40507"/>
    <cellStyle name="Sub-total 2 5 5" xfId="40508"/>
    <cellStyle name="Subtotal 2 5 6" xfId="40509"/>
    <cellStyle name="Sub-total 2 5 6" xfId="40510"/>
    <cellStyle name="Subtotal 2 6" xfId="40511"/>
    <cellStyle name="Sub-total 2 6" xfId="40512"/>
    <cellStyle name="Subtotal 2 6 2" xfId="40513"/>
    <cellStyle name="Sub-total 2 6 2" xfId="40514"/>
    <cellStyle name="Subtotal 2 6 3" xfId="40515"/>
    <cellStyle name="Sub-total 2 6 3" xfId="40516"/>
    <cellStyle name="Subtotal 2 6 4" xfId="40517"/>
    <cellStyle name="Sub-total 2 6 4" xfId="40518"/>
    <cellStyle name="Subtotal 2 6 5" xfId="40519"/>
    <cellStyle name="Sub-total 2 6 5" xfId="40520"/>
    <cellStyle name="Subtotal 2 6 6" xfId="40521"/>
    <cellStyle name="Sub-total 2 6 6" xfId="40522"/>
    <cellStyle name="Subtotal 2 7" xfId="40523"/>
    <cellStyle name="Sub-total 2 7" xfId="40524"/>
    <cellStyle name="Subtotal 2 7 2" xfId="40525"/>
    <cellStyle name="Sub-total 2 7 2" xfId="40526"/>
    <cellStyle name="Subtotal 2 7 3" xfId="40527"/>
    <cellStyle name="Sub-total 2 7 3" xfId="40528"/>
    <cellStyle name="Subtotal 2 7 4" xfId="40529"/>
    <cellStyle name="Sub-total 2 7 4" xfId="40530"/>
    <cellStyle name="Subtotal 2 7 5" xfId="40531"/>
    <cellStyle name="Sub-total 2 7 5" xfId="40532"/>
    <cellStyle name="Subtotal 2 7 6" xfId="40533"/>
    <cellStyle name="Sub-total 2 7 6" xfId="40534"/>
    <cellStyle name="Subtotal 2 8" xfId="40535"/>
    <cellStyle name="Sub-total 2 8" xfId="40536"/>
    <cellStyle name="Subtotal 2 8 2" xfId="40537"/>
    <cellStyle name="Sub-total 2 8 2" xfId="40538"/>
    <cellStyle name="Subtotal 2 8 3" xfId="40539"/>
    <cellStyle name="Sub-total 2 8 3" xfId="40540"/>
    <cellStyle name="Subtotal 2 8 4" xfId="40541"/>
    <cellStyle name="Sub-total 2 8 4" xfId="40542"/>
    <cellStyle name="Subtotal 2 8 5" xfId="40543"/>
    <cellStyle name="Sub-total 2 8 5" xfId="40544"/>
    <cellStyle name="Subtotal 2 8 6" xfId="40545"/>
    <cellStyle name="Sub-total 2 8 6" xfId="40546"/>
    <cellStyle name="Subtotal 2 9" xfId="40547"/>
    <cellStyle name="Sub-total 2 9" xfId="40548"/>
    <cellStyle name="Subtotal 2 9 2" xfId="40549"/>
    <cellStyle name="Sub-total 2 9 2" xfId="40550"/>
    <cellStyle name="Subtotal 2 9 3" xfId="40551"/>
    <cellStyle name="Sub-total 2 9 3" xfId="40552"/>
    <cellStyle name="Subtotal 2 9 4" xfId="40553"/>
    <cellStyle name="Sub-total 2 9 4" xfId="40554"/>
    <cellStyle name="Subtotal 2 9 5" xfId="40555"/>
    <cellStyle name="Sub-total 2 9 5" xfId="40556"/>
    <cellStyle name="Subtotal 2 9 6" xfId="40557"/>
    <cellStyle name="Sub-total 2 9 6" xfId="40558"/>
    <cellStyle name="Subtotal 20" xfId="40559"/>
    <cellStyle name="Sub-total 20" xfId="40560"/>
    <cellStyle name="Subtotal 20 2" xfId="40561"/>
    <cellStyle name="Sub-total 20 2" xfId="40562"/>
    <cellStyle name="Subtotal 20 3" xfId="40563"/>
    <cellStyle name="Sub-total 20 3" xfId="40564"/>
    <cellStyle name="Subtotal 20 4" xfId="40565"/>
    <cellStyle name="Sub-total 20 4" xfId="40566"/>
    <cellStyle name="Subtotal 20 5" xfId="40567"/>
    <cellStyle name="Sub-total 20 5" xfId="40568"/>
    <cellStyle name="Subtotal 20 6" xfId="40569"/>
    <cellStyle name="Sub-total 20 6" xfId="40570"/>
    <cellStyle name="Subtotal 21" xfId="40571"/>
    <cellStyle name="Sub-total 21" xfId="40572"/>
    <cellStyle name="Subtotal 21 2" xfId="40573"/>
    <cellStyle name="Sub-total 21 2" xfId="40574"/>
    <cellStyle name="Subtotal 21 3" xfId="40575"/>
    <cellStyle name="Sub-total 21 3" xfId="40576"/>
    <cellStyle name="Subtotal 21 4" xfId="40577"/>
    <cellStyle name="Sub-total 21 4" xfId="40578"/>
    <cellStyle name="Subtotal 21 5" xfId="40579"/>
    <cellStyle name="Sub-total 21 5" xfId="40580"/>
    <cellStyle name="Subtotal 21 6" xfId="40581"/>
    <cellStyle name="Sub-total 21 6" xfId="40582"/>
    <cellStyle name="Subtotal 22" xfId="40583"/>
    <cellStyle name="Sub-total 22" xfId="40584"/>
    <cellStyle name="Subtotal 22 2" xfId="40585"/>
    <cellStyle name="Sub-total 22 2" xfId="40586"/>
    <cellStyle name="Subtotal 22 3" xfId="40587"/>
    <cellStyle name="Sub-total 22 3" xfId="40588"/>
    <cellStyle name="Subtotal 22 4" xfId="40589"/>
    <cellStyle name="Sub-total 22 4" xfId="40590"/>
    <cellStyle name="Subtotal 22 5" xfId="40591"/>
    <cellStyle name="Sub-total 22 5" xfId="40592"/>
    <cellStyle name="Subtotal 22 6" xfId="40593"/>
    <cellStyle name="Sub-total 22 6" xfId="40594"/>
    <cellStyle name="Subtotal 23" xfId="40595"/>
    <cellStyle name="Sub-total 23" xfId="40596"/>
    <cellStyle name="Subtotal 23 2" xfId="40597"/>
    <cellStyle name="Sub-total 23 2" xfId="40598"/>
    <cellStyle name="Subtotal 23 3" xfId="40599"/>
    <cellStyle name="Sub-total 23 3" xfId="40600"/>
    <cellStyle name="Subtotal 23 4" xfId="40601"/>
    <cellStyle name="Sub-total 23 4" xfId="40602"/>
    <cellStyle name="Subtotal 23 5" xfId="40603"/>
    <cellStyle name="Sub-total 23 5" xfId="40604"/>
    <cellStyle name="Subtotal 23 6" xfId="40605"/>
    <cellStyle name="Sub-total 23 6" xfId="40606"/>
    <cellStyle name="Subtotal 24" xfId="40607"/>
    <cellStyle name="Sub-total 24" xfId="40608"/>
    <cellStyle name="Subtotal 24 2" xfId="40609"/>
    <cellStyle name="Sub-total 24 2" xfId="40610"/>
    <cellStyle name="Subtotal 24 3" xfId="40611"/>
    <cellStyle name="Sub-total 24 3" xfId="40612"/>
    <cellStyle name="Subtotal 24 4" xfId="40613"/>
    <cellStyle name="Sub-total 24 4" xfId="40614"/>
    <cellStyle name="Subtotal 24 5" xfId="40615"/>
    <cellStyle name="Sub-total 24 5" xfId="40616"/>
    <cellStyle name="Subtotal 24 6" xfId="40617"/>
    <cellStyle name="Sub-total 24 6" xfId="40618"/>
    <cellStyle name="Subtotal 25" xfId="40619"/>
    <cellStyle name="Sub-total 25" xfId="40620"/>
    <cellStyle name="Subtotal 25 2" xfId="40621"/>
    <cellStyle name="Sub-total 25 2" xfId="40622"/>
    <cellStyle name="Subtotal 25 3" xfId="40623"/>
    <cellStyle name="Sub-total 25 3" xfId="40624"/>
    <cellStyle name="Subtotal 25 4" xfId="40625"/>
    <cellStyle name="Sub-total 25 4" xfId="40626"/>
    <cellStyle name="Subtotal 25 5" xfId="40627"/>
    <cellStyle name="Sub-total 25 5" xfId="40628"/>
    <cellStyle name="Subtotal 25 6" xfId="40629"/>
    <cellStyle name="Sub-total 25 6" xfId="40630"/>
    <cellStyle name="Subtotal 26" xfId="40631"/>
    <cellStyle name="Sub-total 26" xfId="40632"/>
    <cellStyle name="Subtotal 26 2" xfId="40633"/>
    <cellStyle name="Sub-total 26 2" xfId="40634"/>
    <cellStyle name="Subtotal 26 3" xfId="40635"/>
    <cellStyle name="Sub-total 26 3" xfId="40636"/>
    <cellStyle name="Subtotal 26 4" xfId="40637"/>
    <cellStyle name="Sub-total 26 4" xfId="40638"/>
    <cellStyle name="Subtotal 26 5" xfId="40639"/>
    <cellStyle name="Sub-total 26 5" xfId="40640"/>
    <cellStyle name="Subtotal 26 6" xfId="40641"/>
    <cellStyle name="Sub-total 26 6" xfId="40642"/>
    <cellStyle name="Subtotal 27" xfId="40643"/>
    <cellStyle name="Sub-total 27" xfId="40644"/>
    <cellStyle name="Subtotal 28" xfId="40645"/>
    <cellStyle name="Sub-total 28" xfId="40646"/>
    <cellStyle name="Subtotal 29" xfId="40647"/>
    <cellStyle name="Sub-total 29" xfId="40648"/>
    <cellStyle name="Subtotal 3" xfId="40649"/>
    <cellStyle name="Sub-total 3" xfId="40650"/>
    <cellStyle name="Subtotal 3 10" xfId="40651"/>
    <cellStyle name="Sub-total 3 10" xfId="40652"/>
    <cellStyle name="Subtotal 3 10 2" xfId="40653"/>
    <cellStyle name="Sub-total 3 10 2" xfId="40654"/>
    <cellStyle name="Subtotal 3 10 3" xfId="40655"/>
    <cellStyle name="Sub-total 3 10 3" xfId="40656"/>
    <cellStyle name="Subtotal 3 10 4" xfId="40657"/>
    <cellStyle name="Sub-total 3 10 4" xfId="40658"/>
    <cellStyle name="Subtotal 3 10 5" xfId="40659"/>
    <cellStyle name="Sub-total 3 10 5" xfId="40660"/>
    <cellStyle name="Subtotal 3 10 6" xfId="40661"/>
    <cellStyle name="Sub-total 3 10 6" xfId="40662"/>
    <cellStyle name="Subtotal 3 11" xfId="40663"/>
    <cellStyle name="Sub-total 3 11" xfId="40664"/>
    <cellStyle name="Subtotal 3 11 2" xfId="40665"/>
    <cellStyle name="Sub-total 3 11 2" xfId="40666"/>
    <cellStyle name="Subtotal 3 11 3" xfId="40667"/>
    <cellStyle name="Sub-total 3 11 3" xfId="40668"/>
    <cellStyle name="Subtotal 3 11 4" xfId="40669"/>
    <cellStyle name="Sub-total 3 11 4" xfId="40670"/>
    <cellStyle name="Subtotal 3 11 5" xfId="40671"/>
    <cellStyle name="Sub-total 3 11 5" xfId="40672"/>
    <cellStyle name="Subtotal 3 11 6" xfId="40673"/>
    <cellStyle name="Sub-total 3 11 6" xfId="40674"/>
    <cellStyle name="Subtotal 3 12" xfId="40675"/>
    <cellStyle name="Sub-total 3 12" xfId="40676"/>
    <cellStyle name="Subtotal 3 12 2" xfId="40677"/>
    <cellStyle name="Sub-total 3 12 2" xfId="40678"/>
    <cellStyle name="Subtotal 3 12 3" xfId="40679"/>
    <cellStyle name="Sub-total 3 12 3" xfId="40680"/>
    <cellStyle name="Subtotal 3 12 4" xfId="40681"/>
    <cellStyle name="Sub-total 3 12 4" xfId="40682"/>
    <cellStyle name="Subtotal 3 12 5" xfId="40683"/>
    <cellStyle name="Sub-total 3 12 5" xfId="40684"/>
    <cellStyle name="Subtotal 3 12 6" xfId="40685"/>
    <cellStyle name="Sub-total 3 12 6" xfId="40686"/>
    <cellStyle name="Subtotal 3 13" xfId="40687"/>
    <cellStyle name="Sub-total 3 13" xfId="40688"/>
    <cellStyle name="Subtotal 3 13 2" xfId="40689"/>
    <cellStyle name="Sub-total 3 13 2" xfId="40690"/>
    <cellStyle name="Subtotal 3 13 3" xfId="40691"/>
    <cellStyle name="Sub-total 3 13 3" xfId="40692"/>
    <cellStyle name="Subtotal 3 13 4" xfId="40693"/>
    <cellStyle name="Sub-total 3 13 4" xfId="40694"/>
    <cellStyle name="Subtotal 3 13 5" xfId="40695"/>
    <cellStyle name="Sub-total 3 13 5" xfId="40696"/>
    <cellStyle name="Subtotal 3 13 6" xfId="40697"/>
    <cellStyle name="Sub-total 3 13 6" xfId="40698"/>
    <cellStyle name="Subtotal 3 14" xfId="40699"/>
    <cellStyle name="Sub-total 3 14" xfId="40700"/>
    <cellStyle name="Subtotal 3 15" xfId="40701"/>
    <cellStyle name="Sub-total 3 15" xfId="40702"/>
    <cellStyle name="Subtotal 3 16" xfId="40703"/>
    <cellStyle name="Sub-total 3 16" xfId="40704"/>
    <cellStyle name="Subtotal 3 17" xfId="40705"/>
    <cellStyle name="Sub-total 3 17" xfId="40706"/>
    <cellStyle name="Subtotal 3 18" xfId="40707"/>
    <cellStyle name="Sub-total 3 18" xfId="40708"/>
    <cellStyle name="Subtotal 3 2" xfId="40709"/>
    <cellStyle name="Sub-total 3 2" xfId="40710"/>
    <cellStyle name="Subtotal 3 2 10" xfId="40711"/>
    <cellStyle name="Sub-total 3 2 10" xfId="40712"/>
    <cellStyle name="Subtotal 3 2 11" xfId="40713"/>
    <cellStyle name="Sub-total 3 2 11" xfId="40714"/>
    <cellStyle name="Subtotal 3 2 12" xfId="40715"/>
    <cellStyle name="Sub-total 3 2 12" xfId="40716"/>
    <cellStyle name="Subtotal 3 2 13" xfId="40717"/>
    <cellStyle name="Sub-total 3 2 13" xfId="40718"/>
    <cellStyle name="Subtotal 3 2 14" xfId="40719"/>
    <cellStyle name="Sub-total 3 2 14" xfId="40720"/>
    <cellStyle name="Subtotal 3 2 15" xfId="40721"/>
    <cellStyle name="Sub-total 3 2 15" xfId="40722"/>
    <cellStyle name="Subtotal 3 2 16" xfId="40723"/>
    <cellStyle name="Sub-total 3 2 16" xfId="40724"/>
    <cellStyle name="Subtotal 3 2 17" xfId="40725"/>
    <cellStyle name="Sub-total 3 2 17" xfId="40726"/>
    <cellStyle name="Subtotal 3 2 18" xfId="40727"/>
    <cellStyle name="Sub-total 3 2 18" xfId="40728"/>
    <cellStyle name="Subtotal 3 2 19" xfId="40729"/>
    <cellStyle name="Sub-total 3 2 19" xfId="40730"/>
    <cellStyle name="Subtotal 3 2 2" xfId="40731"/>
    <cellStyle name="Sub-total 3 2 2" xfId="40732"/>
    <cellStyle name="Subtotal 3 2 20" xfId="40733"/>
    <cellStyle name="Sub-total 3 2 20" xfId="40734"/>
    <cellStyle name="Subtotal 3 2 21" xfId="40735"/>
    <cellStyle name="Sub-total 3 2 21" xfId="40736"/>
    <cellStyle name="Subtotal 3 2 22" xfId="40737"/>
    <cellStyle name="Sub-total 3 2 22" xfId="40738"/>
    <cellStyle name="Subtotal 3 2 23" xfId="40739"/>
    <cellStyle name="Sub-total 3 2 23" xfId="40740"/>
    <cellStyle name="Subtotal 3 2 3" xfId="40741"/>
    <cellStyle name="Sub-total 3 2 3" xfId="40742"/>
    <cellStyle name="Subtotal 3 2 4" xfId="40743"/>
    <cellStyle name="Sub-total 3 2 4" xfId="40744"/>
    <cellStyle name="Subtotal 3 2 5" xfId="40745"/>
    <cellStyle name="Sub-total 3 2 5" xfId="40746"/>
    <cellStyle name="Subtotal 3 2 6" xfId="40747"/>
    <cellStyle name="Sub-total 3 2 6" xfId="40748"/>
    <cellStyle name="Subtotal 3 2 7" xfId="40749"/>
    <cellStyle name="Sub-total 3 2 7" xfId="40750"/>
    <cellStyle name="Subtotal 3 2 8" xfId="40751"/>
    <cellStyle name="Sub-total 3 2 8" xfId="40752"/>
    <cellStyle name="Subtotal 3 2 9" xfId="40753"/>
    <cellStyle name="Sub-total 3 2 9" xfId="40754"/>
    <cellStyle name="Subtotal 3 3" xfId="40755"/>
    <cellStyle name="Sub-total 3 3" xfId="40756"/>
    <cellStyle name="Subtotal 3 3 10" xfId="40757"/>
    <cellStyle name="Sub-total 3 3 10" xfId="40758"/>
    <cellStyle name="Subtotal 3 3 11" xfId="40759"/>
    <cellStyle name="Sub-total 3 3 11" xfId="40760"/>
    <cellStyle name="Subtotal 3 3 12" xfId="40761"/>
    <cellStyle name="Sub-total 3 3 12" xfId="40762"/>
    <cellStyle name="Subtotal 3 3 13" xfId="40763"/>
    <cellStyle name="Sub-total 3 3 13" xfId="40764"/>
    <cellStyle name="Subtotal 3 3 14" xfId="40765"/>
    <cellStyle name="Sub-total 3 3 14" xfId="40766"/>
    <cellStyle name="Subtotal 3 3 15" xfId="40767"/>
    <cellStyle name="Sub-total 3 3 15" xfId="40768"/>
    <cellStyle name="Subtotal 3 3 16" xfId="40769"/>
    <cellStyle name="Sub-total 3 3 16" xfId="40770"/>
    <cellStyle name="Subtotal 3 3 17" xfId="40771"/>
    <cellStyle name="Sub-total 3 3 17" xfId="40772"/>
    <cellStyle name="Subtotal 3 3 18" xfId="40773"/>
    <cellStyle name="Sub-total 3 3 18" xfId="40774"/>
    <cellStyle name="Subtotal 3 3 19" xfId="40775"/>
    <cellStyle name="Sub-total 3 3 19" xfId="40776"/>
    <cellStyle name="Subtotal 3 3 2" xfId="40777"/>
    <cellStyle name="Sub-total 3 3 2" xfId="40778"/>
    <cellStyle name="Subtotal 3 3 20" xfId="40779"/>
    <cellStyle name="Sub-total 3 3 20" xfId="40780"/>
    <cellStyle name="Subtotal 3 3 21" xfId="40781"/>
    <cellStyle name="Sub-total 3 3 21" xfId="40782"/>
    <cellStyle name="Subtotal 3 3 22" xfId="40783"/>
    <cellStyle name="Sub-total 3 3 22" xfId="40784"/>
    <cellStyle name="Subtotal 3 3 23" xfId="40785"/>
    <cellStyle name="Sub-total 3 3 23" xfId="40786"/>
    <cellStyle name="Subtotal 3 3 3" xfId="40787"/>
    <cellStyle name="Sub-total 3 3 3" xfId="40788"/>
    <cellStyle name="Subtotal 3 3 4" xfId="40789"/>
    <cellStyle name="Sub-total 3 3 4" xfId="40790"/>
    <cellStyle name="Subtotal 3 3 5" xfId="40791"/>
    <cellStyle name="Sub-total 3 3 5" xfId="40792"/>
    <cellStyle name="Subtotal 3 3 6" xfId="40793"/>
    <cellStyle name="Sub-total 3 3 6" xfId="40794"/>
    <cellStyle name="Subtotal 3 3 7" xfId="40795"/>
    <cellStyle name="Sub-total 3 3 7" xfId="40796"/>
    <cellStyle name="Subtotal 3 3 8" xfId="40797"/>
    <cellStyle name="Sub-total 3 3 8" xfId="40798"/>
    <cellStyle name="Subtotal 3 3 9" xfId="40799"/>
    <cellStyle name="Sub-total 3 3 9" xfId="40800"/>
    <cellStyle name="Subtotal 3 4" xfId="40801"/>
    <cellStyle name="Sub-total 3 4" xfId="40802"/>
    <cellStyle name="Subtotal 3 4 2" xfId="40803"/>
    <cellStyle name="Sub-total 3 4 2" xfId="40804"/>
    <cellStyle name="Subtotal 3 4 3" xfId="40805"/>
    <cellStyle name="Sub-total 3 4 3" xfId="40806"/>
    <cellStyle name="Subtotal 3 4 4" xfId="40807"/>
    <cellStyle name="Sub-total 3 4 4" xfId="40808"/>
    <cellStyle name="Subtotal 3 4 5" xfId="40809"/>
    <cellStyle name="Sub-total 3 4 5" xfId="40810"/>
    <cellStyle name="Subtotal 3 4 6" xfId="40811"/>
    <cellStyle name="Sub-total 3 4 6" xfId="40812"/>
    <cellStyle name="Subtotal 3 5" xfId="40813"/>
    <cellStyle name="Sub-total 3 5" xfId="40814"/>
    <cellStyle name="Subtotal 3 5 2" xfId="40815"/>
    <cellStyle name="Sub-total 3 5 2" xfId="40816"/>
    <cellStyle name="Subtotal 3 5 3" xfId="40817"/>
    <cellStyle name="Sub-total 3 5 3" xfId="40818"/>
    <cellStyle name="Subtotal 3 5 4" xfId="40819"/>
    <cellStyle name="Sub-total 3 5 4" xfId="40820"/>
    <cellStyle name="Subtotal 3 5 5" xfId="40821"/>
    <cellStyle name="Sub-total 3 5 5" xfId="40822"/>
    <cellStyle name="Subtotal 3 5 6" xfId="40823"/>
    <cellStyle name="Sub-total 3 5 6" xfId="40824"/>
    <cellStyle name="Subtotal 3 6" xfId="40825"/>
    <cellStyle name="Sub-total 3 6" xfId="40826"/>
    <cellStyle name="Subtotal 3 6 2" xfId="40827"/>
    <cellStyle name="Sub-total 3 6 2" xfId="40828"/>
    <cellStyle name="Subtotal 3 6 3" xfId="40829"/>
    <cellStyle name="Sub-total 3 6 3" xfId="40830"/>
    <cellStyle name="Subtotal 3 6 4" xfId="40831"/>
    <cellStyle name="Sub-total 3 6 4" xfId="40832"/>
    <cellStyle name="Subtotal 3 6 5" xfId="40833"/>
    <cellStyle name="Sub-total 3 6 5" xfId="40834"/>
    <cellStyle name="Subtotal 3 6 6" xfId="40835"/>
    <cellStyle name="Sub-total 3 6 6" xfId="40836"/>
    <cellStyle name="Subtotal 3 7" xfId="40837"/>
    <cellStyle name="Sub-total 3 7" xfId="40838"/>
    <cellStyle name="Subtotal 3 7 2" xfId="40839"/>
    <cellStyle name="Sub-total 3 7 2" xfId="40840"/>
    <cellStyle name="Subtotal 3 7 3" xfId="40841"/>
    <cellStyle name="Sub-total 3 7 3" xfId="40842"/>
    <cellStyle name="Subtotal 3 7 4" xfId="40843"/>
    <cellStyle name="Sub-total 3 7 4" xfId="40844"/>
    <cellStyle name="Subtotal 3 7 5" xfId="40845"/>
    <cellStyle name="Sub-total 3 7 5" xfId="40846"/>
    <cellStyle name="Subtotal 3 7 6" xfId="40847"/>
    <cellStyle name="Sub-total 3 7 6" xfId="40848"/>
    <cellStyle name="Subtotal 3 8" xfId="40849"/>
    <cellStyle name="Sub-total 3 8" xfId="40850"/>
    <cellStyle name="Subtotal 3 8 2" xfId="40851"/>
    <cellStyle name="Sub-total 3 8 2" xfId="40852"/>
    <cellStyle name="Subtotal 3 8 3" xfId="40853"/>
    <cellStyle name="Sub-total 3 8 3" xfId="40854"/>
    <cellStyle name="Subtotal 3 8 4" xfId="40855"/>
    <cellStyle name="Sub-total 3 8 4" xfId="40856"/>
    <cellStyle name="Subtotal 3 8 5" xfId="40857"/>
    <cellStyle name="Sub-total 3 8 5" xfId="40858"/>
    <cellStyle name="Subtotal 3 8 6" xfId="40859"/>
    <cellStyle name="Sub-total 3 8 6" xfId="40860"/>
    <cellStyle name="Subtotal 3 9" xfId="40861"/>
    <cellStyle name="Sub-total 3 9" xfId="40862"/>
    <cellStyle name="Subtotal 3 9 2" xfId="40863"/>
    <cellStyle name="Sub-total 3 9 2" xfId="40864"/>
    <cellStyle name="Subtotal 3 9 3" xfId="40865"/>
    <cellStyle name="Sub-total 3 9 3" xfId="40866"/>
    <cellStyle name="Subtotal 3 9 4" xfId="40867"/>
    <cellStyle name="Sub-total 3 9 4" xfId="40868"/>
    <cellStyle name="Subtotal 3 9 5" xfId="40869"/>
    <cellStyle name="Sub-total 3 9 5" xfId="40870"/>
    <cellStyle name="Subtotal 3 9 6" xfId="40871"/>
    <cellStyle name="Sub-total 3 9 6" xfId="40872"/>
    <cellStyle name="Subtotal 30" xfId="40873"/>
    <cellStyle name="Sub-total 30" xfId="40874"/>
    <cellStyle name="Subtotal 31" xfId="40875"/>
    <cellStyle name="Sub-total 31" xfId="40876"/>
    <cellStyle name="Subtotal 4" xfId="40877"/>
    <cellStyle name="Sub-total 4" xfId="40878"/>
    <cellStyle name="Subtotal 4 10" xfId="40879"/>
    <cellStyle name="Sub-total 4 10" xfId="40880"/>
    <cellStyle name="Subtotal 4 10 2" xfId="40881"/>
    <cellStyle name="Sub-total 4 10 2" xfId="40882"/>
    <cellStyle name="Subtotal 4 10 3" xfId="40883"/>
    <cellStyle name="Sub-total 4 10 3" xfId="40884"/>
    <cellStyle name="Subtotal 4 10 4" xfId="40885"/>
    <cellStyle name="Sub-total 4 10 4" xfId="40886"/>
    <cellStyle name="Subtotal 4 10 5" xfId="40887"/>
    <cellStyle name="Sub-total 4 10 5" xfId="40888"/>
    <cellStyle name="Subtotal 4 10 6" xfId="40889"/>
    <cellStyle name="Sub-total 4 10 6" xfId="40890"/>
    <cellStyle name="Subtotal 4 11" xfId="40891"/>
    <cellStyle name="Sub-total 4 11" xfId="40892"/>
    <cellStyle name="Subtotal 4 11 2" xfId="40893"/>
    <cellStyle name="Sub-total 4 11 2" xfId="40894"/>
    <cellStyle name="Subtotal 4 11 3" xfId="40895"/>
    <cellStyle name="Sub-total 4 11 3" xfId="40896"/>
    <cellStyle name="Subtotal 4 11 4" xfId="40897"/>
    <cellStyle name="Sub-total 4 11 4" xfId="40898"/>
    <cellStyle name="Subtotal 4 11 5" xfId="40899"/>
    <cellStyle name="Sub-total 4 11 5" xfId="40900"/>
    <cellStyle name="Subtotal 4 11 6" xfId="40901"/>
    <cellStyle name="Sub-total 4 11 6" xfId="40902"/>
    <cellStyle name="Subtotal 4 12" xfId="40903"/>
    <cellStyle name="Sub-total 4 12" xfId="40904"/>
    <cellStyle name="Subtotal 4 12 2" xfId="40905"/>
    <cellStyle name="Sub-total 4 12 2" xfId="40906"/>
    <cellStyle name="Subtotal 4 12 3" xfId="40907"/>
    <cellStyle name="Sub-total 4 12 3" xfId="40908"/>
    <cellStyle name="Subtotal 4 12 4" xfId="40909"/>
    <cellStyle name="Sub-total 4 12 4" xfId="40910"/>
    <cellStyle name="Subtotal 4 12 5" xfId="40911"/>
    <cellStyle name="Sub-total 4 12 5" xfId="40912"/>
    <cellStyle name="Subtotal 4 12 6" xfId="40913"/>
    <cellStyle name="Sub-total 4 12 6" xfId="40914"/>
    <cellStyle name="Subtotal 4 13" xfId="40915"/>
    <cellStyle name="Sub-total 4 13" xfId="40916"/>
    <cellStyle name="Subtotal 4 13 2" xfId="40917"/>
    <cellStyle name="Sub-total 4 13 2" xfId="40918"/>
    <cellStyle name="Subtotal 4 13 3" xfId="40919"/>
    <cellStyle name="Sub-total 4 13 3" xfId="40920"/>
    <cellStyle name="Subtotal 4 13 4" xfId="40921"/>
    <cellStyle name="Sub-total 4 13 4" xfId="40922"/>
    <cellStyle name="Subtotal 4 13 5" xfId="40923"/>
    <cellStyle name="Sub-total 4 13 5" xfId="40924"/>
    <cellStyle name="Subtotal 4 13 6" xfId="40925"/>
    <cellStyle name="Sub-total 4 13 6" xfId="40926"/>
    <cellStyle name="Subtotal 4 14" xfId="40927"/>
    <cellStyle name="Sub-total 4 14" xfId="40928"/>
    <cellStyle name="Subtotal 4 15" xfId="40929"/>
    <cellStyle name="Sub-total 4 15" xfId="40930"/>
    <cellStyle name="Subtotal 4 16" xfId="40931"/>
    <cellStyle name="Sub-total 4 16" xfId="40932"/>
    <cellStyle name="Subtotal 4 17" xfId="40933"/>
    <cellStyle name="Sub-total 4 17" xfId="40934"/>
    <cellStyle name="Subtotal 4 18" xfId="40935"/>
    <cellStyle name="Sub-total 4 18" xfId="40936"/>
    <cellStyle name="Subtotal 4 2" xfId="40937"/>
    <cellStyle name="Sub-total 4 2" xfId="40938"/>
    <cellStyle name="Subtotal 4 2 10" xfId="40939"/>
    <cellStyle name="Sub-total 4 2 10" xfId="40940"/>
    <cellStyle name="Subtotal 4 2 11" xfId="40941"/>
    <cellStyle name="Sub-total 4 2 11" xfId="40942"/>
    <cellStyle name="Subtotal 4 2 12" xfId="40943"/>
    <cellStyle name="Sub-total 4 2 12" xfId="40944"/>
    <cellStyle name="Subtotal 4 2 13" xfId="40945"/>
    <cellStyle name="Sub-total 4 2 13" xfId="40946"/>
    <cellStyle name="Subtotal 4 2 14" xfId="40947"/>
    <cellStyle name="Sub-total 4 2 14" xfId="40948"/>
    <cellStyle name="Subtotal 4 2 15" xfId="40949"/>
    <cellStyle name="Sub-total 4 2 15" xfId="40950"/>
    <cellStyle name="Subtotal 4 2 16" xfId="40951"/>
    <cellStyle name="Sub-total 4 2 16" xfId="40952"/>
    <cellStyle name="Subtotal 4 2 17" xfId="40953"/>
    <cellStyle name="Sub-total 4 2 17" xfId="40954"/>
    <cellStyle name="Subtotal 4 2 18" xfId="40955"/>
    <cellStyle name="Sub-total 4 2 18" xfId="40956"/>
    <cellStyle name="Subtotal 4 2 19" xfId="40957"/>
    <cellStyle name="Sub-total 4 2 19" xfId="40958"/>
    <cellStyle name="Subtotal 4 2 2" xfId="40959"/>
    <cellStyle name="Sub-total 4 2 2" xfId="40960"/>
    <cellStyle name="Subtotal 4 2 20" xfId="40961"/>
    <cellStyle name="Sub-total 4 2 20" xfId="40962"/>
    <cellStyle name="Subtotal 4 2 21" xfId="40963"/>
    <cellStyle name="Sub-total 4 2 21" xfId="40964"/>
    <cellStyle name="Subtotal 4 2 22" xfId="40965"/>
    <cellStyle name="Sub-total 4 2 22" xfId="40966"/>
    <cellStyle name="Subtotal 4 2 23" xfId="40967"/>
    <cellStyle name="Sub-total 4 2 23" xfId="40968"/>
    <cellStyle name="Subtotal 4 2 3" xfId="40969"/>
    <cellStyle name="Sub-total 4 2 3" xfId="40970"/>
    <cellStyle name="Subtotal 4 2 4" xfId="40971"/>
    <cellStyle name="Sub-total 4 2 4" xfId="40972"/>
    <cellStyle name="Subtotal 4 2 5" xfId="40973"/>
    <cellStyle name="Sub-total 4 2 5" xfId="40974"/>
    <cellStyle name="Subtotal 4 2 6" xfId="40975"/>
    <cellStyle name="Sub-total 4 2 6" xfId="40976"/>
    <cellStyle name="Subtotal 4 2 7" xfId="40977"/>
    <cellStyle name="Sub-total 4 2 7" xfId="40978"/>
    <cellStyle name="Subtotal 4 2 8" xfId="40979"/>
    <cellStyle name="Sub-total 4 2 8" xfId="40980"/>
    <cellStyle name="Subtotal 4 2 9" xfId="40981"/>
    <cellStyle name="Sub-total 4 2 9" xfId="40982"/>
    <cellStyle name="Subtotal 4 3" xfId="40983"/>
    <cellStyle name="Sub-total 4 3" xfId="40984"/>
    <cellStyle name="Subtotal 4 3 10" xfId="40985"/>
    <cellStyle name="Sub-total 4 3 10" xfId="40986"/>
    <cellStyle name="Subtotal 4 3 11" xfId="40987"/>
    <cellStyle name="Sub-total 4 3 11" xfId="40988"/>
    <cellStyle name="Subtotal 4 3 12" xfId="40989"/>
    <cellStyle name="Sub-total 4 3 12" xfId="40990"/>
    <cellStyle name="Subtotal 4 3 13" xfId="40991"/>
    <cellStyle name="Sub-total 4 3 13" xfId="40992"/>
    <cellStyle name="Subtotal 4 3 14" xfId="40993"/>
    <cellStyle name="Sub-total 4 3 14" xfId="40994"/>
    <cellStyle name="Subtotal 4 3 15" xfId="40995"/>
    <cellStyle name="Sub-total 4 3 15" xfId="40996"/>
    <cellStyle name="Subtotal 4 3 16" xfId="40997"/>
    <cellStyle name="Sub-total 4 3 16" xfId="40998"/>
    <cellStyle name="Subtotal 4 3 17" xfId="40999"/>
    <cellStyle name="Sub-total 4 3 17" xfId="41000"/>
    <cellStyle name="Subtotal 4 3 18" xfId="41001"/>
    <cellStyle name="Sub-total 4 3 18" xfId="41002"/>
    <cellStyle name="Subtotal 4 3 19" xfId="41003"/>
    <cellStyle name="Sub-total 4 3 19" xfId="41004"/>
    <cellStyle name="Subtotal 4 3 2" xfId="41005"/>
    <cellStyle name="Sub-total 4 3 2" xfId="41006"/>
    <cellStyle name="Subtotal 4 3 20" xfId="41007"/>
    <cellStyle name="Sub-total 4 3 20" xfId="41008"/>
    <cellStyle name="Subtotal 4 3 21" xfId="41009"/>
    <cellStyle name="Sub-total 4 3 21" xfId="41010"/>
    <cellStyle name="Subtotal 4 3 22" xfId="41011"/>
    <cellStyle name="Sub-total 4 3 22" xfId="41012"/>
    <cellStyle name="Subtotal 4 3 23" xfId="41013"/>
    <cellStyle name="Sub-total 4 3 23" xfId="41014"/>
    <cellStyle name="Subtotal 4 3 3" xfId="41015"/>
    <cellStyle name="Sub-total 4 3 3" xfId="41016"/>
    <cellStyle name="Subtotal 4 3 4" xfId="41017"/>
    <cellStyle name="Sub-total 4 3 4" xfId="41018"/>
    <cellStyle name="Subtotal 4 3 5" xfId="41019"/>
    <cellStyle name="Sub-total 4 3 5" xfId="41020"/>
    <cellStyle name="Subtotal 4 3 6" xfId="41021"/>
    <cellStyle name="Sub-total 4 3 6" xfId="41022"/>
    <cellStyle name="Subtotal 4 3 7" xfId="41023"/>
    <cellStyle name="Sub-total 4 3 7" xfId="41024"/>
    <cellStyle name="Subtotal 4 3 8" xfId="41025"/>
    <cellStyle name="Sub-total 4 3 8" xfId="41026"/>
    <cellStyle name="Subtotal 4 3 9" xfId="41027"/>
    <cellStyle name="Sub-total 4 3 9" xfId="41028"/>
    <cellStyle name="Subtotal 4 4" xfId="41029"/>
    <cellStyle name="Sub-total 4 4" xfId="41030"/>
    <cellStyle name="Subtotal 4 4 2" xfId="41031"/>
    <cellStyle name="Sub-total 4 4 2" xfId="41032"/>
    <cellStyle name="Subtotal 4 4 3" xfId="41033"/>
    <cellStyle name="Sub-total 4 4 3" xfId="41034"/>
    <cellStyle name="Subtotal 4 4 4" xfId="41035"/>
    <cellStyle name="Sub-total 4 4 4" xfId="41036"/>
    <cellStyle name="Subtotal 4 4 5" xfId="41037"/>
    <cellStyle name="Sub-total 4 4 5" xfId="41038"/>
    <cellStyle name="Subtotal 4 4 6" xfId="41039"/>
    <cellStyle name="Sub-total 4 4 6" xfId="41040"/>
    <cellStyle name="Subtotal 4 5" xfId="41041"/>
    <cellStyle name="Sub-total 4 5" xfId="41042"/>
    <cellStyle name="Subtotal 4 5 2" xfId="41043"/>
    <cellStyle name="Sub-total 4 5 2" xfId="41044"/>
    <cellStyle name="Subtotal 4 5 3" xfId="41045"/>
    <cellStyle name="Sub-total 4 5 3" xfId="41046"/>
    <cellStyle name="Subtotal 4 5 4" xfId="41047"/>
    <cellStyle name="Sub-total 4 5 4" xfId="41048"/>
    <cellStyle name="Subtotal 4 5 5" xfId="41049"/>
    <cellStyle name="Sub-total 4 5 5" xfId="41050"/>
    <cellStyle name="Subtotal 4 5 6" xfId="41051"/>
    <cellStyle name="Sub-total 4 5 6" xfId="41052"/>
    <cellStyle name="Subtotal 4 6" xfId="41053"/>
    <cellStyle name="Sub-total 4 6" xfId="41054"/>
    <cellStyle name="Subtotal 4 6 2" xfId="41055"/>
    <cellStyle name="Sub-total 4 6 2" xfId="41056"/>
    <cellStyle name="Subtotal 4 6 3" xfId="41057"/>
    <cellStyle name="Sub-total 4 6 3" xfId="41058"/>
    <cellStyle name="Subtotal 4 6 4" xfId="41059"/>
    <cellStyle name="Sub-total 4 6 4" xfId="41060"/>
    <cellStyle name="Subtotal 4 6 5" xfId="41061"/>
    <cellStyle name="Sub-total 4 6 5" xfId="41062"/>
    <cellStyle name="Subtotal 4 6 6" xfId="41063"/>
    <cellStyle name="Sub-total 4 6 6" xfId="41064"/>
    <cellStyle name="Subtotal 4 7" xfId="41065"/>
    <cellStyle name="Sub-total 4 7" xfId="41066"/>
    <cellStyle name="Subtotal 4 7 2" xfId="41067"/>
    <cellStyle name="Sub-total 4 7 2" xfId="41068"/>
    <cellStyle name="Subtotal 4 7 3" xfId="41069"/>
    <cellStyle name="Sub-total 4 7 3" xfId="41070"/>
    <cellStyle name="Subtotal 4 7 4" xfId="41071"/>
    <cellStyle name="Sub-total 4 7 4" xfId="41072"/>
    <cellStyle name="Subtotal 4 7 5" xfId="41073"/>
    <cellStyle name="Sub-total 4 7 5" xfId="41074"/>
    <cellStyle name="Subtotal 4 7 6" xfId="41075"/>
    <cellStyle name="Sub-total 4 7 6" xfId="41076"/>
    <cellStyle name="Subtotal 4 8" xfId="41077"/>
    <cellStyle name="Sub-total 4 8" xfId="41078"/>
    <cellStyle name="Subtotal 4 8 2" xfId="41079"/>
    <cellStyle name="Sub-total 4 8 2" xfId="41080"/>
    <cellStyle name="Subtotal 4 8 3" xfId="41081"/>
    <cellStyle name="Sub-total 4 8 3" xfId="41082"/>
    <cellStyle name="Subtotal 4 8 4" xfId="41083"/>
    <cellStyle name="Sub-total 4 8 4" xfId="41084"/>
    <cellStyle name="Subtotal 4 8 5" xfId="41085"/>
    <cellStyle name="Sub-total 4 8 5" xfId="41086"/>
    <cellStyle name="Subtotal 4 8 6" xfId="41087"/>
    <cellStyle name="Sub-total 4 8 6" xfId="41088"/>
    <cellStyle name="Subtotal 4 9" xfId="41089"/>
    <cellStyle name="Sub-total 4 9" xfId="41090"/>
    <cellStyle name="Subtotal 4 9 2" xfId="41091"/>
    <cellStyle name="Sub-total 4 9 2" xfId="41092"/>
    <cellStyle name="Subtotal 4 9 3" xfId="41093"/>
    <cellStyle name="Sub-total 4 9 3" xfId="41094"/>
    <cellStyle name="Subtotal 4 9 4" xfId="41095"/>
    <cellStyle name="Sub-total 4 9 4" xfId="41096"/>
    <cellStyle name="Subtotal 4 9 5" xfId="41097"/>
    <cellStyle name="Sub-total 4 9 5" xfId="41098"/>
    <cellStyle name="Subtotal 4 9 6" xfId="41099"/>
    <cellStyle name="Sub-total 4 9 6" xfId="41100"/>
    <cellStyle name="Subtotal 5" xfId="41101"/>
    <cellStyle name="Sub-total 5" xfId="41102"/>
    <cellStyle name="Subtotal 5 10" xfId="41103"/>
    <cellStyle name="Sub-total 5 10" xfId="41104"/>
    <cellStyle name="Subtotal 5 10 2" xfId="41105"/>
    <cellStyle name="Sub-total 5 10 2" xfId="41106"/>
    <cellStyle name="Subtotal 5 10 3" xfId="41107"/>
    <cellStyle name="Sub-total 5 10 3" xfId="41108"/>
    <cellStyle name="Subtotal 5 10 4" xfId="41109"/>
    <cellStyle name="Sub-total 5 10 4" xfId="41110"/>
    <cellStyle name="Subtotal 5 10 5" xfId="41111"/>
    <cellStyle name="Sub-total 5 10 5" xfId="41112"/>
    <cellStyle name="Subtotal 5 10 6" xfId="41113"/>
    <cellStyle name="Sub-total 5 10 6" xfId="41114"/>
    <cellStyle name="Subtotal 5 11" xfId="41115"/>
    <cellStyle name="Sub-total 5 11" xfId="41116"/>
    <cellStyle name="Subtotal 5 11 2" xfId="41117"/>
    <cellStyle name="Sub-total 5 11 2" xfId="41118"/>
    <cellStyle name="Subtotal 5 11 3" xfId="41119"/>
    <cellStyle name="Sub-total 5 11 3" xfId="41120"/>
    <cellStyle name="Subtotal 5 11 4" xfId="41121"/>
    <cellStyle name="Sub-total 5 11 4" xfId="41122"/>
    <cellStyle name="Subtotal 5 11 5" xfId="41123"/>
    <cellStyle name="Sub-total 5 11 5" xfId="41124"/>
    <cellStyle name="Subtotal 5 11 6" xfId="41125"/>
    <cellStyle name="Sub-total 5 11 6" xfId="41126"/>
    <cellStyle name="Subtotal 5 12" xfId="41127"/>
    <cellStyle name="Sub-total 5 12" xfId="41128"/>
    <cellStyle name="Subtotal 5 12 2" xfId="41129"/>
    <cellStyle name="Sub-total 5 12 2" xfId="41130"/>
    <cellStyle name="Subtotal 5 12 3" xfId="41131"/>
    <cellStyle name="Sub-total 5 12 3" xfId="41132"/>
    <cellStyle name="Subtotal 5 12 4" xfId="41133"/>
    <cellStyle name="Sub-total 5 12 4" xfId="41134"/>
    <cellStyle name="Subtotal 5 12 5" xfId="41135"/>
    <cellStyle name="Sub-total 5 12 5" xfId="41136"/>
    <cellStyle name="Subtotal 5 12 6" xfId="41137"/>
    <cellStyle name="Sub-total 5 12 6" xfId="41138"/>
    <cellStyle name="Subtotal 5 13" xfId="41139"/>
    <cellStyle name="Sub-total 5 13" xfId="41140"/>
    <cellStyle name="Subtotal 5 13 2" xfId="41141"/>
    <cellStyle name="Sub-total 5 13 2" xfId="41142"/>
    <cellStyle name="Subtotal 5 13 3" xfId="41143"/>
    <cellStyle name="Sub-total 5 13 3" xfId="41144"/>
    <cellStyle name="Subtotal 5 13 4" xfId="41145"/>
    <cellStyle name="Sub-total 5 13 4" xfId="41146"/>
    <cellStyle name="Subtotal 5 13 5" xfId="41147"/>
    <cellStyle name="Sub-total 5 13 5" xfId="41148"/>
    <cellStyle name="Subtotal 5 13 6" xfId="41149"/>
    <cellStyle name="Sub-total 5 13 6" xfId="41150"/>
    <cellStyle name="Subtotal 5 14" xfId="41151"/>
    <cellStyle name="Sub-total 5 14" xfId="41152"/>
    <cellStyle name="Subtotal 5 15" xfId="41153"/>
    <cellStyle name="Sub-total 5 15" xfId="41154"/>
    <cellStyle name="Subtotal 5 16" xfId="41155"/>
    <cellStyle name="Sub-total 5 16" xfId="41156"/>
    <cellStyle name="Subtotal 5 17" xfId="41157"/>
    <cellStyle name="Sub-total 5 17" xfId="41158"/>
    <cellStyle name="Subtotal 5 18" xfId="41159"/>
    <cellStyle name="Sub-total 5 18" xfId="41160"/>
    <cellStyle name="Subtotal 5 2" xfId="41161"/>
    <cellStyle name="Sub-total 5 2" xfId="41162"/>
    <cellStyle name="Subtotal 5 2 10" xfId="41163"/>
    <cellStyle name="Sub-total 5 2 10" xfId="41164"/>
    <cellStyle name="Subtotal 5 2 11" xfId="41165"/>
    <cellStyle name="Sub-total 5 2 11" xfId="41166"/>
    <cellStyle name="Subtotal 5 2 12" xfId="41167"/>
    <cellStyle name="Sub-total 5 2 12" xfId="41168"/>
    <cellStyle name="Subtotal 5 2 13" xfId="41169"/>
    <cellStyle name="Sub-total 5 2 13" xfId="41170"/>
    <cellStyle name="Subtotal 5 2 14" xfId="41171"/>
    <cellStyle name="Sub-total 5 2 14" xfId="41172"/>
    <cellStyle name="Subtotal 5 2 15" xfId="41173"/>
    <cellStyle name="Sub-total 5 2 15" xfId="41174"/>
    <cellStyle name="Subtotal 5 2 16" xfId="41175"/>
    <cellStyle name="Sub-total 5 2 16" xfId="41176"/>
    <cellStyle name="Subtotal 5 2 17" xfId="41177"/>
    <cellStyle name="Sub-total 5 2 17" xfId="41178"/>
    <cellStyle name="Subtotal 5 2 18" xfId="41179"/>
    <cellStyle name="Sub-total 5 2 18" xfId="41180"/>
    <cellStyle name="Subtotal 5 2 19" xfId="41181"/>
    <cellStyle name="Sub-total 5 2 19" xfId="41182"/>
    <cellStyle name="Subtotal 5 2 2" xfId="41183"/>
    <cellStyle name="Sub-total 5 2 2" xfId="41184"/>
    <cellStyle name="Subtotal 5 2 20" xfId="41185"/>
    <cellStyle name="Sub-total 5 2 20" xfId="41186"/>
    <cellStyle name="Subtotal 5 2 21" xfId="41187"/>
    <cellStyle name="Sub-total 5 2 21" xfId="41188"/>
    <cellStyle name="Subtotal 5 2 22" xfId="41189"/>
    <cellStyle name="Sub-total 5 2 22" xfId="41190"/>
    <cellStyle name="Subtotal 5 2 23" xfId="41191"/>
    <cellStyle name="Sub-total 5 2 23" xfId="41192"/>
    <cellStyle name="Subtotal 5 2 3" xfId="41193"/>
    <cellStyle name="Sub-total 5 2 3" xfId="41194"/>
    <cellStyle name="Subtotal 5 2 4" xfId="41195"/>
    <cellStyle name="Sub-total 5 2 4" xfId="41196"/>
    <cellStyle name="Subtotal 5 2 5" xfId="41197"/>
    <cellStyle name="Sub-total 5 2 5" xfId="41198"/>
    <cellStyle name="Subtotal 5 2 6" xfId="41199"/>
    <cellStyle name="Sub-total 5 2 6" xfId="41200"/>
    <cellStyle name="Subtotal 5 2 7" xfId="41201"/>
    <cellStyle name="Sub-total 5 2 7" xfId="41202"/>
    <cellStyle name="Subtotal 5 2 8" xfId="41203"/>
    <cellStyle name="Sub-total 5 2 8" xfId="41204"/>
    <cellStyle name="Subtotal 5 2 9" xfId="41205"/>
    <cellStyle name="Sub-total 5 2 9" xfId="41206"/>
    <cellStyle name="Subtotal 5 3" xfId="41207"/>
    <cellStyle name="Sub-total 5 3" xfId="41208"/>
    <cellStyle name="Subtotal 5 3 10" xfId="41209"/>
    <cellStyle name="Sub-total 5 3 10" xfId="41210"/>
    <cellStyle name="Subtotal 5 3 11" xfId="41211"/>
    <cellStyle name="Sub-total 5 3 11" xfId="41212"/>
    <cellStyle name="Subtotal 5 3 12" xfId="41213"/>
    <cellStyle name="Sub-total 5 3 12" xfId="41214"/>
    <cellStyle name="Subtotal 5 3 13" xfId="41215"/>
    <cellStyle name="Sub-total 5 3 13" xfId="41216"/>
    <cellStyle name="Subtotal 5 3 14" xfId="41217"/>
    <cellStyle name="Sub-total 5 3 14" xfId="41218"/>
    <cellStyle name="Subtotal 5 3 15" xfId="41219"/>
    <cellStyle name="Sub-total 5 3 15" xfId="41220"/>
    <cellStyle name="Subtotal 5 3 16" xfId="41221"/>
    <cellStyle name="Sub-total 5 3 16" xfId="41222"/>
    <cellStyle name="Subtotal 5 3 17" xfId="41223"/>
    <cellStyle name="Sub-total 5 3 17" xfId="41224"/>
    <cellStyle name="Subtotal 5 3 18" xfId="41225"/>
    <cellStyle name="Sub-total 5 3 18" xfId="41226"/>
    <cellStyle name="Subtotal 5 3 19" xfId="41227"/>
    <cellStyle name="Sub-total 5 3 19" xfId="41228"/>
    <cellStyle name="Subtotal 5 3 2" xfId="41229"/>
    <cellStyle name="Sub-total 5 3 2" xfId="41230"/>
    <cellStyle name="Subtotal 5 3 20" xfId="41231"/>
    <cellStyle name="Sub-total 5 3 20" xfId="41232"/>
    <cellStyle name="Subtotal 5 3 21" xfId="41233"/>
    <cellStyle name="Sub-total 5 3 21" xfId="41234"/>
    <cellStyle name="Subtotal 5 3 22" xfId="41235"/>
    <cellStyle name="Sub-total 5 3 22" xfId="41236"/>
    <cellStyle name="Subtotal 5 3 23" xfId="41237"/>
    <cellStyle name="Sub-total 5 3 23" xfId="41238"/>
    <cellStyle name="Subtotal 5 3 3" xfId="41239"/>
    <cellStyle name="Sub-total 5 3 3" xfId="41240"/>
    <cellStyle name="Subtotal 5 3 4" xfId="41241"/>
    <cellStyle name="Sub-total 5 3 4" xfId="41242"/>
    <cellStyle name="Subtotal 5 3 5" xfId="41243"/>
    <cellStyle name="Sub-total 5 3 5" xfId="41244"/>
    <cellStyle name="Subtotal 5 3 6" xfId="41245"/>
    <cellStyle name="Sub-total 5 3 6" xfId="41246"/>
    <cellStyle name="Subtotal 5 3 7" xfId="41247"/>
    <cellStyle name="Sub-total 5 3 7" xfId="41248"/>
    <cellStyle name="Subtotal 5 3 8" xfId="41249"/>
    <cellStyle name="Sub-total 5 3 8" xfId="41250"/>
    <cellStyle name="Subtotal 5 3 9" xfId="41251"/>
    <cellStyle name="Sub-total 5 3 9" xfId="41252"/>
    <cellStyle name="Subtotal 5 4" xfId="41253"/>
    <cellStyle name="Sub-total 5 4" xfId="41254"/>
    <cellStyle name="Subtotal 5 4 2" xfId="41255"/>
    <cellStyle name="Sub-total 5 4 2" xfId="41256"/>
    <cellStyle name="Subtotal 5 4 3" xfId="41257"/>
    <cellStyle name="Sub-total 5 4 3" xfId="41258"/>
    <cellStyle name="Subtotal 5 4 4" xfId="41259"/>
    <cellStyle name="Sub-total 5 4 4" xfId="41260"/>
    <cellStyle name="Subtotal 5 4 5" xfId="41261"/>
    <cellStyle name="Sub-total 5 4 5" xfId="41262"/>
    <cellStyle name="Subtotal 5 4 6" xfId="41263"/>
    <cellStyle name="Sub-total 5 4 6" xfId="41264"/>
    <cellStyle name="Subtotal 5 5" xfId="41265"/>
    <cellStyle name="Sub-total 5 5" xfId="41266"/>
    <cellStyle name="Subtotal 5 5 2" xfId="41267"/>
    <cellStyle name="Sub-total 5 5 2" xfId="41268"/>
    <cellStyle name="Subtotal 5 5 3" xfId="41269"/>
    <cellStyle name="Sub-total 5 5 3" xfId="41270"/>
    <cellStyle name="Subtotal 5 5 4" xfId="41271"/>
    <cellStyle name="Sub-total 5 5 4" xfId="41272"/>
    <cellStyle name="Subtotal 5 5 5" xfId="41273"/>
    <cellStyle name="Sub-total 5 5 5" xfId="41274"/>
    <cellStyle name="Subtotal 5 5 6" xfId="41275"/>
    <cellStyle name="Sub-total 5 5 6" xfId="41276"/>
    <cellStyle name="Subtotal 5 6" xfId="41277"/>
    <cellStyle name="Sub-total 5 6" xfId="41278"/>
    <cellStyle name="Subtotal 5 6 2" xfId="41279"/>
    <cellStyle name="Sub-total 5 6 2" xfId="41280"/>
    <cellStyle name="Subtotal 5 6 3" xfId="41281"/>
    <cellStyle name="Sub-total 5 6 3" xfId="41282"/>
    <cellStyle name="Subtotal 5 6 4" xfId="41283"/>
    <cellStyle name="Sub-total 5 6 4" xfId="41284"/>
    <cellStyle name="Subtotal 5 6 5" xfId="41285"/>
    <cellStyle name="Sub-total 5 6 5" xfId="41286"/>
    <cellStyle name="Subtotal 5 6 6" xfId="41287"/>
    <cellStyle name="Sub-total 5 6 6" xfId="41288"/>
    <cellStyle name="Subtotal 5 7" xfId="41289"/>
    <cellStyle name="Sub-total 5 7" xfId="41290"/>
    <cellStyle name="Subtotal 5 7 2" xfId="41291"/>
    <cellStyle name="Sub-total 5 7 2" xfId="41292"/>
    <cellStyle name="Subtotal 5 7 3" xfId="41293"/>
    <cellStyle name="Sub-total 5 7 3" xfId="41294"/>
    <cellStyle name="Subtotal 5 7 4" xfId="41295"/>
    <cellStyle name="Sub-total 5 7 4" xfId="41296"/>
    <cellStyle name="Subtotal 5 7 5" xfId="41297"/>
    <cellStyle name="Sub-total 5 7 5" xfId="41298"/>
    <cellStyle name="Subtotal 5 7 6" xfId="41299"/>
    <cellStyle name="Sub-total 5 7 6" xfId="41300"/>
    <cellStyle name="Subtotal 5 8" xfId="41301"/>
    <cellStyle name="Sub-total 5 8" xfId="41302"/>
    <cellStyle name="Subtotal 5 8 2" xfId="41303"/>
    <cellStyle name="Sub-total 5 8 2" xfId="41304"/>
    <cellStyle name="Subtotal 5 8 3" xfId="41305"/>
    <cellStyle name="Sub-total 5 8 3" xfId="41306"/>
    <cellStyle name="Subtotal 5 8 4" xfId="41307"/>
    <cellStyle name="Sub-total 5 8 4" xfId="41308"/>
    <cellStyle name="Subtotal 5 8 5" xfId="41309"/>
    <cellStyle name="Sub-total 5 8 5" xfId="41310"/>
    <cellStyle name="Subtotal 5 8 6" xfId="41311"/>
    <cellStyle name="Sub-total 5 8 6" xfId="41312"/>
    <cellStyle name="Subtotal 5 9" xfId="41313"/>
    <cellStyle name="Sub-total 5 9" xfId="41314"/>
    <cellStyle name="Subtotal 5 9 2" xfId="41315"/>
    <cellStyle name="Sub-total 5 9 2" xfId="41316"/>
    <cellStyle name="Subtotal 5 9 3" xfId="41317"/>
    <cellStyle name="Sub-total 5 9 3" xfId="41318"/>
    <cellStyle name="Subtotal 5 9 4" xfId="41319"/>
    <cellStyle name="Sub-total 5 9 4" xfId="41320"/>
    <cellStyle name="Subtotal 5 9 5" xfId="41321"/>
    <cellStyle name="Sub-total 5 9 5" xfId="41322"/>
    <cellStyle name="Subtotal 5 9 6" xfId="41323"/>
    <cellStyle name="Sub-total 5 9 6" xfId="41324"/>
    <cellStyle name="Subtotal 6" xfId="41325"/>
    <cellStyle name="Sub-total 6" xfId="41326"/>
    <cellStyle name="Subtotal 6 10" xfId="41327"/>
    <cellStyle name="Sub-total 6 10" xfId="41328"/>
    <cellStyle name="Subtotal 6 10 2" xfId="41329"/>
    <cellStyle name="Sub-total 6 10 2" xfId="41330"/>
    <cellStyle name="Subtotal 6 10 3" xfId="41331"/>
    <cellStyle name="Sub-total 6 10 3" xfId="41332"/>
    <cellStyle name="Subtotal 6 10 4" xfId="41333"/>
    <cellStyle name="Sub-total 6 10 4" xfId="41334"/>
    <cellStyle name="Subtotal 6 10 5" xfId="41335"/>
    <cellStyle name="Sub-total 6 10 5" xfId="41336"/>
    <cellStyle name="Subtotal 6 10 6" xfId="41337"/>
    <cellStyle name="Sub-total 6 10 6" xfId="41338"/>
    <cellStyle name="Subtotal 6 11" xfId="41339"/>
    <cellStyle name="Sub-total 6 11" xfId="41340"/>
    <cellStyle name="Subtotal 6 11 2" xfId="41341"/>
    <cellStyle name="Sub-total 6 11 2" xfId="41342"/>
    <cellStyle name="Subtotal 6 11 3" xfId="41343"/>
    <cellStyle name="Sub-total 6 11 3" xfId="41344"/>
    <cellStyle name="Subtotal 6 11 4" xfId="41345"/>
    <cellStyle name="Sub-total 6 11 4" xfId="41346"/>
    <cellStyle name="Subtotal 6 11 5" xfId="41347"/>
    <cellStyle name="Sub-total 6 11 5" xfId="41348"/>
    <cellStyle name="Subtotal 6 11 6" xfId="41349"/>
    <cellStyle name="Sub-total 6 11 6" xfId="41350"/>
    <cellStyle name="Subtotal 6 12" xfId="41351"/>
    <cellStyle name="Sub-total 6 12" xfId="41352"/>
    <cellStyle name="Subtotal 6 12 2" xfId="41353"/>
    <cellStyle name="Sub-total 6 12 2" xfId="41354"/>
    <cellStyle name="Subtotal 6 12 3" xfId="41355"/>
    <cellStyle name="Sub-total 6 12 3" xfId="41356"/>
    <cellStyle name="Subtotal 6 12 4" xfId="41357"/>
    <cellStyle name="Sub-total 6 12 4" xfId="41358"/>
    <cellStyle name="Subtotal 6 12 5" xfId="41359"/>
    <cellStyle name="Sub-total 6 12 5" xfId="41360"/>
    <cellStyle name="Subtotal 6 12 6" xfId="41361"/>
    <cellStyle name="Sub-total 6 12 6" xfId="41362"/>
    <cellStyle name="Subtotal 6 13" xfId="41363"/>
    <cellStyle name="Sub-total 6 13" xfId="41364"/>
    <cellStyle name="Subtotal 6 13 2" xfId="41365"/>
    <cellStyle name="Sub-total 6 13 2" xfId="41366"/>
    <cellStyle name="Subtotal 6 13 3" xfId="41367"/>
    <cellStyle name="Sub-total 6 13 3" xfId="41368"/>
    <cellStyle name="Subtotal 6 13 4" xfId="41369"/>
    <cellStyle name="Sub-total 6 13 4" xfId="41370"/>
    <cellStyle name="Subtotal 6 13 5" xfId="41371"/>
    <cellStyle name="Sub-total 6 13 5" xfId="41372"/>
    <cellStyle name="Subtotal 6 13 6" xfId="41373"/>
    <cellStyle name="Sub-total 6 13 6" xfId="41374"/>
    <cellStyle name="Subtotal 6 14" xfId="41375"/>
    <cellStyle name="Sub-total 6 14" xfId="41376"/>
    <cellStyle name="Subtotal 6 15" xfId="41377"/>
    <cellStyle name="Sub-total 6 15" xfId="41378"/>
    <cellStyle name="Subtotal 6 16" xfId="41379"/>
    <cellStyle name="Sub-total 6 16" xfId="41380"/>
    <cellStyle name="Subtotal 6 17" xfId="41381"/>
    <cellStyle name="Sub-total 6 17" xfId="41382"/>
    <cellStyle name="Subtotal 6 18" xfId="41383"/>
    <cellStyle name="Sub-total 6 18" xfId="41384"/>
    <cellStyle name="Subtotal 6 2" xfId="41385"/>
    <cellStyle name="Sub-total 6 2" xfId="41386"/>
    <cellStyle name="Subtotal 6 2 10" xfId="41387"/>
    <cellStyle name="Sub-total 6 2 10" xfId="41388"/>
    <cellStyle name="Subtotal 6 2 11" xfId="41389"/>
    <cellStyle name="Sub-total 6 2 11" xfId="41390"/>
    <cellStyle name="Subtotal 6 2 12" xfId="41391"/>
    <cellStyle name="Sub-total 6 2 12" xfId="41392"/>
    <cellStyle name="Subtotal 6 2 13" xfId="41393"/>
    <cellStyle name="Sub-total 6 2 13" xfId="41394"/>
    <cellStyle name="Subtotal 6 2 14" xfId="41395"/>
    <cellStyle name="Sub-total 6 2 14" xfId="41396"/>
    <cellStyle name="Subtotal 6 2 15" xfId="41397"/>
    <cellStyle name="Sub-total 6 2 15" xfId="41398"/>
    <cellStyle name="Subtotal 6 2 16" xfId="41399"/>
    <cellStyle name="Sub-total 6 2 16" xfId="41400"/>
    <cellStyle name="Subtotal 6 2 17" xfId="41401"/>
    <cellStyle name="Sub-total 6 2 17" xfId="41402"/>
    <cellStyle name="Subtotal 6 2 18" xfId="41403"/>
    <cellStyle name="Sub-total 6 2 18" xfId="41404"/>
    <cellStyle name="Subtotal 6 2 19" xfId="41405"/>
    <cellStyle name="Sub-total 6 2 19" xfId="41406"/>
    <cellStyle name="Subtotal 6 2 2" xfId="41407"/>
    <cellStyle name="Sub-total 6 2 2" xfId="41408"/>
    <cellStyle name="Subtotal 6 2 20" xfId="41409"/>
    <cellStyle name="Sub-total 6 2 20" xfId="41410"/>
    <cellStyle name="Subtotal 6 2 21" xfId="41411"/>
    <cellStyle name="Sub-total 6 2 21" xfId="41412"/>
    <cellStyle name="Subtotal 6 2 22" xfId="41413"/>
    <cellStyle name="Sub-total 6 2 22" xfId="41414"/>
    <cellStyle name="Subtotal 6 2 23" xfId="41415"/>
    <cellStyle name="Sub-total 6 2 23" xfId="41416"/>
    <cellStyle name="Subtotal 6 2 3" xfId="41417"/>
    <cellStyle name="Sub-total 6 2 3" xfId="41418"/>
    <cellStyle name="Subtotal 6 2 4" xfId="41419"/>
    <cellStyle name="Sub-total 6 2 4" xfId="41420"/>
    <cellStyle name="Subtotal 6 2 5" xfId="41421"/>
    <cellStyle name="Sub-total 6 2 5" xfId="41422"/>
    <cellStyle name="Subtotal 6 2 6" xfId="41423"/>
    <cellStyle name="Sub-total 6 2 6" xfId="41424"/>
    <cellStyle name="Subtotal 6 2 7" xfId="41425"/>
    <cellStyle name="Sub-total 6 2 7" xfId="41426"/>
    <cellStyle name="Subtotal 6 2 8" xfId="41427"/>
    <cellStyle name="Sub-total 6 2 8" xfId="41428"/>
    <cellStyle name="Subtotal 6 2 9" xfId="41429"/>
    <cellStyle name="Sub-total 6 2 9" xfId="41430"/>
    <cellStyle name="Subtotal 6 3" xfId="41431"/>
    <cellStyle name="Sub-total 6 3" xfId="41432"/>
    <cellStyle name="Subtotal 6 3 10" xfId="41433"/>
    <cellStyle name="Sub-total 6 3 10" xfId="41434"/>
    <cellStyle name="Subtotal 6 3 11" xfId="41435"/>
    <cellStyle name="Sub-total 6 3 11" xfId="41436"/>
    <cellStyle name="Subtotal 6 3 12" xfId="41437"/>
    <cellStyle name="Sub-total 6 3 12" xfId="41438"/>
    <cellStyle name="Subtotal 6 3 13" xfId="41439"/>
    <cellStyle name="Sub-total 6 3 13" xfId="41440"/>
    <cellStyle name="Subtotal 6 3 14" xfId="41441"/>
    <cellStyle name="Sub-total 6 3 14" xfId="41442"/>
    <cellStyle name="Subtotal 6 3 15" xfId="41443"/>
    <cellStyle name="Sub-total 6 3 15" xfId="41444"/>
    <cellStyle name="Subtotal 6 3 16" xfId="41445"/>
    <cellStyle name="Sub-total 6 3 16" xfId="41446"/>
    <cellStyle name="Subtotal 6 3 17" xfId="41447"/>
    <cellStyle name="Sub-total 6 3 17" xfId="41448"/>
    <cellStyle name="Subtotal 6 3 18" xfId="41449"/>
    <cellStyle name="Sub-total 6 3 18" xfId="41450"/>
    <cellStyle name="Subtotal 6 3 19" xfId="41451"/>
    <cellStyle name="Sub-total 6 3 19" xfId="41452"/>
    <cellStyle name="Subtotal 6 3 2" xfId="41453"/>
    <cellStyle name="Sub-total 6 3 2" xfId="41454"/>
    <cellStyle name="Subtotal 6 3 20" xfId="41455"/>
    <cellStyle name="Sub-total 6 3 20" xfId="41456"/>
    <cellStyle name="Subtotal 6 3 21" xfId="41457"/>
    <cellStyle name="Sub-total 6 3 21" xfId="41458"/>
    <cellStyle name="Subtotal 6 3 22" xfId="41459"/>
    <cellStyle name="Sub-total 6 3 22" xfId="41460"/>
    <cellStyle name="Subtotal 6 3 23" xfId="41461"/>
    <cellStyle name="Sub-total 6 3 23" xfId="41462"/>
    <cellStyle name="Subtotal 6 3 3" xfId="41463"/>
    <cellStyle name="Sub-total 6 3 3" xfId="41464"/>
    <cellStyle name="Subtotal 6 3 4" xfId="41465"/>
    <cellStyle name="Sub-total 6 3 4" xfId="41466"/>
    <cellStyle name="Subtotal 6 3 5" xfId="41467"/>
    <cellStyle name="Sub-total 6 3 5" xfId="41468"/>
    <cellStyle name="Subtotal 6 3 6" xfId="41469"/>
    <cellStyle name="Sub-total 6 3 6" xfId="41470"/>
    <cellStyle name="Subtotal 6 3 7" xfId="41471"/>
    <cellStyle name="Sub-total 6 3 7" xfId="41472"/>
    <cellStyle name="Subtotal 6 3 8" xfId="41473"/>
    <cellStyle name="Sub-total 6 3 8" xfId="41474"/>
    <cellStyle name="Subtotal 6 3 9" xfId="41475"/>
    <cellStyle name="Sub-total 6 3 9" xfId="41476"/>
    <cellStyle name="Subtotal 6 4" xfId="41477"/>
    <cellStyle name="Sub-total 6 4" xfId="41478"/>
    <cellStyle name="Subtotal 6 4 2" xfId="41479"/>
    <cellStyle name="Sub-total 6 4 2" xfId="41480"/>
    <cellStyle name="Subtotal 6 4 3" xfId="41481"/>
    <cellStyle name="Sub-total 6 4 3" xfId="41482"/>
    <cellStyle name="Subtotal 6 4 4" xfId="41483"/>
    <cellStyle name="Sub-total 6 4 4" xfId="41484"/>
    <cellStyle name="Subtotal 6 4 5" xfId="41485"/>
    <cellStyle name="Sub-total 6 4 5" xfId="41486"/>
    <cellStyle name="Subtotal 6 4 6" xfId="41487"/>
    <cellStyle name="Sub-total 6 4 6" xfId="41488"/>
    <cellStyle name="Subtotal 6 5" xfId="41489"/>
    <cellStyle name="Sub-total 6 5" xfId="41490"/>
    <cellStyle name="Subtotal 6 5 2" xfId="41491"/>
    <cellStyle name="Sub-total 6 5 2" xfId="41492"/>
    <cellStyle name="Subtotal 6 5 3" xfId="41493"/>
    <cellStyle name="Sub-total 6 5 3" xfId="41494"/>
    <cellStyle name="Subtotal 6 5 4" xfId="41495"/>
    <cellStyle name="Sub-total 6 5 4" xfId="41496"/>
    <cellStyle name="Subtotal 6 5 5" xfId="41497"/>
    <cellStyle name="Sub-total 6 5 5" xfId="41498"/>
    <cellStyle name="Subtotal 6 5 6" xfId="41499"/>
    <cellStyle name="Sub-total 6 5 6" xfId="41500"/>
    <cellStyle name="Subtotal 6 6" xfId="41501"/>
    <cellStyle name="Sub-total 6 6" xfId="41502"/>
    <cellStyle name="Subtotal 6 6 2" xfId="41503"/>
    <cellStyle name="Sub-total 6 6 2" xfId="41504"/>
    <cellStyle name="Subtotal 6 6 3" xfId="41505"/>
    <cellStyle name="Sub-total 6 6 3" xfId="41506"/>
    <cellStyle name="Subtotal 6 6 4" xfId="41507"/>
    <cellStyle name="Sub-total 6 6 4" xfId="41508"/>
    <cellStyle name="Subtotal 6 6 5" xfId="41509"/>
    <cellStyle name="Sub-total 6 6 5" xfId="41510"/>
    <cellStyle name="Subtotal 6 6 6" xfId="41511"/>
    <cellStyle name="Sub-total 6 6 6" xfId="41512"/>
    <cellStyle name="Subtotal 6 7" xfId="41513"/>
    <cellStyle name="Sub-total 6 7" xfId="41514"/>
    <cellStyle name="Subtotal 6 7 2" xfId="41515"/>
    <cellStyle name="Sub-total 6 7 2" xfId="41516"/>
    <cellStyle name="Subtotal 6 7 3" xfId="41517"/>
    <cellStyle name="Sub-total 6 7 3" xfId="41518"/>
    <cellStyle name="Subtotal 6 7 4" xfId="41519"/>
    <cellStyle name="Sub-total 6 7 4" xfId="41520"/>
    <cellStyle name="Subtotal 6 7 5" xfId="41521"/>
    <cellStyle name="Sub-total 6 7 5" xfId="41522"/>
    <cellStyle name="Subtotal 6 7 6" xfId="41523"/>
    <cellStyle name="Sub-total 6 7 6" xfId="41524"/>
    <cellStyle name="Subtotal 6 8" xfId="41525"/>
    <cellStyle name="Sub-total 6 8" xfId="41526"/>
    <cellStyle name="Subtotal 6 8 2" xfId="41527"/>
    <cellStyle name="Sub-total 6 8 2" xfId="41528"/>
    <cellStyle name="Subtotal 6 8 3" xfId="41529"/>
    <cellStyle name="Sub-total 6 8 3" xfId="41530"/>
    <cellStyle name="Subtotal 6 8 4" xfId="41531"/>
    <cellStyle name="Sub-total 6 8 4" xfId="41532"/>
    <cellStyle name="Subtotal 6 8 5" xfId="41533"/>
    <cellStyle name="Sub-total 6 8 5" xfId="41534"/>
    <cellStyle name="Subtotal 6 8 6" xfId="41535"/>
    <cellStyle name="Sub-total 6 8 6" xfId="41536"/>
    <cellStyle name="Subtotal 6 9" xfId="41537"/>
    <cellStyle name="Sub-total 6 9" xfId="41538"/>
    <cellStyle name="Subtotal 6 9 2" xfId="41539"/>
    <cellStyle name="Sub-total 6 9 2" xfId="41540"/>
    <cellStyle name="Subtotal 6 9 3" xfId="41541"/>
    <cellStyle name="Sub-total 6 9 3" xfId="41542"/>
    <cellStyle name="Subtotal 6 9 4" xfId="41543"/>
    <cellStyle name="Sub-total 6 9 4" xfId="41544"/>
    <cellStyle name="Subtotal 6 9 5" xfId="41545"/>
    <cellStyle name="Sub-total 6 9 5" xfId="41546"/>
    <cellStyle name="Subtotal 6 9 6" xfId="41547"/>
    <cellStyle name="Sub-total 6 9 6" xfId="41548"/>
    <cellStyle name="Subtotal 7" xfId="41549"/>
    <cellStyle name="Sub-total 7" xfId="41550"/>
    <cellStyle name="Subtotal 7 10" xfId="41551"/>
    <cellStyle name="Sub-total 7 10" xfId="41552"/>
    <cellStyle name="Subtotal 7 10 2" xfId="41553"/>
    <cellStyle name="Sub-total 7 10 2" xfId="41554"/>
    <cellStyle name="Subtotal 7 10 3" xfId="41555"/>
    <cellStyle name="Sub-total 7 10 3" xfId="41556"/>
    <cellStyle name="Subtotal 7 10 4" xfId="41557"/>
    <cellStyle name="Sub-total 7 10 4" xfId="41558"/>
    <cellStyle name="Subtotal 7 10 5" xfId="41559"/>
    <cellStyle name="Sub-total 7 10 5" xfId="41560"/>
    <cellStyle name="Subtotal 7 10 6" xfId="41561"/>
    <cellStyle name="Sub-total 7 10 6" xfId="41562"/>
    <cellStyle name="Subtotal 7 11" xfId="41563"/>
    <cellStyle name="Sub-total 7 11" xfId="41564"/>
    <cellStyle name="Subtotal 7 11 2" xfId="41565"/>
    <cellStyle name="Sub-total 7 11 2" xfId="41566"/>
    <cellStyle name="Subtotal 7 11 3" xfId="41567"/>
    <cellStyle name="Sub-total 7 11 3" xfId="41568"/>
    <cellStyle name="Subtotal 7 11 4" xfId="41569"/>
    <cellStyle name="Sub-total 7 11 4" xfId="41570"/>
    <cellStyle name="Subtotal 7 11 5" xfId="41571"/>
    <cellStyle name="Sub-total 7 11 5" xfId="41572"/>
    <cellStyle name="Subtotal 7 11 6" xfId="41573"/>
    <cellStyle name="Sub-total 7 11 6" xfId="41574"/>
    <cellStyle name="Subtotal 7 12" xfId="41575"/>
    <cellStyle name="Sub-total 7 12" xfId="41576"/>
    <cellStyle name="Subtotal 7 12 2" xfId="41577"/>
    <cellStyle name="Sub-total 7 12 2" xfId="41578"/>
    <cellStyle name="Subtotal 7 12 3" xfId="41579"/>
    <cellStyle name="Sub-total 7 12 3" xfId="41580"/>
    <cellStyle name="Subtotal 7 12 4" xfId="41581"/>
    <cellStyle name="Sub-total 7 12 4" xfId="41582"/>
    <cellStyle name="Subtotal 7 12 5" xfId="41583"/>
    <cellStyle name="Sub-total 7 12 5" xfId="41584"/>
    <cellStyle name="Subtotal 7 12 6" xfId="41585"/>
    <cellStyle name="Sub-total 7 12 6" xfId="41586"/>
    <cellStyle name="Subtotal 7 13" xfId="41587"/>
    <cellStyle name="Sub-total 7 13" xfId="41588"/>
    <cellStyle name="Subtotal 7 13 2" xfId="41589"/>
    <cellStyle name="Sub-total 7 13 2" xfId="41590"/>
    <cellStyle name="Subtotal 7 13 3" xfId="41591"/>
    <cellStyle name="Sub-total 7 13 3" xfId="41592"/>
    <cellStyle name="Subtotal 7 13 4" xfId="41593"/>
    <cellStyle name="Sub-total 7 13 4" xfId="41594"/>
    <cellStyle name="Subtotal 7 13 5" xfId="41595"/>
    <cellStyle name="Sub-total 7 13 5" xfId="41596"/>
    <cellStyle name="Subtotal 7 13 6" xfId="41597"/>
    <cellStyle name="Sub-total 7 13 6" xfId="41598"/>
    <cellStyle name="Subtotal 7 14" xfId="41599"/>
    <cellStyle name="Sub-total 7 14" xfId="41600"/>
    <cellStyle name="Subtotal 7 15" xfId="41601"/>
    <cellStyle name="Sub-total 7 15" xfId="41602"/>
    <cellStyle name="Subtotal 7 16" xfId="41603"/>
    <cellStyle name="Sub-total 7 16" xfId="41604"/>
    <cellStyle name="Subtotal 7 17" xfId="41605"/>
    <cellStyle name="Sub-total 7 17" xfId="41606"/>
    <cellStyle name="Subtotal 7 18" xfId="41607"/>
    <cellStyle name="Sub-total 7 18" xfId="41608"/>
    <cellStyle name="Subtotal 7 19" xfId="41609"/>
    <cellStyle name="Sub-total 7 19" xfId="41610"/>
    <cellStyle name="Subtotal 7 2" xfId="41611"/>
    <cellStyle name="Sub-total 7 2" xfId="41612"/>
    <cellStyle name="Subtotal 7 2 2" xfId="41613"/>
    <cellStyle name="Sub-total 7 2 2" xfId="41614"/>
    <cellStyle name="Subtotal 7 2 3" xfId="41615"/>
    <cellStyle name="Sub-total 7 2 3" xfId="41616"/>
    <cellStyle name="Subtotal 7 2 4" xfId="41617"/>
    <cellStyle name="Sub-total 7 2 4" xfId="41618"/>
    <cellStyle name="Subtotal 7 2 5" xfId="41619"/>
    <cellStyle name="Sub-total 7 2 5" xfId="41620"/>
    <cellStyle name="Subtotal 7 2 6" xfId="41621"/>
    <cellStyle name="Sub-total 7 2 6" xfId="41622"/>
    <cellStyle name="Subtotal 7 20" xfId="41623"/>
    <cellStyle name="Sub-total 7 20" xfId="41624"/>
    <cellStyle name="Subtotal 7 3" xfId="41625"/>
    <cellStyle name="Sub-total 7 3" xfId="41626"/>
    <cellStyle name="Subtotal 7 3 2" xfId="41627"/>
    <cellStyle name="Sub-total 7 3 2" xfId="41628"/>
    <cellStyle name="Subtotal 7 3 3" xfId="41629"/>
    <cellStyle name="Sub-total 7 3 3" xfId="41630"/>
    <cellStyle name="Subtotal 7 3 4" xfId="41631"/>
    <cellStyle name="Sub-total 7 3 4" xfId="41632"/>
    <cellStyle name="Subtotal 7 3 5" xfId="41633"/>
    <cellStyle name="Sub-total 7 3 5" xfId="41634"/>
    <cellStyle name="Subtotal 7 3 6" xfId="41635"/>
    <cellStyle name="Sub-total 7 3 6" xfId="41636"/>
    <cellStyle name="Subtotal 7 4" xfId="41637"/>
    <cellStyle name="Sub-total 7 4" xfId="41638"/>
    <cellStyle name="Subtotal 7 4 2" xfId="41639"/>
    <cellStyle name="Sub-total 7 4 2" xfId="41640"/>
    <cellStyle name="Subtotal 7 4 3" xfId="41641"/>
    <cellStyle name="Sub-total 7 4 3" xfId="41642"/>
    <cellStyle name="Subtotal 7 4 4" xfId="41643"/>
    <cellStyle name="Sub-total 7 4 4" xfId="41644"/>
    <cellStyle name="Subtotal 7 4 5" xfId="41645"/>
    <cellStyle name="Sub-total 7 4 5" xfId="41646"/>
    <cellStyle name="Subtotal 7 4 6" xfId="41647"/>
    <cellStyle name="Sub-total 7 4 6" xfId="41648"/>
    <cellStyle name="Subtotal 7 5" xfId="41649"/>
    <cellStyle name="Sub-total 7 5" xfId="41650"/>
    <cellStyle name="Subtotal 7 5 2" xfId="41651"/>
    <cellStyle name="Sub-total 7 5 2" xfId="41652"/>
    <cellStyle name="Subtotal 7 5 3" xfId="41653"/>
    <cellStyle name="Sub-total 7 5 3" xfId="41654"/>
    <cellStyle name="Subtotal 7 5 4" xfId="41655"/>
    <cellStyle name="Sub-total 7 5 4" xfId="41656"/>
    <cellStyle name="Subtotal 7 5 5" xfId="41657"/>
    <cellStyle name="Sub-total 7 5 5" xfId="41658"/>
    <cellStyle name="Subtotal 7 5 6" xfId="41659"/>
    <cellStyle name="Sub-total 7 5 6" xfId="41660"/>
    <cellStyle name="Subtotal 7 6" xfId="41661"/>
    <cellStyle name="Sub-total 7 6" xfId="41662"/>
    <cellStyle name="Subtotal 7 6 2" xfId="41663"/>
    <cellStyle name="Sub-total 7 6 2" xfId="41664"/>
    <cellStyle name="Subtotal 7 6 3" xfId="41665"/>
    <cellStyle name="Sub-total 7 6 3" xfId="41666"/>
    <cellStyle name="Subtotal 7 6 4" xfId="41667"/>
    <cellStyle name="Sub-total 7 6 4" xfId="41668"/>
    <cellStyle name="Subtotal 7 6 5" xfId="41669"/>
    <cellStyle name="Sub-total 7 6 5" xfId="41670"/>
    <cellStyle name="Subtotal 7 6 6" xfId="41671"/>
    <cellStyle name="Sub-total 7 6 6" xfId="41672"/>
    <cellStyle name="Subtotal 7 7" xfId="41673"/>
    <cellStyle name="Sub-total 7 7" xfId="41674"/>
    <cellStyle name="Subtotal 7 7 2" xfId="41675"/>
    <cellStyle name="Sub-total 7 7 2" xfId="41676"/>
    <cellStyle name="Subtotal 7 7 3" xfId="41677"/>
    <cellStyle name="Sub-total 7 7 3" xfId="41678"/>
    <cellStyle name="Subtotal 7 7 4" xfId="41679"/>
    <cellStyle name="Sub-total 7 7 4" xfId="41680"/>
    <cellStyle name="Subtotal 7 7 5" xfId="41681"/>
    <cellStyle name="Sub-total 7 7 5" xfId="41682"/>
    <cellStyle name="Subtotal 7 7 6" xfId="41683"/>
    <cellStyle name="Sub-total 7 7 6" xfId="41684"/>
    <cellStyle name="Subtotal 7 8" xfId="41685"/>
    <cellStyle name="Sub-total 7 8" xfId="41686"/>
    <cellStyle name="Subtotal 7 8 2" xfId="41687"/>
    <cellStyle name="Sub-total 7 8 2" xfId="41688"/>
    <cellStyle name="Subtotal 7 8 3" xfId="41689"/>
    <cellStyle name="Sub-total 7 8 3" xfId="41690"/>
    <cellStyle name="Subtotal 7 8 4" xfId="41691"/>
    <cellStyle name="Sub-total 7 8 4" xfId="41692"/>
    <cellStyle name="Subtotal 7 8 5" xfId="41693"/>
    <cellStyle name="Sub-total 7 8 5" xfId="41694"/>
    <cellStyle name="Subtotal 7 8 6" xfId="41695"/>
    <cellStyle name="Sub-total 7 8 6" xfId="41696"/>
    <cellStyle name="Subtotal 7 9" xfId="41697"/>
    <cellStyle name="Sub-total 7 9" xfId="41698"/>
    <cellStyle name="Subtotal 7 9 2" xfId="41699"/>
    <cellStyle name="Sub-total 7 9 2" xfId="41700"/>
    <cellStyle name="Subtotal 7 9 3" xfId="41701"/>
    <cellStyle name="Sub-total 7 9 3" xfId="41702"/>
    <cellStyle name="Subtotal 7 9 4" xfId="41703"/>
    <cellStyle name="Sub-total 7 9 4" xfId="41704"/>
    <cellStyle name="Subtotal 7 9 5" xfId="41705"/>
    <cellStyle name="Sub-total 7 9 5" xfId="41706"/>
    <cellStyle name="Subtotal 7 9 6" xfId="41707"/>
    <cellStyle name="Sub-total 7 9 6" xfId="41708"/>
    <cellStyle name="Subtotal 8" xfId="41709"/>
    <cellStyle name="Sub-total 8" xfId="41710"/>
    <cellStyle name="Subtotal 8 10" xfId="41711"/>
    <cellStyle name="Sub-total 8 10" xfId="41712"/>
    <cellStyle name="Subtotal 8 10 2" xfId="41713"/>
    <cellStyle name="Sub-total 8 10 2" xfId="41714"/>
    <cellStyle name="Subtotal 8 10 3" xfId="41715"/>
    <cellStyle name="Sub-total 8 10 3" xfId="41716"/>
    <cellStyle name="Subtotal 8 10 4" xfId="41717"/>
    <cellStyle name="Sub-total 8 10 4" xfId="41718"/>
    <cellStyle name="Subtotal 8 10 5" xfId="41719"/>
    <cellStyle name="Sub-total 8 10 5" xfId="41720"/>
    <cellStyle name="Subtotal 8 10 6" xfId="41721"/>
    <cellStyle name="Sub-total 8 10 6" xfId="41722"/>
    <cellStyle name="Subtotal 8 11" xfId="41723"/>
    <cellStyle name="Sub-total 8 11" xfId="41724"/>
    <cellStyle name="Subtotal 8 11 2" xfId="41725"/>
    <cellStyle name="Sub-total 8 11 2" xfId="41726"/>
    <cellStyle name="Subtotal 8 11 3" xfId="41727"/>
    <cellStyle name="Sub-total 8 11 3" xfId="41728"/>
    <cellStyle name="Subtotal 8 11 4" xfId="41729"/>
    <cellStyle name="Sub-total 8 11 4" xfId="41730"/>
    <cellStyle name="Subtotal 8 11 5" xfId="41731"/>
    <cellStyle name="Sub-total 8 11 5" xfId="41732"/>
    <cellStyle name="Subtotal 8 11 6" xfId="41733"/>
    <cellStyle name="Sub-total 8 11 6" xfId="41734"/>
    <cellStyle name="Subtotal 8 12" xfId="41735"/>
    <cellStyle name="Sub-total 8 12" xfId="41736"/>
    <cellStyle name="Subtotal 8 12 2" xfId="41737"/>
    <cellStyle name="Sub-total 8 12 2" xfId="41738"/>
    <cellStyle name="Subtotal 8 12 3" xfId="41739"/>
    <cellStyle name="Sub-total 8 12 3" xfId="41740"/>
    <cellStyle name="Subtotal 8 12 4" xfId="41741"/>
    <cellStyle name="Sub-total 8 12 4" xfId="41742"/>
    <cellStyle name="Subtotal 8 12 5" xfId="41743"/>
    <cellStyle name="Sub-total 8 12 5" xfId="41744"/>
    <cellStyle name="Subtotal 8 12 6" xfId="41745"/>
    <cellStyle name="Sub-total 8 12 6" xfId="41746"/>
    <cellStyle name="Subtotal 8 13" xfId="41747"/>
    <cellStyle name="Sub-total 8 13" xfId="41748"/>
    <cellStyle name="Subtotal 8 13 2" xfId="41749"/>
    <cellStyle name="Sub-total 8 13 2" xfId="41750"/>
    <cellStyle name="Subtotal 8 13 3" xfId="41751"/>
    <cellStyle name="Sub-total 8 13 3" xfId="41752"/>
    <cellStyle name="Subtotal 8 13 4" xfId="41753"/>
    <cellStyle name="Sub-total 8 13 4" xfId="41754"/>
    <cellStyle name="Subtotal 8 13 5" xfId="41755"/>
    <cellStyle name="Sub-total 8 13 5" xfId="41756"/>
    <cellStyle name="Subtotal 8 13 6" xfId="41757"/>
    <cellStyle name="Sub-total 8 13 6" xfId="41758"/>
    <cellStyle name="Subtotal 8 14" xfId="41759"/>
    <cellStyle name="Sub-total 8 14" xfId="41760"/>
    <cellStyle name="Subtotal 8 15" xfId="41761"/>
    <cellStyle name="Sub-total 8 15" xfId="41762"/>
    <cellStyle name="Subtotal 8 16" xfId="41763"/>
    <cellStyle name="Sub-total 8 16" xfId="41764"/>
    <cellStyle name="Subtotal 8 17" xfId="41765"/>
    <cellStyle name="Sub-total 8 17" xfId="41766"/>
    <cellStyle name="Subtotal 8 18" xfId="41767"/>
    <cellStyle name="Sub-total 8 18" xfId="41768"/>
    <cellStyle name="Subtotal 8 2" xfId="41769"/>
    <cellStyle name="Sub-total 8 2" xfId="41770"/>
    <cellStyle name="Subtotal 8 2 2" xfId="41771"/>
    <cellStyle name="Sub-total 8 2 2" xfId="41772"/>
    <cellStyle name="Subtotal 8 2 3" xfId="41773"/>
    <cellStyle name="Sub-total 8 2 3" xfId="41774"/>
    <cellStyle name="Subtotal 8 2 4" xfId="41775"/>
    <cellStyle name="Sub-total 8 2 4" xfId="41776"/>
    <cellStyle name="Subtotal 8 2 5" xfId="41777"/>
    <cellStyle name="Sub-total 8 2 5" xfId="41778"/>
    <cellStyle name="Subtotal 8 2 6" xfId="41779"/>
    <cellStyle name="Sub-total 8 2 6" xfId="41780"/>
    <cellStyle name="Subtotal 8 3" xfId="41781"/>
    <cellStyle name="Sub-total 8 3" xfId="41782"/>
    <cellStyle name="Subtotal 8 3 2" xfId="41783"/>
    <cellStyle name="Sub-total 8 3 2" xfId="41784"/>
    <cellStyle name="Subtotal 8 3 3" xfId="41785"/>
    <cellStyle name="Sub-total 8 3 3" xfId="41786"/>
    <cellStyle name="Subtotal 8 3 4" xfId="41787"/>
    <cellStyle name="Sub-total 8 3 4" xfId="41788"/>
    <cellStyle name="Subtotal 8 3 5" xfId="41789"/>
    <cellStyle name="Sub-total 8 3 5" xfId="41790"/>
    <cellStyle name="Subtotal 8 3 6" xfId="41791"/>
    <cellStyle name="Sub-total 8 3 6" xfId="41792"/>
    <cellStyle name="Subtotal 8 4" xfId="41793"/>
    <cellStyle name="Sub-total 8 4" xfId="41794"/>
    <cellStyle name="Subtotal 8 4 2" xfId="41795"/>
    <cellStyle name="Sub-total 8 4 2" xfId="41796"/>
    <cellStyle name="Subtotal 8 4 3" xfId="41797"/>
    <cellStyle name="Sub-total 8 4 3" xfId="41798"/>
    <cellStyle name="Subtotal 8 4 4" xfId="41799"/>
    <cellStyle name="Sub-total 8 4 4" xfId="41800"/>
    <cellStyle name="Subtotal 8 4 5" xfId="41801"/>
    <cellStyle name="Sub-total 8 4 5" xfId="41802"/>
    <cellStyle name="Subtotal 8 4 6" xfId="41803"/>
    <cellStyle name="Sub-total 8 4 6" xfId="41804"/>
    <cellStyle name="Subtotal 8 5" xfId="41805"/>
    <cellStyle name="Sub-total 8 5" xfId="41806"/>
    <cellStyle name="Subtotal 8 5 2" xfId="41807"/>
    <cellStyle name="Sub-total 8 5 2" xfId="41808"/>
    <cellStyle name="Subtotal 8 5 3" xfId="41809"/>
    <cellStyle name="Sub-total 8 5 3" xfId="41810"/>
    <cellStyle name="Subtotal 8 5 4" xfId="41811"/>
    <cellStyle name="Sub-total 8 5 4" xfId="41812"/>
    <cellStyle name="Subtotal 8 5 5" xfId="41813"/>
    <cellStyle name="Sub-total 8 5 5" xfId="41814"/>
    <cellStyle name="Subtotal 8 5 6" xfId="41815"/>
    <cellStyle name="Sub-total 8 5 6" xfId="41816"/>
    <cellStyle name="Subtotal 8 6" xfId="41817"/>
    <cellStyle name="Sub-total 8 6" xfId="41818"/>
    <cellStyle name="Subtotal 8 6 2" xfId="41819"/>
    <cellStyle name="Sub-total 8 6 2" xfId="41820"/>
    <cellStyle name="Subtotal 8 6 3" xfId="41821"/>
    <cellStyle name="Sub-total 8 6 3" xfId="41822"/>
    <cellStyle name="Subtotal 8 6 4" xfId="41823"/>
    <cellStyle name="Sub-total 8 6 4" xfId="41824"/>
    <cellStyle name="Subtotal 8 6 5" xfId="41825"/>
    <cellStyle name="Sub-total 8 6 5" xfId="41826"/>
    <cellStyle name="Subtotal 8 6 6" xfId="41827"/>
    <cellStyle name="Sub-total 8 6 6" xfId="41828"/>
    <cellStyle name="Subtotal 8 7" xfId="41829"/>
    <cellStyle name="Sub-total 8 7" xfId="41830"/>
    <cellStyle name="Subtotal 8 7 2" xfId="41831"/>
    <cellStyle name="Sub-total 8 7 2" xfId="41832"/>
    <cellStyle name="Subtotal 8 7 3" xfId="41833"/>
    <cellStyle name="Sub-total 8 7 3" xfId="41834"/>
    <cellStyle name="Subtotal 8 7 4" xfId="41835"/>
    <cellStyle name="Sub-total 8 7 4" xfId="41836"/>
    <cellStyle name="Subtotal 8 7 5" xfId="41837"/>
    <cellStyle name="Sub-total 8 7 5" xfId="41838"/>
    <cellStyle name="Subtotal 8 7 6" xfId="41839"/>
    <cellStyle name="Sub-total 8 7 6" xfId="41840"/>
    <cellStyle name="Subtotal 8 8" xfId="41841"/>
    <cellStyle name="Sub-total 8 8" xfId="41842"/>
    <cellStyle name="Subtotal 8 8 2" xfId="41843"/>
    <cellStyle name="Sub-total 8 8 2" xfId="41844"/>
    <cellStyle name="Subtotal 8 8 3" xfId="41845"/>
    <cellStyle name="Sub-total 8 8 3" xfId="41846"/>
    <cellStyle name="Subtotal 8 8 4" xfId="41847"/>
    <cellStyle name="Sub-total 8 8 4" xfId="41848"/>
    <cellStyle name="Subtotal 8 8 5" xfId="41849"/>
    <cellStyle name="Sub-total 8 8 5" xfId="41850"/>
    <cellStyle name="Subtotal 8 8 6" xfId="41851"/>
    <cellStyle name="Sub-total 8 8 6" xfId="41852"/>
    <cellStyle name="Subtotal 8 9" xfId="41853"/>
    <cellStyle name="Sub-total 8 9" xfId="41854"/>
    <cellStyle name="Subtotal 8 9 2" xfId="41855"/>
    <cellStyle name="Sub-total 8 9 2" xfId="41856"/>
    <cellStyle name="Subtotal 8 9 3" xfId="41857"/>
    <cellStyle name="Sub-total 8 9 3" xfId="41858"/>
    <cellStyle name="Subtotal 8 9 4" xfId="41859"/>
    <cellStyle name="Sub-total 8 9 4" xfId="41860"/>
    <cellStyle name="Subtotal 8 9 5" xfId="41861"/>
    <cellStyle name="Sub-total 8 9 5" xfId="41862"/>
    <cellStyle name="Subtotal 8 9 6" xfId="41863"/>
    <cellStyle name="Sub-total 8 9 6" xfId="41864"/>
    <cellStyle name="Subtotal 9" xfId="41865"/>
    <cellStyle name="Sub-total 9" xfId="41866"/>
    <cellStyle name="Subtotal 9 10" xfId="41867"/>
    <cellStyle name="Sub-total 9 10" xfId="41868"/>
    <cellStyle name="Subtotal 9 10 2" xfId="41869"/>
    <cellStyle name="Sub-total 9 10 2" xfId="41870"/>
    <cellStyle name="Subtotal 9 10 3" xfId="41871"/>
    <cellStyle name="Sub-total 9 10 3" xfId="41872"/>
    <cellStyle name="Subtotal 9 10 4" xfId="41873"/>
    <cellStyle name="Sub-total 9 10 4" xfId="41874"/>
    <cellStyle name="Subtotal 9 10 5" xfId="41875"/>
    <cellStyle name="Sub-total 9 10 5" xfId="41876"/>
    <cellStyle name="Subtotal 9 10 6" xfId="41877"/>
    <cellStyle name="Sub-total 9 10 6" xfId="41878"/>
    <cellStyle name="Subtotal 9 11" xfId="41879"/>
    <cellStyle name="Sub-total 9 11" xfId="41880"/>
    <cellStyle name="Subtotal 9 11 2" xfId="41881"/>
    <cellStyle name="Sub-total 9 11 2" xfId="41882"/>
    <cellStyle name="Subtotal 9 11 3" xfId="41883"/>
    <cellStyle name="Sub-total 9 11 3" xfId="41884"/>
    <cellStyle name="Subtotal 9 11 4" xfId="41885"/>
    <cellStyle name="Sub-total 9 11 4" xfId="41886"/>
    <cellStyle name="Subtotal 9 11 5" xfId="41887"/>
    <cellStyle name="Sub-total 9 11 5" xfId="41888"/>
    <cellStyle name="Subtotal 9 11 6" xfId="41889"/>
    <cellStyle name="Sub-total 9 11 6" xfId="41890"/>
    <cellStyle name="Subtotal 9 12" xfId="41891"/>
    <cellStyle name="Sub-total 9 12" xfId="41892"/>
    <cellStyle name="Subtotal 9 12 2" xfId="41893"/>
    <cellStyle name="Sub-total 9 12 2" xfId="41894"/>
    <cellStyle name="Subtotal 9 12 3" xfId="41895"/>
    <cellStyle name="Sub-total 9 12 3" xfId="41896"/>
    <cellStyle name="Subtotal 9 12 4" xfId="41897"/>
    <cellStyle name="Sub-total 9 12 4" xfId="41898"/>
    <cellStyle name="Subtotal 9 12 5" xfId="41899"/>
    <cellStyle name="Sub-total 9 12 5" xfId="41900"/>
    <cellStyle name="Subtotal 9 12 6" xfId="41901"/>
    <cellStyle name="Sub-total 9 12 6" xfId="41902"/>
    <cellStyle name="Subtotal 9 13" xfId="41903"/>
    <cellStyle name="Sub-total 9 13" xfId="41904"/>
    <cellStyle name="Subtotal 9 13 2" xfId="41905"/>
    <cellStyle name="Sub-total 9 13 2" xfId="41906"/>
    <cellStyle name="Subtotal 9 13 3" xfId="41907"/>
    <cellStyle name="Sub-total 9 13 3" xfId="41908"/>
    <cellStyle name="Subtotal 9 13 4" xfId="41909"/>
    <cellStyle name="Sub-total 9 13 4" xfId="41910"/>
    <cellStyle name="Subtotal 9 13 5" xfId="41911"/>
    <cellStyle name="Sub-total 9 13 5" xfId="41912"/>
    <cellStyle name="Subtotal 9 13 6" xfId="41913"/>
    <cellStyle name="Sub-total 9 13 6" xfId="41914"/>
    <cellStyle name="Subtotal 9 14" xfId="41915"/>
    <cellStyle name="Sub-total 9 14" xfId="41916"/>
    <cellStyle name="Subtotal 9 15" xfId="41917"/>
    <cellStyle name="Sub-total 9 15" xfId="41918"/>
    <cellStyle name="Subtotal 9 16" xfId="41919"/>
    <cellStyle name="Sub-total 9 16" xfId="41920"/>
    <cellStyle name="Subtotal 9 17" xfId="41921"/>
    <cellStyle name="Sub-total 9 17" xfId="41922"/>
    <cellStyle name="Subtotal 9 18" xfId="41923"/>
    <cellStyle name="Sub-total 9 18" xfId="41924"/>
    <cellStyle name="Subtotal 9 2" xfId="41925"/>
    <cellStyle name="Sub-total 9 2" xfId="41926"/>
    <cellStyle name="Subtotal 9 2 2" xfId="41927"/>
    <cellStyle name="Sub-total 9 2 2" xfId="41928"/>
    <cellStyle name="Subtotal 9 2 3" xfId="41929"/>
    <cellStyle name="Sub-total 9 2 3" xfId="41930"/>
    <cellStyle name="Subtotal 9 2 4" xfId="41931"/>
    <cellStyle name="Sub-total 9 2 4" xfId="41932"/>
    <cellStyle name="Subtotal 9 2 5" xfId="41933"/>
    <cellStyle name="Sub-total 9 2 5" xfId="41934"/>
    <cellStyle name="Subtotal 9 2 6" xfId="41935"/>
    <cellStyle name="Sub-total 9 2 6" xfId="41936"/>
    <cellStyle name="Subtotal 9 3" xfId="41937"/>
    <cellStyle name="Sub-total 9 3" xfId="41938"/>
    <cellStyle name="Subtotal 9 3 2" xfId="41939"/>
    <cellStyle name="Sub-total 9 3 2" xfId="41940"/>
    <cellStyle name="Subtotal 9 3 3" xfId="41941"/>
    <cellStyle name="Sub-total 9 3 3" xfId="41942"/>
    <cellStyle name="Subtotal 9 3 4" xfId="41943"/>
    <cellStyle name="Sub-total 9 3 4" xfId="41944"/>
    <cellStyle name="Subtotal 9 3 5" xfId="41945"/>
    <cellStyle name="Sub-total 9 3 5" xfId="41946"/>
    <cellStyle name="Subtotal 9 3 6" xfId="41947"/>
    <cellStyle name="Sub-total 9 3 6" xfId="41948"/>
    <cellStyle name="Subtotal 9 4" xfId="41949"/>
    <cellStyle name="Sub-total 9 4" xfId="41950"/>
    <cellStyle name="Subtotal 9 4 2" xfId="41951"/>
    <cellStyle name="Sub-total 9 4 2" xfId="41952"/>
    <cellStyle name="Subtotal 9 4 3" xfId="41953"/>
    <cellStyle name="Sub-total 9 4 3" xfId="41954"/>
    <cellStyle name="Subtotal 9 4 4" xfId="41955"/>
    <cellStyle name="Sub-total 9 4 4" xfId="41956"/>
    <cellStyle name="Subtotal 9 4 5" xfId="41957"/>
    <cellStyle name="Sub-total 9 4 5" xfId="41958"/>
    <cellStyle name="Subtotal 9 4 6" xfId="41959"/>
    <cellStyle name="Sub-total 9 4 6" xfId="41960"/>
    <cellStyle name="Subtotal 9 5" xfId="41961"/>
    <cellStyle name="Sub-total 9 5" xfId="41962"/>
    <cellStyle name="Subtotal 9 5 2" xfId="41963"/>
    <cellStyle name="Sub-total 9 5 2" xfId="41964"/>
    <cellStyle name="Subtotal 9 5 3" xfId="41965"/>
    <cellStyle name="Sub-total 9 5 3" xfId="41966"/>
    <cellStyle name="Subtotal 9 5 4" xfId="41967"/>
    <cellStyle name="Sub-total 9 5 4" xfId="41968"/>
    <cellStyle name="Subtotal 9 5 5" xfId="41969"/>
    <cellStyle name="Sub-total 9 5 5" xfId="41970"/>
    <cellStyle name="Subtotal 9 5 6" xfId="41971"/>
    <cellStyle name="Sub-total 9 5 6" xfId="41972"/>
    <cellStyle name="Subtotal 9 6" xfId="41973"/>
    <cellStyle name="Sub-total 9 6" xfId="41974"/>
    <cellStyle name="Subtotal 9 6 2" xfId="41975"/>
    <cellStyle name="Sub-total 9 6 2" xfId="41976"/>
    <cellStyle name="Subtotal 9 6 3" xfId="41977"/>
    <cellStyle name="Sub-total 9 6 3" xfId="41978"/>
    <cellStyle name="Subtotal 9 6 4" xfId="41979"/>
    <cellStyle name="Sub-total 9 6 4" xfId="41980"/>
    <cellStyle name="Subtotal 9 6 5" xfId="41981"/>
    <cellStyle name="Sub-total 9 6 5" xfId="41982"/>
    <cellStyle name="Subtotal 9 6 6" xfId="41983"/>
    <cellStyle name="Sub-total 9 6 6" xfId="41984"/>
    <cellStyle name="Subtotal 9 7" xfId="41985"/>
    <cellStyle name="Sub-total 9 7" xfId="41986"/>
    <cellStyle name="Subtotal 9 7 2" xfId="41987"/>
    <cellStyle name="Sub-total 9 7 2" xfId="41988"/>
    <cellStyle name="Subtotal 9 7 3" xfId="41989"/>
    <cellStyle name="Sub-total 9 7 3" xfId="41990"/>
    <cellStyle name="Subtotal 9 7 4" xfId="41991"/>
    <cellStyle name="Sub-total 9 7 4" xfId="41992"/>
    <cellStyle name="Subtotal 9 7 5" xfId="41993"/>
    <cellStyle name="Sub-total 9 7 5" xfId="41994"/>
    <cellStyle name="Subtotal 9 7 6" xfId="41995"/>
    <cellStyle name="Sub-total 9 7 6" xfId="41996"/>
    <cellStyle name="Subtotal 9 8" xfId="41997"/>
    <cellStyle name="Sub-total 9 8" xfId="41998"/>
    <cellStyle name="Subtotal 9 8 2" xfId="41999"/>
    <cellStyle name="Sub-total 9 8 2" xfId="42000"/>
    <cellStyle name="Subtotal 9 8 3" xfId="42001"/>
    <cellStyle name="Sub-total 9 8 3" xfId="42002"/>
    <cellStyle name="Subtotal 9 8 4" xfId="42003"/>
    <cellStyle name="Sub-total 9 8 4" xfId="42004"/>
    <cellStyle name="Subtotal 9 8 5" xfId="42005"/>
    <cellStyle name="Sub-total 9 8 5" xfId="42006"/>
    <cellStyle name="Subtotal 9 8 6" xfId="42007"/>
    <cellStyle name="Sub-total 9 8 6" xfId="42008"/>
    <cellStyle name="Subtotal 9 9" xfId="42009"/>
    <cellStyle name="Sub-total 9 9" xfId="42010"/>
    <cellStyle name="Subtotal 9 9 2" xfId="42011"/>
    <cellStyle name="Sub-total 9 9 2" xfId="42012"/>
    <cellStyle name="Subtotal 9 9 3" xfId="42013"/>
    <cellStyle name="Sub-total 9 9 3" xfId="42014"/>
    <cellStyle name="Subtotal 9 9 4" xfId="42015"/>
    <cellStyle name="Sub-total 9 9 4" xfId="42016"/>
    <cellStyle name="Subtotal 9 9 5" xfId="42017"/>
    <cellStyle name="Sub-total 9 9 5" xfId="42018"/>
    <cellStyle name="Subtotal 9 9 6" xfId="42019"/>
    <cellStyle name="Sub-total 9 9 6" xfId="42020"/>
    <cellStyle name="Table Data" xfId="42021"/>
    <cellStyle name="Table Headings Bold" xfId="42022"/>
    <cellStyle name="taples Plaza" xfId="1744"/>
    <cellStyle name="taples Plaza 2" xfId="42023"/>
    <cellStyle name="taples Plaza 3" xfId="42024"/>
    <cellStyle name="Test" xfId="42025"/>
    <cellStyle name="Test 2" xfId="42026"/>
    <cellStyle name="Tickmark" xfId="1745"/>
    <cellStyle name="Title 2" xfId="1746"/>
    <cellStyle name="Title 2 2" xfId="1747"/>
    <cellStyle name="Title 2 2 2" xfId="42027"/>
    <cellStyle name="Title 2 2 2 2" xfId="42028"/>
    <cellStyle name="Title 2 2 2 2 2" xfId="42029"/>
    <cellStyle name="Title 2 2 2 3" xfId="42030"/>
    <cellStyle name="Title 2 2 2 4" xfId="42031"/>
    <cellStyle name="Title 2 2 2 5" xfId="42032"/>
    <cellStyle name="Title 2 2 3" xfId="42033"/>
    <cellStyle name="Title 2 2 3 2" xfId="42034"/>
    <cellStyle name="Title 2 2 3 2 2" xfId="42035"/>
    <cellStyle name="Title 2 2 3 3" xfId="42036"/>
    <cellStyle name="Title 2 2 4" xfId="42037"/>
    <cellStyle name="Title 2 2 4 2" xfId="42038"/>
    <cellStyle name="Title 2 2 5" xfId="42039"/>
    <cellStyle name="Title 2 2 6" xfId="42040"/>
    <cellStyle name="Title 2 3" xfId="42041"/>
    <cellStyle name="Title 2 3 2" xfId="42042"/>
    <cellStyle name="Title 2 3 2 2" xfId="42043"/>
    <cellStyle name="Title 2 3 2 2 2" xfId="42044"/>
    <cellStyle name="Title 2 3 2 3" xfId="42045"/>
    <cellStyle name="Title 2 3 2 4" xfId="42046"/>
    <cellStyle name="Title 2 3 3" xfId="42047"/>
    <cellStyle name="Title 2 3 3 2" xfId="42048"/>
    <cellStyle name="Title 2 3 3 3" xfId="42049"/>
    <cellStyle name="Title 2 3 4" xfId="42050"/>
    <cellStyle name="Title 2 3 4 2" xfId="42051"/>
    <cellStyle name="Title 2 3 5" xfId="42052"/>
    <cellStyle name="Title 2 4" xfId="42053"/>
    <cellStyle name="Title 2 4 2" xfId="42054"/>
    <cellStyle name="Title 2 4 2 2" xfId="42055"/>
    <cellStyle name="Title 2 4 3" xfId="42056"/>
    <cellStyle name="Title 2 4 4" xfId="42057"/>
    <cellStyle name="Title 2 5" xfId="42058"/>
    <cellStyle name="Title 2 5 2" xfId="42059"/>
    <cellStyle name="Title 2 5 3" xfId="42060"/>
    <cellStyle name="Title 2 6" xfId="42061"/>
    <cellStyle name="Title 2 6 2" xfId="42062"/>
    <cellStyle name="Title 2 7" xfId="42063"/>
    <cellStyle name="Title 2 8" xfId="42064"/>
    <cellStyle name="Title 3" xfId="1748"/>
    <cellStyle name="Title 3 2" xfId="42065"/>
    <cellStyle name="Title 3 2 2" xfId="42066"/>
    <cellStyle name="Title 3 2 2 2" xfId="42067"/>
    <cellStyle name="Title 3 2 3" xfId="42068"/>
    <cellStyle name="Title 3 2 4" xfId="42069"/>
    <cellStyle name="Title 3 3" xfId="42070"/>
    <cellStyle name="Title 3 3 2" xfId="42071"/>
    <cellStyle name="Title 3 3 2 2" xfId="42072"/>
    <cellStyle name="Title 3 3 3" xfId="42073"/>
    <cellStyle name="Title 3 4" xfId="42074"/>
    <cellStyle name="Title 3 4 2" xfId="42075"/>
    <cellStyle name="Title 3 5" xfId="42076"/>
    <cellStyle name="Title 3 6" xfId="42077"/>
    <cellStyle name="Title 4" xfId="1749"/>
    <cellStyle name="Title 4 2" xfId="42078"/>
    <cellStyle name="Title 4 2 2" xfId="42079"/>
    <cellStyle name="Title 4 2 2 2" xfId="42080"/>
    <cellStyle name="Title 4 2 3" xfId="42081"/>
    <cellStyle name="Title 4 2 4" xfId="42082"/>
    <cellStyle name="Title 4 3" xfId="42083"/>
    <cellStyle name="Title 4 3 2" xfId="42084"/>
    <cellStyle name="Title 4 3 3" xfId="42085"/>
    <cellStyle name="Title 4 4" xfId="42086"/>
    <cellStyle name="Title 4 4 2" xfId="42087"/>
    <cellStyle name="Title 5" xfId="42088"/>
    <cellStyle name="Title 5 2" xfId="42089"/>
    <cellStyle name="Title 5 2 2" xfId="42090"/>
    <cellStyle name="Title 5 2 3" xfId="42091"/>
    <cellStyle name="Title 5 3" xfId="42092"/>
    <cellStyle name="Title 5 3 2" xfId="42093"/>
    <cellStyle name="Title 5 4" xfId="42094"/>
    <cellStyle name="Title 6" xfId="42095"/>
    <cellStyle name="Title 6 2" xfId="42096"/>
    <cellStyle name="Title 6 2 2" xfId="42097"/>
    <cellStyle name="Title 6 3" xfId="42098"/>
    <cellStyle name="Title 7" xfId="42099"/>
    <cellStyle name="Title 7 2" xfId="42100"/>
    <cellStyle name="Title 8" xfId="42101"/>
    <cellStyle name="Title 8 2" xfId="42102"/>
    <cellStyle name="Title 9" xfId="42103"/>
    <cellStyle name="Title: - Style3" xfId="42104"/>
    <cellStyle name="Title: - Style3 2" xfId="42105"/>
    <cellStyle name="Title: - Style4" xfId="42106"/>
    <cellStyle name="Title: - Style4 2" xfId="42107"/>
    <cellStyle name="Title: Major" xfId="1750"/>
    <cellStyle name="Title: Major 2" xfId="42108"/>
    <cellStyle name="Title: Major 2 2" xfId="42109"/>
    <cellStyle name="Title: Major 2 2 2" xfId="42110"/>
    <cellStyle name="Title: Major 2 2 2 2" xfId="42111"/>
    <cellStyle name="Title: Major 2 2 3" xfId="42112"/>
    <cellStyle name="Title: Major 2 2 4" xfId="42113"/>
    <cellStyle name="Title: Major 2 3" xfId="42114"/>
    <cellStyle name="Title: Major 2 3 2" xfId="42115"/>
    <cellStyle name="Title: Major 2 4" xfId="42116"/>
    <cellStyle name="Title: Major 2 4 2" xfId="42117"/>
    <cellStyle name="Title: Major 3" xfId="42118"/>
    <cellStyle name="Title: Major 3 2" xfId="42119"/>
    <cellStyle name="Title: Major 3 2 2" xfId="42120"/>
    <cellStyle name="Title: Major 3 3" xfId="42121"/>
    <cellStyle name="Title: Major 4" xfId="42122"/>
    <cellStyle name="Title: Major 4 2" xfId="42123"/>
    <cellStyle name="Title: Major 4 3" xfId="42124"/>
    <cellStyle name="Title: Major 5" xfId="42125"/>
    <cellStyle name="Title: Major 5 2" xfId="42126"/>
    <cellStyle name="Title: Major 6" xfId="42127"/>
    <cellStyle name="Title: Minor" xfId="1751"/>
    <cellStyle name="Title: Minor 2" xfId="1752"/>
    <cellStyle name="Title: Minor 2 2" xfId="42128"/>
    <cellStyle name="Title: Minor 2 2 2" xfId="42129"/>
    <cellStyle name="Title: Minor 2 2 2 2" xfId="42130"/>
    <cellStyle name="Title: Minor 2 2 3" xfId="42131"/>
    <cellStyle name="Title: Minor 2 2 4" xfId="42132"/>
    <cellStyle name="Title: Minor 2 3" xfId="42133"/>
    <cellStyle name="Title: Minor 2 3 2" xfId="42134"/>
    <cellStyle name="Title: Minor 2 4" xfId="42135"/>
    <cellStyle name="Title: Minor 3" xfId="42136"/>
    <cellStyle name="Title: Minor 3 2" xfId="42137"/>
    <cellStyle name="Title: Minor 3 2 2" xfId="42138"/>
    <cellStyle name="Title: Minor 3 3" xfId="42139"/>
    <cellStyle name="Title: Minor 3 4" xfId="42140"/>
    <cellStyle name="Title: Minor 4" xfId="42141"/>
    <cellStyle name="Title: Minor 4 2" xfId="42142"/>
    <cellStyle name="Title: Minor 5" xfId="42143"/>
    <cellStyle name="Title: Minor 5 2" xfId="42144"/>
    <cellStyle name="Title: Minor 6" xfId="42145"/>
    <cellStyle name="Title: Minor_Electric Rev Req Model (2009 GRC) Rebuttal" xfId="42146"/>
    <cellStyle name="Title: Worksheet" xfId="1753"/>
    <cellStyle name="Title: Worksheet 2" xfId="42147"/>
    <cellStyle name="Title: Worksheet 2 2" xfId="42148"/>
    <cellStyle name="Title: Worksheet 2 2 2" xfId="42149"/>
    <cellStyle name="Title: Worksheet 2 3" xfId="42150"/>
    <cellStyle name="Title: Worksheet 2 4" xfId="42151"/>
    <cellStyle name="Title: Worksheet 3" xfId="42152"/>
    <cellStyle name="Title: Worksheet 3 2" xfId="42153"/>
    <cellStyle name="Title: Worksheet 3 3" xfId="42154"/>
    <cellStyle name="Title: Worksheet 4" xfId="42155"/>
    <cellStyle name="Title: Worksheet 4 2" xfId="42156"/>
    <cellStyle name="Title: Worksheet 5" xfId="42157"/>
    <cellStyle name="Titles" xfId="42158"/>
    <cellStyle name="Total" xfId="1754" builtinId="25" customBuiltin="1"/>
    <cellStyle name="Total 10" xfId="42159"/>
    <cellStyle name="Total 2" xfId="1755"/>
    <cellStyle name="Total 2 2" xfId="1756"/>
    <cellStyle name="Total 2 2 2" xfId="42160"/>
    <cellStyle name="Total 2 2 2 2" xfId="42161"/>
    <cellStyle name="Total 2 2 2 2 2" xfId="42162"/>
    <cellStyle name="Total 2 2 2 3" xfId="42163"/>
    <cellStyle name="Total 2 2 2 4" xfId="42164"/>
    <cellStyle name="Total 2 2 2 5" xfId="42165"/>
    <cellStyle name="Total 2 2 2 6" xfId="42166"/>
    <cellStyle name="Total 2 2 2 7" xfId="42167"/>
    <cellStyle name="Total 2 2 2 8" xfId="42168"/>
    <cellStyle name="Total 2 2 3" xfId="42169"/>
    <cellStyle name="Total 2 2 3 2" xfId="42170"/>
    <cellStyle name="Total 2 2 3 2 2" xfId="42171"/>
    <cellStyle name="Total 2 2 3 3" xfId="42172"/>
    <cellStyle name="Total 2 2 4" xfId="42173"/>
    <cellStyle name="Total 2 2 4 2" xfId="42174"/>
    <cellStyle name="Total 2 2 5" xfId="42175"/>
    <cellStyle name="Total 2 2 6" xfId="42176"/>
    <cellStyle name="Total 2 3" xfId="1757"/>
    <cellStyle name="Total 2 3 10" xfId="42177"/>
    <cellStyle name="Total 2 3 11" xfId="42178"/>
    <cellStyle name="Total 2 3 2" xfId="42179"/>
    <cellStyle name="Total 2 3 2 2" xfId="42180"/>
    <cellStyle name="Total 2 3 2 2 2" xfId="42181"/>
    <cellStyle name="Total 2 3 2 3" xfId="42182"/>
    <cellStyle name="Total 2 3 2 3 2" xfId="42183"/>
    <cellStyle name="Total 2 3 2 4" xfId="42184"/>
    <cellStyle name="Total 2 3 2 5" xfId="42185"/>
    <cellStyle name="Total 2 3 2 6" xfId="42186"/>
    <cellStyle name="Total 2 3 2 7" xfId="42187"/>
    <cellStyle name="Total 2 3 3" xfId="42188"/>
    <cellStyle name="Total 2 3 3 2" xfId="42189"/>
    <cellStyle name="Total 2 3 3 2 2" xfId="42190"/>
    <cellStyle name="Total 2 3 3 3" xfId="42191"/>
    <cellStyle name="Total 2 3 3 4" xfId="42192"/>
    <cellStyle name="Total 2 3 3 5" xfId="42193"/>
    <cellStyle name="Total 2 3 3 6" xfId="42194"/>
    <cellStyle name="Total 2 3 3 7" xfId="42195"/>
    <cellStyle name="Total 2 3 4" xfId="42196"/>
    <cellStyle name="Total 2 3 4 2" xfId="42197"/>
    <cellStyle name="Total 2 3 4 3" xfId="42198"/>
    <cellStyle name="Total 2 3 4 4" xfId="42199"/>
    <cellStyle name="Total 2 3 4 5" xfId="42200"/>
    <cellStyle name="Total 2 3 4 6" xfId="42201"/>
    <cellStyle name="Total 2 3 4 7" xfId="42202"/>
    <cellStyle name="Total 2 3 5" xfId="42203"/>
    <cellStyle name="Total 2 3 5 2" xfId="42204"/>
    <cellStyle name="Total 2 3 6" xfId="42205"/>
    <cellStyle name="Total 2 3 7" xfId="42206"/>
    <cellStyle name="Total 2 3 8" xfId="42207"/>
    <cellStyle name="Total 2 3 9" xfId="42208"/>
    <cellStyle name="Total 2 4" xfId="42209"/>
    <cellStyle name="Total 2 4 2" xfId="42210"/>
    <cellStyle name="Total 2 4 2 2" xfId="42211"/>
    <cellStyle name="Total 2 4 2 3" xfId="42212"/>
    <cellStyle name="Total 2 4 3" xfId="42213"/>
    <cellStyle name="Total 2 4 4" xfId="42214"/>
    <cellStyle name="Total 2 5" xfId="42215"/>
    <cellStyle name="Total 2 5 2" xfId="42216"/>
    <cellStyle name="Total 2 5 2 2" xfId="42217"/>
    <cellStyle name="Total 2 5 3" xfId="42218"/>
    <cellStyle name="Total 2 5 4" xfId="42219"/>
    <cellStyle name="Total 2 6" xfId="42220"/>
    <cellStyle name="Total 2 6 2" xfId="42221"/>
    <cellStyle name="Total 2 7" xfId="42222"/>
    <cellStyle name="Total 2 8" xfId="42223"/>
    <cellStyle name="Total 3" xfId="1758"/>
    <cellStyle name="Total 3 2" xfId="1759"/>
    <cellStyle name="Total 3 2 2" xfId="42224"/>
    <cellStyle name="Total 3 2 2 2" xfId="42225"/>
    <cellStyle name="Total 3 2 3" xfId="42226"/>
    <cellStyle name="Total 3 2 3 2" xfId="42227"/>
    <cellStyle name="Total 3 2 4" xfId="42228"/>
    <cellStyle name="Total 3 2 5" xfId="42229"/>
    <cellStyle name="Total 3 2 6" xfId="42230"/>
    <cellStyle name="Total 3 2 7" xfId="42231"/>
    <cellStyle name="Total 3 2 8" xfId="42232"/>
    <cellStyle name="Total 3 3" xfId="42233"/>
    <cellStyle name="Total 3 3 2" xfId="42234"/>
    <cellStyle name="Total 3 3 2 2" xfId="42235"/>
    <cellStyle name="Total 3 3 3" xfId="42236"/>
    <cellStyle name="Total 3 3 4" xfId="42237"/>
    <cellStyle name="Total 3 3 5" xfId="42238"/>
    <cellStyle name="Total 3 3 6" xfId="42239"/>
    <cellStyle name="Total 3 3 7" xfId="42240"/>
    <cellStyle name="Total 3 4" xfId="42241"/>
    <cellStyle name="Total 3 4 2" xfId="42242"/>
    <cellStyle name="Total 3 4 3" xfId="42243"/>
    <cellStyle name="Total 3 4 4" xfId="42244"/>
    <cellStyle name="Total 3 4 5" xfId="42245"/>
    <cellStyle name="Total 3 4 6" xfId="42246"/>
    <cellStyle name="Total 3 4 7" xfId="42247"/>
    <cellStyle name="Total 3 5" xfId="42248"/>
    <cellStyle name="Total 3 6" xfId="42249"/>
    <cellStyle name="Total 4" xfId="1760"/>
    <cellStyle name="Total 4 2" xfId="42250"/>
    <cellStyle name="Total 4 2 10" xfId="42251"/>
    <cellStyle name="Total 4 2 2" xfId="42252"/>
    <cellStyle name="Total 4 2 2 2" xfId="42253"/>
    <cellStyle name="Total 4 2 3" xfId="42254"/>
    <cellStyle name="Total 4 2 4" xfId="42255"/>
    <cellStyle name="Total 4 2 5" xfId="42256"/>
    <cellStyle name="Total 4 2 6" xfId="42257"/>
    <cellStyle name="Total 4 2 7" xfId="42258"/>
    <cellStyle name="Total 4 2 8" xfId="42259"/>
    <cellStyle name="Total 4 2 9" xfId="42260"/>
    <cellStyle name="Total 4 3" xfId="42261"/>
    <cellStyle name="Total 4 3 2" xfId="42262"/>
    <cellStyle name="Total 4 4" xfId="42263"/>
    <cellStyle name="Total 4 5" xfId="42264"/>
    <cellStyle name="Total 5" xfId="42265"/>
    <cellStyle name="Total 5 2" xfId="42266"/>
    <cellStyle name="Total 5 2 2" xfId="42267"/>
    <cellStyle name="Total 5 2 3" xfId="42268"/>
    <cellStyle name="Total 5 3" xfId="42269"/>
    <cellStyle name="Total 5 3 2" xfId="42270"/>
    <cellStyle name="Total 5 4" xfId="42271"/>
    <cellStyle name="Total 5 5" xfId="42272"/>
    <cellStyle name="Total 5 6" xfId="42273"/>
    <cellStyle name="Total 5 7" xfId="42274"/>
    <cellStyle name="Total 5 8" xfId="42275"/>
    <cellStyle name="Total 5 9" xfId="42276"/>
    <cellStyle name="Total 6" xfId="42277"/>
    <cellStyle name="Total 6 2" xfId="42278"/>
    <cellStyle name="Total 7" xfId="42279"/>
    <cellStyle name="Total 7 2" xfId="42280"/>
    <cellStyle name="Total 8" xfId="42281"/>
    <cellStyle name="Total 9" xfId="42282"/>
    <cellStyle name="Total 9 2" xfId="42283"/>
    <cellStyle name="Total4 - Style4" xfId="1761"/>
    <cellStyle name="Total4 - Style4 2" xfId="42284"/>
    <cellStyle name="Total4 - Style4 2 10" xfId="42285"/>
    <cellStyle name="Total4 - Style4 2 2" xfId="42286"/>
    <cellStyle name="Total4 - Style4 2 2 2" xfId="42287"/>
    <cellStyle name="Total4 - Style4 2 3" xfId="42288"/>
    <cellStyle name="Total4 - Style4 2 4" xfId="42289"/>
    <cellStyle name="Total4 - Style4 2 5" xfId="42290"/>
    <cellStyle name="Total4 - Style4 2 6" xfId="42291"/>
    <cellStyle name="Total4 - Style4 2 7" xfId="42292"/>
    <cellStyle name="Total4 - Style4 2 8" xfId="42293"/>
    <cellStyle name="Total4 - Style4 2 9" xfId="42294"/>
    <cellStyle name="Total4 - Style4 3" xfId="42295"/>
    <cellStyle name="Total4 - Style4 3 2" xfId="42296"/>
    <cellStyle name="Total4 - Style4 3 2 2" xfId="42297"/>
    <cellStyle name="Total4 - Style4 3 3" xfId="42298"/>
    <cellStyle name="Total4 - Style4 3 4" xfId="42299"/>
    <cellStyle name="Total4 - Style4 4" xfId="42300"/>
    <cellStyle name="Total4 - Style4 4 2" xfId="42301"/>
    <cellStyle name="Total4 - Style4 5" xfId="42302"/>
    <cellStyle name="Total4 - Style4 6" xfId="42303"/>
    <cellStyle name="Total4 - Style4_Electric Rev Req Model (2009 GRC) Rebuttal" xfId="42304"/>
    <cellStyle name="Totals" xfId="42305"/>
    <cellStyle name="Totals [0]" xfId="42306"/>
    <cellStyle name="Totals [2]" xfId="42307"/>
    <cellStyle name="Totals_FWB Summary" xfId="42308"/>
    <cellStyle name="UnProtectedCalc" xfId="42309"/>
    <cellStyle name="Warning Text 10" xfId="42310"/>
    <cellStyle name="Warning Text 2" xfId="1762"/>
    <cellStyle name="Warning Text 2 2" xfId="1763"/>
    <cellStyle name="Warning Text 2 2 2" xfId="42311"/>
    <cellStyle name="Warning Text 2 2 2 2" xfId="42312"/>
    <cellStyle name="Warning Text 2 2 2 2 2" xfId="42313"/>
    <cellStyle name="Warning Text 2 2 2 3" xfId="42314"/>
    <cellStyle name="Warning Text 2 2 2 4" xfId="42315"/>
    <cellStyle name="Warning Text 2 2 2 5" xfId="42316"/>
    <cellStyle name="Warning Text 2 2 3" xfId="42317"/>
    <cellStyle name="Warning Text 2 2 3 2" xfId="42318"/>
    <cellStyle name="Warning Text 2 2 3 2 2" xfId="42319"/>
    <cellStyle name="Warning Text 2 2 3 3" xfId="42320"/>
    <cellStyle name="Warning Text 2 2 4" xfId="42321"/>
    <cellStyle name="Warning Text 2 2 4 2" xfId="42322"/>
    <cellStyle name="Warning Text 2 2 5" xfId="42323"/>
    <cellStyle name="Warning Text 2 2 6" xfId="42324"/>
    <cellStyle name="Warning Text 2 3" xfId="42325"/>
    <cellStyle name="Warning Text 2 3 2" xfId="42326"/>
    <cellStyle name="Warning Text 2 3 2 2" xfId="42327"/>
    <cellStyle name="Warning Text 2 3 2 2 2" xfId="42328"/>
    <cellStyle name="Warning Text 2 3 2 3" xfId="42329"/>
    <cellStyle name="Warning Text 2 3 2 4" xfId="42330"/>
    <cellStyle name="Warning Text 2 3 3" xfId="42331"/>
    <cellStyle name="Warning Text 2 3 3 2" xfId="42332"/>
    <cellStyle name="Warning Text 2 3 4" xfId="42333"/>
    <cellStyle name="Warning Text 2 3 4 2" xfId="42334"/>
    <cellStyle name="Warning Text 2 3 5" xfId="42335"/>
    <cellStyle name="Warning Text 2 4" xfId="42336"/>
    <cellStyle name="Warning Text 2 4 2" xfId="42337"/>
    <cellStyle name="Warning Text 2 4 2 2" xfId="42338"/>
    <cellStyle name="Warning Text 2 4 3" xfId="42339"/>
    <cellStyle name="Warning Text 2 4 4" xfId="42340"/>
    <cellStyle name="Warning Text 2 5" xfId="42341"/>
    <cellStyle name="Warning Text 2 5 2" xfId="42342"/>
    <cellStyle name="Warning Text 2 5 3" xfId="42343"/>
    <cellStyle name="Warning Text 2 6" xfId="42344"/>
    <cellStyle name="Warning Text 2 6 2" xfId="42345"/>
    <cellStyle name="Warning Text 2 7" xfId="42346"/>
    <cellStyle name="Warning Text 3" xfId="1764"/>
    <cellStyle name="Warning Text 3 2" xfId="42347"/>
    <cellStyle name="Warning Text 3 2 2" xfId="42348"/>
    <cellStyle name="Warning Text 3 2 2 2" xfId="42349"/>
    <cellStyle name="Warning Text 3 2 3" xfId="42350"/>
    <cellStyle name="Warning Text 3 2 4" xfId="42351"/>
    <cellStyle name="Warning Text 3 3" xfId="42352"/>
    <cellStyle name="Warning Text 3 3 2" xfId="42353"/>
    <cellStyle name="Warning Text 3 3 2 2" xfId="42354"/>
    <cellStyle name="Warning Text 3 3 3" xfId="42355"/>
    <cellStyle name="Warning Text 3 4" xfId="42356"/>
    <cellStyle name="Warning Text 3 4 2" xfId="42357"/>
    <cellStyle name="Warning Text 3 5" xfId="42358"/>
    <cellStyle name="Warning Text 3 6" xfId="42359"/>
    <cellStyle name="Warning Text 4" xfId="1765"/>
    <cellStyle name="Warning Text 4 2" xfId="42360"/>
    <cellStyle name="Warning Text 4 2 2" xfId="42361"/>
    <cellStyle name="Warning Text 4 2 2 2" xfId="42362"/>
    <cellStyle name="Warning Text 4 2 3" xfId="42363"/>
    <cellStyle name="Warning Text 4 2 4" xfId="42364"/>
    <cellStyle name="Warning Text 4 3" xfId="42365"/>
    <cellStyle name="Warning Text 4 3 2" xfId="42366"/>
    <cellStyle name="Warning Text 4 3 3" xfId="42367"/>
    <cellStyle name="Warning Text 4 4" xfId="42368"/>
    <cellStyle name="Warning Text 4 4 2" xfId="42369"/>
    <cellStyle name="Warning Text 5" xfId="42370"/>
    <cellStyle name="Warning Text 5 2" xfId="42371"/>
    <cellStyle name="Warning Text 5 2 2" xfId="42372"/>
    <cellStyle name="Warning Text 5 2 3" xfId="42373"/>
    <cellStyle name="Warning Text 5 3" xfId="42374"/>
    <cellStyle name="Warning Text 6" xfId="42375"/>
    <cellStyle name="Warning Text 6 2" xfId="42376"/>
    <cellStyle name="Warning Text 6 2 2" xfId="42377"/>
    <cellStyle name="Warning Text 6 3" xfId="42378"/>
    <cellStyle name="Warning Text 6 4" xfId="42379"/>
    <cellStyle name="Warning Text 7" xfId="42380"/>
    <cellStyle name="Warning Text 7 2" xfId="42381"/>
    <cellStyle name="Warning Text 8" xfId="42382"/>
    <cellStyle name="Warning Text 9" xfId="42383"/>
    <cellStyle name="Year" xfId="42384"/>
    <cellStyle name="Year 2" xfId="42385"/>
  </cellStyles>
  <dxfs count="0"/>
  <tableStyles count="0" defaultTableStyle="TableStyleMedium9" defaultPivotStyle="PivotStyleLight16"/>
  <colors>
    <mruColors>
      <color rgb="FF99FFCC"/>
      <color rgb="FFFF9999"/>
      <color rgb="FFCCFF33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285</xdr:row>
      <xdr:rowOff>53340</xdr:rowOff>
    </xdr:from>
    <xdr:ext cx="8819515" cy="2558184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5840"/>
          <a:ext cx="8819515" cy="2558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343"/>
  <sheetViews>
    <sheetView zoomScale="88" zoomScaleNormal="88" workbookViewId="0">
      <pane xSplit="4" ySplit="6" topLeftCell="K115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5" outlineLevelRow="1" outlineLevelCol="1"/>
  <cols>
    <col min="1" max="1" width="19" style="203" bestFit="1" customWidth="1"/>
    <col min="2" max="2" width="8" style="203" customWidth="1"/>
    <col min="3" max="3" width="16" style="203" bestFit="1" customWidth="1"/>
    <col min="4" max="4" width="20.42578125" style="203" customWidth="1"/>
    <col min="5" max="6" width="15.42578125" style="203" hidden="1" customWidth="1" outlineLevel="1"/>
    <col min="7" max="7" width="13.42578125" style="203" hidden="1" customWidth="1" outlineLevel="1"/>
    <col min="8" max="8" width="16" style="203" customWidth="1" collapsed="1"/>
    <col min="9" max="9" width="15.42578125" style="203" bestFit="1" customWidth="1"/>
    <col min="10" max="10" width="15.42578125" style="203" customWidth="1"/>
    <col min="11" max="11" width="17.28515625" style="203" bestFit="1" customWidth="1"/>
    <col min="12" max="12" width="15.42578125" style="203" bestFit="1" customWidth="1"/>
    <col min="13" max="13" width="16.85546875" style="203" bestFit="1" customWidth="1"/>
    <col min="14" max="14" width="17.28515625" style="203" customWidth="1"/>
    <col min="15" max="15" width="17" style="203" bestFit="1" customWidth="1"/>
    <col min="16" max="16" width="20.28515625" style="203" customWidth="1"/>
    <col min="17" max="17" width="20.7109375" style="203" customWidth="1"/>
    <col min="18" max="18" width="15.42578125" style="203" customWidth="1"/>
    <col min="19" max="19" width="15.7109375" style="203" bestFit="1" customWidth="1"/>
    <col min="20" max="20" width="13.140625" style="203" bestFit="1" customWidth="1"/>
    <col min="21" max="21" width="14.28515625" style="247" bestFit="1" customWidth="1"/>
    <col min="22" max="22" width="16.7109375" style="203" bestFit="1" customWidth="1"/>
    <col min="23" max="23" width="12.140625" style="203" bestFit="1" customWidth="1"/>
    <col min="24" max="24" width="10.85546875" style="203" bestFit="1" customWidth="1"/>
    <col min="25" max="16384" width="9.28515625" style="203"/>
  </cols>
  <sheetData>
    <row r="1" spans="1:21" s="229" customFormat="1">
      <c r="A1" s="275">
        <f>SUM(B8:B237)</f>
        <v>0</v>
      </c>
      <c r="J1" s="276" t="s">
        <v>612</v>
      </c>
      <c r="L1" s="277"/>
      <c r="M1" s="278">
        <f>ROUND(M67/(M67+P67),4)</f>
        <v>4.19E-2</v>
      </c>
      <c r="N1" s="279"/>
      <c r="O1" s="280"/>
      <c r="P1" s="278">
        <f>ROUND(1-M1,4)</f>
        <v>0.95809999999999995</v>
      </c>
      <c r="Q1" s="281"/>
      <c r="R1" s="281"/>
      <c r="U1" s="282"/>
    </row>
    <row r="2" spans="1:21">
      <c r="A2" s="359">
        <f>SUM(R8:R237)</f>
        <v>0</v>
      </c>
      <c r="B2" s="283"/>
      <c r="C2" s="284" t="s">
        <v>613</v>
      </c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83"/>
      <c r="Q2" s="286"/>
    </row>
    <row r="3" spans="1:21" s="569" customFormat="1" ht="45.75" customHeight="1">
      <c r="A3" s="563" t="s">
        <v>22</v>
      </c>
      <c r="B3" s="563"/>
      <c r="C3" s="742"/>
      <c r="D3" s="564"/>
      <c r="E3" s="1396" t="s">
        <v>614</v>
      </c>
      <c r="F3" s="1397"/>
      <c r="G3" s="1398"/>
      <c r="H3" s="565" t="s">
        <v>647</v>
      </c>
      <c r="I3" s="566"/>
      <c r="J3" s="567"/>
      <c r="K3" s="1396" t="s">
        <v>648</v>
      </c>
      <c r="L3" s="1397"/>
      <c r="M3" s="1398"/>
      <c r="N3" s="565" t="s">
        <v>615</v>
      </c>
      <c r="O3" s="566"/>
      <c r="P3" s="567"/>
      <c r="Q3" s="568"/>
      <c r="U3" s="570"/>
    </row>
    <row r="4" spans="1:21" s="569" customFormat="1" ht="15.6" customHeight="1">
      <c r="A4" s="563"/>
      <c r="B4" s="563"/>
      <c r="C4" s="1106" t="s">
        <v>813</v>
      </c>
      <c r="D4" s="1107" t="s">
        <v>812</v>
      </c>
      <c r="E4" s="1108"/>
      <c r="F4" s="1109"/>
      <c r="G4" s="1110"/>
      <c r="H4" s="1111"/>
      <c r="I4" s="1112"/>
      <c r="J4" s="1113"/>
      <c r="K4" s="1108"/>
      <c r="L4" s="1109"/>
      <c r="M4" s="1110"/>
      <c r="N4" s="1111"/>
      <c r="O4" s="1112"/>
      <c r="P4" s="1113" t="s">
        <v>811</v>
      </c>
      <c r="Q4" s="568"/>
      <c r="U4" s="570"/>
    </row>
    <row r="5" spans="1:21" s="377" customFormat="1">
      <c r="A5" s="370"/>
      <c r="B5" s="371"/>
      <c r="C5" s="372" t="s">
        <v>0</v>
      </c>
      <c r="D5" s="571" t="s">
        <v>616</v>
      </c>
      <c r="E5" s="372" t="s">
        <v>617</v>
      </c>
      <c r="F5" s="374" t="s">
        <v>618</v>
      </c>
      <c r="G5" s="375" t="s">
        <v>2</v>
      </c>
      <c r="H5" s="372" t="s">
        <v>617</v>
      </c>
      <c r="I5" s="374" t="s">
        <v>618</v>
      </c>
      <c r="J5" s="373" t="s">
        <v>2</v>
      </c>
      <c r="K5" s="372" t="s">
        <v>617</v>
      </c>
      <c r="L5" s="374" t="s">
        <v>618</v>
      </c>
      <c r="M5" s="373" t="s">
        <v>2</v>
      </c>
      <c r="N5" s="372" t="s">
        <v>619</v>
      </c>
      <c r="O5" s="374" t="s">
        <v>618</v>
      </c>
      <c r="P5" s="375" t="s">
        <v>2</v>
      </c>
      <c r="Q5" s="376" t="s">
        <v>18</v>
      </c>
      <c r="U5" s="247"/>
    </row>
    <row r="6" spans="1:21" s="377" customFormat="1" ht="63" customHeight="1">
      <c r="A6" s="370" t="s">
        <v>564</v>
      </c>
      <c r="B6" s="370"/>
      <c r="C6" s="378" t="s">
        <v>620</v>
      </c>
      <c r="D6" s="379" t="s">
        <v>621</v>
      </c>
      <c r="E6" s="380" t="s">
        <v>622</v>
      </c>
      <c r="F6" s="381" t="s">
        <v>623</v>
      </c>
      <c r="G6" s="382" t="s">
        <v>624</v>
      </c>
      <c r="H6" s="380" t="s">
        <v>649</v>
      </c>
      <c r="I6" s="381" t="s">
        <v>625</v>
      </c>
      <c r="J6" s="382" t="s">
        <v>626</v>
      </c>
      <c r="K6" s="380" t="s">
        <v>650</v>
      </c>
      <c r="L6" s="381" t="str">
        <f>"k
= "&amp;M1*100&amp;"% of (c - e - h)"</f>
        <v>k
= 4.19% of (c - e - h)</v>
      </c>
      <c r="M6" s="382" t="s">
        <v>627</v>
      </c>
      <c r="N6" s="380" t="s">
        <v>628</v>
      </c>
      <c r="O6" s="381" t="str">
        <f>"n
= "&amp;P1*100&amp;"% of (c - e - h)"</f>
        <v>n
= 95.81% of (c - e - h)</v>
      </c>
      <c r="P6" s="382" t="s">
        <v>629</v>
      </c>
      <c r="Q6" s="383" t="s">
        <v>630</v>
      </c>
      <c r="U6" s="247"/>
    </row>
    <row r="7" spans="1:21">
      <c r="A7" s="287"/>
      <c r="B7" s="288"/>
      <c r="C7" s="289"/>
      <c r="D7" s="290"/>
      <c r="E7" s="291"/>
      <c r="F7" s="292"/>
      <c r="G7" s="293"/>
      <c r="H7" s="291"/>
      <c r="I7" s="292"/>
      <c r="J7" s="293"/>
      <c r="K7" s="291"/>
      <c r="L7" s="292"/>
      <c r="M7" s="293"/>
      <c r="N7" s="291"/>
      <c r="O7" s="292"/>
      <c r="P7" s="293"/>
      <c r="Q7" s="294"/>
    </row>
    <row r="8" spans="1:21" outlineLevel="1">
      <c r="A8" s="287">
        <v>39691</v>
      </c>
      <c r="B8" s="301">
        <f t="shared" ref="B8:B71" si="0">E8+K8+H8-C8</f>
        <v>0</v>
      </c>
      <c r="C8" s="215">
        <f>'LSR Prepaid BPA interest'!I6</f>
        <v>1234.2465753424658</v>
      </c>
      <c r="D8" s="209">
        <f>'LSR Prepaid BPA interest'!H6</f>
        <v>0</v>
      </c>
      <c r="E8" s="296">
        <f t="shared" ref="E8:E30" si="1">C8</f>
        <v>1234.2465753424658</v>
      </c>
      <c r="F8" s="297">
        <f>-MIN(ABS(D8),ABS(G7))</f>
        <v>0</v>
      </c>
      <c r="G8" s="298">
        <f>G7+E8+F8</f>
        <v>1234.2465753424658</v>
      </c>
      <c r="H8" s="296"/>
      <c r="I8" s="297">
        <f>IF((F8-D8)&gt;D8,(D8-F8),0)</f>
        <v>0</v>
      </c>
      <c r="J8" s="298">
        <f>J7+H8+I8</f>
        <v>0</v>
      </c>
      <c r="K8" s="296"/>
      <c r="L8" s="297"/>
      <c r="M8" s="298">
        <f>M7+K8+L8</f>
        <v>0</v>
      </c>
      <c r="N8" s="296">
        <f>'LSR Prepaid BPA interest'!G6</f>
        <v>500000</v>
      </c>
      <c r="O8" s="297"/>
      <c r="P8" s="298">
        <f>P7+N8+O8</f>
        <v>500000</v>
      </c>
      <c r="Q8" s="299"/>
      <c r="R8" s="204"/>
      <c r="S8" s="247"/>
      <c r="T8" s="295"/>
    </row>
    <row r="9" spans="1:21" outlineLevel="1">
      <c r="A9" s="287">
        <v>39721</v>
      </c>
      <c r="B9" s="301">
        <f t="shared" si="0"/>
        <v>0</v>
      </c>
      <c r="C9" s="215">
        <f>'LSR Prepaid BPA interest'!I7</f>
        <v>2178.0821917808221</v>
      </c>
      <c r="D9" s="209">
        <f>'LSR Prepaid BPA interest'!H7</f>
        <v>0</v>
      </c>
      <c r="E9" s="296">
        <f t="shared" si="1"/>
        <v>2178.0821917808221</v>
      </c>
      <c r="F9" s="297">
        <f>-MIN(ABS(D9),ABS(G8))</f>
        <v>0</v>
      </c>
      <c r="G9" s="298">
        <f t="shared" ref="G9:G72" si="2">G8+E9+F9</f>
        <v>3412.3287671232879</v>
      </c>
      <c r="H9" s="296"/>
      <c r="I9" s="297">
        <f t="shared" ref="I9:I52" si="3">IF((F9-D9)&gt;D9,(D9-F9),0)</f>
        <v>0</v>
      </c>
      <c r="J9" s="298">
        <f t="shared" ref="J9:J72" si="4">J8+H9+I9</f>
        <v>0</v>
      </c>
      <c r="K9" s="296"/>
      <c r="L9" s="297"/>
      <c r="M9" s="298">
        <f t="shared" ref="M9:M72" si="5">M8+K9+L9</f>
        <v>0</v>
      </c>
      <c r="N9" s="296">
        <f>'LSR Prepaid BPA interest'!G7</f>
        <v>0</v>
      </c>
      <c r="O9" s="297"/>
      <c r="P9" s="298">
        <f t="shared" ref="P9:P71" si="6">P8+N9+O9</f>
        <v>500000</v>
      </c>
      <c r="Q9" s="299"/>
      <c r="R9" s="204"/>
      <c r="S9" s="247"/>
      <c r="T9" s="295"/>
    </row>
    <row r="10" spans="1:21" outlineLevel="1">
      <c r="A10" s="287">
        <v>39752</v>
      </c>
      <c r="B10" s="301">
        <f t="shared" si="0"/>
        <v>0</v>
      </c>
      <c r="C10" s="215">
        <f>'LSR Prepaid BPA interest'!I8</f>
        <v>2137.7783824357298</v>
      </c>
      <c r="D10" s="209">
        <f>'LSR Prepaid BPA interest'!H8</f>
        <v>0</v>
      </c>
      <c r="E10" s="296">
        <f t="shared" si="1"/>
        <v>2137.7783824357298</v>
      </c>
      <c r="F10" s="297">
        <f t="shared" ref="F10:F51" si="7">-MIN(ABS(D10),ABS(G9))</f>
        <v>0</v>
      </c>
      <c r="G10" s="298">
        <f t="shared" si="2"/>
        <v>5550.1071495590177</v>
      </c>
      <c r="H10" s="296"/>
      <c r="I10" s="297">
        <f t="shared" si="3"/>
        <v>0</v>
      </c>
      <c r="J10" s="298">
        <f t="shared" si="4"/>
        <v>0</v>
      </c>
      <c r="K10" s="296"/>
      <c r="L10" s="297"/>
      <c r="M10" s="298">
        <f t="shared" si="5"/>
        <v>0</v>
      </c>
      <c r="N10" s="296">
        <f>'LSR Prepaid BPA interest'!G8</f>
        <v>0</v>
      </c>
      <c r="O10" s="297"/>
      <c r="P10" s="298">
        <f t="shared" si="6"/>
        <v>500000</v>
      </c>
      <c r="Q10" s="299"/>
      <c r="R10" s="204"/>
      <c r="S10" s="247"/>
      <c r="T10" s="295"/>
    </row>
    <row r="11" spans="1:21" outlineLevel="1">
      <c r="A11" s="287">
        <v>39782</v>
      </c>
      <c r="B11" s="301">
        <f t="shared" si="0"/>
        <v>0</v>
      </c>
      <c r="C11" s="215">
        <f>'LSR Prepaid BPA interest'!I9</f>
        <v>2068.8177894539317</v>
      </c>
      <c r="D11" s="209">
        <f>'LSR Prepaid BPA interest'!H9</f>
        <v>0</v>
      </c>
      <c r="E11" s="296">
        <f t="shared" si="1"/>
        <v>2068.8177894539317</v>
      </c>
      <c r="F11" s="297">
        <f t="shared" si="7"/>
        <v>0</v>
      </c>
      <c r="G11" s="298">
        <f>G10+E11+F11</f>
        <v>7618.9249390129498</v>
      </c>
      <c r="H11" s="296"/>
      <c r="I11" s="297">
        <f t="shared" si="3"/>
        <v>0</v>
      </c>
      <c r="J11" s="298">
        <f t="shared" si="4"/>
        <v>0</v>
      </c>
      <c r="K11" s="296"/>
      <c r="L11" s="297"/>
      <c r="M11" s="298">
        <f t="shared" si="5"/>
        <v>0</v>
      </c>
      <c r="N11" s="296">
        <f>'LSR Prepaid BPA interest'!G9</f>
        <v>0</v>
      </c>
      <c r="O11" s="297"/>
      <c r="P11" s="298">
        <f t="shared" si="6"/>
        <v>500000</v>
      </c>
      <c r="Q11" s="299"/>
      <c r="R11" s="204"/>
      <c r="S11" s="247"/>
      <c r="T11" s="295"/>
    </row>
    <row r="12" spans="1:21" outlineLevel="1">
      <c r="A12" s="287">
        <v>39813</v>
      </c>
      <c r="B12" s="301">
        <f t="shared" si="0"/>
        <v>0</v>
      </c>
      <c r="C12" s="215">
        <f>'LSR Prepaid BPA interest'!I10</f>
        <v>2137.7783824357298</v>
      </c>
      <c r="D12" s="209">
        <f>'LSR Prepaid BPA interest'!H10</f>
        <v>0</v>
      </c>
      <c r="E12" s="296">
        <f t="shared" si="1"/>
        <v>2137.7783824357298</v>
      </c>
      <c r="F12" s="297">
        <f t="shared" si="7"/>
        <v>0</v>
      </c>
      <c r="G12" s="298">
        <f t="shared" si="2"/>
        <v>9756.7033214486801</v>
      </c>
      <c r="H12" s="296"/>
      <c r="I12" s="297">
        <f t="shared" si="3"/>
        <v>0</v>
      </c>
      <c r="J12" s="298">
        <f t="shared" si="4"/>
        <v>0</v>
      </c>
      <c r="K12" s="296"/>
      <c r="L12" s="297"/>
      <c r="M12" s="298">
        <f t="shared" si="5"/>
        <v>0</v>
      </c>
      <c r="N12" s="296">
        <f>'LSR Prepaid BPA interest'!G10</f>
        <v>0</v>
      </c>
      <c r="O12" s="297"/>
      <c r="P12" s="298">
        <f t="shared" si="6"/>
        <v>500000</v>
      </c>
      <c r="Q12" s="299"/>
      <c r="R12" s="204"/>
      <c r="S12" s="247"/>
      <c r="T12" s="295"/>
    </row>
    <row r="13" spans="1:21" outlineLevel="1">
      <c r="A13" s="287">
        <v>39844</v>
      </c>
      <c r="B13" s="301">
        <f t="shared" si="0"/>
        <v>0</v>
      </c>
      <c r="C13" s="215">
        <f>'LSR Prepaid BPA interest'!I11</f>
        <v>1956.9071032712709</v>
      </c>
      <c r="D13" s="209">
        <f>'LSR Prepaid BPA interest'!H11</f>
        <v>0</v>
      </c>
      <c r="E13" s="296">
        <f t="shared" si="1"/>
        <v>1956.9071032712709</v>
      </c>
      <c r="F13" s="297">
        <f t="shared" si="7"/>
        <v>0</v>
      </c>
      <c r="G13" s="298">
        <f t="shared" si="2"/>
        <v>11713.610424719951</v>
      </c>
      <c r="H13" s="296"/>
      <c r="I13" s="297">
        <f t="shared" si="3"/>
        <v>0</v>
      </c>
      <c r="J13" s="298">
        <f t="shared" si="4"/>
        <v>0</v>
      </c>
      <c r="K13" s="296"/>
      <c r="L13" s="297"/>
      <c r="M13" s="298">
        <f t="shared" si="5"/>
        <v>0</v>
      </c>
      <c r="N13" s="296">
        <f>'LSR Prepaid BPA interest'!G11</f>
        <v>0</v>
      </c>
      <c r="O13" s="297"/>
      <c r="P13" s="298">
        <f t="shared" si="6"/>
        <v>500000</v>
      </c>
      <c r="Q13" s="299"/>
      <c r="R13" s="204"/>
      <c r="S13" s="247"/>
      <c r="T13" s="295"/>
    </row>
    <row r="14" spans="1:21" outlineLevel="1">
      <c r="A14" s="287">
        <v>39872</v>
      </c>
      <c r="B14" s="301">
        <f t="shared" si="0"/>
        <v>0</v>
      </c>
      <c r="C14" s="215">
        <f>'LSR Prepaid BPA interest'!I12</f>
        <v>0</v>
      </c>
      <c r="D14" s="209">
        <f>'LSR Prepaid BPA interest'!H12</f>
        <v>0</v>
      </c>
      <c r="E14" s="296">
        <f t="shared" si="1"/>
        <v>0</v>
      </c>
      <c r="F14" s="297">
        <f t="shared" si="7"/>
        <v>0</v>
      </c>
      <c r="G14" s="298">
        <f>G13+E14+F14</f>
        <v>11713.610424719951</v>
      </c>
      <c r="H14" s="296"/>
      <c r="I14" s="297">
        <f t="shared" si="3"/>
        <v>0</v>
      </c>
      <c r="J14" s="298">
        <f>J13+H14+I14</f>
        <v>0</v>
      </c>
      <c r="K14" s="296"/>
      <c r="L14" s="297"/>
      <c r="M14" s="298">
        <f t="shared" si="5"/>
        <v>0</v>
      </c>
      <c r="N14" s="296">
        <f>'LSR Prepaid BPA interest'!G12</f>
        <v>6600000</v>
      </c>
      <c r="O14" s="297"/>
      <c r="P14" s="298">
        <f t="shared" si="6"/>
        <v>7100000</v>
      </c>
      <c r="Q14" s="299"/>
      <c r="R14" s="204"/>
      <c r="S14" s="247"/>
      <c r="T14" s="295"/>
    </row>
    <row r="15" spans="1:21" outlineLevel="1">
      <c r="A15" s="287">
        <v>39872</v>
      </c>
      <c r="B15" s="301">
        <f t="shared" si="0"/>
        <v>0</v>
      </c>
      <c r="C15" s="215">
        <f>'LSR Prepaid BPA interest'!I13</f>
        <v>10757.99474992774</v>
      </c>
      <c r="D15" s="209">
        <f>'LSR Prepaid BPA interest'!H13</f>
        <v>0</v>
      </c>
      <c r="E15" s="296">
        <f>C15</f>
        <v>10757.99474992774</v>
      </c>
      <c r="F15" s="297">
        <f t="shared" si="7"/>
        <v>0</v>
      </c>
      <c r="G15" s="298">
        <f>G14+E15+F15</f>
        <v>22471.605174647691</v>
      </c>
      <c r="H15" s="296"/>
      <c r="I15" s="297">
        <f t="shared" si="3"/>
        <v>0</v>
      </c>
      <c r="J15" s="298">
        <f>J14+H15+I15</f>
        <v>0</v>
      </c>
      <c r="K15" s="296"/>
      <c r="L15" s="297"/>
      <c r="M15" s="298">
        <f t="shared" si="5"/>
        <v>0</v>
      </c>
      <c r="N15" s="296">
        <f>'LSR Prepaid BPA interest'!G13</f>
        <v>6600000</v>
      </c>
      <c r="O15" s="297"/>
      <c r="P15" s="298">
        <f>P14+N15+O15</f>
        <v>13700000</v>
      </c>
      <c r="Q15" s="299"/>
      <c r="R15" s="204"/>
      <c r="S15" s="247"/>
      <c r="T15" s="295"/>
    </row>
    <row r="16" spans="1:21" outlineLevel="1">
      <c r="A16" s="287">
        <v>39903</v>
      </c>
      <c r="B16" s="301">
        <f t="shared" si="0"/>
        <v>0</v>
      </c>
      <c r="C16" s="215">
        <f>'LSR Prepaid BPA interest'!I14</f>
        <v>52630.441349846602</v>
      </c>
      <c r="D16" s="209">
        <f>'LSR Prepaid BPA interest'!H14</f>
        <v>0</v>
      </c>
      <c r="E16" s="296">
        <f t="shared" si="1"/>
        <v>52630.441349846602</v>
      </c>
      <c r="F16" s="297">
        <f t="shared" si="7"/>
        <v>0</v>
      </c>
      <c r="G16" s="298">
        <f>G15+E16+F16</f>
        <v>75102.04652449429</v>
      </c>
      <c r="H16" s="296"/>
      <c r="I16" s="297">
        <f t="shared" si="3"/>
        <v>0</v>
      </c>
      <c r="J16" s="298">
        <f>J15+H16+I16</f>
        <v>0</v>
      </c>
      <c r="K16" s="296"/>
      <c r="L16" s="297"/>
      <c r="M16" s="298">
        <f t="shared" si="5"/>
        <v>0</v>
      </c>
      <c r="N16" s="296">
        <f>'LSR Prepaid BPA interest'!G14</f>
        <v>0</v>
      </c>
      <c r="O16" s="297"/>
      <c r="P16" s="298">
        <f>P15+N16+O16</f>
        <v>13700000</v>
      </c>
      <c r="Q16" s="299"/>
      <c r="R16" s="204"/>
      <c r="S16" s="247"/>
      <c r="T16" s="295"/>
    </row>
    <row r="17" spans="1:20" outlineLevel="1">
      <c r="A17" s="287">
        <v>39933</v>
      </c>
      <c r="B17" s="301">
        <f t="shared" si="0"/>
        <v>0</v>
      </c>
      <c r="C17" s="215">
        <f>'LSR Prepaid BPA interest'!I15</f>
        <v>38155.145668592508</v>
      </c>
      <c r="D17" s="209">
        <f>'LSR Prepaid BPA interest'!H15</f>
        <v>0</v>
      </c>
      <c r="E17" s="296">
        <f t="shared" si="1"/>
        <v>38155.145668592508</v>
      </c>
      <c r="F17" s="297">
        <f t="shared" si="7"/>
        <v>0</v>
      </c>
      <c r="G17" s="298">
        <f>G16+E17+F17</f>
        <v>113257.1921930868</v>
      </c>
      <c r="H17" s="296"/>
      <c r="I17" s="297">
        <f t="shared" si="3"/>
        <v>0</v>
      </c>
      <c r="J17" s="298">
        <f>J16+H17+I17</f>
        <v>0</v>
      </c>
      <c r="K17" s="296"/>
      <c r="L17" s="297"/>
      <c r="M17" s="298">
        <f t="shared" si="5"/>
        <v>0</v>
      </c>
      <c r="N17" s="296">
        <f>'LSR Prepaid BPA interest'!G15</f>
        <v>0</v>
      </c>
      <c r="O17" s="297"/>
      <c r="P17" s="298">
        <f>P16+N17+O17</f>
        <v>13700000</v>
      </c>
      <c r="Q17" s="299"/>
      <c r="R17" s="204"/>
      <c r="S17" s="247"/>
      <c r="T17" s="295"/>
    </row>
    <row r="18" spans="1:20" outlineLevel="1">
      <c r="A18" s="287">
        <v>39964</v>
      </c>
      <c r="B18" s="301">
        <f t="shared" si="0"/>
        <v>0</v>
      </c>
      <c r="C18" s="215">
        <f>'LSR Prepaid BPA interest'!I16</f>
        <v>39426.983857545587</v>
      </c>
      <c r="D18" s="209">
        <f>'LSR Prepaid BPA interest'!H16</f>
        <v>0</v>
      </c>
      <c r="E18" s="296">
        <f t="shared" si="1"/>
        <v>39426.983857545587</v>
      </c>
      <c r="F18" s="297">
        <f t="shared" si="7"/>
        <v>0</v>
      </c>
      <c r="G18" s="298">
        <f t="shared" si="2"/>
        <v>152684.17605063238</v>
      </c>
      <c r="H18" s="296"/>
      <c r="I18" s="297">
        <f t="shared" si="3"/>
        <v>0</v>
      </c>
      <c r="J18" s="298">
        <f t="shared" si="4"/>
        <v>0</v>
      </c>
      <c r="K18" s="296"/>
      <c r="L18" s="297"/>
      <c r="M18" s="298">
        <f t="shared" si="5"/>
        <v>0</v>
      </c>
      <c r="N18" s="296">
        <f>'LSR Prepaid BPA interest'!G16</f>
        <v>0</v>
      </c>
      <c r="O18" s="297"/>
      <c r="P18" s="298">
        <f t="shared" si="6"/>
        <v>13700000</v>
      </c>
      <c r="Q18" s="299"/>
      <c r="R18" s="204"/>
      <c r="S18" s="247"/>
      <c r="T18" s="295"/>
    </row>
    <row r="19" spans="1:20" outlineLevel="1">
      <c r="A19" s="287">
        <v>39994</v>
      </c>
      <c r="B19" s="301">
        <f t="shared" si="0"/>
        <v>0</v>
      </c>
      <c r="C19" s="215">
        <f>'LSR Prepaid BPA interest'!I17</f>
        <v>47526.515531606208</v>
      </c>
      <c r="D19" s="209">
        <f>'LSR Prepaid BPA interest'!H17</f>
        <v>0</v>
      </c>
      <c r="E19" s="296">
        <f t="shared" si="1"/>
        <v>47526.515531606208</v>
      </c>
      <c r="F19" s="297">
        <f t="shared" si="7"/>
        <v>0</v>
      </c>
      <c r="G19" s="298">
        <f t="shared" si="2"/>
        <v>200210.69158223859</v>
      </c>
      <c r="H19" s="296"/>
      <c r="I19" s="297">
        <f t="shared" si="3"/>
        <v>0</v>
      </c>
      <c r="J19" s="298">
        <f t="shared" si="4"/>
        <v>0</v>
      </c>
      <c r="K19" s="296"/>
      <c r="L19" s="297"/>
      <c r="M19" s="298">
        <f t="shared" si="5"/>
        <v>0</v>
      </c>
      <c r="N19" s="296">
        <f>'LSR Prepaid BPA interest'!G17</f>
        <v>3500000</v>
      </c>
      <c r="O19" s="297"/>
      <c r="P19" s="298">
        <f t="shared" si="6"/>
        <v>17200000</v>
      </c>
      <c r="Q19" s="299"/>
      <c r="R19" s="204"/>
      <c r="S19" s="247"/>
      <c r="T19" s="295"/>
    </row>
    <row r="20" spans="1:20" outlineLevel="1">
      <c r="A20" s="287">
        <v>40025</v>
      </c>
      <c r="B20" s="301">
        <f t="shared" si="0"/>
        <v>0</v>
      </c>
      <c r="C20" s="215">
        <f>'LSR Prepaid BPA interest'!I18</f>
        <v>48029.348689778381</v>
      </c>
      <c r="D20" s="209">
        <f>'LSR Prepaid BPA interest'!H18</f>
        <v>0</v>
      </c>
      <c r="E20" s="296">
        <f t="shared" si="1"/>
        <v>48029.348689778381</v>
      </c>
      <c r="F20" s="297">
        <f t="shared" si="7"/>
        <v>0</v>
      </c>
      <c r="G20" s="298">
        <f t="shared" si="2"/>
        <v>248240.04027201698</v>
      </c>
      <c r="H20" s="296"/>
      <c r="I20" s="297">
        <f t="shared" si="3"/>
        <v>0</v>
      </c>
      <c r="J20" s="298">
        <f t="shared" si="4"/>
        <v>0</v>
      </c>
      <c r="K20" s="296"/>
      <c r="L20" s="297"/>
      <c r="M20" s="298">
        <f t="shared" si="5"/>
        <v>0</v>
      </c>
      <c r="N20" s="296">
        <f>'LSR Prepaid BPA interest'!G18</f>
        <v>0</v>
      </c>
      <c r="O20" s="297"/>
      <c r="P20" s="298">
        <f t="shared" si="6"/>
        <v>17200000</v>
      </c>
      <c r="Q20" s="300">
        <f t="shared" ref="Q20:Q83" si="8">(P20+P8+SUM(P9:P19)*2)/24</f>
        <v>7537500</v>
      </c>
      <c r="R20" s="204"/>
      <c r="S20" s="247"/>
      <c r="T20" s="295"/>
    </row>
    <row r="21" spans="1:20" outlineLevel="1">
      <c r="A21" s="287">
        <v>40056</v>
      </c>
      <c r="B21" s="301">
        <f t="shared" si="0"/>
        <v>0</v>
      </c>
      <c r="C21" s="215">
        <f>'LSR Prepaid BPA interest'!I19</f>
        <v>48964.280196627697</v>
      </c>
      <c r="D21" s="209">
        <f>'LSR Prepaid BPA interest'!H19</f>
        <v>0</v>
      </c>
      <c r="E21" s="296">
        <f t="shared" si="1"/>
        <v>48964.280196627697</v>
      </c>
      <c r="F21" s="297">
        <f t="shared" si="7"/>
        <v>0</v>
      </c>
      <c r="G21" s="298">
        <f t="shared" si="2"/>
        <v>297204.32046864467</v>
      </c>
      <c r="H21" s="296"/>
      <c r="I21" s="297">
        <f t="shared" si="3"/>
        <v>0</v>
      </c>
      <c r="J21" s="298">
        <f t="shared" si="4"/>
        <v>0</v>
      </c>
      <c r="K21" s="296"/>
      <c r="L21" s="297"/>
      <c r="M21" s="298">
        <f t="shared" si="5"/>
        <v>0</v>
      </c>
      <c r="N21" s="296">
        <f>'LSR Prepaid BPA interest'!G19</f>
        <v>10500000</v>
      </c>
      <c r="O21" s="297"/>
      <c r="P21" s="298">
        <f t="shared" si="6"/>
        <v>27700000</v>
      </c>
      <c r="Q21" s="300">
        <f t="shared" si="8"/>
        <v>9366666.666666666</v>
      </c>
      <c r="R21" s="204"/>
      <c r="S21" s="247"/>
      <c r="T21" s="295"/>
    </row>
    <row r="22" spans="1:20" outlineLevel="1">
      <c r="A22" s="287">
        <v>40086</v>
      </c>
      <c r="B22" s="301">
        <f t="shared" si="0"/>
        <v>0</v>
      </c>
      <c r="C22" s="215">
        <f>'LSR Prepaid BPA interest'!I20</f>
        <v>75462.891573404602</v>
      </c>
      <c r="D22" s="209">
        <f>'LSR Prepaid BPA interest'!H20</f>
        <v>0</v>
      </c>
      <c r="E22" s="296">
        <f t="shared" si="1"/>
        <v>75462.891573404602</v>
      </c>
      <c r="F22" s="297">
        <f t="shared" si="7"/>
        <v>0</v>
      </c>
      <c r="G22" s="298">
        <f t="shared" si="2"/>
        <v>372667.21204204927</v>
      </c>
      <c r="H22" s="296"/>
      <c r="I22" s="297">
        <f t="shared" si="3"/>
        <v>0</v>
      </c>
      <c r="J22" s="298">
        <f t="shared" si="4"/>
        <v>0</v>
      </c>
      <c r="K22" s="296"/>
      <c r="L22" s="297"/>
      <c r="M22" s="298">
        <f t="shared" si="5"/>
        <v>0</v>
      </c>
      <c r="N22" s="296">
        <f>'LSR Prepaid BPA interest'!G20</f>
        <v>10500000</v>
      </c>
      <c r="O22" s="297"/>
      <c r="P22" s="298">
        <f t="shared" si="6"/>
        <v>38200000</v>
      </c>
      <c r="Q22" s="300">
        <f t="shared" si="8"/>
        <v>12070833.333333334</v>
      </c>
      <c r="R22" s="204"/>
      <c r="S22" s="247"/>
      <c r="T22" s="295"/>
    </row>
    <row r="23" spans="1:20" outlineLevel="1">
      <c r="A23" s="287">
        <v>40117</v>
      </c>
      <c r="B23" s="301">
        <f t="shared" si="0"/>
        <v>0</v>
      </c>
      <c r="C23" s="215">
        <f>'LSR Prepaid BPA interest'!I21</f>
        <v>106471.12935926676</v>
      </c>
      <c r="D23" s="209">
        <f>'LSR Prepaid BPA interest'!H21</f>
        <v>0</v>
      </c>
      <c r="E23" s="296">
        <f t="shared" si="1"/>
        <v>106471.12935926676</v>
      </c>
      <c r="F23" s="297">
        <f t="shared" si="7"/>
        <v>0</v>
      </c>
      <c r="G23" s="298">
        <f t="shared" si="2"/>
        <v>479138.34140131605</v>
      </c>
      <c r="H23" s="296"/>
      <c r="I23" s="297">
        <f t="shared" si="3"/>
        <v>0</v>
      </c>
      <c r="J23" s="298">
        <f t="shared" si="4"/>
        <v>0</v>
      </c>
      <c r="K23" s="296"/>
      <c r="L23" s="297"/>
      <c r="M23" s="298">
        <f t="shared" si="5"/>
        <v>0</v>
      </c>
      <c r="N23" s="296">
        <f>'LSR Prepaid BPA interest'!G21</f>
        <v>0</v>
      </c>
      <c r="O23" s="297"/>
      <c r="P23" s="298">
        <f t="shared" si="6"/>
        <v>38200000</v>
      </c>
      <c r="Q23" s="300">
        <f t="shared" si="8"/>
        <v>15212500</v>
      </c>
      <c r="R23" s="204"/>
      <c r="S23" s="247"/>
      <c r="T23" s="295"/>
    </row>
    <row r="24" spans="1:20" outlineLevel="1">
      <c r="A24" s="287">
        <v>40147</v>
      </c>
      <c r="B24" s="301">
        <f t="shared" si="0"/>
        <v>0</v>
      </c>
      <c r="C24" s="215">
        <f>'LSR Prepaid BPA interest'!I22</f>
        <v>103036.57679929041</v>
      </c>
      <c r="D24" s="209">
        <f>'LSR Prepaid BPA interest'!H22</f>
        <v>0</v>
      </c>
      <c r="E24" s="296">
        <f t="shared" si="1"/>
        <v>103036.57679929041</v>
      </c>
      <c r="F24" s="297">
        <f t="shared" si="7"/>
        <v>0</v>
      </c>
      <c r="G24" s="298">
        <f t="shared" si="2"/>
        <v>582174.91820060648</v>
      </c>
      <c r="H24" s="296"/>
      <c r="I24" s="297">
        <f t="shared" si="3"/>
        <v>0</v>
      </c>
      <c r="J24" s="298">
        <f t="shared" si="4"/>
        <v>0</v>
      </c>
      <c r="K24" s="296"/>
      <c r="L24" s="297"/>
      <c r="M24" s="298">
        <f t="shared" si="5"/>
        <v>0</v>
      </c>
      <c r="N24" s="296">
        <f>'LSR Prepaid BPA interest'!G22</f>
        <v>0</v>
      </c>
      <c r="O24" s="297"/>
      <c r="P24" s="298">
        <f t="shared" si="6"/>
        <v>38200000</v>
      </c>
      <c r="Q24" s="300">
        <f t="shared" si="8"/>
        <v>18354166.666666668</v>
      </c>
      <c r="R24" s="204"/>
      <c r="S24" s="247"/>
      <c r="T24" s="295"/>
    </row>
    <row r="25" spans="1:20" outlineLevel="1">
      <c r="A25" s="287">
        <v>40178</v>
      </c>
      <c r="B25" s="301">
        <f t="shared" si="0"/>
        <v>0</v>
      </c>
      <c r="C25" s="215">
        <f>'LSR Prepaid BPA interest'!I23</f>
        <v>106471.12935926676</v>
      </c>
      <c r="D25" s="209">
        <f>'LSR Prepaid BPA interest'!H23</f>
        <v>0</v>
      </c>
      <c r="E25" s="296">
        <f t="shared" si="1"/>
        <v>106471.12935926676</v>
      </c>
      <c r="F25" s="297">
        <f t="shared" si="7"/>
        <v>0</v>
      </c>
      <c r="G25" s="298">
        <f t="shared" si="2"/>
        <v>688646.0475598732</v>
      </c>
      <c r="H25" s="296"/>
      <c r="I25" s="297">
        <f t="shared" si="3"/>
        <v>0</v>
      </c>
      <c r="J25" s="298">
        <f t="shared" si="4"/>
        <v>0</v>
      </c>
      <c r="K25" s="296"/>
      <c r="L25" s="297"/>
      <c r="M25" s="298">
        <f t="shared" si="5"/>
        <v>0</v>
      </c>
      <c r="N25" s="296">
        <f>'LSR Prepaid BPA interest'!G23</f>
        <v>0</v>
      </c>
      <c r="O25" s="297"/>
      <c r="P25" s="298">
        <f t="shared" si="6"/>
        <v>38200000</v>
      </c>
      <c r="Q25" s="300">
        <f t="shared" si="8"/>
        <v>21495833.333333332</v>
      </c>
      <c r="R25" s="204"/>
      <c r="S25" s="247"/>
      <c r="T25" s="295"/>
    </row>
    <row r="26" spans="1:20" outlineLevel="1">
      <c r="A26" s="287">
        <v>40209</v>
      </c>
      <c r="B26" s="301">
        <f t="shared" si="0"/>
        <v>0</v>
      </c>
      <c r="C26" s="215">
        <f>'LSR Prepaid BPA interest'!I24</f>
        <v>107343.31751483993</v>
      </c>
      <c r="D26" s="209">
        <f>'LSR Prepaid BPA interest'!H24</f>
        <v>0</v>
      </c>
      <c r="E26" s="296">
        <f t="shared" si="1"/>
        <v>107343.31751483993</v>
      </c>
      <c r="F26" s="297">
        <f t="shared" si="7"/>
        <v>0</v>
      </c>
      <c r="G26" s="298">
        <f t="shared" si="2"/>
        <v>795989.36507471313</v>
      </c>
      <c r="H26" s="296"/>
      <c r="I26" s="297">
        <f t="shared" si="3"/>
        <v>0</v>
      </c>
      <c r="J26" s="298">
        <f t="shared" si="4"/>
        <v>0</v>
      </c>
      <c r="K26" s="296"/>
      <c r="L26" s="297"/>
      <c r="M26" s="298">
        <f t="shared" si="5"/>
        <v>0</v>
      </c>
      <c r="N26" s="296">
        <f>'LSR Prepaid BPA interest'!G24</f>
        <v>0</v>
      </c>
      <c r="O26" s="297"/>
      <c r="P26" s="298">
        <f t="shared" si="6"/>
        <v>38200000</v>
      </c>
      <c r="Q26" s="300">
        <f t="shared" si="8"/>
        <v>24362500</v>
      </c>
      <c r="R26" s="204"/>
      <c r="S26" s="247"/>
      <c r="T26" s="295"/>
    </row>
    <row r="27" spans="1:20" outlineLevel="1">
      <c r="A27" s="287">
        <v>40237</v>
      </c>
      <c r="B27" s="301">
        <f t="shared" si="0"/>
        <v>0</v>
      </c>
      <c r="C27" s="215">
        <f>'LSR Prepaid BPA interest'!I25</f>
        <v>96955.25452953286</v>
      </c>
      <c r="D27" s="209">
        <f>'LSR Prepaid BPA interest'!H25</f>
        <v>0</v>
      </c>
      <c r="E27" s="296">
        <f t="shared" si="1"/>
        <v>96955.25452953286</v>
      </c>
      <c r="F27" s="297">
        <f t="shared" si="7"/>
        <v>0</v>
      </c>
      <c r="G27" s="298">
        <f t="shared" si="2"/>
        <v>892944.61960424599</v>
      </c>
      <c r="H27" s="296"/>
      <c r="I27" s="297">
        <f t="shared" si="3"/>
        <v>0</v>
      </c>
      <c r="J27" s="298">
        <f t="shared" si="4"/>
        <v>0</v>
      </c>
      <c r="K27" s="296"/>
      <c r="L27" s="297"/>
      <c r="M27" s="298">
        <f t="shared" si="5"/>
        <v>0</v>
      </c>
      <c r="N27" s="296">
        <f>'LSR Prepaid BPA interest'!G25</f>
        <v>0</v>
      </c>
      <c r="O27" s="297"/>
      <c r="P27" s="298">
        <f t="shared" si="6"/>
        <v>38200000</v>
      </c>
      <c r="Q27" s="300">
        <f t="shared" si="8"/>
        <v>26679166.666666668</v>
      </c>
      <c r="R27" s="204"/>
      <c r="S27" s="247"/>
      <c r="T27" s="295"/>
    </row>
    <row r="28" spans="1:20" outlineLevel="1">
      <c r="A28" s="287">
        <v>40268</v>
      </c>
      <c r="B28" s="301">
        <f t="shared" si="0"/>
        <v>0</v>
      </c>
      <c r="C28" s="215">
        <f>'LSR Prepaid BPA interest'!I26</f>
        <v>107343.31751483993</v>
      </c>
      <c r="D28" s="209">
        <f>'LSR Prepaid BPA interest'!H26</f>
        <v>0</v>
      </c>
      <c r="E28" s="296">
        <f t="shared" si="1"/>
        <v>107343.31751483993</v>
      </c>
      <c r="F28" s="297">
        <f t="shared" si="7"/>
        <v>0</v>
      </c>
      <c r="G28" s="298">
        <f>G27+E28+F28</f>
        <v>1000287.9371190859</v>
      </c>
      <c r="H28" s="296"/>
      <c r="I28" s="297">
        <f t="shared" si="3"/>
        <v>0</v>
      </c>
      <c r="J28" s="298">
        <f t="shared" si="4"/>
        <v>0</v>
      </c>
      <c r="K28" s="296"/>
      <c r="L28" s="297"/>
      <c r="M28" s="298">
        <f t="shared" si="5"/>
        <v>0</v>
      </c>
      <c r="N28" s="296">
        <f>'LSR Prepaid BPA interest'!G26</f>
        <v>0</v>
      </c>
      <c r="O28" s="297"/>
      <c r="P28" s="298">
        <f t="shared" si="6"/>
        <v>38200000</v>
      </c>
      <c r="Q28" s="300">
        <f t="shared" si="8"/>
        <v>28720833.333333332</v>
      </c>
      <c r="R28" s="204"/>
      <c r="S28" s="247"/>
      <c r="T28" s="295"/>
    </row>
    <row r="29" spans="1:20" outlineLevel="1">
      <c r="A29" s="287">
        <v>40298</v>
      </c>
      <c r="B29" s="301">
        <f t="shared" si="0"/>
        <v>0</v>
      </c>
      <c r="C29" s="215">
        <f>'LSR Prepaid BPA interest'!I27</f>
        <v>104713.09791422222</v>
      </c>
      <c r="D29" s="209">
        <f>'LSR Prepaid BPA interest'!H27</f>
        <v>0</v>
      </c>
      <c r="E29" s="296">
        <f t="shared" si="1"/>
        <v>104713.09791422222</v>
      </c>
      <c r="F29" s="297">
        <f t="shared" si="7"/>
        <v>0</v>
      </c>
      <c r="G29" s="298">
        <f t="shared" si="2"/>
        <v>1105001.0350333082</v>
      </c>
      <c r="H29" s="296"/>
      <c r="I29" s="297">
        <f t="shared" si="3"/>
        <v>0</v>
      </c>
      <c r="J29" s="298">
        <f t="shared" si="4"/>
        <v>0</v>
      </c>
      <c r="K29" s="296"/>
      <c r="L29" s="297"/>
      <c r="M29" s="298">
        <f t="shared" si="5"/>
        <v>0</v>
      </c>
      <c r="N29" s="296">
        <f>'LSR Prepaid BPA interest'!G27</f>
        <v>0</v>
      </c>
      <c r="O29" s="297"/>
      <c r="P29" s="298">
        <f t="shared" si="6"/>
        <v>38200000</v>
      </c>
      <c r="Q29" s="300">
        <f t="shared" si="8"/>
        <v>30762500</v>
      </c>
      <c r="R29" s="204"/>
      <c r="S29" s="247"/>
      <c r="T29" s="295"/>
    </row>
    <row r="30" spans="1:20" outlineLevel="1">
      <c r="A30" s="287">
        <v>40317</v>
      </c>
      <c r="B30" s="301">
        <f t="shared" si="0"/>
        <v>0</v>
      </c>
      <c r="C30" s="215">
        <f>'LSR Prepaid BPA interest'!I28</f>
        <v>66318.29534567408</v>
      </c>
      <c r="D30" s="209">
        <f>'LSR Prepaid BPA interest'!H28</f>
        <v>0</v>
      </c>
      <c r="E30" s="296">
        <f t="shared" si="1"/>
        <v>66318.29534567408</v>
      </c>
      <c r="F30" s="297">
        <f t="shared" si="7"/>
        <v>0</v>
      </c>
      <c r="G30" s="298">
        <f t="shared" si="2"/>
        <v>1171319.3303789822</v>
      </c>
      <c r="H30" s="296"/>
      <c r="I30" s="297">
        <f t="shared" si="3"/>
        <v>0</v>
      </c>
      <c r="J30" s="298">
        <f t="shared" si="4"/>
        <v>0</v>
      </c>
      <c r="K30" s="296"/>
      <c r="L30" s="297"/>
      <c r="M30" s="298">
        <f t="shared" si="5"/>
        <v>0</v>
      </c>
      <c r="N30" s="296">
        <f>'LSR Prepaid BPA interest'!G28</f>
        <v>0</v>
      </c>
      <c r="O30" s="297"/>
      <c r="P30" s="298">
        <f t="shared" si="6"/>
        <v>38200000</v>
      </c>
      <c r="Q30" s="300">
        <f t="shared" si="8"/>
        <v>32804166.666666668</v>
      </c>
      <c r="R30" s="204"/>
      <c r="S30" s="247"/>
      <c r="T30" s="295"/>
    </row>
    <row r="31" spans="1:20" outlineLevel="1">
      <c r="A31" s="287">
        <v>40329</v>
      </c>
      <c r="B31" s="301">
        <f t="shared" si="0"/>
        <v>0</v>
      </c>
      <c r="C31" s="215">
        <f>'LSR Prepaid BPA interest'!I29</f>
        <v>41885.239165688887</v>
      </c>
      <c r="D31" s="209">
        <f>'LSR Prepaid BPA interest'!H29</f>
        <v>0</v>
      </c>
      <c r="E31" s="296"/>
      <c r="F31" s="297">
        <f t="shared" si="7"/>
        <v>0</v>
      </c>
      <c r="G31" s="298">
        <f t="shared" si="2"/>
        <v>1171319.3303789822</v>
      </c>
      <c r="H31" s="296">
        <f t="shared" ref="H31:H53" si="9">C31</f>
        <v>41885.239165688887</v>
      </c>
      <c r="I31" s="297">
        <f t="shared" si="3"/>
        <v>0</v>
      </c>
      <c r="J31" s="298">
        <f t="shared" si="4"/>
        <v>41885.239165688887</v>
      </c>
      <c r="K31" s="296"/>
      <c r="L31" s="297"/>
      <c r="M31" s="298">
        <f t="shared" si="5"/>
        <v>0</v>
      </c>
      <c r="N31" s="296">
        <f>'LSR Prepaid BPA interest'!G29</f>
        <v>0</v>
      </c>
      <c r="O31" s="297"/>
      <c r="P31" s="298">
        <f t="shared" si="6"/>
        <v>38200000</v>
      </c>
      <c r="Q31" s="300">
        <f t="shared" si="8"/>
        <v>34700000</v>
      </c>
      <c r="R31" s="204"/>
      <c r="S31" s="247"/>
      <c r="T31" s="295"/>
    </row>
    <row r="32" spans="1:20" outlineLevel="1">
      <c r="A32" s="287">
        <v>40359</v>
      </c>
      <c r="B32" s="301">
        <f t="shared" si="0"/>
        <v>0</v>
      </c>
      <c r="C32" s="215">
        <f>'LSR Prepaid BPA interest'!I30</f>
        <v>144224.24131046733</v>
      </c>
      <c r="D32" s="209">
        <f>'LSR Prepaid BPA interest'!H30</f>
        <v>0</v>
      </c>
      <c r="E32" s="296"/>
      <c r="F32" s="297">
        <f t="shared" si="7"/>
        <v>0</v>
      </c>
      <c r="G32" s="298">
        <f t="shared" si="2"/>
        <v>1171319.3303789822</v>
      </c>
      <c r="H32" s="296">
        <f t="shared" si="9"/>
        <v>144224.24131046733</v>
      </c>
      <c r="I32" s="297">
        <f t="shared" si="3"/>
        <v>0</v>
      </c>
      <c r="J32" s="298">
        <f t="shared" si="4"/>
        <v>186109.48047615623</v>
      </c>
      <c r="K32" s="296"/>
      <c r="L32" s="297"/>
      <c r="M32" s="298">
        <f t="shared" si="5"/>
        <v>0</v>
      </c>
      <c r="N32" s="296">
        <f>'LSR Prepaid BPA interest'!G30</f>
        <v>10000000</v>
      </c>
      <c r="O32" s="297"/>
      <c r="P32" s="298">
        <f t="shared" si="6"/>
        <v>48200000</v>
      </c>
      <c r="Q32" s="300">
        <f t="shared" si="8"/>
        <v>36866666.666666664</v>
      </c>
      <c r="R32" s="204"/>
      <c r="S32" s="247"/>
      <c r="T32" s="295"/>
    </row>
    <row r="33" spans="1:20" outlineLevel="1">
      <c r="A33" s="287">
        <v>40390</v>
      </c>
      <c r="B33" s="301">
        <f t="shared" si="0"/>
        <v>0</v>
      </c>
      <c r="C33" s="215">
        <f>'LSR Prepaid BPA interest'!I31</f>
        <v>153044.89494442084</v>
      </c>
      <c r="D33" s="209">
        <f>'LSR Prepaid BPA interest'!H31</f>
        <v>0</v>
      </c>
      <c r="E33" s="296"/>
      <c r="F33" s="297">
        <f t="shared" si="7"/>
        <v>0</v>
      </c>
      <c r="G33" s="298">
        <f t="shared" si="2"/>
        <v>1171319.3303789822</v>
      </c>
      <c r="H33" s="296">
        <f t="shared" si="9"/>
        <v>153044.89494442084</v>
      </c>
      <c r="I33" s="297">
        <f t="shared" si="3"/>
        <v>0</v>
      </c>
      <c r="J33" s="298">
        <f t="shared" si="4"/>
        <v>339154.37542057707</v>
      </c>
      <c r="K33" s="296"/>
      <c r="L33" s="297"/>
      <c r="M33" s="298">
        <f t="shared" si="5"/>
        <v>0</v>
      </c>
      <c r="N33" s="296">
        <f>'LSR Prepaid BPA interest'!G31</f>
        <v>10000000</v>
      </c>
      <c r="O33" s="297"/>
      <c r="P33" s="298">
        <f t="shared" si="6"/>
        <v>58200000</v>
      </c>
      <c r="Q33" s="300">
        <f t="shared" si="8"/>
        <v>39429166.666666664</v>
      </c>
      <c r="R33" s="204"/>
      <c r="S33" s="247"/>
      <c r="T33" s="295"/>
    </row>
    <row r="34" spans="1:20" outlineLevel="1">
      <c r="A34" s="287">
        <v>40421</v>
      </c>
      <c r="B34" s="301">
        <f t="shared" si="0"/>
        <v>0</v>
      </c>
      <c r="C34" s="215">
        <f>'LSR Prepaid BPA interest'!I32</f>
        <v>180404.34699921537</v>
      </c>
      <c r="D34" s="209">
        <f>'LSR Prepaid BPA interest'!H32</f>
        <v>0</v>
      </c>
      <c r="E34" s="296"/>
      <c r="F34" s="297">
        <f t="shared" si="7"/>
        <v>0</v>
      </c>
      <c r="G34" s="298">
        <f t="shared" si="2"/>
        <v>1171319.3303789822</v>
      </c>
      <c r="H34" s="296">
        <f t="shared" si="9"/>
        <v>180404.34699921537</v>
      </c>
      <c r="I34" s="297">
        <f t="shared" si="3"/>
        <v>0</v>
      </c>
      <c r="J34" s="298">
        <f t="shared" si="4"/>
        <v>519558.72241979244</v>
      </c>
      <c r="K34" s="296"/>
      <c r="L34" s="297"/>
      <c r="M34" s="298">
        <f t="shared" si="5"/>
        <v>0</v>
      </c>
      <c r="N34" s="296">
        <f>'LSR Prepaid BPA interest'!G32</f>
        <v>0</v>
      </c>
      <c r="O34" s="297"/>
      <c r="P34" s="298">
        <f t="shared" si="6"/>
        <v>58200000</v>
      </c>
      <c r="Q34" s="300">
        <f t="shared" si="8"/>
        <v>41533333.333333336</v>
      </c>
      <c r="R34" s="204"/>
      <c r="S34" s="247"/>
      <c r="T34" s="295"/>
    </row>
    <row r="35" spans="1:20" outlineLevel="1">
      <c r="A35" s="287">
        <v>40451</v>
      </c>
      <c r="B35" s="301">
        <f t="shared" si="0"/>
        <v>0</v>
      </c>
      <c r="C35" s="215">
        <f>'LSR Prepaid BPA interest'!I33</f>
        <v>174584.85193472455</v>
      </c>
      <c r="D35" s="209">
        <f>'LSR Prepaid BPA interest'!H33</f>
        <v>0</v>
      </c>
      <c r="E35" s="296"/>
      <c r="F35" s="297">
        <f t="shared" si="7"/>
        <v>0</v>
      </c>
      <c r="G35" s="298">
        <f t="shared" si="2"/>
        <v>1171319.3303789822</v>
      </c>
      <c r="H35" s="296">
        <f t="shared" si="9"/>
        <v>174584.85193472455</v>
      </c>
      <c r="I35" s="297">
        <f t="shared" si="3"/>
        <v>0</v>
      </c>
      <c r="J35" s="298">
        <f t="shared" si="4"/>
        <v>694143.57435451704</v>
      </c>
      <c r="K35" s="296"/>
      <c r="L35" s="297"/>
      <c r="M35" s="298">
        <f t="shared" si="5"/>
        <v>0</v>
      </c>
      <c r="N35" s="296">
        <f>'LSR Prepaid BPA interest'!G33</f>
        <v>0</v>
      </c>
      <c r="O35" s="297"/>
      <c r="P35" s="298">
        <f t="shared" si="6"/>
        <v>58200000</v>
      </c>
      <c r="Q35" s="300">
        <f t="shared" si="8"/>
        <v>43200000</v>
      </c>
      <c r="R35" s="204"/>
      <c r="S35" s="247"/>
      <c r="T35" s="295"/>
    </row>
    <row r="36" spans="1:20" outlineLevel="1">
      <c r="A36" s="287">
        <v>40482</v>
      </c>
      <c r="B36" s="301">
        <f t="shared" si="0"/>
        <v>0</v>
      </c>
      <c r="C36" s="215">
        <f>'LSR Prepaid BPA interest'!I34</f>
        <v>186164.39662853954</v>
      </c>
      <c r="D36" s="209">
        <f>'LSR Prepaid BPA interest'!H34</f>
        <v>0</v>
      </c>
      <c r="E36" s="296"/>
      <c r="F36" s="297">
        <f t="shared" si="7"/>
        <v>0</v>
      </c>
      <c r="G36" s="298">
        <f t="shared" si="2"/>
        <v>1171319.3303789822</v>
      </c>
      <c r="H36" s="296">
        <f t="shared" si="9"/>
        <v>186164.39662853954</v>
      </c>
      <c r="I36" s="297">
        <f t="shared" si="3"/>
        <v>0</v>
      </c>
      <c r="J36" s="298">
        <f t="shared" si="4"/>
        <v>880307.97098305658</v>
      </c>
      <c r="K36" s="296"/>
      <c r="L36" s="297"/>
      <c r="M36" s="298">
        <f t="shared" si="5"/>
        <v>0</v>
      </c>
      <c r="N36" s="296">
        <f>'LSR Prepaid BPA interest'!G34</f>
        <v>14400000</v>
      </c>
      <c r="O36" s="297"/>
      <c r="P36" s="298">
        <f t="shared" si="6"/>
        <v>72600000</v>
      </c>
      <c r="Q36" s="300">
        <f t="shared" si="8"/>
        <v>45466666.666666664</v>
      </c>
      <c r="R36" s="204"/>
      <c r="S36" s="247"/>
      <c r="T36" s="295"/>
    </row>
    <row r="37" spans="1:20" outlineLevel="1">
      <c r="A37" s="287">
        <v>40512</v>
      </c>
      <c r="B37" s="301">
        <f t="shared" si="0"/>
        <v>0</v>
      </c>
      <c r="C37" s="215">
        <f>'LSR Prepaid BPA interest'!I35</f>
        <v>218285.81379430031</v>
      </c>
      <c r="D37" s="209">
        <f>'LSR Prepaid BPA interest'!H35</f>
        <v>0</v>
      </c>
      <c r="E37" s="296"/>
      <c r="F37" s="297">
        <f t="shared" si="7"/>
        <v>0</v>
      </c>
      <c r="G37" s="298">
        <f t="shared" si="2"/>
        <v>1171319.3303789822</v>
      </c>
      <c r="H37" s="296">
        <f t="shared" si="9"/>
        <v>218285.81379430031</v>
      </c>
      <c r="I37" s="297">
        <f t="shared" si="3"/>
        <v>0</v>
      </c>
      <c r="J37" s="298">
        <f t="shared" si="4"/>
        <v>1098593.7847773568</v>
      </c>
      <c r="K37" s="296"/>
      <c r="L37" s="297"/>
      <c r="M37" s="298">
        <f t="shared" si="5"/>
        <v>0</v>
      </c>
      <c r="N37" s="296">
        <f>'LSR Prepaid BPA interest'!G35</f>
        <v>0</v>
      </c>
      <c r="O37" s="297"/>
      <c r="P37" s="298">
        <f t="shared" si="6"/>
        <v>72600000</v>
      </c>
      <c r="Q37" s="300">
        <f t="shared" si="8"/>
        <v>48333333.333333336</v>
      </c>
      <c r="R37" s="204"/>
      <c r="S37" s="247"/>
      <c r="T37" s="295"/>
    </row>
    <row r="38" spans="1:20" outlineLevel="1">
      <c r="A38" s="287">
        <v>40543</v>
      </c>
      <c r="B38" s="301">
        <f t="shared" si="0"/>
        <v>0</v>
      </c>
      <c r="C38" s="215">
        <f>'LSR Prepaid BPA interest'!I36</f>
        <v>225562.00758744363</v>
      </c>
      <c r="D38" s="209">
        <f>'LSR Prepaid BPA interest'!H36</f>
        <v>0</v>
      </c>
      <c r="E38" s="296"/>
      <c r="F38" s="297">
        <f t="shared" si="7"/>
        <v>0</v>
      </c>
      <c r="G38" s="298">
        <f t="shared" si="2"/>
        <v>1171319.3303789822</v>
      </c>
      <c r="H38" s="296">
        <f t="shared" si="9"/>
        <v>225562.00758744363</v>
      </c>
      <c r="I38" s="297">
        <f t="shared" si="3"/>
        <v>0</v>
      </c>
      <c r="J38" s="298">
        <f t="shared" si="4"/>
        <v>1324155.7923648003</v>
      </c>
      <c r="K38" s="296"/>
      <c r="L38" s="297"/>
      <c r="M38" s="298">
        <f t="shared" si="5"/>
        <v>0</v>
      </c>
      <c r="N38" s="296">
        <f>'LSR Prepaid BPA interest'!G36</f>
        <v>0</v>
      </c>
      <c r="O38" s="297"/>
      <c r="P38" s="298">
        <f t="shared" si="6"/>
        <v>72600000</v>
      </c>
      <c r="Q38" s="300">
        <f t="shared" si="8"/>
        <v>51200000</v>
      </c>
      <c r="R38" s="204"/>
      <c r="S38" s="247"/>
      <c r="T38" s="295"/>
    </row>
    <row r="39" spans="1:20" outlineLevel="1">
      <c r="A39" s="287">
        <v>40574</v>
      </c>
      <c r="B39" s="301">
        <f t="shared" si="0"/>
        <v>0</v>
      </c>
      <c r="C39" s="215">
        <f>'LSR Prepaid BPA interest'!I37</f>
        <v>227470.36637762297</v>
      </c>
      <c r="D39" s="209">
        <f>'LSR Prepaid BPA interest'!H37</f>
        <v>0</v>
      </c>
      <c r="E39" s="296"/>
      <c r="F39" s="297">
        <f t="shared" si="7"/>
        <v>0</v>
      </c>
      <c r="G39" s="298">
        <f t="shared" si="2"/>
        <v>1171319.3303789822</v>
      </c>
      <c r="H39" s="296">
        <f t="shared" si="9"/>
        <v>227470.36637762297</v>
      </c>
      <c r="I39" s="297">
        <f t="shared" si="3"/>
        <v>0</v>
      </c>
      <c r="J39" s="298">
        <f t="shared" si="4"/>
        <v>1551626.1587424234</v>
      </c>
      <c r="K39" s="296"/>
      <c r="L39" s="297"/>
      <c r="M39" s="298">
        <f t="shared" si="5"/>
        <v>0</v>
      </c>
      <c r="N39" s="296">
        <f>'LSR Prepaid BPA interest'!G37</f>
        <v>0</v>
      </c>
      <c r="O39" s="297"/>
      <c r="P39" s="298">
        <f t="shared" si="6"/>
        <v>72600000</v>
      </c>
      <c r="Q39" s="300">
        <f t="shared" si="8"/>
        <v>54066666.666666664</v>
      </c>
      <c r="R39" s="204"/>
      <c r="S39" s="247"/>
      <c r="T39" s="295"/>
    </row>
    <row r="40" spans="1:20" outlineLevel="1">
      <c r="A40" s="287">
        <v>40602</v>
      </c>
      <c r="B40" s="301">
        <f t="shared" si="0"/>
        <v>0</v>
      </c>
      <c r="C40" s="215">
        <f>'LSR Prepaid BPA interest'!I38</f>
        <v>205457.10511527234</v>
      </c>
      <c r="D40" s="209">
        <f>'LSR Prepaid BPA interest'!H38</f>
        <v>0</v>
      </c>
      <c r="E40" s="296"/>
      <c r="F40" s="297">
        <f t="shared" si="7"/>
        <v>0</v>
      </c>
      <c r="G40" s="298">
        <f t="shared" si="2"/>
        <v>1171319.3303789822</v>
      </c>
      <c r="H40" s="296">
        <f t="shared" si="9"/>
        <v>205457.10511527234</v>
      </c>
      <c r="I40" s="297">
        <f t="shared" si="3"/>
        <v>0</v>
      </c>
      <c r="J40" s="298">
        <f t="shared" si="4"/>
        <v>1757083.2638576957</v>
      </c>
      <c r="K40" s="296"/>
      <c r="L40" s="297"/>
      <c r="M40" s="298">
        <f t="shared" si="5"/>
        <v>0</v>
      </c>
      <c r="N40" s="296">
        <f>'LSR Prepaid BPA interest'!G38</f>
        <v>0</v>
      </c>
      <c r="O40" s="297"/>
      <c r="P40" s="298">
        <f t="shared" si="6"/>
        <v>72600000</v>
      </c>
      <c r="Q40" s="300">
        <f t="shared" si="8"/>
        <v>56933333.333333336</v>
      </c>
      <c r="R40" s="204"/>
      <c r="S40" s="247"/>
      <c r="T40" s="295"/>
    </row>
    <row r="41" spans="1:20" outlineLevel="1">
      <c r="A41" s="287">
        <v>40633</v>
      </c>
      <c r="B41" s="301">
        <f t="shared" si="0"/>
        <v>0</v>
      </c>
      <c r="C41" s="215">
        <f>'LSR Prepaid BPA interest'!I39</f>
        <v>257702.56089817092</v>
      </c>
      <c r="D41" s="209">
        <f>'LSR Prepaid BPA interest'!H39</f>
        <v>0</v>
      </c>
      <c r="E41" s="296"/>
      <c r="F41" s="297">
        <f t="shared" si="7"/>
        <v>0</v>
      </c>
      <c r="G41" s="298">
        <f t="shared" si="2"/>
        <v>1171319.3303789822</v>
      </c>
      <c r="H41" s="296">
        <f t="shared" si="9"/>
        <v>257702.56089817092</v>
      </c>
      <c r="I41" s="297">
        <f t="shared" si="3"/>
        <v>0</v>
      </c>
      <c r="J41" s="298">
        <f t="shared" si="4"/>
        <v>2014785.8247558665</v>
      </c>
      <c r="K41" s="296"/>
      <c r="L41" s="297"/>
      <c r="M41" s="298">
        <f t="shared" si="5"/>
        <v>0</v>
      </c>
      <c r="N41" s="296">
        <f>'LSR Prepaid BPA interest'!G39</f>
        <v>18200000</v>
      </c>
      <c r="O41" s="297"/>
      <c r="P41" s="298">
        <f t="shared" si="6"/>
        <v>90800000</v>
      </c>
      <c r="Q41" s="300">
        <f t="shared" si="8"/>
        <v>60558333.333333336</v>
      </c>
      <c r="R41" s="204"/>
      <c r="S41" s="247"/>
      <c r="T41" s="295"/>
    </row>
    <row r="42" spans="1:20" outlineLevel="1">
      <c r="A42" s="287">
        <v>40663</v>
      </c>
      <c r="B42" s="301">
        <f t="shared" si="0"/>
        <v>0</v>
      </c>
      <c r="C42" s="215">
        <f>'LSR Prepaid BPA interest'!I40</f>
        <v>275508.03619379876</v>
      </c>
      <c r="D42" s="209">
        <f>'LSR Prepaid BPA interest'!H40</f>
        <v>0</v>
      </c>
      <c r="E42" s="296"/>
      <c r="F42" s="297">
        <f t="shared" si="7"/>
        <v>0</v>
      </c>
      <c r="G42" s="298">
        <f t="shared" si="2"/>
        <v>1171319.3303789822</v>
      </c>
      <c r="H42" s="296">
        <f t="shared" si="9"/>
        <v>275508.03619379876</v>
      </c>
      <c r="I42" s="297">
        <f t="shared" si="3"/>
        <v>0</v>
      </c>
      <c r="J42" s="298">
        <f t="shared" si="4"/>
        <v>2290293.8609496653</v>
      </c>
      <c r="K42" s="296"/>
      <c r="L42" s="297"/>
      <c r="M42" s="298">
        <f t="shared" si="5"/>
        <v>0</v>
      </c>
      <c r="N42" s="296">
        <f>'LSR Prepaid BPA interest'!G40</f>
        <v>0</v>
      </c>
      <c r="O42" s="297"/>
      <c r="P42" s="298">
        <f t="shared" si="6"/>
        <v>90800000</v>
      </c>
      <c r="Q42" s="300">
        <f t="shared" si="8"/>
        <v>64941666.666666664</v>
      </c>
      <c r="R42" s="204"/>
      <c r="S42" s="247"/>
      <c r="T42" s="295"/>
    </row>
    <row r="43" spans="1:20" outlineLevel="1">
      <c r="A43" s="287">
        <v>40694</v>
      </c>
      <c r="B43" s="301">
        <f t="shared" si="0"/>
        <v>0</v>
      </c>
      <c r="C43" s="215">
        <f>'LSR Prepaid BPA interest'!I41</f>
        <v>284691.63740025874</v>
      </c>
      <c r="D43" s="209">
        <f>'LSR Prepaid BPA interest'!H41</f>
        <v>0</v>
      </c>
      <c r="E43" s="296"/>
      <c r="F43" s="297">
        <f t="shared" si="7"/>
        <v>0</v>
      </c>
      <c r="G43" s="298">
        <f t="shared" si="2"/>
        <v>1171319.3303789822</v>
      </c>
      <c r="H43" s="296">
        <f t="shared" si="9"/>
        <v>284691.63740025874</v>
      </c>
      <c r="I43" s="297">
        <f t="shared" si="3"/>
        <v>0</v>
      </c>
      <c r="J43" s="298">
        <f t="shared" si="4"/>
        <v>2574985.4983499241</v>
      </c>
      <c r="K43" s="296"/>
      <c r="L43" s="297"/>
      <c r="M43" s="298">
        <f t="shared" si="5"/>
        <v>0</v>
      </c>
      <c r="N43" s="296">
        <f>'LSR Prepaid BPA interest'!G41</f>
        <v>0</v>
      </c>
      <c r="O43" s="297"/>
      <c r="P43" s="298">
        <f t="shared" si="6"/>
        <v>90800000</v>
      </c>
      <c r="Q43" s="300">
        <f t="shared" si="8"/>
        <v>69325000</v>
      </c>
      <c r="R43" s="204"/>
      <c r="S43" s="247"/>
      <c r="T43" s="295"/>
    </row>
    <row r="44" spans="1:20" outlineLevel="1">
      <c r="A44" s="287">
        <v>40724</v>
      </c>
      <c r="B44" s="301">
        <f t="shared" si="0"/>
        <v>0</v>
      </c>
      <c r="C44" s="215">
        <f>'LSR Prepaid BPA interest'!I42</f>
        <v>275508.03619379876</v>
      </c>
      <c r="D44" s="209">
        <f>'LSR Prepaid BPA interest'!H42</f>
        <v>0</v>
      </c>
      <c r="E44" s="296"/>
      <c r="F44" s="297">
        <f t="shared" si="7"/>
        <v>0</v>
      </c>
      <c r="G44" s="298">
        <f t="shared" si="2"/>
        <v>1171319.3303789822</v>
      </c>
      <c r="H44" s="296">
        <f t="shared" si="9"/>
        <v>275508.03619379876</v>
      </c>
      <c r="I44" s="297">
        <f t="shared" si="3"/>
        <v>0</v>
      </c>
      <c r="J44" s="298">
        <f t="shared" si="4"/>
        <v>2850493.5345437229</v>
      </c>
      <c r="K44" s="296"/>
      <c r="L44" s="297"/>
      <c r="M44" s="298">
        <f t="shared" si="5"/>
        <v>0</v>
      </c>
      <c r="N44" s="296">
        <f>'LSR Prepaid BPA interest'!G42</f>
        <v>0</v>
      </c>
      <c r="O44" s="297"/>
      <c r="P44" s="298">
        <f t="shared" si="6"/>
        <v>90800000</v>
      </c>
      <c r="Q44" s="300">
        <f t="shared" si="8"/>
        <v>73291666.666666672</v>
      </c>
      <c r="R44" s="204"/>
      <c r="S44" s="247"/>
      <c r="T44" s="295"/>
    </row>
    <row r="45" spans="1:20" outlineLevel="1">
      <c r="A45" s="287">
        <v>40755</v>
      </c>
      <c r="B45" s="301">
        <f t="shared" si="0"/>
        <v>0</v>
      </c>
      <c r="C45" s="215">
        <f>'LSR Prepaid BPA interest'!I43</f>
        <v>287223.06474151107</v>
      </c>
      <c r="D45" s="209">
        <f>'LSR Prepaid BPA interest'!H43</f>
        <v>0</v>
      </c>
      <c r="E45" s="296"/>
      <c r="F45" s="297">
        <f t="shared" si="7"/>
        <v>0</v>
      </c>
      <c r="G45" s="298">
        <f t="shared" si="2"/>
        <v>1171319.3303789822</v>
      </c>
      <c r="H45" s="296">
        <f t="shared" si="9"/>
        <v>287223.06474151107</v>
      </c>
      <c r="I45" s="297">
        <f t="shared" si="3"/>
        <v>0</v>
      </c>
      <c r="J45" s="298">
        <f t="shared" si="4"/>
        <v>3137716.5992852338</v>
      </c>
      <c r="K45" s="296"/>
      <c r="L45" s="297"/>
      <c r="M45" s="298">
        <f t="shared" si="5"/>
        <v>0</v>
      </c>
      <c r="N45" s="296">
        <f>'LSR Prepaid BPA interest'!G43</f>
        <v>0</v>
      </c>
      <c r="O45" s="297"/>
      <c r="P45" s="298">
        <f t="shared" si="6"/>
        <v>90800000</v>
      </c>
      <c r="Q45" s="300">
        <f t="shared" si="8"/>
        <v>76425000</v>
      </c>
      <c r="R45" s="204"/>
      <c r="S45" s="247"/>
      <c r="T45" s="295"/>
    </row>
    <row r="46" spans="1:20" outlineLevel="1">
      <c r="A46" s="287">
        <v>40786</v>
      </c>
      <c r="B46" s="301">
        <f t="shared" si="0"/>
        <v>0</v>
      </c>
      <c r="C46" s="215">
        <f>'LSR Prepaid BPA interest'!I44</f>
        <v>314381.17732423684</v>
      </c>
      <c r="D46" s="209">
        <f>'LSR Prepaid BPA interest'!H44</f>
        <v>0</v>
      </c>
      <c r="E46" s="296"/>
      <c r="F46" s="297">
        <f t="shared" si="7"/>
        <v>0</v>
      </c>
      <c r="G46" s="298">
        <f t="shared" si="2"/>
        <v>1171319.3303789822</v>
      </c>
      <c r="H46" s="296">
        <f t="shared" si="9"/>
        <v>314381.17732423684</v>
      </c>
      <c r="I46" s="297">
        <f t="shared" si="3"/>
        <v>0</v>
      </c>
      <c r="J46" s="298">
        <f t="shared" si="4"/>
        <v>3452097.7766094706</v>
      </c>
      <c r="K46" s="296"/>
      <c r="L46" s="297"/>
      <c r="M46" s="298">
        <f t="shared" si="5"/>
        <v>0</v>
      </c>
      <c r="N46" s="296">
        <f>'LSR Prepaid BPA interest'!G44</f>
        <v>8965789.2599999998</v>
      </c>
      <c r="O46" s="297"/>
      <c r="P46" s="298">
        <f t="shared" si="6"/>
        <v>99765789.260000005</v>
      </c>
      <c r="Q46" s="300">
        <f t="shared" si="8"/>
        <v>79515241.219166666</v>
      </c>
      <c r="R46" s="204"/>
      <c r="S46" s="247"/>
      <c r="T46" s="295"/>
    </row>
    <row r="47" spans="1:20" outlineLevel="1">
      <c r="A47" s="287">
        <v>40816</v>
      </c>
      <c r="B47" s="301">
        <f t="shared" si="0"/>
        <v>0</v>
      </c>
      <c r="C47" s="215">
        <f>'LSR Prepaid BPA interest'!I45</f>
        <v>304239.849023455</v>
      </c>
      <c r="D47" s="209">
        <f>'LSR Prepaid BPA interest'!H45</f>
        <v>0</v>
      </c>
      <c r="E47" s="296"/>
      <c r="F47" s="297">
        <f t="shared" si="7"/>
        <v>0</v>
      </c>
      <c r="G47" s="298">
        <f t="shared" si="2"/>
        <v>1171319.3303789822</v>
      </c>
      <c r="H47" s="296">
        <f t="shared" si="9"/>
        <v>304239.849023455</v>
      </c>
      <c r="I47" s="297">
        <f t="shared" si="3"/>
        <v>0</v>
      </c>
      <c r="J47" s="298">
        <f t="shared" si="4"/>
        <v>3756337.6256329254</v>
      </c>
      <c r="K47" s="296"/>
      <c r="L47" s="297"/>
      <c r="M47" s="298">
        <f t="shared" si="5"/>
        <v>0</v>
      </c>
      <c r="N47" s="296">
        <f>'LSR Prepaid BPA interest'!G45</f>
        <v>0</v>
      </c>
      <c r="O47" s="297"/>
      <c r="P47" s="298">
        <f t="shared" si="6"/>
        <v>99765789.260000005</v>
      </c>
      <c r="Q47" s="300">
        <f t="shared" si="8"/>
        <v>82979056.990833327</v>
      </c>
      <c r="R47" s="204"/>
      <c r="S47" s="247"/>
      <c r="T47" s="295"/>
    </row>
    <row r="48" spans="1:20" outlineLevel="1">
      <c r="A48" s="287">
        <v>40847</v>
      </c>
      <c r="B48" s="301">
        <f t="shared" si="0"/>
        <v>0</v>
      </c>
      <c r="C48" s="215">
        <f>'LSR Prepaid BPA interest'!I46</f>
        <v>317125.05352908501</v>
      </c>
      <c r="D48" s="209">
        <f>'LSR Prepaid BPA interest'!H46</f>
        <v>0</v>
      </c>
      <c r="E48" s="296"/>
      <c r="F48" s="297">
        <f t="shared" si="7"/>
        <v>0</v>
      </c>
      <c r="G48" s="298">
        <f t="shared" si="2"/>
        <v>1171319.3303789822</v>
      </c>
      <c r="H48" s="296">
        <f t="shared" si="9"/>
        <v>317125.05352908501</v>
      </c>
      <c r="I48" s="297">
        <f t="shared" si="3"/>
        <v>0</v>
      </c>
      <c r="J48" s="298">
        <f t="shared" si="4"/>
        <v>4073462.6791620106</v>
      </c>
      <c r="K48" s="296"/>
      <c r="L48" s="297"/>
      <c r="M48" s="298">
        <f t="shared" si="5"/>
        <v>0</v>
      </c>
      <c r="N48" s="296">
        <f>'LSR Prepaid BPA interest'!G46</f>
        <v>0</v>
      </c>
      <c r="O48" s="297"/>
      <c r="P48" s="298">
        <f t="shared" si="6"/>
        <v>99765789.260000005</v>
      </c>
      <c r="Q48" s="300">
        <f t="shared" si="8"/>
        <v>85842872.762500003</v>
      </c>
      <c r="R48" s="204"/>
      <c r="S48" s="247"/>
      <c r="T48" s="295"/>
    </row>
    <row r="49" spans="1:24" outlineLevel="1">
      <c r="A49" s="287">
        <v>40877</v>
      </c>
      <c r="B49" s="301">
        <f t="shared" si="0"/>
        <v>0</v>
      </c>
      <c r="C49" s="215">
        <f>'LSR Prepaid BPA interest'!I47</f>
        <v>306895.21309266292</v>
      </c>
      <c r="D49" s="209">
        <f>'LSR Prepaid BPA interest'!H47</f>
        <v>0</v>
      </c>
      <c r="E49" s="296"/>
      <c r="F49" s="297">
        <f t="shared" si="7"/>
        <v>0</v>
      </c>
      <c r="G49" s="298">
        <f t="shared" si="2"/>
        <v>1171319.3303789822</v>
      </c>
      <c r="H49" s="296">
        <f t="shared" si="9"/>
        <v>306895.21309266292</v>
      </c>
      <c r="I49" s="297">
        <f t="shared" si="3"/>
        <v>0</v>
      </c>
      <c r="J49" s="298">
        <f t="shared" si="4"/>
        <v>4380357.8922546739</v>
      </c>
      <c r="K49" s="296"/>
      <c r="L49" s="297"/>
      <c r="M49" s="298">
        <f t="shared" si="5"/>
        <v>0</v>
      </c>
      <c r="N49" s="296">
        <f>'LSR Prepaid BPA interest'!G47</f>
        <v>0</v>
      </c>
      <c r="O49" s="297"/>
      <c r="P49" s="298">
        <f t="shared" si="6"/>
        <v>99765789.260000005</v>
      </c>
      <c r="Q49" s="300">
        <f t="shared" si="8"/>
        <v>88106688.534166664</v>
      </c>
      <c r="R49" s="204"/>
      <c r="S49" s="247"/>
      <c r="T49" s="295"/>
    </row>
    <row r="50" spans="1:24" outlineLevel="1">
      <c r="A50" s="287">
        <v>40908</v>
      </c>
      <c r="B50" s="301">
        <f t="shared" si="0"/>
        <v>0</v>
      </c>
      <c r="C50" s="215">
        <f>'LSR Prepaid BPA interest'!I48</f>
        <v>317125.05352908501</v>
      </c>
      <c r="D50" s="209">
        <f>'LSR Prepaid BPA interest'!H48</f>
        <v>0</v>
      </c>
      <c r="E50" s="296"/>
      <c r="F50" s="297">
        <f>-MIN(ABS(D50),ABS(G49))</f>
        <v>0</v>
      </c>
      <c r="G50" s="298">
        <f>G49+E50+F50</f>
        <v>1171319.3303789822</v>
      </c>
      <c r="H50" s="296">
        <f t="shared" si="9"/>
        <v>317125.05352908501</v>
      </c>
      <c r="I50" s="297">
        <f t="shared" si="3"/>
        <v>0</v>
      </c>
      <c r="J50" s="298">
        <f t="shared" si="4"/>
        <v>4697482.9457837585</v>
      </c>
      <c r="K50" s="296"/>
      <c r="L50" s="297"/>
      <c r="M50" s="298">
        <f t="shared" si="5"/>
        <v>0</v>
      </c>
      <c r="N50" s="296">
        <f>'LSR Prepaid BPA interest'!G48</f>
        <v>0</v>
      </c>
      <c r="O50" s="297"/>
      <c r="P50" s="298">
        <f t="shared" si="6"/>
        <v>99765789.260000005</v>
      </c>
      <c r="Q50" s="300">
        <f t="shared" si="8"/>
        <v>90370504.30583334</v>
      </c>
      <c r="R50" s="204"/>
      <c r="S50" s="247"/>
      <c r="T50" s="295"/>
    </row>
    <row r="51" spans="1:24" outlineLevel="1">
      <c r="A51" s="287">
        <v>40939</v>
      </c>
      <c r="B51" s="301">
        <f t="shared" si="0"/>
        <v>0</v>
      </c>
      <c r="C51" s="215">
        <f>'LSR Prepaid BPA interest'!I49</f>
        <v>319975.8600582318</v>
      </c>
      <c r="D51" s="209">
        <f>'LSR Prepaid BPA interest'!H49</f>
        <v>0</v>
      </c>
      <c r="E51" s="296"/>
      <c r="F51" s="297">
        <f t="shared" si="7"/>
        <v>0</v>
      </c>
      <c r="G51" s="298">
        <f>G50+E51+F51</f>
        <v>1171319.3303789822</v>
      </c>
      <c r="H51" s="296">
        <f t="shared" si="9"/>
        <v>319975.8600582318</v>
      </c>
      <c r="I51" s="297">
        <f t="shared" si="3"/>
        <v>0</v>
      </c>
      <c r="J51" s="298">
        <f t="shared" si="4"/>
        <v>5017458.8058419907</v>
      </c>
      <c r="K51" s="296"/>
      <c r="L51" s="297"/>
      <c r="M51" s="298">
        <f t="shared" si="5"/>
        <v>0</v>
      </c>
      <c r="N51" s="296">
        <f>'LSR Prepaid BPA interest'!G49</f>
        <v>0</v>
      </c>
      <c r="O51" s="297"/>
      <c r="P51" s="298">
        <f t="shared" si="6"/>
        <v>99765789.260000005</v>
      </c>
      <c r="Q51" s="300">
        <f t="shared" si="8"/>
        <v>92634320.077499986</v>
      </c>
      <c r="R51" s="204"/>
      <c r="S51" s="247"/>
      <c r="T51" s="295"/>
    </row>
    <row r="52" spans="1:24" outlineLevel="1">
      <c r="A52" s="287">
        <v>40968</v>
      </c>
      <c r="B52" s="301">
        <f t="shared" si="0"/>
        <v>0</v>
      </c>
      <c r="C52" s="215">
        <f>'LSR Prepaid BPA interest'!I50</f>
        <v>299332.25618350715</v>
      </c>
      <c r="D52" s="209">
        <f>'LSR Prepaid BPA interest'!H50</f>
        <v>0</v>
      </c>
      <c r="E52" s="296"/>
      <c r="F52" s="297">
        <f>-MIN(ABS(D52),ABS(G51))</f>
        <v>0</v>
      </c>
      <c r="G52" s="298">
        <f t="shared" si="2"/>
        <v>1171319.3303789822</v>
      </c>
      <c r="H52" s="296">
        <f t="shared" si="9"/>
        <v>299332.25618350715</v>
      </c>
      <c r="I52" s="297">
        <f t="shared" si="3"/>
        <v>0</v>
      </c>
      <c r="J52" s="298">
        <f>J51+H52+I52</f>
        <v>5316791.0620254977</v>
      </c>
      <c r="K52" s="296"/>
      <c r="L52" s="297"/>
      <c r="M52" s="298">
        <f t="shared" si="5"/>
        <v>0</v>
      </c>
      <c r="N52" s="296">
        <f>'LSR Prepaid BPA interest'!G50</f>
        <v>0</v>
      </c>
      <c r="O52" s="297"/>
      <c r="P52" s="298">
        <f t="shared" si="6"/>
        <v>99765789.260000005</v>
      </c>
      <c r="Q52" s="300">
        <f t="shared" si="8"/>
        <v>94898135.849166676</v>
      </c>
      <c r="R52" s="204"/>
      <c r="S52" s="247"/>
      <c r="T52" s="295"/>
    </row>
    <row r="53" spans="1:24" outlineLevel="1">
      <c r="A53" s="287">
        <v>40999</v>
      </c>
      <c r="B53" s="301">
        <f t="shared" si="0"/>
        <v>0</v>
      </c>
      <c r="C53" s="215">
        <f>'LSR Prepaid BPA interest'!I51</f>
        <v>319189.51032124547</v>
      </c>
      <c r="D53" s="209">
        <f>'LSR Prepaid BPA interest'!H51</f>
        <v>-259600</v>
      </c>
      <c r="E53" s="296"/>
      <c r="F53" s="297">
        <f>-MIN(ABS(D53),ABS(G52))</f>
        <v>-259600</v>
      </c>
      <c r="G53" s="298">
        <f t="shared" si="2"/>
        <v>911719.33037898224</v>
      </c>
      <c r="H53" s="296">
        <f t="shared" si="9"/>
        <v>319189.51032124547</v>
      </c>
      <c r="I53" s="297">
        <f>IF((F53-D53)&gt;D53,(D53-F53),0)</f>
        <v>0</v>
      </c>
      <c r="J53" s="298">
        <f>J52+H53+I53</f>
        <v>5635980.5723467432</v>
      </c>
      <c r="K53" s="296"/>
      <c r="L53" s="297"/>
      <c r="M53" s="298">
        <f t="shared" si="5"/>
        <v>0</v>
      </c>
      <c r="N53" s="296">
        <f>'LSR Prepaid BPA interest'!G51</f>
        <v>0</v>
      </c>
      <c r="O53" s="297"/>
      <c r="P53" s="298">
        <f t="shared" si="6"/>
        <v>99765789.260000005</v>
      </c>
      <c r="Q53" s="300">
        <f t="shared" si="8"/>
        <v>96403618.287499979</v>
      </c>
      <c r="R53" s="204"/>
      <c r="S53" s="247"/>
      <c r="T53" s="295"/>
      <c r="V53" s="204"/>
    </row>
    <row r="54" spans="1:24" outlineLevel="1">
      <c r="A54" s="287">
        <v>41029</v>
      </c>
      <c r="B54" s="301">
        <f t="shared" si="0"/>
        <v>0</v>
      </c>
      <c r="C54" s="215">
        <f>'LSR Prepaid BPA interest'!I52</f>
        <v>310370.09101714636</v>
      </c>
      <c r="D54" s="209">
        <f>'LSR Prepaid BPA interest'!H52</f>
        <v>-434632</v>
      </c>
      <c r="E54" s="296"/>
      <c r="F54" s="297">
        <f>-MIN(ABS(D54),ABS(G53))</f>
        <v>-434632</v>
      </c>
      <c r="G54" s="298">
        <f t="shared" si="2"/>
        <v>477087.33037898224</v>
      </c>
      <c r="H54" s="296">
        <v>0</v>
      </c>
      <c r="I54" s="297">
        <f t="shared" ref="I54:I67" si="10">IF((F54-D54)&gt;D54,(D54-F54),0)</f>
        <v>0</v>
      </c>
      <c r="J54" s="298">
        <f>J53+H54+I54</f>
        <v>5635980.5723467432</v>
      </c>
      <c r="K54" s="296">
        <f>C54</f>
        <v>310370.09101714636</v>
      </c>
      <c r="L54" s="297"/>
      <c r="M54" s="298">
        <f t="shared" si="5"/>
        <v>310370.09101714636</v>
      </c>
      <c r="N54" s="296">
        <f>'LSR Prepaid BPA interest'!G52</f>
        <v>0</v>
      </c>
      <c r="O54" s="297"/>
      <c r="P54" s="298">
        <f t="shared" si="6"/>
        <v>99765789.260000005</v>
      </c>
      <c r="Q54" s="300">
        <f t="shared" si="8"/>
        <v>97150767.392499998</v>
      </c>
      <c r="R54" s="204"/>
      <c r="S54" s="247"/>
      <c r="T54" s="295"/>
      <c r="V54" s="204"/>
    </row>
    <row r="55" spans="1:24" outlineLevel="1">
      <c r="A55" s="287">
        <v>41060</v>
      </c>
      <c r="B55" s="301">
        <f t="shared" si="0"/>
        <v>0</v>
      </c>
      <c r="C55" s="215">
        <f>'LSR Prepaid BPA interest'!I53</f>
        <v>319440.13242153981</v>
      </c>
      <c r="D55" s="209">
        <f>'LSR Prepaid BPA interest'!H53</f>
        <v>-421127</v>
      </c>
      <c r="E55" s="296"/>
      <c r="F55" s="297">
        <f t="shared" ref="F55:F117" si="11">-MIN(ABS(D55),ABS(G54))</f>
        <v>-421127</v>
      </c>
      <c r="G55" s="298">
        <f t="shared" si="2"/>
        <v>55960.330378982238</v>
      </c>
      <c r="H55" s="296">
        <v>0</v>
      </c>
      <c r="I55" s="297">
        <f t="shared" si="10"/>
        <v>0</v>
      </c>
      <c r="J55" s="298">
        <f>J54+H55+I55</f>
        <v>5635980.5723467432</v>
      </c>
      <c r="K55" s="296">
        <f>C55</f>
        <v>319440.13242153981</v>
      </c>
      <c r="L55" s="297"/>
      <c r="M55" s="298">
        <f t="shared" si="5"/>
        <v>629810.22343868623</v>
      </c>
      <c r="N55" s="296">
        <f>'LSR Prepaid BPA interest'!G53</f>
        <v>0</v>
      </c>
      <c r="O55" s="297"/>
      <c r="P55" s="298">
        <f t="shared" si="6"/>
        <v>99765789.260000005</v>
      </c>
      <c r="Q55" s="300">
        <f>(P55+P43+SUM(P44:P54)*2)/24</f>
        <v>97897916.497499987</v>
      </c>
      <c r="R55" s="204"/>
      <c r="S55" s="247"/>
      <c r="T55" s="295"/>
    </row>
    <row r="56" spans="1:24" outlineLevel="1">
      <c r="A56" s="287">
        <v>41090</v>
      </c>
      <c r="B56" s="301">
        <f>E56+K56+H56-C56</f>
        <v>0</v>
      </c>
      <c r="C56" s="215">
        <f>'LSR Prepaid BPA interest'!I54</f>
        <v>307884.72907879023</v>
      </c>
      <c r="D56" s="209">
        <f>'LSR Prepaid BPA interest'!H54</f>
        <v>-426723</v>
      </c>
      <c r="E56" s="296"/>
      <c r="F56" s="297">
        <f t="shared" si="11"/>
        <v>-55960.330378982238</v>
      </c>
      <c r="G56" s="298">
        <f t="shared" si="2"/>
        <v>0</v>
      </c>
      <c r="H56" s="296">
        <v>0</v>
      </c>
      <c r="I56" s="297">
        <f t="shared" si="10"/>
        <v>-370762.66962101776</v>
      </c>
      <c r="J56" s="298">
        <f t="shared" si="4"/>
        <v>5265217.9027257254</v>
      </c>
      <c r="K56" s="296">
        <f>C56</f>
        <v>307884.72907879023</v>
      </c>
      <c r="L56" s="297"/>
      <c r="M56" s="298">
        <f t="shared" si="5"/>
        <v>937694.9525174764</v>
      </c>
      <c r="N56" s="296">
        <f>'LSR Prepaid BPA interest'!G54</f>
        <v>0</v>
      </c>
      <c r="O56" s="297"/>
      <c r="P56" s="298">
        <f t="shared" si="6"/>
        <v>99765789.260000005</v>
      </c>
      <c r="Q56" s="300">
        <f t="shared" si="8"/>
        <v>98645065.602500007</v>
      </c>
      <c r="R56" s="204"/>
      <c r="S56" s="247"/>
      <c r="T56" s="295"/>
    </row>
    <row r="57" spans="1:24" outlineLevel="1">
      <c r="A57" s="287">
        <v>41121</v>
      </c>
      <c r="B57" s="301">
        <f>E57+K57+H57-C57</f>
        <v>0</v>
      </c>
      <c r="C57" s="215">
        <f>'LSR Prepaid BPA interest'!I55</f>
        <v>319586.8761644921</v>
      </c>
      <c r="D57" s="209">
        <f>'LSR Prepaid BPA interest'!H55</f>
        <v>-462527</v>
      </c>
      <c r="E57" s="296"/>
      <c r="F57" s="297">
        <f t="shared" si="11"/>
        <v>0</v>
      </c>
      <c r="G57" s="298">
        <f t="shared" si="2"/>
        <v>0</v>
      </c>
      <c r="H57" s="296">
        <v>0</v>
      </c>
      <c r="I57" s="297">
        <f t="shared" si="10"/>
        <v>-462527</v>
      </c>
      <c r="J57" s="298">
        <f t="shared" si="4"/>
        <v>4802690.9027257254</v>
      </c>
      <c r="K57" s="296">
        <f>C57</f>
        <v>319586.8761644921</v>
      </c>
      <c r="L57" s="297"/>
      <c r="M57" s="298">
        <f t="shared" si="5"/>
        <v>1257281.8286819686</v>
      </c>
      <c r="N57" s="296">
        <f>'LSR Prepaid BPA interest'!G55</f>
        <v>0</v>
      </c>
      <c r="O57" s="297"/>
      <c r="P57" s="298">
        <f t="shared" si="6"/>
        <v>99765789.260000005</v>
      </c>
      <c r="Q57" s="300">
        <f t="shared" si="8"/>
        <v>99392214.707500026</v>
      </c>
      <c r="R57" s="204"/>
      <c r="S57" s="247"/>
      <c r="T57" s="295"/>
    </row>
    <row r="58" spans="1:24" outlineLevel="1">
      <c r="A58" s="287">
        <v>41152</v>
      </c>
      <c r="B58" s="301">
        <f t="shared" si="0"/>
        <v>0</v>
      </c>
      <c r="C58" s="215">
        <f>'LSR Prepaid BPA interest'!I56</f>
        <v>318202.22817114968</v>
      </c>
      <c r="D58" s="209">
        <f>'LSR Prepaid BPA interest'!H56</f>
        <v>-457118</v>
      </c>
      <c r="E58" s="296"/>
      <c r="F58" s="297">
        <f t="shared" si="11"/>
        <v>0</v>
      </c>
      <c r="G58" s="298">
        <f t="shared" si="2"/>
        <v>0</v>
      </c>
      <c r="H58" s="296">
        <v>0</v>
      </c>
      <c r="I58" s="297">
        <f t="shared" si="10"/>
        <v>-457118</v>
      </c>
      <c r="J58" s="298">
        <f t="shared" si="4"/>
        <v>4345572.9027257254</v>
      </c>
      <c r="K58" s="296">
        <f>C58</f>
        <v>318202.22817114968</v>
      </c>
      <c r="L58" s="297"/>
      <c r="M58" s="298">
        <f>M57+K58+L58</f>
        <v>1575484.0568531184</v>
      </c>
      <c r="N58" s="296">
        <f>'LSR Prepaid BPA interest'!G56</f>
        <v>0</v>
      </c>
      <c r="O58" s="297"/>
      <c r="P58" s="298">
        <f t="shared" si="6"/>
        <v>99765789.260000005</v>
      </c>
      <c r="Q58" s="300">
        <f t="shared" si="8"/>
        <v>99765789.260000005</v>
      </c>
      <c r="R58" s="204"/>
      <c r="S58" s="247"/>
      <c r="T58" s="295"/>
      <c r="V58" s="295"/>
      <c r="W58" s="295"/>
      <c r="X58" s="295"/>
    </row>
    <row r="59" spans="1:24" outlineLevel="1">
      <c r="A59" s="287">
        <v>41182</v>
      </c>
      <c r="B59" s="301">
        <f t="shared" si="0"/>
        <v>0</v>
      </c>
      <c r="C59" s="215">
        <f>'LSR Prepaid BPA interest'!I57</f>
        <v>306597.65823658765</v>
      </c>
      <c r="D59" s="209">
        <f>'LSR Prepaid BPA interest'!H57</f>
        <v>-457118</v>
      </c>
      <c r="E59" s="296"/>
      <c r="F59" s="297">
        <f t="shared" si="11"/>
        <v>0</v>
      </c>
      <c r="G59" s="298">
        <f t="shared" si="2"/>
        <v>0</v>
      </c>
      <c r="H59" s="296">
        <v>0</v>
      </c>
      <c r="I59" s="297">
        <f t="shared" si="10"/>
        <v>-457118</v>
      </c>
      <c r="J59" s="298">
        <f t="shared" si="4"/>
        <v>3888454.9027257254</v>
      </c>
      <c r="K59" s="296">
        <f t="shared" ref="K59:K68" si="12">C59</f>
        <v>306597.65823658765</v>
      </c>
      <c r="L59" s="297"/>
      <c r="M59" s="298">
        <f>M58+K59+L59</f>
        <v>1882081.715089706</v>
      </c>
      <c r="N59" s="296">
        <f>'LSR Prepaid BPA interest'!G57</f>
        <v>0</v>
      </c>
      <c r="O59" s="297"/>
      <c r="P59" s="298">
        <f t="shared" si="6"/>
        <v>99765789.260000005</v>
      </c>
      <c r="Q59" s="300">
        <f t="shared" si="8"/>
        <v>99765789.260000005</v>
      </c>
      <c r="R59" s="204"/>
      <c r="S59" s="247"/>
      <c r="T59" s="295"/>
      <c r="V59" s="295"/>
      <c r="W59" s="295"/>
      <c r="X59" s="295"/>
    </row>
    <row r="60" spans="1:24" outlineLevel="1">
      <c r="A60" s="287">
        <v>41213</v>
      </c>
      <c r="B60" s="301">
        <f t="shared" si="0"/>
        <v>0</v>
      </c>
      <c r="C60" s="215">
        <f>'LSR Prepaid BPA interest'!I58</f>
        <v>318306.51572274236</v>
      </c>
      <c r="D60" s="209">
        <f>'LSR Prepaid BPA interest'!H58</f>
        <v>-452840</v>
      </c>
      <c r="E60" s="296"/>
      <c r="F60" s="297">
        <f t="shared" si="11"/>
        <v>0</v>
      </c>
      <c r="G60" s="298">
        <f t="shared" si="2"/>
        <v>0</v>
      </c>
      <c r="H60" s="296">
        <v>0</v>
      </c>
      <c r="I60" s="297">
        <f t="shared" si="10"/>
        <v>-452840</v>
      </c>
      <c r="J60" s="298">
        <f t="shared" si="4"/>
        <v>3435614.9027257254</v>
      </c>
      <c r="K60" s="296">
        <f t="shared" si="12"/>
        <v>318306.51572274236</v>
      </c>
      <c r="L60" s="297"/>
      <c r="M60" s="298">
        <f>M59+K60+L60</f>
        <v>2200388.2308124485</v>
      </c>
      <c r="N60" s="296">
        <f>'LSR Prepaid BPA interest'!G58</f>
        <v>0</v>
      </c>
      <c r="O60" s="297"/>
      <c r="P60" s="298">
        <f t="shared" si="6"/>
        <v>99765789.260000005</v>
      </c>
      <c r="Q60" s="300">
        <f t="shared" si="8"/>
        <v>99765789.260000005</v>
      </c>
      <c r="R60" s="204"/>
      <c r="S60" s="247"/>
      <c r="T60" s="295"/>
      <c r="V60" s="295"/>
      <c r="W60" s="295"/>
      <c r="X60" s="295"/>
    </row>
    <row r="61" spans="1:24" outlineLevel="1">
      <c r="A61" s="287">
        <v>41243</v>
      </c>
      <c r="B61" s="301">
        <f t="shared" si="0"/>
        <v>0</v>
      </c>
      <c r="C61" s="215">
        <f>'LSR Prepaid BPA interest'!I59</f>
        <v>306696.38900895522</v>
      </c>
      <c r="D61" s="209">
        <f>'LSR Prepaid BPA interest'!H59</f>
        <v>-457866</v>
      </c>
      <c r="E61" s="296"/>
      <c r="F61" s="297">
        <f t="shared" si="11"/>
        <v>0</v>
      </c>
      <c r="G61" s="298">
        <f t="shared" si="2"/>
        <v>0</v>
      </c>
      <c r="H61" s="296">
        <v>0</v>
      </c>
      <c r="I61" s="297">
        <f t="shared" si="10"/>
        <v>-457866</v>
      </c>
      <c r="J61" s="298">
        <f>J60+H61+I61</f>
        <v>2977748.9027257254</v>
      </c>
      <c r="K61" s="296">
        <f t="shared" si="12"/>
        <v>306696.38900895522</v>
      </c>
      <c r="L61" s="297"/>
      <c r="M61" s="298">
        <f t="shared" si="5"/>
        <v>2507084.6198214036</v>
      </c>
      <c r="N61" s="296">
        <f>'LSR Prepaid BPA interest'!G59</f>
        <v>0</v>
      </c>
      <c r="O61" s="297"/>
      <c r="P61" s="298">
        <f t="shared" si="6"/>
        <v>99765789.260000005</v>
      </c>
      <c r="Q61" s="300">
        <f t="shared" si="8"/>
        <v>99765789.260000005</v>
      </c>
      <c r="R61" s="204"/>
      <c r="S61" s="247"/>
      <c r="T61" s="295"/>
      <c r="V61" s="295"/>
      <c r="W61" s="295"/>
      <c r="X61" s="295"/>
    </row>
    <row r="62" spans="1:24" outlineLevel="1">
      <c r="A62" s="287">
        <v>41274</v>
      </c>
      <c r="B62" s="301">
        <f t="shared" si="0"/>
        <v>0</v>
      </c>
      <c r="C62" s="215">
        <f>'LSR Prepaid BPA interest'!I60</f>
        <v>315658.41937271494</v>
      </c>
      <c r="D62" s="209">
        <f>'LSR Prepaid BPA interest'!H60</f>
        <v>-416358</v>
      </c>
      <c r="E62" s="296"/>
      <c r="F62" s="297">
        <f t="shared" si="11"/>
        <v>0</v>
      </c>
      <c r="G62" s="298">
        <f t="shared" si="2"/>
        <v>0</v>
      </c>
      <c r="H62" s="296">
        <v>0</v>
      </c>
      <c r="I62" s="297">
        <f t="shared" si="10"/>
        <v>-416358</v>
      </c>
      <c r="J62" s="298">
        <f t="shared" si="4"/>
        <v>2561390.9027257254</v>
      </c>
      <c r="K62" s="296">
        <f t="shared" si="12"/>
        <v>315658.41937271494</v>
      </c>
      <c r="L62" s="297"/>
      <c r="M62" s="298">
        <f>M61+K62+L62</f>
        <v>2822743.0391941187</v>
      </c>
      <c r="N62" s="296">
        <f>'LSR Prepaid BPA interest'!G60</f>
        <v>0</v>
      </c>
      <c r="O62" s="297"/>
      <c r="P62" s="298">
        <f t="shared" si="6"/>
        <v>99765789.260000005</v>
      </c>
      <c r="Q62" s="300">
        <f t="shared" si="8"/>
        <v>99765789.260000005</v>
      </c>
      <c r="R62" s="204"/>
      <c r="S62" s="247"/>
      <c r="T62" s="295"/>
      <c r="V62" s="295"/>
      <c r="W62" s="295"/>
      <c r="X62" s="295"/>
    </row>
    <row r="63" spans="1:24" outlineLevel="1">
      <c r="A63" s="287">
        <v>41305</v>
      </c>
      <c r="B63" s="301">
        <f t="shared" si="0"/>
        <v>0</v>
      </c>
      <c r="C63" s="215">
        <f>'LSR Prepaid BPA interest'!I61</f>
        <v>317120.25844928937</v>
      </c>
      <c r="D63" s="209">
        <f>'LSR Prepaid BPA interest'!H61</f>
        <v>-458060</v>
      </c>
      <c r="E63" s="296"/>
      <c r="F63" s="297">
        <f t="shared" si="11"/>
        <v>0</v>
      </c>
      <c r="G63" s="298">
        <f t="shared" si="2"/>
        <v>0</v>
      </c>
      <c r="H63" s="296">
        <v>0</v>
      </c>
      <c r="I63" s="297">
        <f t="shared" si="10"/>
        <v>-458060</v>
      </c>
      <c r="J63" s="298">
        <f>J62+H63+I63</f>
        <v>2103330.9027257254</v>
      </c>
      <c r="K63" s="296">
        <f t="shared" si="12"/>
        <v>317120.25844928937</v>
      </c>
      <c r="L63" s="297"/>
      <c r="M63" s="298">
        <f t="shared" si="5"/>
        <v>3139863.2976434082</v>
      </c>
      <c r="N63" s="296">
        <f>'LSR Prepaid BPA interest'!G61</f>
        <v>0</v>
      </c>
      <c r="O63" s="297">
        <f t="shared" ref="O63:O72" si="13">IF((I63+L63)&gt;D63,(D63-I63)*$P$1,0)</f>
        <v>0</v>
      </c>
      <c r="P63" s="298">
        <f t="shared" si="6"/>
        <v>99765789.260000005</v>
      </c>
      <c r="Q63" s="300">
        <f t="shared" si="8"/>
        <v>99765789.260000005</v>
      </c>
      <c r="R63" s="204"/>
      <c r="S63" s="247"/>
      <c r="T63" s="295"/>
      <c r="V63" s="295"/>
      <c r="W63" s="295"/>
      <c r="X63" s="295"/>
    </row>
    <row r="64" spans="1:24" outlineLevel="1">
      <c r="A64" s="287">
        <v>41333</v>
      </c>
      <c r="B64" s="301">
        <f t="shared" si="0"/>
        <v>0</v>
      </c>
      <c r="C64" s="215">
        <f>'LSR Prepaid BPA interest'!I62</f>
        <v>285223.77384192118</v>
      </c>
      <c r="D64" s="209">
        <f>'LSR Prepaid BPA interest'!H62</f>
        <v>-441320</v>
      </c>
      <c r="E64" s="296"/>
      <c r="F64" s="297">
        <f t="shared" si="11"/>
        <v>0</v>
      </c>
      <c r="G64" s="298">
        <f t="shared" si="2"/>
        <v>0</v>
      </c>
      <c r="H64" s="296">
        <v>0</v>
      </c>
      <c r="I64" s="297">
        <f t="shared" si="10"/>
        <v>-441320</v>
      </c>
      <c r="J64" s="298">
        <f>J63+H64+I64</f>
        <v>1662010.9027257254</v>
      </c>
      <c r="K64" s="296">
        <f t="shared" si="12"/>
        <v>285223.77384192118</v>
      </c>
      <c r="L64" s="297"/>
      <c r="M64" s="298">
        <f t="shared" si="5"/>
        <v>3425087.0714853294</v>
      </c>
      <c r="N64" s="296">
        <f>'LSR Prepaid BPA interest'!G62</f>
        <v>0</v>
      </c>
      <c r="O64" s="297">
        <f t="shared" si="13"/>
        <v>0</v>
      </c>
      <c r="P64" s="298">
        <f t="shared" si="6"/>
        <v>99765789.260000005</v>
      </c>
      <c r="Q64" s="300">
        <f t="shared" si="8"/>
        <v>99765789.260000005</v>
      </c>
      <c r="R64" s="204"/>
      <c r="S64" s="247"/>
      <c r="T64" s="301"/>
      <c r="U64" s="301"/>
      <c r="V64" s="295"/>
      <c r="W64" s="295"/>
      <c r="X64" s="295"/>
    </row>
    <row r="65" spans="1:24" outlineLevel="1">
      <c r="A65" s="287">
        <v>41364</v>
      </c>
      <c r="B65" s="301">
        <f t="shared" si="0"/>
        <v>0</v>
      </c>
      <c r="C65" s="215">
        <f>'LSR Prepaid BPA interest'!I63</f>
        <v>314446.66934353596</v>
      </c>
      <c r="D65" s="209">
        <f>'LSR Prepaid BPA interest'!H63</f>
        <v>-441320</v>
      </c>
      <c r="E65" s="296"/>
      <c r="F65" s="297">
        <f t="shared" si="11"/>
        <v>0</v>
      </c>
      <c r="G65" s="298">
        <f t="shared" si="2"/>
        <v>0</v>
      </c>
      <c r="H65" s="296">
        <v>0</v>
      </c>
      <c r="I65" s="297">
        <f t="shared" si="10"/>
        <v>-441320</v>
      </c>
      <c r="J65" s="298">
        <f>J64+H65+I65</f>
        <v>1220690.9027257254</v>
      </c>
      <c r="K65" s="296">
        <f t="shared" si="12"/>
        <v>314446.66934353596</v>
      </c>
      <c r="L65" s="297"/>
      <c r="M65" s="298">
        <f t="shared" si="5"/>
        <v>3739533.7408288652</v>
      </c>
      <c r="N65" s="296">
        <f>'LSR Prepaid BPA interest'!G63</f>
        <v>0</v>
      </c>
      <c r="O65" s="297">
        <f t="shared" si="13"/>
        <v>0</v>
      </c>
      <c r="P65" s="298">
        <f t="shared" si="6"/>
        <v>99765789.260000005</v>
      </c>
      <c r="Q65" s="300">
        <f t="shared" si="8"/>
        <v>99765789.260000005</v>
      </c>
      <c r="R65" s="204"/>
      <c r="S65" s="247"/>
      <c r="T65" s="301"/>
      <c r="U65" s="301"/>
      <c r="V65" s="295"/>
      <c r="W65" s="295"/>
      <c r="X65" s="295"/>
    </row>
    <row r="66" spans="1:24" outlineLevel="1">
      <c r="A66" s="287">
        <v>41394</v>
      </c>
      <c r="B66" s="301">
        <f t="shared" si="0"/>
        <v>0</v>
      </c>
      <c r="C66" s="215">
        <f>'LSR Prepaid BPA interest'!I64</f>
        <v>305697.0088824883</v>
      </c>
      <c r="D66" s="209">
        <f>'LSR Prepaid BPA interest'!H64</f>
        <v>-441320</v>
      </c>
      <c r="E66" s="296"/>
      <c r="F66" s="297">
        <f t="shared" si="11"/>
        <v>0</v>
      </c>
      <c r="G66" s="298">
        <f t="shared" si="2"/>
        <v>0</v>
      </c>
      <c r="H66" s="296">
        <v>0</v>
      </c>
      <c r="I66" s="297">
        <f t="shared" si="10"/>
        <v>-441320</v>
      </c>
      <c r="J66" s="298">
        <f t="shared" si="4"/>
        <v>779370.90272572543</v>
      </c>
      <c r="K66" s="296">
        <f t="shared" si="12"/>
        <v>305697.0088824883</v>
      </c>
      <c r="L66" s="297"/>
      <c r="M66" s="298">
        <f>M65+K66+L66</f>
        <v>4045230.7497113533</v>
      </c>
      <c r="N66" s="296">
        <f>'LSR Prepaid BPA interest'!G64</f>
        <v>0</v>
      </c>
      <c r="O66" s="297">
        <f t="shared" si="13"/>
        <v>0</v>
      </c>
      <c r="P66" s="298">
        <f t="shared" si="6"/>
        <v>99765789.260000005</v>
      </c>
      <c r="Q66" s="300">
        <f t="shared" si="8"/>
        <v>99765789.260000005</v>
      </c>
      <c r="R66" s="204"/>
      <c r="S66" s="247"/>
      <c r="T66" s="301"/>
      <c r="U66" s="301"/>
      <c r="V66" s="295"/>
      <c r="W66" s="295"/>
      <c r="X66" s="295"/>
    </row>
    <row r="67" spans="1:24" outlineLevel="1">
      <c r="A67" s="287">
        <v>41425</v>
      </c>
      <c r="B67" s="301">
        <f t="shared" si="0"/>
        <v>0</v>
      </c>
      <c r="C67" s="215">
        <f>'LSR Prepaid BPA interest'!I65</f>
        <v>314549.93288076308</v>
      </c>
      <c r="D67" s="209">
        <f>'LSR Prepaid BPA interest'!H65</f>
        <v>-441380</v>
      </c>
      <c r="E67" s="296"/>
      <c r="F67" s="297">
        <f t="shared" si="11"/>
        <v>0</v>
      </c>
      <c r="G67" s="298">
        <f t="shared" si="2"/>
        <v>0</v>
      </c>
      <c r="H67" s="296">
        <v>0</v>
      </c>
      <c r="I67" s="297">
        <f t="shared" si="10"/>
        <v>-441380</v>
      </c>
      <c r="J67" s="298">
        <f>J66+H67+I67</f>
        <v>337990.90272572543</v>
      </c>
      <c r="K67" s="296">
        <f t="shared" si="12"/>
        <v>314549.93288076308</v>
      </c>
      <c r="L67" s="297">
        <f>IF((F67+I67)&gt;D67,(D67-F67-I67)*$M$1,0)</f>
        <v>0</v>
      </c>
      <c r="M67" s="298">
        <f t="shared" si="5"/>
        <v>4359780.6825921163</v>
      </c>
      <c r="N67" s="296">
        <f>'LSR Prepaid BPA interest'!G65</f>
        <v>0</v>
      </c>
      <c r="O67" s="297">
        <f t="shared" si="13"/>
        <v>0</v>
      </c>
      <c r="P67" s="298">
        <f t="shared" si="6"/>
        <v>99765789.260000005</v>
      </c>
      <c r="Q67" s="300">
        <f t="shared" si="8"/>
        <v>99765789.260000005</v>
      </c>
      <c r="R67" s="204"/>
      <c r="S67" s="247"/>
      <c r="T67" s="295"/>
      <c r="V67" s="295"/>
      <c r="W67" s="295"/>
      <c r="X67" s="295"/>
    </row>
    <row r="68" spans="1:24" outlineLevel="1">
      <c r="A68" s="287">
        <v>41455</v>
      </c>
      <c r="B68" s="301">
        <f t="shared" si="0"/>
        <v>0</v>
      </c>
      <c r="C68" s="215">
        <f>'LSR Prepaid BPA interest'!I66</f>
        <v>303109.48870440613</v>
      </c>
      <c r="D68" s="209">
        <f>'LSR Prepaid BPA interest'!H66</f>
        <v>-441320</v>
      </c>
      <c r="E68" s="296"/>
      <c r="F68" s="297">
        <f t="shared" si="11"/>
        <v>0</v>
      </c>
      <c r="G68" s="298">
        <f t="shared" si="2"/>
        <v>0</v>
      </c>
      <c r="H68" s="296">
        <v>0</v>
      </c>
      <c r="I68" s="297">
        <f>-J67</f>
        <v>-337990.90272572543</v>
      </c>
      <c r="J68" s="298">
        <f>J67+H68+I68</f>
        <v>0</v>
      </c>
      <c r="K68" s="296">
        <f t="shared" si="12"/>
        <v>303109.48870440613</v>
      </c>
      <c r="L68" s="297">
        <f t="shared" ref="L68:L77" si="14">IF((F68+I68)&gt;D68,(D68-F68-I68)*$M$1,0)</f>
        <v>-4329.4891757921041</v>
      </c>
      <c r="M68" s="298">
        <f t="shared" si="5"/>
        <v>4658560.6821207302</v>
      </c>
      <c r="N68" s="296">
        <f>'LSR Prepaid BPA interest'!G66</f>
        <v>0</v>
      </c>
      <c r="O68" s="297">
        <f>IF((I68+L68)&gt;D68,(D68-I68)*$P$1,0)</f>
        <v>-98999.608098482451</v>
      </c>
      <c r="P68" s="298">
        <f t="shared" si="6"/>
        <v>99666789.651901528</v>
      </c>
      <c r="Q68" s="300">
        <f t="shared" si="8"/>
        <v>99761664.276329234</v>
      </c>
      <c r="R68" s="204"/>
      <c r="S68" s="247"/>
      <c r="T68" s="295"/>
      <c r="V68" s="295"/>
      <c r="W68" s="295"/>
      <c r="X68" s="295"/>
    </row>
    <row r="69" spans="1:24" outlineLevel="1">
      <c r="A69" s="287">
        <v>41486</v>
      </c>
      <c r="B69" s="301">
        <f t="shared" si="0"/>
        <v>0</v>
      </c>
      <c r="C69" s="215">
        <f>'LSR Prepaid BPA interest'!I67</f>
        <v>314673.26629520557</v>
      </c>
      <c r="D69" s="209">
        <f>'LSR Prepaid BPA interest'!H67</f>
        <v>-441320</v>
      </c>
      <c r="E69" s="296"/>
      <c r="F69" s="297">
        <f t="shared" si="11"/>
        <v>0</v>
      </c>
      <c r="G69" s="298">
        <f t="shared" si="2"/>
        <v>0</v>
      </c>
      <c r="H69" s="296">
        <f t="shared" ref="H69:H74" si="15">C69</f>
        <v>314673.26629520557</v>
      </c>
      <c r="I69" s="297">
        <f>-J68-H69</f>
        <v>-314673.26629520557</v>
      </c>
      <c r="J69" s="298">
        <f t="shared" si="4"/>
        <v>0</v>
      </c>
      <c r="K69" s="296"/>
      <c r="L69" s="297">
        <f>IF((F69+I69)&gt;D69,(D69-F69-I69)*$M$1,0)</f>
        <v>-5306.4981422308865</v>
      </c>
      <c r="M69" s="298">
        <f t="shared" si="5"/>
        <v>4653254.1839784989</v>
      </c>
      <c r="N69" s="296">
        <f>'LSR Prepaid BPA interest'!G67</f>
        <v>0</v>
      </c>
      <c r="O69" s="297">
        <f t="shared" si="13"/>
        <v>-121340.23556256354</v>
      </c>
      <c r="P69" s="298">
        <f t="shared" si="6"/>
        <v>99545449.416338965</v>
      </c>
      <c r="Q69" s="300">
        <f t="shared" si="8"/>
        <v>99748358.465839267</v>
      </c>
      <c r="R69" s="204"/>
      <c r="S69" s="247"/>
      <c r="T69" s="295"/>
      <c r="V69" s="295"/>
      <c r="W69" s="295"/>
      <c r="X69" s="295"/>
    </row>
    <row r="70" spans="1:24" outlineLevel="1">
      <c r="A70" s="287">
        <v>41517</v>
      </c>
      <c r="B70" s="301">
        <f t="shared" si="0"/>
        <v>0</v>
      </c>
      <c r="C70" s="215">
        <f>'LSR Prepaid BPA interest'!I68</f>
        <v>313336.47174232884</v>
      </c>
      <c r="D70" s="209">
        <f>'LSR Prepaid BPA interest'!H68</f>
        <v>-441320</v>
      </c>
      <c r="E70" s="296"/>
      <c r="F70" s="297">
        <f t="shared" si="11"/>
        <v>0</v>
      </c>
      <c r="G70" s="298">
        <f t="shared" si="2"/>
        <v>0</v>
      </c>
      <c r="H70" s="296">
        <f t="shared" si="15"/>
        <v>313336.47174232884</v>
      </c>
      <c r="I70" s="297">
        <f t="shared" ref="I70:I130" si="16">-J69-H70</f>
        <v>-313336.47174232884</v>
      </c>
      <c r="J70" s="298">
        <f t="shared" si="4"/>
        <v>0</v>
      </c>
      <c r="K70" s="296"/>
      <c r="L70" s="297">
        <f t="shared" si="14"/>
        <v>-5362.5098339964215</v>
      </c>
      <c r="M70" s="298">
        <f t="shared" si="5"/>
        <v>4647891.6741445027</v>
      </c>
      <c r="N70" s="296">
        <f>'LSR Prepaid BPA interest'!G68</f>
        <v>0</v>
      </c>
      <c r="O70" s="297">
        <f t="shared" si="13"/>
        <v>-122621.01842367473</v>
      </c>
      <c r="P70" s="298">
        <f t="shared" si="6"/>
        <v>99422828.397915289</v>
      </c>
      <c r="Q70" s="300">
        <f t="shared" si="8"/>
        <v>99724887.603099838</v>
      </c>
      <c r="R70" s="204"/>
      <c r="S70" s="247"/>
      <c r="T70" s="295"/>
      <c r="V70" s="295"/>
      <c r="W70" s="295"/>
      <c r="X70" s="295"/>
    </row>
    <row r="71" spans="1:24" outlineLevel="1">
      <c r="A71" s="287">
        <v>41547</v>
      </c>
      <c r="B71" s="301">
        <f t="shared" si="0"/>
        <v>0</v>
      </c>
      <c r="C71" s="215">
        <f>'LSR Prepaid BPA interest'!I69</f>
        <v>301935.17147366336</v>
      </c>
      <c r="D71" s="209">
        <f>'LSR Prepaid BPA interest'!H69</f>
        <v>-441320</v>
      </c>
      <c r="E71" s="296"/>
      <c r="F71" s="297">
        <f t="shared" si="11"/>
        <v>0</v>
      </c>
      <c r="G71" s="298">
        <f t="shared" si="2"/>
        <v>0</v>
      </c>
      <c r="H71" s="296">
        <f t="shared" si="15"/>
        <v>301935.17147366336</v>
      </c>
      <c r="I71" s="297">
        <f t="shared" si="16"/>
        <v>-301935.17147366336</v>
      </c>
      <c r="J71" s="298">
        <f t="shared" si="4"/>
        <v>0</v>
      </c>
      <c r="K71" s="296"/>
      <c r="L71" s="297">
        <f t="shared" si="14"/>
        <v>-5840.2243152535057</v>
      </c>
      <c r="M71" s="298">
        <f t="shared" si="5"/>
        <v>4642051.4498292496</v>
      </c>
      <c r="N71" s="296">
        <f>'LSR Prepaid BPA interest'!G69</f>
        <v>0</v>
      </c>
      <c r="O71" s="297">
        <f t="shared" si="13"/>
        <v>-133544.60421108312</v>
      </c>
      <c r="P71" s="298">
        <f t="shared" si="6"/>
        <v>99289283.793704212</v>
      </c>
      <c r="Q71" s="300">
        <f t="shared" si="8"/>
        <v>99690743.172750652</v>
      </c>
      <c r="R71" s="204"/>
      <c r="S71" s="247"/>
      <c r="T71" s="295"/>
      <c r="V71" s="295"/>
      <c r="W71" s="295"/>
      <c r="X71" s="295"/>
    </row>
    <row r="72" spans="1:24" outlineLevel="1">
      <c r="A72" s="287">
        <v>41578</v>
      </c>
      <c r="B72" s="301">
        <f t="shared" ref="B72:B135" si="17">E72+K72+H72-C72</f>
        <v>0</v>
      </c>
      <c r="C72" s="215">
        <f>'LSR Prepaid BPA interest'!I70</f>
        <v>248618.07</v>
      </c>
      <c r="D72" s="209">
        <f>'LSR Prepaid BPA interest'!H70</f>
        <v>-441320</v>
      </c>
      <c r="E72" s="296"/>
      <c r="F72" s="297">
        <f t="shared" si="11"/>
        <v>0</v>
      </c>
      <c r="G72" s="298">
        <f t="shared" si="2"/>
        <v>0</v>
      </c>
      <c r="H72" s="296">
        <f t="shared" si="15"/>
        <v>248618.07</v>
      </c>
      <c r="I72" s="297">
        <f t="shared" si="16"/>
        <v>-248618.07</v>
      </c>
      <c r="J72" s="298">
        <f t="shared" si="4"/>
        <v>0</v>
      </c>
      <c r="K72" s="296"/>
      <c r="L72" s="297">
        <f>IF((F72+I72)&gt;D72,(D72-F72-I72)*$M$1,0)</f>
        <v>-8074.2108669999998</v>
      </c>
      <c r="M72" s="298">
        <f t="shared" si="5"/>
        <v>4633977.2389622498</v>
      </c>
      <c r="N72" s="296">
        <f>'LSR Prepaid BPA interest'!G70</f>
        <v>-22386834.66</v>
      </c>
      <c r="O72" s="297">
        <f t="shared" si="13"/>
        <v>-184627.71913299998</v>
      </c>
      <c r="P72" s="298">
        <f>P71+N72+O72</f>
        <v>76717821.414571211</v>
      </c>
      <c r="Q72" s="300">
        <f t="shared" si="8"/>
        <v>98710556.784762129</v>
      </c>
      <c r="R72" s="204"/>
      <c r="S72" s="247"/>
      <c r="T72" s="295"/>
      <c r="V72" s="295"/>
      <c r="W72" s="295"/>
      <c r="X72" s="295"/>
    </row>
    <row r="73" spans="1:24" outlineLevel="1">
      <c r="A73" s="287">
        <v>41608</v>
      </c>
      <c r="B73" s="301">
        <f t="shared" si="17"/>
        <v>0</v>
      </c>
      <c r="C73" s="215">
        <f>'LSR Prepaid BPA interest'!I71</f>
        <v>236269.3507078127</v>
      </c>
      <c r="D73" s="209">
        <f>'LSR Prepaid BPA interest'!H71</f>
        <v>-502860</v>
      </c>
      <c r="E73" s="296"/>
      <c r="F73" s="297">
        <f t="shared" si="11"/>
        <v>0</v>
      </c>
      <c r="G73" s="298">
        <f t="shared" ref="G73:G136" si="18">G72+E73+F73</f>
        <v>0</v>
      </c>
      <c r="H73" s="296">
        <f t="shared" si="15"/>
        <v>236269.3507078127</v>
      </c>
      <c r="I73" s="297">
        <f t="shared" si="16"/>
        <v>-236269.3507078127</v>
      </c>
      <c r="J73" s="298">
        <f t="shared" ref="J73:J136" si="19">J72+H73+I73</f>
        <v>0</v>
      </c>
      <c r="K73" s="296"/>
      <c r="L73" s="297">
        <f t="shared" si="14"/>
        <v>-11170.148205342648</v>
      </c>
      <c r="M73" s="298">
        <f t="shared" ref="M73:M136" si="20">M72+K73+L73</f>
        <v>4622807.0907569071</v>
      </c>
      <c r="N73" s="296">
        <f>'LSR Prepaid BPA interest'!G71</f>
        <v>0</v>
      </c>
      <c r="O73" s="297">
        <f>IF((I73+L73)&gt;D73,(D73-I73)*$P$1,0)</f>
        <v>-255420.50108684463</v>
      </c>
      <c r="P73" s="298">
        <f>P72+N73+O73</f>
        <v>76462400.913484365</v>
      </c>
      <c r="Q73" s="300">
        <f>(P73+P61+SUM(P62:P72)*2)/24</f>
        <v>96779250.276764452</v>
      </c>
      <c r="R73" s="204"/>
      <c r="S73" s="247"/>
      <c r="T73" s="295"/>
      <c r="V73" s="295"/>
      <c r="W73" s="295"/>
      <c r="X73" s="295"/>
    </row>
    <row r="74" spans="1:24" outlineLevel="1">
      <c r="A74" s="743">
        <v>41639</v>
      </c>
      <c r="B74" s="744">
        <f t="shared" si="17"/>
        <v>0</v>
      </c>
      <c r="C74" s="745">
        <f>'LSR Prepaid BPA interest'!I72</f>
        <v>242621.79146044757</v>
      </c>
      <c r="D74" s="746">
        <f>'LSR Prepaid BPA interest'!H72</f>
        <v>-502860</v>
      </c>
      <c r="E74" s="747"/>
      <c r="F74" s="748">
        <f t="shared" si="11"/>
        <v>0</v>
      </c>
      <c r="G74" s="749">
        <f t="shared" si="18"/>
        <v>0</v>
      </c>
      <c r="H74" s="747">
        <f t="shared" si="15"/>
        <v>242621.79146044757</v>
      </c>
      <c r="I74" s="748">
        <f t="shared" si="16"/>
        <v>-242621.79146044757</v>
      </c>
      <c r="J74" s="749">
        <f t="shared" si="19"/>
        <v>0</v>
      </c>
      <c r="K74" s="747"/>
      <c r="L74" s="748">
        <f t="shared" si="14"/>
        <v>-10903.980937807248</v>
      </c>
      <c r="M74" s="749">
        <f t="shared" si="20"/>
        <v>4611903.1098191002</v>
      </c>
      <c r="N74" s="747">
        <f>'LSR Prepaid BPA interest'!G72</f>
        <v>0</v>
      </c>
      <c r="O74" s="748">
        <f>IF((I74+L74)&gt;D74,(D74-I74)*$P$1,0)</f>
        <v>-249334.22760174517</v>
      </c>
      <c r="P74" s="750">
        <f>P73+N74+O74</f>
        <v>76213066.685882613</v>
      </c>
      <c r="Q74" s="751">
        <f>(P74+P62+SUM(P63:P73)*2)/24</f>
        <v>94826912.321738064</v>
      </c>
      <c r="R74" s="204"/>
      <c r="S74" s="247"/>
      <c r="T74" s="295"/>
      <c r="V74" s="295"/>
      <c r="W74" s="295"/>
      <c r="X74" s="295"/>
    </row>
    <row r="75" spans="1:24" outlineLevel="1">
      <c r="A75" s="743">
        <v>41670</v>
      </c>
      <c r="B75" s="744">
        <f t="shared" si="17"/>
        <v>0</v>
      </c>
      <c r="C75" s="745">
        <f>'LSR Prepaid BPA interest'!I73</f>
        <v>243302.27238842405</v>
      </c>
      <c r="D75" s="746">
        <f>'LSR Prepaid BPA interest'!H73</f>
        <v>-502860</v>
      </c>
      <c r="E75" s="747"/>
      <c r="F75" s="748">
        <f t="shared" si="11"/>
        <v>0</v>
      </c>
      <c r="G75" s="749">
        <f t="shared" si="18"/>
        <v>0</v>
      </c>
      <c r="H75" s="747">
        <f>C75</f>
        <v>243302.27238842405</v>
      </c>
      <c r="I75" s="748">
        <f t="shared" si="16"/>
        <v>-243302.27238842405</v>
      </c>
      <c r="J75" s="749">
        <f t="shared" si="19"/>
        <v>0</v>
      </c>
      <c r="K75" s="747"/>
      <c r="L75" s="748">
        <f t="shared" si="14"/>
        <v>-10875.468786925032</v>
      </c>
      <c r="M75" s="749">
        <f>M74+K75+L75</f>
        <v>4601027.6410321752</v>
      </c>
      <c r="N75" s="747">
        <f>'LSR Prepaid BPA interest'!G73</f>
        <v>0</v>
      </c>
      <c r="O75" s="748">
        <f>IF((I75+L75)&gt;D75,(D75-I75)*$P$1,0)</f>
        <v>-248682.2588246509</v>
      </c>
      <c r="P75" s="749">
        <f t="shared" ref="P75:P138" si="21">P74+N75+O75</f>
        <v>75964384.427057967</v>
      </c>
      <c r="Q75" s="300">
        <f>(P75+P63+SUM(P64:P74)*2)/24</f>
        <v>92853823.679777265</v>
      </c>
      <c r="R75" s="204"/>
      <c r="S75" s="247"/>
      <c r="T75" s="295"/>
      <c r="V75" s="295"/>
      <c r="W75" s="295"/>
      <c r="X75" s="295"/>
    </row>
    <row r="76" spans="1:24" outlineLevel="1">
      <c r="A76" s="743">
        <v>41698</v>
      </c>
      <c r="B76" s="744">
        <f t="shared" si="17"/>
        <v>0</v>
      </c>
      <c r="C76" s="745">
        <f>'LSR Prepaid BPA interest'!I74</f>
        <v>218216.78</v>
      </c>
      <c r="D76" s="746">
        <f>'LSR Prepaid BPA interest'!H74</f>
        <v>-502860</v>
      </c>
      <c r="E76" s="747"/>
      <c r="F76" s="748">
        <f t="shared" si="11"/>
        <v>0</v>
      </c>
      <c r="G76" s="749">
        <f t="shared" si="18"/>
        <v>0</v>
      </c>
      <c r="H76" s="747">
        <f>C76</f>
        <v>218216.78</v>
      </c>
      <c r="I76" s="748">
        <f t="shared" si="16"/>
        <v>-218216.78</v>
      </c>
      <c r="J76" s="749">
        <f t="shared" si="19"/>
        <v>0</v>
      </c>
      <c r="K76" s="747"/>
      <c r="L76" s="748">
        <f t="shared" si="14"/>
        <v>-11926.550917999999</v>
      </c>
      <c r="M76" s="749">
        <f>M75+K76+L76</f>
        <v>4589101.0901141753</v>
      </c>
      <c r="N76" s="747">
        <f>'LSR Prepaid BPA interest'!G74</f>
        <v>-105098.23</v>
      </c>
      <c r="O76" s="748">
        <f>IF((I76+L76)&gt;D76,(D76-I76)*$P$1,0)</f>
        <v>-272716.66908199998</v>
      </c>
      <c r="P76" s="749">
        <f>P75+N76+O76</f>
        <v>75586569.527975962</v>
      </c>
      <c r="Q76" s="300">
        <f>(P76+P64+SUM(P65:P75)*2)/24</f>
        <v>90854630.989570335</v>
      </c>
      <c r="R76" s="204"/>
      <c r="S76" s="247"/>
      <c r="T76" s="295"/>
      <c r="V76" s="295"/>
      <c r="W76" s="295"/>
      <c r="X76" s="295"/>
    </row>
    <row r="77" spans="1:24" outlineLevel="1">
      <c r="A77" s="752">
        <v>41729</v>
      </c>
      <c r="B77" s="753">
        <f t="shared" si="17"/>
        <v>0</v>
      </c>
      <c r="C77" s="754">
        <f>'LSR Prepaid BPA interest'!I75</f>
        <v>239937.51266962555</v>
      </c>
      <c r="D77" s="755">
        <f>'LSR Prepaid BPA interest'!H75</f>
        <v>-502860</v>
      </c>
      <c r="E77" s="756"/>
      <c r="F77" s="757">
        <f t="shared" si="11"/>
        <v>0</v>
      </c>
      <c r="G77" s="758">
        <f t="shared" si="18"/>
        <v>0</v>
      </c>
      <c r="H77" s="756">
        <f t="shared" ref="H77:H140" si="22">C77</f>
        <v>239937.51266962555</v>
      </c>
      <c r="I77" s="757">
        <f t="shared" si="16"/>
        <v>-239937.51266962555</v>
      </c>
      <c r="J77" s="758">
        <f t="shared" si="19"/>
        <v>0</v>
      </c>
      <c r="K77" s="756"/>
      <c r="L77" s="757">
        <f t="shared" si="14"/>
        <v>-11016.452219142688</v>
      </c>
      <c r="M77" s="758">
        <f>M76+K77+L77</f>
        <v>4578084.6378950328</v>
      </c>
      <c r="N77" s="756">
        <f>'LSR Prepaid BPA interest'!G75</f>
        <v>0</v>
      </c>
      <c r="O77" s="757">
        <f>IF((I77+L77)&gt;D77,(D77-I77)*$P$1,0)</f>
        <v>-251906.03511123173</v>
      </c>
      <c r="P77" s="758">
        <f t="shared" si="21"/>
        <v>75334663.492864728</v>
      </c>
      <c r="Q77" s="739">
        <f>(P77+P65+SUM(P66:P76)*2)/24</f>
        <v>88829199.927105367</v>
      </c>
      <c r="R77" s="204"/>
      <c r="S77" s="247"/>
      <c r="T77" s="295"/>
      <c r="V77" s="295"/>
      <c r="W77" s="295"/>
      <c r="X77" s="295"/>
    </row>
    <row r="78" spans="1:24" outlineLevel="1">
      <c r="A78" s="743">
        <v>41759</v>
      </c>
      <c r="B78" s="744">
        <f t="shared" si="17"/>
        <v>0</v>
      </c>
      <c r="C78" s="745">
        <f>'LSR Prepaid BPA interest'!I76</f>
        <v>232779.75289179845</v>
      </c>
      <c r="D78" s="746">
        <f>'LSR Prepaid BPA interest'!H76</f>
        <v>-502860</v>
      </c>
      <c r="E78" s="747"/>
      <c r="F78" s="748">
        <f t="shared" si="11"/>
        <v>0</v>
      </c>
      <c r="G78" s="749">
        <f t="shared" si="18"/>
        <v>0</v>
      </c>
      <c r="H78" s="747">
        <f t="shared" si="22"/>
        <v>232779.75289179845</v>
      </c>
      <c r="I78" s="748">
        <f t="shared" si="16"/>
        <v>-232779.75289179845</v>
      </c>
      <c r="J78" s="749">
        <f t="shared" si="19"/>
        <v>0</v>
      </c>
      <c r="K78" s="747"/>
      <c r="L78" s="748">
        <f>IF((F78+I78)&gt;D78,(D78-F78-I78)*$M$1,0)</f>
        <v>-11316.362353833645</v>
      </c>
      <c r="M78" s="749">
        <f t="shared" si="20"/>
        <v>4566768.2755411994</v>
      </c>
      <c r="N78" s="747">
        <f>'LSR Prepaid BPA interest'!G76</f>
        <v>0</v>
      </c>
      <c r="O78" s="748">
        <f t="shared" ref="O78:O141" si="23">IF((I78+L78)&gt;D78,(D78-I78)*$P$1,0)</f>
        <v>-258763.8847543679</v>
      </c>
      <c r="P78" s="749">
        <f t="shared" si="21"/>
        <v>75075899.608110353</v>
      </c>
      <c r="Q78" s="300">
        <f t="shared" si="8"/>
        <v>86782490.951312661</v>
      </c>
      <c r="R78" s="204"/>
      <c r="S78" s="247"/>
      <c r="T78" s="295"/>
      <c r="V78" s="295"/>
      <c r="W78" s="295"/>
      <c r="X78" s="295"/>
    </row>
    <row r="79" spans="1:24" outlineLevel="1">
      <c r="A79" s="743">
        <v>41790</v>
      </c>
      <c r="B79" s="744">
        <f t="shared" si="17"/>
        <v>0</v>
      </c>
      <c r="C79" s="745">
        <f>'LSR Prepaid BPA interest'!I77</f>
        <v>239015.87371723281</v>
      </c>
      <c r="D79" s="746">
        <f>'LSR Prepaid BPA interest'!H77</f>
        <v>-502860</v>
      </c>
      <c r="E79" s="747"/>
      <c r="F79" s="748">
        <f t="shared" si="11"/>
        <v>0</v>
      </c>
      <c r="G79" s="749">
        <f t="shared" si="18"/>
        <v>0</v>
      </c>
      <c r="H79" s="747">
        <f t="shared" si="22"/>
        <v>239015.87371723281</v>
      </c>
      <c r="I79" s="748">
        <f t="shared" si="16"/>
        <v>-239015.87371723281</v>
      </c>
      <c r="J79" s="749">
        <f t="shared" si="19"/>
        <v>0</v>
      </c>
      <c r="K79" s="747"/>
      <c r="L79" s="748">
        <f t="shared" ref="L79:L142" si="24">IF((F79+I79)&gt;D79,(D79-F79-I79)*$M$1,0)</f>
        <v>-11055.068891247944</v>
      </c>
      <c r="M79" s="749">
        <f t="shared" si="20"/>
        <v>4555713.2066499516</v>
      </c>
      <c r="N79" s="747">
        <f>'LSR Prepaid BPA interest'!G77</f>
        <v>0</v>
      </c>
      <c r="O79" s="748">
        <f t="shared" si="23"/>
        <v>-252789.05739151919</v>
      </c>
      <c r="P79" s="749">
        <f t="shared" si="21"/>
        <v>74823110.550718829</v>
      </c>
      <c r="Q79" s="300">
        <f t="shared" si="8"/>
        <v>84714467.269597203</v>
      </c>
      <c r="R79" s="204"/>
      <c r="S79" s="247"/>
      <c r="T79" s="295"/>
      <c r="V79" s="295"/>
      <c r="W79" s="295"/>
      <c r="X79" s="295"/>
    </row>
    <row r="80" spans="1:24" outlineLevel="1">
      <c r="A80" s="743">
        <v>41820</v>
      </c>
      <c r="B80" s="744">
        <f t="shared" si="17"/>
        <v>0</v>
      </c>
      <c r="C80" s="745">
        <f>'LSR Prepaid BPA interest'!I78</f>
        <v>229831.6155931683</v>
      </c>
      <c r="D80" s="746">
        <f>'LSR Prepaid BPA interest'!H78</f>
        <v>-502860</v>
      </c>
      <c r="E80" s="747"/>
      <c r="F80" s="748">
        <f t="shared" si="11"/>
        <v>0</v>
      </c>
      <c r="G80" s="749">
        <f t="shared" si="18"/>
        <v>0</v>
      </c>
      <c r="H80" s="747">
        <f t="shared" si="22"/>
        <v>229831.6155931683</v>
      </c>
      <c r="I80" s="748">
        <f t="shared" si="16"/>
        <v>-229831.6155931683</v>
      </c>
      <c r="J80" s="749">
        <f t="shared" si="19"/>
        <v>0</v>
      </c>
      <c r="K80" s="747"/>
      <c r="L80" s="748">
        <f t="shared" si="24"/>
        <v>-11439.889306646248</v>
      </c>
      <c r="M80" s="749">
        <f t="shared" si="20"/>
        <v>4544273.3173433058</v>
      </c>
      <c r="N80" s="747">
        <f>'LSR Prepaid BPA interest'!G78</f>
        <v>0</v>
      </c>
      <c r="O80" s="748">
        <f t="shared" si="23"/>
        <v>-261588.49510018545</v>
      </c>
      <c r="P80" s="749">
        <f t="shared" si="21"/>
        <v>74561522.055618644</v>
      </c>
      <c r="Q80" s="300">
        <f t="shared" si="8"/>
        <v>82629136.173532039</v>
      </c>
      <c r="R80" s="204"/>
      <c r="S80" s="247"/>
      <c r="T80" s="295"/>
      <c r="V80" s="295"/>
      <c r="W80" s="295"/>
      <c r="X80" s="295"/>
    </row>
    <row r="81" spans="1:24" outlineLevel="1">
      <c r="A81" s="743">
        <v>41851</v>
      </c>
      <c r="B81" s="744">
        <f t="shared" si="17"/>
        <v>0</v>
      </c>
      <c r="C81" s="745">
        <f>'LSR Prepaid BPA interest'!I79</f>
        <v>238094.75175993796</v>
      </c>
      <c r="D81" s="746">
        <f>'LSR Prepaid BPA interest'!H79</f>
        <v>-502860</v>
      </c>
      <c r="E81" s="747"/>
      <c r="F81" s="748">
        <f t="shared" si="11"/>
        <v>0</v>
      </c>
      <c r="G81" s="749">
        <f t="shared" si="18"/>
        <v>0</v>
      </c>
      <c r="H81" s="747">
        <f t="shared" si="22"/>
        <v>238094.75175993796</v>
      </c>
      <c r="I81" s="748">
        <f t="shared" si="16"/>
        <v>-238094.75175993796</v>
      </c>
      <c r="J81" s="749">
        <f>J80+H81+I81</f>
        <v>0</v>
      </c>
      <c r="K81" s="747"/>
      <c r="L81" s="748">
        <f t="shared" si="24"/>
        <v>-11093.663901258598</v>
      </c>
      <c r="M81" s="749">
        <f t="shared" si="20"/>
        <v>4533179.6534420475</v>
      </c>
      <c r="N81" s="747">
        <f>'LSR Prepaid BPA interest'!G79</f>
        <v>0</v>
      </c>
      <c r="O81" s="748">
        <f t="shared" si="23"/>
        <v>-253671.58433880343</v>
      </c>
      <c r="P81" s="749">
        <f t="shared" si="21"/>
        <v>74307850.471279845</v>
      </c>
      <c r="Q81" s="300">
        <f t="shared" si="8"/>
        <v>80531516.734309465</v>
      </c>
      <c r="R81" s="204"/>
      <c r="S81" s="247"/>
      <c r="T81" s="295"/>
      <c r="V81" s="295"/>
      <c r="W81" s="295"/>
      <c r="X81" s="295"/>
    </row>
    <row r="82" spans="1:24" outlineLevel="1">
      <c r="A82" s="743">
        <v>41882</v>
      </c>
      <c r="B82" s="744">
        <f t="shared" si="17"/>
        <v>0</v>
      </c>
      <c r="C82" s="745">
        <f>'LSR Prepaid BPA interest'!I80</f>
        <v>236571.54748897903</v>
      </c>
      <c r="D82" s="746">
        <f>'LSR Prepaid BPA interest'!H80</f>
        <v>-502860</v>
      </c>
      <c r="E82" s="747"/>
      <c r="F82" s="748">
        <f t="shared" si="11"/>
        <v>0</v>
      </c>
      <c r="G82" s="749">
        <f t="shared" si="18"/>
        <v>0</v>
      </c>
      <c r="H82" s="747">
        <f t="shared" si="22"/>
        <v>236571.54748897903</v>
      </c>
      <c r="I82" s="748">
        <f t="shared" si="16"/>
        <v>-236571.54748897903</v>
      </c>
      <c r="J82" s="749">
        <f t="shared" si="19"/>
        <v>0</v>
      </c>
      <c r="K82" s="747"/>
      <c r="L82" s="748">
        <f t="shared" si="24"/>
        <v>-11157.486160211778</v>
      </c>
      <c r="M82" s="749">
        <f t="shared" si="20"/>
        <v>4522022.1672818353</v>
      </c>
      <c r="N82" s="747">
        <f>'LSR Prepaid BPA interest'!G80</f>
        <v>0</v>
      </c>
      <c r="O82" s="748">
        <f t="shared" si="23"/>
        <v>-255130.96635080915</v>
      </c>
      <c r="P82" s="749">
        <f t="shared" si="21"/>
        <v>74052719.504929036</v>
      </c>
      <c r="Q82" s="300">
        <f t="shared" si="8"/>
        <v>78422862.241057575</v>
      </c>
      <c r="R82" s="204"/>
      <c r="S82" s="247"/>
      <c r="T82" s="295"/>
      <c r="V82" s="295"/>
      <c r="W82" s="295"/>
      <c r="X82" s="295"/>
    </row>
    <row r="83" spans="1:24" outlineLevel="1">
      <c r="A83" s="743">
        <v>41912</v>
      </c>
      <c r="B83" s="744">
        <f t="shared" si="17"/>
        <v>0</v>
      </c>
      <c r="C83" s="745">
        <f>'LSR Prepaid BPA interest'!I81</f>
        <v>227466.13859808401</v>
      </c>
      <c r="D83" s="746">
        <f>'LSR Prepaid BPA interest'!H81</f>
        <v>-502860</v>
      </c>
      <c r="E83" s="747"/>
      <c r="F83" s="748">
        <f t="shared" si="11"/>
        <v>0</v>
      </c>
      <c r="G83" s="749">
        <f t="shared" si="18"/>
        <v>0</v>
      </c>
      <c r="H83" s="747">
        <f t="shared" si="22"/>
        <v>227466.13859808401</v>
      </c>
      <c r="I83" s="748">
        <f t="shared" si="16"/>
        <v>-227466.13859808401</v>
      </c>
      <c r="J83" s="749">
        <f t="shared" si="19"/>
        <v>0</v>
      </c>
      <c r="K83" s="747"/>
      <c r="L83" s="748">
        <f t="shared" si="24"/>
        <v>-11539.002792740281</v>
      </c>
      <c r="M83" s="749">
        <f t="shared" si="20"/>
        <v>4510483.1644890951</v>
      </c>
      <c r="N83" s="747">
        <f>'LSR Prepaid BPA interest'!G81</f>
        <v>0</v>
      </c>
      <c r="O83" s="748">
        <f t="shared" si="23"/>
        <v>-263854.85860917572</v>
      </c>
      <c r="P83" s="749">
        <f t="shared" si="21"/>
        <v>73788864.646319866</v>
      </c>
      <c r="Q83" s="300">
        <f t="shared" si="8"/>
        <v>76303256.906042144</v>
      </c>
      <c r="R83" s="204"/>
      <c r="S83" s="247"/>
      <c r="T83" s="295"/>
      <c r="V83" s="295"/>
      <c r="W83" s="295"/>
      <c r="X83" s="295"/>
    </row>
    <row r="84" spans="1:24" outlineLevel="1">
      <c r="A84" s="743">
        <v>41943</v>
      </c>
      <c r="B84" s="744">
        <f t="shared" si="17"/>
        <v>0</v>
      </c>
      <c r="C84" s="745">
        <f>'LSR Prepaid BPA interest'!I82</f>
        <v>235651.95581081518</v>
      </c>
      <c r="D84" s="746">
        <f>'LSR Prepaid BPA interest'!H82</f>
        <v>-502860</v>
      </c>
      <c r="E84" s="747"/>
      <c r="F84" s="748">
        <f t="shared" si="11"/>
        <v>0</v>
      </c>
      <c r="G84" s="749">
        <f t="shared" si="18"/>
        <v>0</v>
      </c>
      <c r="H84" s="747">
        <f t="shared" si="22"/>
        <v>235651.95581081518</v>
      </c>
      <c r="I84" s="748">
        <f t="shared" si="16"/>
        <v>-235651.95581081518</v>
      </c>
      <c r="J84" s="749">
        <f t="shared" si="19"/>
        <v>0</v>
      </c>
      <c r="K84" s="747"/>
      <c r="L84" s="748">
        <f>IF((F84+I84)&gt;D84,(D84-F84-I84)*$M$1,0)</f>
        <v>-11196.017051526842</v>
      </c>
      <c r="M84" s="749">
        <f t="shared" si="20"/>
        <v>4499287.1474375678</v>
      </c>
      <c r="N84" s="747">
        <f>'LSR Prepaid BPA interest'!G82</f>
        <v>0</v>
      </c>
      <c r="O84" s="748">
        <f t="shared" si="23"/>
        <v>-256012.02713765792</v>
      </c>
      <c r="P84" s="749">
        <f t="shared" si="21"/>
        <v>73532852.619182214</v>
      </c>
      <c r="Q84" s="300">
        <f>(P84+P72+SUM(P73:P83)*2)/24</f>
        <v>75108032.408426583</v>
      </c>
      <c r="R84" s="204"/>
      <c r="S84" s="247"/>
      <c r="T84" s="295"/>
      <c r="V84" s="295"/>
      <c r="W84" s="295"/>
      <c r="X84" s="295"/>
    </row>
    <row r="85" spans="1:24" ht="15.75" outlineLevel="1" thickBot="1">
      <c r="A85" s="743">
        <v>41973</v>
      </c>
      <c r="B85" s="744">
        <f t="shared" si="17"/>
        <v>0</v>
      </c>
      <c r="C85" s="745">
        <f>'LSR Prepaid BPA interest'!I83</f>
        <v>226576.21116760289</v>
      </c>
      <c r="D85" s="746">
        <f>'LSR Prepaid BPA interest'!H83</f>
        <v>-502860</v>
      </c>
      <c r="E85" s="747"/>
      <c r="F85" s="748">
        <f t="shared" si="11"/>
        <v>0</v>
      </c>
      <c r="G85" s="749">
        <f t="shared" si="18"/>
        <v>0</v>
      </c>
      <c r="H85" s="747">
        <f t="shared" si="22"/>
        <v>226576.21116760289</v>
      </c>
      <c r="I85" s="748">
        <f t="shared" si="16"/>
        <v>-226576.21116760289</v>
      </c>
      <c r="J85" s="749">
        <f t="shared" si="19"/>
        <v>0</v>
      </c>
      <c r="K85" s="747"/>
      <c r="L85" s="748">
        <f t="shared" si="24"/>
        <v>-11576.290752077437</v>
      </c>
      <c r="M85" s="749">
        <f t="shared" si="20"/>
        <v>4487710.8566854903</v>
      </c>
      <c r="N85" s="747">
        <f>'LSR Prepaid BPA interest'!G83</f>
        <v>0</v>
      </c>
      <c r="O85" s="748">
        <f t="shared" si="23"/>
        <v>-264707.49808031961</v>
      </c>
      <c r="P85" s="749">
        <f t="shared" si="21"/>
        <v>73268145.121101901</v>
      </c>
      <c r="Q85" s="300">
        <f t="shared" ref="Q85:Q148" si="25">(P85+P73+SUM(P74:P84)*2)/24</f>
        <v>74842231.383936092</v>
      </c>
      <c r="R85" s="204"/>
      <c r="S85" s="247"/>
      <c r="T85" s="295"/>
      <c r="V85" s="295"/>
      <c r="W85" s="295"/>
      <c r="X85" s="295"/>
    </row>
    <row r="86" spans="1:24" outlineLevel="1">
      <c r="A86" s="886">
        <v>42004</v>
      </c>
      <c r="B86" s="759">
        <f t="shared" si="17"/>
        <v>0</v>
      </c>
      <c r="C86" s="760">
        <f>'LSR Prepaid BPA interest'!I84</f>
        <v>232605.54726889738</v>
      </c>
      <c r="D86" s="761">
        <f>'LSR Prepaid BPA interest'!H84</f>
        <v>-502860</v>
      </c>
      <c r="E86" s="762"/>
      <c r="F86" s="763">
        <f t="shared" si="11"/>
        <v>0</v>
      </c>
      <c r="G86" s="764">
        <f t="shared" si="18"/>
        <v>0</v>
      </c>
      <c r="H86" s="762">
        <f t="shared" si="22"/>
        <v>232605.54726889738</v>
      </c>
      <c r="I86" s="763">
        <f t="shared" si="16"/>
        <v>-232605.54726889738</v>
      </c>
      <c r="J86" s="764">
        <f t="shared" si="19"/>
        <v>0</v>
      </c>
      <c r="K86" s="762"/>
      <c r="L86" s="763">
        <f t="shared" si="24"/>
        <v>-11323.661569433198</v>
      </c>
      <c r="M86" s="764">
        <f t="shared" si="20"/>
        <v>4476387.1951160571</v>
      </c>
      <c r="N86" s="762">
        <f>'LSR Prepaid BPA interest'!G84</f>
        <v>0</v>
      </c>
      <c r="O86" s="763">
        <f t="shared" si="23"/>
        <v>-258930.79116166939</v>
      </c>
      <c r="P86" s="764">
        <f t="shared" si="21"/>
        <v>73009214.32994023</v>
      </c>
      <c r="Q86" s="740">
        <f t="shared" si="25"/>
        <v>74575643.544422567</v>
      </c>
      <c r="R86" s="204"/>
      <c r="S86" s="247"/>
      <c r="T86" s="295"/>
      <c r="V86" s="295"/>
      <c r="W86" s="295"/>
      <c r="X86" s="295"/>
    </row>
    <row r="87" spans="1:24" outlineLevel="1">
      <c r="A87" s="743">
        <v>42035</v>
      </c>
      <c r="B87" s="744">
        <f t="shared" si="17"/>
        <v>0</v>
      </c>
      <c r="C87" s="745">
        <f>'LSR Prepaid BPA interest'!I85</f>
        <v>233187.05142801395</v>
      </c>
      <c r="D87" s="746">
        <f>'LSR Prepaid BPA interest'!H85</f>
        <v>-502860</v>
      </c>
      <c r="E87" s="747"/>
      <c r="F87" s="748">
        <f t="shared" si="11"/>
        <v>0</v>
      </c>
      <c r="G87" s="749">
        <f t="shared" si="18"/>
        <v>0</v>
      </c>
      <c r="H87" s="747">
        <f t="shared" si="22"/>
        <v>233187.05142801395</v>
      </c>
      <c r="I87" s="748">
        <f t="shared" si="16"/>
        <v>-233187.05142801395</v>
      </c>
      <c r="J87" s="749">
        <f t="shared" si="19"/>
        <v>0</v>
      </c>
      <c r="K87" s="747"/>
      <c r="L87" s="748">
        <f t="shared" si="24"/>
        <v>-11299.296545166215</v>
      </c>
      <c r="M87" s="749">
        <f t="shared" si="20"/>
        <v>4465087.8985708905</v>
      </c>
      <c r="N87" s="747">
        <f>'LSR Prepaid BPA interest'!G85</f>
        <v>0</v>
      </c>
      <c r="O87" s="748">
        <f t="shared" si="23"/>
        <v>-258373.65202681982</v>
      </c>
      <c r="P87" s="749">
        <f t="shared" si="21"/>
        <v>72750840.677913412</v>
      </c>
      <c r="Q87" s="300">
        <f t="shared" si="25"/>
        <v>74308252.040043935</v>
      </c>
      <c r="R87" s="204"/>
      <c r="S87" s="247"/>
      <c r="T87" s="295"/>
      <c r="V87" s="295"/>
      <c r="W87" s="295"/>
      <c r="X87" s="295"/>
    </row>
    <row r="88" spans="1:24" outlineLevel="1">
      <c r="A88" s="743">
        <v>42063</v>
      </c>
      <c r="B88" s="744">
        <f t="shared" si="17"/>
        <v>0</v>
      </c>
      <c r="C88" s="745">
        <f>'LSR Prepaid BPA interest'!I86</f>
        <v>209244.76517411426</v>
      </c>
      <c r="D88" s="746">
        <f>'LSR Prepaid BPA interest'!H86</f>
        <v>-502860</v>
      </c>
      <c r="E88" s="747"/>
      <c r="F88" s="748">
        <f t="shared" si="11"/>
        <v>0</v>
      </c>
      <c r="G88" s="749">
        <f t="shared" si="18"/>
        <v>0</v>
      </c>
      <c r="H88" s="747">
        <f t="shared" si="22"/>
        <v>209244.76517411426</v>
      </c>
      <c r="I88" s="748">
        <f t="shared" si="16"/>
        <v>-209244.76517411426</v>
      </c>
      <c r="J88" s="749">
        <f t="shared" si="19"/>
        <v>0</v>
      </c>
      <c r="K88" s="747"/>
      <c r="L88" s="748">
        <f>IF((F88+I88)&gt;D88,(D88-F88-I88)*$M$1,0)</f>
        <v>-12302.478339204612</v>
      </c>
      <c r="M88" s="749">
        <f t="shared" si="20"/>
        <v>4452785.420231686</v>
      </c>
      <c r="N88" s="747">
        <f>'LSR Prepaid BPA interest'!G86</f>
        <v>0</v>
      </c>
      <c r="O88" s="748">
        <f t="shared" si="23"/>
        <v>-281312.75648668112</v>
      </c>
      <c r="P88" s="749">
        <f t="shared" si="21"/>
        <v>72469527.921426728</v>
      </c>
      <c r="Q88" s="300">
        <f t="shared" si="25"/>
        <v>74044477.650223374</v>
      </c>
      <c r="R88" s="204"/>
      <c r="S88" s="247"/>
      <c r="T88" s="295"/>
      <c r="V88" s="295"/>
      <c r="W88" s="295"/>
      <c r="X88" s="295"/>
    </row>
    <row r="89" spans="1:24" outlineLevel="1">
      <c r="A89" s="743">
        <v>42094</v>
      </c>
      <c r="B89" s="744">
        <f t="shared" si="17"/>
        <v>0</v>
      </c>
      <c r="C89" s="745">
        <f>'LSR Prepaid BPA interest'!I87</f>
        <v>230140.64288609615</v>
      </c>
      <c r="D89" s="746">
        <f>'LSR Prepaid BPA interest'!H87</f>
        <v>-502860</v>
      </c>
      <c r="E89" s="747"/>
      <c r="F89" s="748">
        <f t="shared" si="11"/>
        <v>0</v>
      </c>
      <c r="G89" s="749">
        <f t="shared" si="18"/>
        <v>0</v>
      </c>
      <c r="H89" s="747">
        <f t="shared" si="22"/>
        <v>230140.64288609615</v>
      </c>
      <c r="I89" s="748">
        <f t="shared" si="16"/>
        <v>-230140.64288609615</v>
      </c>
      <c r="J89" s="749">
        <f t="shared" si="19"/>
        <v>0</v>
      </c>
      <c r="K89" s="747"/>
      <c r="L89" s="748">
        <f t="shared" si="24"/>
        <v>-11426.941063072571</v>
      </c>
      <c r="M89" s="749">
        <f t="shared" si="20"/>
        <v>4441358.4791686134</v>
      </c>
      <c r="N89" s="747">
        <f>'LSR Prepaid BPA interest'!G87</f>
        <v>0</v>
      </c>
      <c r="O89" s="748">
        <f t="shared" si="23"/>
        <v>-261292.41605083126</v>
      </c>
      <c r="P89" s="749">
        <f t="shared" si="21"/>
        <v>72208235.505375892</v>
      </c>
      <c r="Q89" s="300">
        <f t="shared" si="25"/>
        <v>73784333.083805114</v>
      </c>
      <c r="R89" s="204"/>
      <c r="S89" s="247"/>
      <c r="T89" s="295"/>
      <c r="V89" s="295"/>
      <c r="W89" s="295"/>
      <c r="X89" s="295"/>
    </row>
    <row r="90" spans="1:24" outlineLevel="1">
      <c r="A90" s="743">
        <v>42124</v>
      </c>
      <c r="B90" s="744">
        <f t="shared" si="17"/>
        <v>0</v>
      </c>
      <c r="C90" s="745">
        <f>'LSR Prepaid BPA interest'!I88</f>
        <v>223214.24116921483</v>
      </c>
      <c r="D90" s="746">
        <f>'LSR Prepaid BPA interest'!H88</f>
        <v>-502860</v>
      </c>
      <c r="E90" s="747"/>
      <c r="F90" s="748">
        <f t="shared" si="11"/>
        <v>0</v>
      </c>
      <c r="G90" s="749">
        <f t="shared" si="18"/>
        <v>0</v>
      </c>
      <c r="H90" s="747">
        <f t="shared" si="22"/>
        <v>223214.24116921483</v>
      </c>
      <c r="I90" s="748">
        <f t="shared" si="16"/>
        <v>-223214.24116921483</v>
      </c>
      <c r="J90" s="749">
        <f t="shared" si="19"/>
        <v>0</v>
      </c>
      <c r="K90" s="747"/>
      <c r="L90" s="748">
        <f t="shared" si="24"/>
        <v>-11717.157295009898</v>
      </c>
      <c r="M90" s="749">
        <f t="shared" si="20"/>
        <v>4429641.3218736034</v>
      </c>
      <c r="N90" s="747">
        <f>'LSR Prepaid BPA interest'!G88</f>
        <v>0</v>
      </c>
      <c r="O90" s="748">
        <f t="shared" si="23"/>
        <v>-267928.60153577523</v>
      </c>
      <c r="P90" s="749">
        <f t="shared" si="21"/>
        <v>71940306.90384011</v>
      </c>
      <c r="Q90" s="300">
        <f t="shared" si="25"/>
        <v>73523415.554981828</v>
      </c>
      <c r="R90" s="204"/>
      <c r="S90" s="247"/>
      <c r="T90" s="295"/>
      <c r="V90" s="295"/>
      <c r="W90" s="295"/>
      <c r="X90" s="295"/>
    </row>
    <row r="91" spans="1:24" outlineLevel="1">
      <c r="A91" s="743">
        <v>42155</v>
      </c>
      <c r="B91" s="744">
        <f t="shared" si="17"/>
        <v>0</v>
      </c>
      <c r="C91" s="745">
        <f>'LSR Prepaid BPA interest'!I89</f>
        <v>229131.51160389639</v>
      </c>
      <c r="D91" s="746">
        <f>'LSR Prepaid BPA interest'!H89</f>
        <v>-502860</v>
      </c>
      <c r="E91" s="747"/>
      <c r="F91" s="748">
        <f t="shared" si="11"/>
        <v>0</v>
      </c>
      <c r="G91" s="749">
        <f t="shared" si="18"/>
        <v>0</v>
      </c>
      <c r="H91" s="747">
        <f t="shared" si="22"/>
        <v>229131.51160389639</v>
      </c>
      <c r="I91" s="748">
        <f t="shared" si="16"/>
        <v>-229131.51160389639</v>
      </c>
      <c r="J91" s="749">
        <f t="shared" si="19"/>
        <v>0</v>
      </c>
      <c r="K91" s="747"/>
      <c r="L91" s="748">
        <f t="shared" si="24"/>
        <v>-11469.223663796742</v>
      </c>
      <c r="M91" s="749">
        <f t="shared" si="20"/>
        <v>4418172.0982098067</v>
      </c>
      <c r="N91" s="747">
        <f>'LSR Prepaid BPA interest'!G89</f>
        <v>0</v>
      </c>
      <c r="O91" s="748">
        <f t="shared" si="23"/>
        <v>-262259.26473230688</v>
      </c>
      <c r="P91" s="749">
        <f t="shared" si="21"/>
        <v>71678047.639107808</v>
      </c>
      <c r="Q91" s="300">
        <f t="shared" si="25"/>
        <v>73261721.570986778</v>
      </c>
      <c r="R91" s="204"/>
      <c r="S91" s="247"/>
      <c r="T91" s="295"/>
      <c r="V91" s="295"/>
      <c r="W91" s="295"/>
      <c r="X91" s="295"/>
    </row>
    <row r="92" spans="1:24" outlineLevel="1">
      <c r="A92" s="743">
        <v>42185</v>
      </c>
      <c r="B92" s="744">
        <f t="shared" si="17"/>
        <v>0</v>
      </c>
      <c r="C92" s="745">
        <f>'LSR Prepaid BPA interest'!I90</f>
        <v>220266.10387058469</v>
      </c>
      <c r="D92" s="746">
        <f>'LSR Prepaid BPA interest'!H90</f>
        <v>-502860</v>
      </c>
      <c r="E92" s="747"/>
      <c r="F92" s="748">
        <f t="shared" si="11"/>
        <v>0</v>
      </c>
      <c r="G92" s="749">
        <f t="shared" si="18"/>
        <v>0</v>
      </c>
      <c r="H92" s="747">
        <f t="shared" si="22"/>
        <v>220266.10387058469</v>
      </c>
      <c r="I92" s="748">
        <f t="shared" si="16"/>
        <v>-220266.10387058469</v>
      </c>
      <c r="J92" s="749">
        <f t="shared" si="19"/>
        <v>0</v>
      </c>
      <c r="K92" s="747"/>
      <c r="L92" s="748">
        <f t="shared" si="24"/>
        <v>-11840.684247822501</v>
      </c>
      <c r="M92" s="749">
        <f t="shared" si="20"/>
        <v>4406331.4139619842</v>
      </c>
      <c r="N92" s="747">
        <f>'LSR Prepaid BPA interest'!G90</f>
        <v>0</v>
      </c>
      <c r="O92" s="748">
        <f t="shared" si="23"/>
        <v>-270753.21188159281</v>
      </c>
      <c r="P92" s="749">
        <f t="shared" si="21"/>
        <v>71407294.427226216</v>
      </c>
      <c r="Q92" s="300">
        <f t="shared" si="25"/>
        <v>72999251.131819949</v>
      </c>
      <c r="R92" s="204"/>
      <c r="S92" s="247"/>
      <c r="T92" s="295"/>
      <c r="V92" s="295"/>
      <c r="W92" s="295"/>
      <c r="X92" s="295"/>
    </row>
    <row r="93" spans="1:24" outlineLevel="1">
      <c r="A93" s="743">
        <v>42216</v>
      </c>
      <c r="B93" s="744">
        <f t="shared" si="17"/>
        <v>0</v>
      </c>
      <c r="C93" s="745">
        <f>'LSR Prepaid BPA interest'!I91</f>
        <v>228122.49965891862</v>
      </c>
      <c r="D93" s="746">
        <f>'LSR Prepaid BPA interest'!H91</f>
        <v>-502860</v>
      </c>
      <c r="E93" s="747"/>
      <c r="F93" s="748">
        <f t="shared" si="11"/>
        <v>0</v>
      </c>
      <c r="G93" s="749">
        <f t="shared" si="18"/>
        <v>0</v>
      </c>
      <c r="H93" s="747">
        <f t="shared" si="22"/>
        <v>228122.49965891862</v>
      </c>
      <c r="I93" s="748">
        <f t="shared" si="16"/>
        <v>-228122.49965891862</v>
      </c>
      <c r="J93" s="749">
        <f t="shared" si="19"/>
        <v>0</v>
      </c>
      <c r="K93" s="747"/>
      <c r="L93" s="748">
        <f t="shared" si="24"/>
        <v>-11511.501264291312</v>
      </c>
      <c r="M93" s="749">
        <f t="shared" si="20"/>
        <v>4394819.9126976933</v>
      </c>
      <c r="N93" s="747">
        <f>'LSR Prepaid BPA interest'!G91</f>
        <v>0</v>
      </c>
      <c r="O93" s="748">
        <f t="shared" si="23"/>
        <v>-263225.99907679006</v>
      </c>
      <c r="P93" s="749">
        <f t="shared" si="21"/>
        <v>71144068.428149432</v>
      </c>
      <c r="Q93" s="300">
        <f t="shared" si="25"/>
        <v>72736000.72883983</v>
      </c>
      <c r="R93" s="204"/>
      <c r="S93" s="247"/>
      <c r="T93" s="295"/>
      <c r="V93" s="295"/>
      <c r="W93" s="295"/>
      <c r="X93" s="295"/>
    </row>
    <row r="94" spans="1:24" outlineLevel="1">
      <c r="A94" s="743">
        <v>42247</v>
      </c>
      <c r="B94" s="744">
        <f t="shared" si="17"/>
        <v>0</v>
      </c>
      <c r="C94" s="745">
        <f>'LSR Prepaid BPA interest'!I92</f>
        <v>226599.29538795972</v>
      </c>
      <c r="D94" s="746">
        <f>'LSR Prepaid BPA interest'!H92</f>
        <v>-502860</v>
      </c>
      <c r="E94" s="747"/>
      <c r="F94" s="748">
        <f t="shared" si="11"/>
        <v>0</v>
      </c>
      <c r="G94" s="749">
        <f t="shared" si="18"/>
        <v>0</v>
      </c>
      <c r="H94" s="747">
        <f t="shared" si="22"/>
        <v>226599.29538795972</v>
      </c>
      <c r="I94" s="748">
        <f t="shared" si="16"/>
        <v>-226599.29538795972</v>
      </c>
      <c r="J94" s="749">
        <f t="shared" si="19"/>
        <v>0</v>
      </c>
      <c r="K94" s="747"/>
      <c r="L94" s="748">
        <f t="shared" si="24"/>
        <v>-11575.323523244489</v>
      </c>
      <c r="M94" s="749">
        <f t="shared" si="20"/>
        <v>4383244.5891744485</v>
      </c>
      <c r="N94" s="747">
        <f>'LSR Prepaid BPA interest'!G92</f>
        <v>0</v>
      </c>
      <c r="O94" s="748">
        <f t="shared" si="23"/>
        <v>-264685.38108879578</v>
      </c>
      <c r="P94" s="749">
        <f t="shared" si="21"/>
        <v>70879383.047060639</v>
      </c>
      <c r="Q94" s="300">
        <f t="shared" si="25"/>
        <v>72471954.124631569</v>
      </c>
      <c r="R94" s="204"/>
      <c r="S94" s="247"/>
      <c r="T94" s="295"/>
      <c r="V94" s="295"/>
      <c r="W94" s="295"/>
      <c r="X94" s="295"/>
    </row>
    <row r="95" spans="1:24" outlineLevel="1">
      <c r="A95" s="743">
        <v>42277</v>
      </c>
      <c r="B95" s="744">
        <f t="shared" si="17"/>
        <v>0</v>
      </c>
      <c r="C95" s="745">
        <f>'LSR Prepaid BPA interest'!I93</f>
        <v>217815.57204871048</v>
      </c>
      <c r="D95" s="746">
        <f>'LSR Prepaid BPA interest'!H93</f>
        <v>-502860</v>
      </c>
      <c r="E95" s="747"/>
      <c r="F95" s="748">
        <f t="shared" si="11"/>
        <v>0</v>
      </c>
      <c r="G95" s="749">
        <f t="shared" si="18"/>
        <v>0</v>
      </c>
      <c r="H95" s="747">
        <f t="shared" si="22"/>
        <v>217815.57204871048</v>
      </c>
      <c r="I95" s="748">
        <f t="shared" si="16"/>
        <v>-217815.57204871048</v>
      </c>
      <c r="J95" s="749">
        <f t="shared" si="19"/>
        <v>0</v>
      </c>
      <c r="K95" s="747"/>
      <c r="L95" s="748">
        <f t="shared" si="24"/>
        <v>-11943.361531159031</v>
      </c>
      <c r="M95" s="749">
        <f t="shared" si="20"/>
        <v>4371301.2276432896</v>
      </c>
      <c r="N95" s="747">
        <f>'LSR Prepaid BPA interest'!G93</f>
        <v>0</v>
      </c>
      <c r="O95" s="748">
        <f t="shared" si="23"/>
        <v>-273101.06642013049</v>
      </c>
      <c r="P95" s="749">
        <f t="shared" si="21"/>
        <v>70606281.980640501</v>
      </c>
      <c r="Q95" s="300">
        <f t="shared" si="25"/>
        <v>72207124.161150381</v>
      </c>
      <c r="R95" s="204"/>
      <c r="S95" s="247"/>
      <c r="T95" s="295"/>
      <c r="V95" s="295"/>
      <c r="W95" s="295"/>
      <c r="X95" s="295"/>
    </row>
    <row r="96" spans="1:24" outlineLevel="1">
      <c r="A96" s="743">
        <v>42308</v>
      </c>
      <c r="B96" s="744">
        <f t="shared" si="17"/>
        <v>0</v>
      </c>
      <c r="C96" s="745">
        <f>'LSR Prepaid BPA interest'!I94</f>
        <v>225590.05780801829</v>
      </c>
      <c r="D96" s="746">
        <f>'LSR Prepaid BPA interest'!H94</f>
        <v>-502860</v>
      </c>
      <c r="E96" s="747"/>
      <c r="F96" s="748">
        <f t="shared" si="11"/>
        <v>0</v>
      </c>
      <c r="G96" s="749">
        <f t="shared" si="18"/>
        <v>0</v>
      </c>
      <c r="H96" s="747">
        <f t="shared" si="22"/>
        <v>225590.05780801829</v>
      </c>
      <c r="I96" s="748">
        <f t="shared" si="16"/>
        <v>-225590.05780801829</v>
      </c>
      <c r="J96" s="749">
        <f t="shared" si="19"/>
        <v>0</v>
      </c>
      <c r="K96" s="747"/>
      <c r="L96" s="748">
        <f t="shared" si="24"/>
        <v>-11617.610577844034</v>
      </c>
      <c r="M96" s="749">
        <f t="shared" si="20"/>
        <v>4359683.6170654455</v>
      </c>
      <c r="N96" s="747">
        <f>'LSR Prepaid BPA interest'!G94</f>
        <v>0</v>
      </c>
      <c r="O96" s="748">
        <f t="shared" si="23"/>
        <v>-265652.33161413769</v>
      </c>
      <c r="P96" s="749">
        <f t="shared" si="21"/>
        <v>70340629.649026364</v>
      </c>
      <c r="Q96" s="300">
        <f t="shared" si="25"/>
        <v>71941507.259657264</v>
      </c>
      <c r="R96" s="204"/>
      <c r="S96" s="247"/>
      <c r="T96" s="295"/>
      <c r="V96" s="295"/>
      <c r="W96" s="295"/>
      <c r="X96" s="295"/>
    </row>
    <row r="97" spans="1:24" ht="15.75" outlineLevel="1" thickBot="1">
      <c r="A97" s="916">
        <v>42338</v>
      </c>
      <c r="B97" s="765">
        <f t="shared" si="17"/>
        <v>0</v>
      </c>
      <c r="C97" s="766">
        <f>'LSR Prepaid BPA interest'!I95</f>
        <v>216828.92386220064</v>
      </c>
      <c r="D97" s="767">
        <f>'LSR Prepaid BPA interest'!H95</f>
        <v>-506260</v>
      </c>
      <c r="E97" s="768"/>
      <c r="F97" s="769">
        <f t="shared" si="11"/>
        <v>0</v>
      </c>
      <c r="G97" s="770">
        <f t="shared" si="18"/>
        <v>0</v>
      </c>
      <c r="H97" s="768">
        <f t="shared" si="22"/>
        <v>216828.92386220064</v>
      </c>
      <c r="I97" s="769">
        <f t="shared" si="16"/>
        <v>-216828.92386220064</v>
      </c>
      <c r="J97" s="770">
        <f t="shared" si="19"/>
        <v>0</v>
      </c>
      <c r="K97" s="768"/>
      <c r="L97" s="769">
        <f t="shared" si="24"/>
        <v>-12127.162090173793</v>
      </c>
      <c r="M97" s="770">
        <f t="shared" si="20"/>
        <v>4347556.4549752716</v>
      </c>
      <c r="N97" s="768">
        <f>'LSR Prepaid BPA interest'!G95</f>
        <v>0</v>
      </c>
      <c r="O97" s="769">
        <f t="shared" si="23"/>
        <v>-277303.91404762556</v>
      </c>
      <c r="P97" s="770">
        <f>P96+N97+O97</f>
        <v>70063325.734978735</v>
      </c>
      <c r="Q97" s="917">
        <f t="shared" si="25"/>
        <v>71674963.828145638</v>
      </c>
      <c r="R97" s="204"/>
      <c r="S97" s="247"/>
      <c r="T97" s="295"/>
      <c r="V97" s="295"/>
      <c r="W97" s="295"/>
      <c r="X97" s="295"/>
    </row>
    <row r="98" spans="1:24" outlineLevel="1">
      <c r="A98" s="918">
        <v>42369</v>
      </c>
      <c r="B98" s="741">
        <f t="shared" si="17"/>
        <v>0</v>
      </c>
      <c r="C98" s="393">
        <f>'LSR Prepaid BPA interest'!I96</f>
        <v>222523.05150719636</v>
      </c>
      <c r="D98" s="225">
        <f>'LSR Prepaid BPA interest'!H96</f>
        <v>-506260</v>
      </c>
      <c r="E98" s="307"/>
      <c r="F98" s="305">
        <f t="shared" si="11"/>
        <v>0</v>
      </c>
      <c r="G98" s="306">
        <f t="shared" si="18"/>
        <v>0</v>
      </c>
      <c r="H98" s="307">
        <f t="shared" si="22"/>
        <v>222523.05150719636</v>
      </c>
      <c r="I98" s="305">
        <f t="shared" si="16"/>
        <v>-222523.05150719636</v>
      </c>
      <c r="J98" s="306">
        <f t="shared" si="19"/>
        <v>0</v>
      </c>
      <c r="K98" s="307"/>
      <c r="L98" s="305">
        <f t="shared" si="24"/>
        <v>-11888.578141848471</v>
      </c>
      <c r="M98" s="306">
        <f t="shared" si="20"/>
        <v>4335667.876833423</v>
      </c>
      <c r="N98" s="307">
        <f>'LSR Prepaid BPA interest'!G96</f>
        <v>0</v>
      </c>
      <c r="O98" s="305">
        <f t="shared" si="23"/>
        <v>-271848.37035095511</v>
      </c>
      <c r="P98" s="306">
        <f t="shared" si="21"/>
        <v>69791477.364627779</v>
      </c>
      <c r="Q98" s="308">
        <f t="shared" si="25"/>
        <v>71407357.313502476</v>
      </c>
      <c r="R98" s="204"/>
      <c r="S98" s="247"/>
      <c r="T98" s="295"/>
      <c r="V98" s="295"/>
      <c r="W98" s="295"/>
      <c r="X98" s="295"/>
    </row>
    <row r="99" spans="1:24" outlineLevel="1">
      <c r="A99" s="287">
        <v>42400</v>
      </c>
      <c r="B99" s="295">
        <f t="shared" si="17"/>
        <v>0</v>
      </c>
      <c r="C99" s="215">
        <f>'LSR Prepaid BPA interest'!I97</f>
        <v>223003.71242804962</v>
      </c>
      <c r="D99" s="209">
        <f>'LSR Prepaid BPA interest'!H97</f>
        <v>-506260</v>
      </c>
      <c r="E99" s="296"/>
      <c r="F99" s="297">
        <f t="shared" si="11"/>
        <v>0</v>
      </c>
      <c r="G99" s="298">
        <f t="shared" si="18"/>
        <v>0</v>
      </c>
      <c r="H99" s="296">
        <f t="shared" si="22"/>
        <v>223003.71242804962</v>
      </c>
      <c r="I99" s="297">
        <f t="shared" si="16"/>
        <v>-223003.71242804962</v>
      </c>
      <c r="J99" s="298">
        <f t="shared" si="19"/>
        <v>0</v>
      </c>
      <c r="K99" s="296"/>
      <c r="L99" s="297">
        <f t="shared" si="24"/>
        <v>-11868.43844926472</v>
      </c>
      <c r="M99" s="298">
        <f t="shared" si="20"/>
        <v>4323799.4383841585</v>
      </c>
      <c r="N99" s="296">
        <f>'LSR Prepaid BPA interest'!G97</f>
        <v>0</v>
      </c>
      <c r="O99" s="297">
        <f t="shared" si="23"/>
        <v>-271387.84912268561</v>
      </c>
      <c r="P99" s="298">
        <f t="shared" si="21"/>
        <v>69520089.51550509</v>
      </c>
      <c r="Q99" s="300">
        <f t="shared" si="25"/>
        <v>71138670.308180809</v>
      </c>
      <c r="R99" s="204"/>
      <c r="S99" s="247"/>
      <c r="T99" s="295"/>
      <c r="V99" s="295"/>
      <c r="W99" s="295"/>
      <c r="X99" s="295"/>
    </row>
    <row r="100" spans="1:24" outlineLevel="1">
      <c r="A100" s="287">
        <v>42429</v>
      </c>
      <c r="B100" s="295">
        <f t="shared" si="17"/>
        <v>0</v>
      </c>
      <c r="C100" s="215">
        <f>'LSR Prepaid BPA interest'!I98</f>
        <v>207181.80867908135</v>
      </c>
      <c r="D100" s="209">
        <f>'LSR Prepaid BPA interest'!H98</f>
        <v>-506260</v>
      </c>
      <c r="E100" s="296"/>
      <c r="F100" s="297">
        <f t="shared" si="11"/>
        <v>0</v>
      </c>
      <c r="G100" s="298">
        <f t="shared" si="18"/>
        <v>0</v>
      </c>
      <c r="H100" s="296">
        <f t="shared" si="22"/>
        <v>207181.80867908135</v>
      </c>
      <c r="I100" s="297">
        <f t="shared" si="16"/>
        <v>-207181.80867908135</v>
      </c>
      <c r="J100" s="298">
        <f t="shared" si="19"/>
        <v>0</v>
      </c>
      <c r="K100" s="296"/>
      <c r="L100" s="297">
        <f t="shared" si="24"/>
        <v>-12531.376216346491</v>
      </c>
      <c r="M100" s="298">
        <f t="shared" si="20"/>
        <v>4311268.0621678121</v>
      </c>
      <c r="N100" s="296">
        <f>'LSR Prepaid BPA interest'!G98</f>
        <v>0</v>
      </c>
      <c r="O100" s="297">
        <f t="shared" si="23"/>
        <v>-286546.8151045721</v>
      </c>
      <c r="P100" s="298">
        <f>P99+N100+O100</f>
        <v>69233542.700400516</v>
      </c>
      <c r="Q100" s="300">
        <f>(P100+P88+SUM(P89:P99)*2)/24</f>
        <v>70869222.958871022</v>
      </c>
      <c r="R100" s="204"/>
      <c r="S100" s="247"/>
      <c r="T100" s="295"/>
      <c r="V100" s="295"/>
      <c r="W100" s="295"/>
      <c r="X100" s="295"/>
    </row>
    <row r="101" spans="1:24" outlineLevel="1">
      <c r="A101" s="287">
        <v>42460</v>
      </c>
      <c r="B101" s="295">
        <f t="shared" si="17"/>
        <v>0</v>
      </c>
      <c r="C101" s="215">
        <f>'LSR Prepaid BPA interest'!I99</f>
        <v>219936.70612722772</v>
      </c>
      <c r="D101" s="209">
        <f>'LSR Prepaid BPA interest'!H99</f>
        <v>-506260</v>
      </c>
      <c r="E101" s="296"/>
      <c r="F101" s="297">
        <f t="shared" si="11"/>
        <v>0</v>
      </c>
      <c r="G101" s="298">
        <f t="shared" si="18"/>
        <v>0</v>
      </c>
      <c r="H101" s="296">
        <f t="shared" si="22"/>
        <v>219936.70612722772</v>
      </c>
      <c r="I101" s="297">
        <f t="shared" si="16"/>
        <v>-219936.70612722772</v>
      </c>
      <c r="J101" s="298">
        <f t="shared" si="19"/>
        <v>0</v>
      </c>
      <c r="K101" s="296"/>
      <c r="L101" s="297">
        <f t="shared" si="24"/>
        <v>-11996.946013269157</v>
      </c>
      <c r="M101" s="298">
        <f t="shared" si="20"/>
        <v>4299271.1161545431</v>
      </c>
      <c r="N101" s="296">
        <f>'LSR Prepaid BPA interest'!G99</f>
        <v>0</v>
      </c>
      <c r="O101" s="297">
        <f t="shared" si="23"/>
        <v>-274326.34785950306</v>
      </c>
      <c r="P101" s="298">
        <f t="shared" si="21"/>
        <v>68959216.352541015</v>
      </c>
      <c r="Q101" s="300">
        <f t="shared" si="25"/>
        <v>70599014.443293467</v>
      </c>
      <c r="R101" s="204"/>
      <c r="S101" s="247"/>
      <c r="T101" s="295"/>
      <c r="V101" s="295"/>
      <c r="W101" s="295"/>
      <c r="X101" s="295"/>
    </row>
    <row r="102" spans="1:24" outlineLevel="1">
      <c r="A102" s="287">
        <v>42490</v>
      </c>
      <c r="B102" s="295">
        <f t="shared" si="17"/>
        <v>0</v>
      </c>
      <c r="C102" s="215">
        <f>'LSR Prepaid BPA interest'!I100</f>
        <v>213263.68706885146</v>
      </c>
      <c r="D102" s="209">
        <f>'LSR Prepaid BPA interest'!H100</f>
        <v>-506260</v>
      </c>
      <c r="E102" s="296"/>
      <c r="F102" s="297">
        <f t="shared" si="11"/>
        <v>0</v>
      </c>
      <c r="G102" s="298">
        <f t="shared" si="18"/>
        <v>0</v>
      </c>
      <c r="H102" s="296">
        <f t="shared" si="22"/>
        <v>213263.68706885146</v>
      </c>
      <c r="I102" s="297">
        <f t="shared" si="16"/>
        <v>-213263.68706885146</v>
      </c>
      <c r="J102" s="298">
        <f t="shared" si="19"/>
        <v>0</v>
      </c>
      <c r="K102" s="296"/>
      <c r="L102" s="297">
        <f t="shared" si="24"/>
        <v>-12276.545511815126</v>
      </c>
      <c r="M102" s="298">
        <f t="shared" si="20"/>
        <v>4286994.5706427284</v>
      </c>
      <c r="N102" s="296">
        <f>'LSR Prepaid BPA interest'!G100</f>
        <v>0</v>
      </c>
      <c r="O102" s="297">
        <f t="shared" si="23"/>
        <v>-280719.76741933345</v>
      </c>
      <c r="P102" s="298">
        <f t="shared" si="21"/>
        <v>68678496.585121676</v>
      </c>
      <c r="Q102" s="300">
        <f t="shared" si="25"/>
        <v>70327729.881978735</v>
      </c>
      <c r="R102" s="204"/>
      <c r="S102" s="247"/>
      <c r="T102" s="295"/>
      <c r="V102" s="295"/>
      <c r="W102" s="295"/>
      <c r="X102" s="295"/>
    </row>
    <row r="103" spans="1:24" outlineLevel="1">
      <c r="A103" s="287">
        <v>42521</v>
      </c>
      <c r="B103" s="295">
        <f t="shared" si="17"/>
        <v>0</v>
      </c>
      <c r="C103" s="215">
        <f>'LSR Prepaid BPA interest'!I101</f>
        <v>218838.97348740225</v>
      </c>
      <c r="D103" s="209">
        <f>'LSR Prepaid BPA interest'!H101</f>
        <v>-506260</v>
      </c>
      <c r="E103" s="296"/>
      <c r="F103" s="297">
        <f t="shared" si="11"/>
        <v>0</v>
      </c>
      <c r="G103" s="298">
        <f t="shared" si="18"/>
        <v>0</v>
      </c>
      <c r="H103" s="296">
        <f t="shared" si="22"/>
        <v>218838.97348740225</v>
      </c>
      <c r="I103" s="297">
        <f t="shared" si="16"/>
        <v>-218838.97348740225</v>
      </c>
      <c r="J103" s="298">
        <f t="shared" si="19"/>
        <v>0</v>
      </c>
      <c r="K103" s="296"/>
      <c r="L103" s="297">
        <f t="shared" si="24"/>
        <v>-12042.941010877845</v>
      </c>
      <c r="M103" s="298">
        <f t="shared" si="20"/>
        <v>4274951.6296318509</v>
      </c>
      <c r="N103" s="296">
        <f>'LSR Prepaid BPA interest'!G101</f>
        <v>0</v>
      </c>
      <c r="O103" s="297">
        <f t="shared" si="23"/>
        <v>-275378.08550171991</v>
      </c>
      <c r="P103" s="298">
        <f t="shared" si="21"/>
        <v>68403118.499619961</v>
      </c>
      <c r="Q103" s="300">
        <f t="shared" si="25"/>
        <v>70055365.737886801</v>
      </c>
      <c r="R103" s="204"/>
      <c r="S103" s="247"/>
      <c r="T103" s="295"/>
      <c r="V103" s="295"/>
      <c r="W103" s="295"/>
      <c r="X103" s="295"/>
    </row>
    <row r="104" spans="1:24" outlineLevel="1">
      <c r="A104" s="287">
        <v>42551</v>
      </c>
      <c r="B104" s="295">
        <f t="shared" si="17"/>
        <v>0</v>
      </c>
      <c r="C104" s="215">
        <f>'LSR Prepaid BPA interest'!I102</f>
        <v>210295.61645515283</v>
      </c>
      <c r="D104" s="209">
        <f>'LSR Prepaid BPA interest'!H102</f>
        <v>-506260</v>
      </c>
      <c r="E104" s="296"/>
      <c r="F104" s="297">
        <f t="shared" si="11"/>
        <v>0</v>
      </c>
      <c r="G104" s="298">
        <f t="shared" si="18"/>
        <v>0</v>
      </c>
      <c r="H104" s="296">
        <f t="shared" si="22"/>
        <v>210295.61645515283</v>
      </c>
      <c r="I104" s="297">
        <f t="shared" si="16"/>
        <v>-210295.61645515283</v>
      </c>
      <c r="J104" s="298">
        <f t="shared" si="19"/>
        <v>0</v>
      </c>
      <c r="K104" s="296"/>
      <c r="L104" s="297">
        <f t="shared" si="24"/>
        <v>-12400.907670529095</v>
      </c>
      <c r="M104" s="298">
        <f t="shared" si="20"/>
        <v>4262550.7219613213</v>
      </c>
      <c r="N104" s="296">
        <f>'LSR Prepaid BPA interest'!G102</f>
        <v>0</v>
      </c>
      <c r="O104" s="297">
        <f t="shared" si="23"/>
        <v>-283563.47587431804</v>
      </c>
      <c r="P104" s="298">
        <f t="shared" si="21"/>
        <v>68119555.023745641</v>
      </c>
      <c r="Q104" s="300">
        <f t="shared" si="25"/>
        <v>69781921.215263128</v>
      </c>
      <c r="R104" s="204"/>
      <c r="S104" s="247"/>
      <c r="T104" s="295"/>
      <c r="V104" s="295"/>
      <c r="W104" s="295"/>
      <c r="X104" s="295"/>
    </row>
    <row r="105" spans="1:24" outlineLevel="1">
      <c r="A105" s="287">
        <v>42582</v>
      </c>
      <c r="B105" s="295">
        <f t="shared" si="17"/>
        <v>0</v>
      </c>
      <c r="C105" s="215">
        <f>'LSR Prepaid BPA interest'!I103</f>
        <v>217717.84436750627</v>
      </c>
      <c r="D105" s="209">
        <f>'LSR Prepaid BPA interest'!H103</f>
        <v>-506260</v>
      </c>
      <c r="E105" s="296"/>
      <c r="F105" s="297">
        <f t="shared" si="11"/>
        <v>0</v>
      </c>
      <c r="G105" s="298">
        <f t="shared" si="18"/>
        <v>0</v>
      </c>
      <c r="H105" s="296">
        <f t="shared" si="22"/>
        <v>217717.84436750627</v>
      </c>
      <c r="I105" s="297">
        <f t="shared" si="16"/>
        <v>-217717.84436750627</v>
      </c>
      <c r="J105" s="298">
        <f t="shared" si="19"/>
        <v>0</v>
      </c>
      <c r="K105" s="296"/>
      <c r="L105" s="297">
        <f t="shared" si="24"/>
        <v>-12089.916321001487</v>
      </c>
      <c r="M105" s="298">
        <f t="shared" si="20"/>
        <v>4250460.8056403194</v>
      </c>
      <c r="N105" s="296">
        <f>'LSR Prepaid BPA interest'!G103</f>
        <v>0</v>
      </c>
      <c r="O105" s="297">
        <f t="shared" si="23"/>
        <v>-276452.23931149225</v>
      </c>
      <c r="P105" s="298">
        <f t="shared" si="21"/>
        <v>67843102.784434155</v>
      </c>
      <c r="Q105" s="300">
        <f t="shared" si="25"/>
        <v>69507391.838296637</v>
      </c>
      <c r="R105" s="204"/>
      <c r="S105" s="247"/>
      <c r="T105" s="295"/>
      <c r="V105" s="295"/>
      <c r="W105" s="295"/>
      <c r="X105" s="295"/>
    </row>
    <row r="106" spans="1:24">
      <c r="A106" s="287">
        <v>42613</v>
      </c>
      <c r="B106" s="295">
        <f t="shared" si="17"/>
        <v>0</v>
      </c>
      <c r="C106" s="215">
        <f>'LSR Prepaid BPA interest'!I104</f>
        <v>216184.34121709532</v>
      </c>
      <c r="D106" s="209">
        <f>'LSR Prepaid BPA interest'!H104</f>
        <v>-506260</v>
      </c>
      <c r="E106" s="296"/>
      <c r="F106" s="297">
        <f t="shared" si="11"/>
        <v>0</v>
      </c>
      <c r="G106" s="298">
        <f t="shared" si="18"/>
        <v>0</v>
      </c>
      <c r="H106" s="296">
        <f t="shared" si="22"/>
        <v>216184.34121709532</v>
      </c>
      <c r="I106" s="297">
        <f t="shared" si="16"/>
        <v>-216184.34121709532</v>
      </c>
      <c r="J106" s="298">
        <f t="shared" si="19"/>
        <v>0</v>
      </c>
      <c r="K106" s="296"/>
      <c r="L106" s="297">
        <f t="shared" si="24"/>
        <v>-12154.170103003706</v>
      </c>
      <c r="M106" s="298">
        <f t="shared" si="20"/>
        <v>4238306.6355373161</v>
      </c>
      <c r="N106" s="296">
        <f>'LSR Prepaid BPA interest'!G104</f>
        <v>0</v>
      </c>
      <c r="O106" s="297">
        <f t="shared" si="23"/>
        <v>-277921.48867990094</v>
      </c>
      <c r="P106" s="298">
        <f t="shared" si="21"/>
        <v>67565181.295754254</v>
      </c>
      <c r="Q106" s="300">
        <f t="shared" si="25"/>
        <v>69231759.863504082</v>
      </c>
      <c r="R106" s="204"/>
      <c r="S106" s="247"/>
      <c r="T106" s="295"/>
      <c r="V106" s="295"/>
      <c r="W106" s="295"/>
      <c r="X106" s="295"/>
    </row>
    <row r="107" spans="1:24">
      <c r="A107" s="287">
        <v>42643</v>
      </c>
      <c r="B107" s="295">
        <f t="shared" si="17"/>
        <v>0</v>
      </c>
      <c r="C107" s="215">
        <f>'LSR Prepaid BPA interest'!I105</f>
        <v>207726.61748388808</v>
      </c>
      <c r="D107" s="209">
        <f>'LSR Prepaid BPA interest'!H105</f>
        <v>-506260</v>
      </c>
      <c r="E107" s="296"/>
      <c r="F107" s="297">
        <f t="shared" si="11"/>
        <v>0</v>
      </c>
      <c r="G107" s="298">
        <f t="shared" si="18"/>
        <v>0</v>
      </c>
      <c r="H107" s="296">
        <f t="shared" si="22"/>
        <v>207726.61748388808</v>
      </c>
      <c r="I107" s="297">
        <f t="shared" si="16"/>
        <v>-207726.61748388808</v>
      </c>
      <c r="J107" s="298">
        <f t="shared" si="19"/>
        <v>0</v>
      </c>
      <c r="K107" s="296"/>
      <c r="L107" s="297">
        <f t="shared" si="24"/>
        <v>-12508.54872742509</v>
      </c>
      <c r="M107" s="298">
        <f t="shared" si="20"/>
        <v>4225798.0868098913</v>
      </c>
      <c r="N107" s="296">
        <f>'LSR Prepaid BPA interest'!G105</f>
        <v>0</v>
      </c>
      <c r="O107" s="297">
        <f t="shared" si="23"/>
        <v>-286024.83378868684</v>
      </c>
      <c r="P107" s="298">
        <f t="shared" si="21"/>
        <v>67279156.461965561</v>
      </c>
      <c r="Q107" s="300">
        <f t="shared" si="25"/>
        <v>68955037.893921509</v>
      </c>
      <c r="R107" s="204"/>
      <c r="S107" s="247"/>
      <c r="T107" s="295"/>
      <c r="V107" s="295"/>
      <c r="W107" s="295"/>
      <c r="X107" s="295"/>
    </row>
    <row r="108" spans="1:24">
      <c r="A108" s="287">
        <v>42674</v>
      </c>
      <c r="B108" s="295">
        <f t="shared" si="17"/>
        <v>0</v>
      </c>
      <c r="C108" s="215">
        <f>'LSR Prepaid BPA interest'!I106</f>
        <v>215060.88129738177</v>
      </c>
      <c r="D108" s="209">
        <f>'LSR Prepaid BPA interest'!H106</f>
        <v>-506260</v>
      </c>
      <c r="E108" s="296"/>
      <c r="F108" s="297">
        <f t="shared" si="11"/>
        <v>0</v>
      </c>
      <c r="G108" s="298">
        <f t="shared" si="18"/>
        <v>0</v>
      </c>
      <c r="H108" s="296">
        <f t="shared" si="22"/>
        <v>215060.88129738177</v>
      </c>
      <c r="I108" s="297">
        <f t="shared" si="16"/>
        <v>-215060.88129738177</v>
      </c>
      <c r="J108" s="298">
        <f t="shared" si="19"/>
        <v>0</v>
      </c>
      <c r="K108" s="296"/>
      <c r="L108" s="297">
        <f t="shared" si="24"/>
        <v>-12201.243073639704</v>
      </c>
      <c r="M108" s="298">
        <f t="shared" si="20"/>
        <v>4213596.8437362518</v>
      </c>
      <c r="N108" s="296">
        <f>'LSR Prepaid BPA interest'!G106</f>
        <v>0</v>
      </c>
      <c r="O108" s="297">
        <f t="shared" si="23"/>
        <v>-278997.87562897854</v>
      </c>
      <c r="P108" s="298">
        <f t="shared" si="21"/>
        <v>67000158.586336583</v>
      </c>
      <c r="Q108" s="300">
        <f t="shared" si="25"/>
        <v>68677221.369697988</v>
      </c>
      <c r="R108" s="204"/>
      <c r="S108" s="247"/>
      <c r="T108" s="295"/>
      <c r="V108" s="295"/>
      <c r="W108" s="295"/>
      <c r="X108" s="295"/>
    </row>
    <row r="109" spans="1:24">
      <c r="A109" s="287">
        <v>42704</v>
      </c>
      <c r="B109" s="295">
        <f t="shared" si="17"/>
        <v>0</v>
      </c>
      <c r="C109" s="215">
        <f>'LSR Prepaid BPA interest'!I107</f>
        <v>206639.39820674597</v>
      </c>
      <c r="D109" s="209">
        <f>'LSR Prepaid BPA interest'!H107</f>
        <v>-506260</v>
      </c>
      <c r="E109" s="296"/>
      <c r="F109" s="297">
        <f t="shared" si="11"/>
        <v>0</v>
      </c>
      <c r="G109" s="298">
        <f t="shared" si="18"/>
        <v>0</v>
      </c>
      <c r="H109" s="296">
        <f t="shared" si="22"/>
        <v>206639.39820674597</v>
      </c>
      <c r="I109" s="297">
        <f t="shared" si="16"/>
        <v>-206639.39820674597</v>
      </c>
      <c r="J109" s="298">
        <f t="shared" si="19"/>
        <v>0</v>
      </c>
      <c r="K109" s="296"/>
      <c r="L109" s="297">
        <f t="shared" si="24"/>
        <v>-12554.103215137344</v>
      </c>
      <c r="M109" s="298">
        <f t="shared" si="20"/>
        <v>4201042.7405211143</v>
      </c>
      <c r="N109" s="296">
        <f>'LSR Prepaid BPA interest'!G107</f>
        <v>0</v>
      </c>
      <c r="O109" s="297">
        <f t="shared" si="23"/>
        <v>-287066.49857811665</v>
      </c>
      <c r="P109" s="298">
        <f t="shared" si="21"/>
        <v>66713092.087758467</v>
      </c>
      <c r="Q109" s="300">
        <f t="shared" si="25"/>
        <v>68398442.00678508</v>
      </c>
      <c r="R109" s="204"/>
      <c r="S109" s="247"/>
      <c r="T109" s="295"/>
      <c r="V109" s="295"/>
      <c r="W109" s="295"/>
      <c r="X109" s="295"/>
    </row>
    <row r="110" spans="1:24" ht="12.75" customHeight="1">
      <c r="A110" s="287">
        <v>42735</v>
      </c>
      <c r="B110" s="295">
        <f t="shared" si="17"/>
        <v>0</v>
      </c>
      <c r="C110" s="215">
        <f>'LSR Prepaid BPA interest'!I108</f>
        <v>211993.87499655987</v>
      </c>
      <c r="D110" s="209">
        <f>'LSR Prepaid BPA interest'!H108</f>
        <v>-506260</v>
      </c>
      <c r="E110" s="296"/>
      <c r="F110" s="297">
        <f t="shared" si="11"/>
        <v>0</v>
      </c>
      <c r="G110" s="298">
        <f t="shared" si="18"/>
        <v>0</v>
      </c>
      <c r="H110" s="296">
        <f t="shared" si="22"/>
        <v>211993.87499655987</v>
      </c>
      <c r="I110" s="297">
        <f t="shared" si="16"/>
        <v>-211993.87499655987</v>
      </c>
      <c r="J110" s="298">
        <f t="shared" si="19"/>
        <v>0</v>
      </c>
      <c r="K110" s="296"/>
      <c r="L110" s="297">
        <f t="shared" si="24"/>
        <v>-12329.750637644142</v>
      </c>
      <c r="M110" s="298">
        <f t="shared" si="20"/>
        <v>4188712.9898834703</v>
      </c>
      <c r="N110" s="296">
        <f>'LSR Prepaid BPA interest'!G108</f>
        <v>0</v>
      </c>
      <c r="O110" s="297">
        <f t="shared" si="23"/>
        <v>-281936.37436579599</v>
      </c>
      <c r="P110" s="298">
        <f t="shared" si="21"/>
        <v>66431155.713392667</v>
      </c>
      <c r="Q110" s="300">
        <f t="shared" si="25"/>
        <v>68118835.536016092</v>
      </c>
      <c r="R110" s="204"/>
      <c r="S110" s="247"/>
      <c r="T110" s="295"/>
      <c r="V110" s="295"/>
      <c r="W110" s="295"/>
      <c r="X110" s="295"/>
    </row>
    <row r="111" spans="1:24" ht="12.75" customHeight="1" outlineLevel="1">
      <c r="A111" s="287">
        <v>42766</v>
      </c>
      <c r="B111" s="295">
        <f t="shared" si="17"/>
        <v>0</v>
      </c>
      <c r="C111" s="215">
        <f>'LSR Prepaid BPA interest'!I109</f>
        <v>212379.88352458255</v>
      </c>
      <c r="D111" s="209">
        <f>'LSR Prepaid BPA interest'!H109</f>
        <v>-506260</v>
      </c>
      <c r="E111" s="296"/>
      <c r="F111" s="297">
        <f t="shared" si="11"/>
        <v>0</v>
      </c>
      <c r="G111" s="298">
        <f t="shared" si="18"/>
        <v>0</v>
      </c>
      <c r="H111" s="296">
        <f t="shared" si="22"/>
        <v>212379.88352458255</v>
      </c>
      <c r="I111" s="297">
        <f t="shared" si="16"/>
        <v>-212379.88352458255</v>
      </c>
      <c r="J111" s="298">
        <f t="shared" si="19"/>
        <v>0</v>
      </c>
      <c r="K111" s="296"/>
      <c r="L111" s="297">
        <f t="shared" si="24"/>
        <v>-12313.576880319992</v>
      </c>
      <c r="M111" s="298">
        <f t="shared" si="20"/>
        <v>4176399.4130031504</v>
      </c>
      <c r="N111" s="296">
        <f>'LSR Prepaid BPA interest'!G109</f>
        <v>0</v>
      </c>
      <c r="O111" s="297">
        <f t="shared" si="23"/>
        <v>-281566.53959509742</v>
      </c>
      <c r="P111" s="298">
        <f t="shared" si="21"/>
        <v>66149589.17379757</v>
      </c>
      <c r="Q111" s="300">
        <f t="shared" si="25"/>
        <v>67838384.61964348</v>
      </c>
      <c r="R111" s="204"/>
      <c r="S111" s="247"/>
      <c r="T111" s="295"/>
      <c r="V111" s="295"/>
      <c r="W111" s="295"/>
      <c r="X111" s="295"/>
    </row>
    <row r="112" spans="1:24" ht="12.75" customHeight="1" outlineLevel="1">
      <c r="A112" s="287">
        <v>42794</v>
      </c>
      <c r="B112" s="295">
        <f t="shared" si="17"/>
        <v>0</v>
      </c>
      <c r="C112" s="215">
        <f>'LSR Prepaid BPA interest'!I110</f>
        <v>190441.89195086466</v>
      </c>
      <c r="D112" s="209">
        <f>'LSR Prepaid BPA interest'!H110</f>
        <v>-506260</v>
      </c>
      <c r="E112" s="296"/>
      <c r="F112" s="297">
        <f t="shared" si="11"/>
        <v>0</v>
      </c>
      <c r="G112" s="298">
        <f t="shared" si="18"/>
        <v>0</v>
      </c>
      <c r="H112" s="296">
        <f t="shared" si="22"/>
        <v>190441.89195086466</v>
      </c>
      <c r="I112" s="297">
        <f t="shared" si="16"/>
        <v>-190441.89195086466</v>
      </c>
      <c r="J112" s="298">
        <f t="shared" si="19"/>
        <v>0</v>
      </c>
      <c r="K112" s="296"/>
      <c r="L112" s="297">
        <f t="shared" si="24"/>
        <v>-13232.778727258768</v>
      </c>
      <c r="M112" s="298">
        <f t="shared" si="20"/>
        <v>4163166.6342758918</v>
      </c>
      <c r="N112" s="296">
        <f>'LSR Prepaid BPA interest'!G110</f>
        <v>0</v>
      </c>
      <c r="O112" s="297">
        <f t="shared" si="23"/>
        <v>-302585.32932187652</v>
      </c>
      <c r="P112" s="1279">
        <f t="shared" si="21"/>
        <v>65847003.844475694</v>
      </c>
      <c r="Q112" s="300">
        <f t="shared" si="25"/>
        <v>67556841.319742128</v>
      </c>
      <c r="R112" s="204"/>
      <c r="S112" s="247"/>
      <c r="T112" s="295"/>
      <c r="V112" s="295"/>
      <c r="W112" s="295"/>
      <c r="X112" s="295"/>
    </row>
    <row r="113" spans="1:24" ht="12.75" customHeight="1" outlineLevel="1">
      <c r="A113" s="287">
        <v>42825</v>
      </c>
      <c r="B113" s="295">
        <f t="shared" si="17"/>
        <v>0</v>
      </c>
      <c r="C113" s="215">
        <f>'LSR Prepaid BPA interest'!I111</f>
        <v>209312.87722376062</v>
      </c>
      <c r="D113" s="209">
        <f>'LSR Prepaid BPA interest'!H111</f>
        <v>-506260</v>
      </c>
      <c r="E113" s="296"/>
      <c r="F113" s="297">
        <f t="shared" si="11"/>
        <v>0</v>
      </c>
      <c r="G113" s="298">
        <f t="shared" si="18"/>
        <v>0</v>
      </c>
      <c r="H113" s="296">
        <f t="shared" si="22"/>
        <v>209312.87722376062</v>
      </c>
      <c r="I113" s="297">
        <f t="shared" si="16"/>
        <v>-209312.87722376062</v>
      </c>
      <c r="J113" s="298">
        <f t="shared" si="19"/>
        <v>0</v>
      </c>
      <c r="K113" s="296"/>
      <c r="L113" s="297">
        <f t="shared" si="24"/>
        <v>-12442.084444324431</v>
      </c>
      <c r="M113" s="298">
        <f t="shared" si="20"/>
        <v>4150724.5498315673</v>
      </c>
      <c r="N113" s="296">
        <f>'LSR Prepaid BPA interest'!G111</f>
        <v>0</v>
      </c>
      <c r="O113" s="297">
        <f t="shared" si="23"/>
        <v>-284505.03833191498</v>
      </c>
      <c r="P113" s="1279">
        <f t="shared" si="21"/>
        <v>65562498.806143776</v>
      </c>
      <c r="Q113" s="300">
        <f t="shared" si="25"/>
        <v>67274205.636312053</v>
      </c>
      <c r="R113" s="204"/>
      <c r="S113" s="247"/>
      <c r="T113" s="295"/>
      <c r="V113" s="295"/>
      <c r="W113" s="295"/>
      <c r="X113" s="295"/>
    </row>
    <row r="114" spans="1:24" ht="12.75" customHeight="1" outlineLevel="1">
      <c r="A114" s="287">
        <v>42855</v>
      </c>
      <c r="B114" s="295">
        <f t="shared" si="17"/>
        <v>0</v>
      </c>
      <c r="C114" s="215">
        <f>'LSR Prepaid BPA interest'!I112</f>
        <v>202871.20669239946</v>
      </c>
      <c r="D114" s="209">
        <f>'LSR Prepaid BPA interest'!H112</f>
        <v>-506260</v>
      </c>
      <c r="E114" s="296"/>
      <c r="F114" s="297">
        <f t="shared" si="11"/>
        <v>0</v>
      </c>
      <c r="G114" s="298">
        <f t="shared" si="18"/>
        <v>0</v>
      </c>
      <c r="H114" s="296">
        <f t="shared" si="22"/>
        <v>202871.20669239946</v>
      </c>
      <c r="I114" s="297">
        <f t="shared" si="16"/>
        <v>-202871.20669239946</v>
      </c>
      <c r="J114" s="298">
        <f t="shared" si="19"/>
        <v>0</v>
      </c>
      <c r="K114" s="296"/>
      <c r="L114" s="297">
        <f t="shared" si="24"/>
        <v>-12711.990439588462</v>
      </c>
      <c r="M114" s="298">
        <f t="shared" si="20"/>
        <v>4138012.5593919787</v>
      </c>
      <c r="N114" s="296">
        <f>'LSR Prepaid BPA interest'!G112</f>
        <v>0</v>
      </c>
      <c r="O114" s="297">
        <v>-340068</v>
      </c>
      <c r="P114" s="298">
        <f t="shared" si="21"/>
        <v>65222430.806143776</v>
      </c>
      <c r="Q114" s="300">
        <f t="shared" si="25"/>
        <v>66988672.99775476</v>
      </c>
      <c r="R114" s="204"/>
      <c r="S114" s="247"/>
      <c r="T114" s="295"/>
      <c r="V114" s="295"/>
      <c r="W114" s="295"/>
      <c r="X114" s="295"/>
    </row>
    <row r="115" spans="1:24" ht="12.75" customHeight="1" outlineLevel="1">
      <c r="A115" s="287">
        <v>42886</v>
      </c>
      <c r="B115" s="295">
        <f t="shared" si="17"/>
        <v>0</v>
      </c>
      <c r="C115" s="215">
        <f>'LSR Prepaid BPA interest'!I113</f>
        <v>208100.07709840179</v>
      </c>
      <c r="D115" s="209">
        <f>'LSR Prepaid BPA interest'!H113</f>
        <v>-506260</v>
      </c>
      <c r="E115" s="296"/>
      <c r="F115" s="297">
        <f t="shared" si="11"/>
        <v>0</v>
      </c>
      <c r="G115" s="298">
        <f t="shared" si="18"/>
        <v>0</v>
      </c>
      <c r="H115" s="296">
        <f t="shared" si="22"/>
        <v>208100.07709840179</v>
      </c>
      <c r="I115" s="297">
        <f t="shared" si="16"/>
        <v>-208100.07709840179</v>
      </c>
      <c r="J115" s="298">
        <f t="shared" si="19"/>
        <v>0</v>
      </c>
      <c r="K115" s="296"/>
      <c r="L115" s="297">
        <f t="shared" si="24"/>
        <v>-12492.900769576965</v>
      </c>
      <c r="M115" s="298">
        <f t="shared" si="20"/>
        <v>4125519.6586224018</v>
      </c>
      <c r="N115" s="296">
        <f>'LSR Prepaid BPA interest'!G113</f>
        <v>0</v>
      </c>
      <c r="O115" s="1280">
        <v>-236275</v>
      </c>
      <c r="P115" s="298">
        <f t="shared" si="21"/>
        <v>64986155.806143776</v>
      </c>
      <c r="Q115" s="300">
        <f t="shared" si="25"/>
        <v>66702296.811402507</v>
      </c>
      <c r="R115" s="204"/>
      <c r="S115" s="247"/>
      <c r="T115" s="295"/>
      <c r="V115" s="295"/>
      <c r="W115" s="295"/>
      <c r="X115" s="295"/>
    </row>
    <row r="116" spans="1:24" ht="12.75" customHeight="1" outlineLevel="1">
      <c r="A116" s="287">
        <v>42916</v>
      </c>
      <c r="B116" s="295">
        <f t="shared" si="17"/>
        <v>0</v>
      </c>
      <c r="C116" s="1228">
        <f>'LSR Prepaid BPA interest'!I114</f>
        <v>199903.1360787008</v>
      </c>
      <c r="D116" s="209">
        <f>'LSR Prepaid BPA interest'!H114</f>
        <v>-506260</v>
      </c>
      <c r="E116" s="296"/>
      <c r="F116" s="297">
        <f t="shared" si="11"/>
        <v>0</v>
      </c>
      <c r="G116" s="298">
        <f t="shared" si="18"/>
        <v>0</v>
      </c>
      <c r="H116" s="296">
        <f t="shared" si="22"/>
        <v>199903.1360787008</v>
      </c>
      <c r="I116" s="297">
        <f t="shared" si="16"/>
        <v>-199903.1360787008</v>
      </c>
      <c r="J116" s="298">
        <f t="shared" si="19"/>
        <v>0</v>
      </c>
      <c r="K116" s="296"/>
      <c r="L116" s="297">
        <f t="shared" si="24"/>
        <v>-12836.352598302437</v>
      </c>
      <c r="M116" s="298">
        <f t="shared" si="20"/>
        <v>4112683.3060240992</v>
      </c>
      <c r="N116" s="296">
        <f>'LSR Prepaid BPA interest'!G114</f>
        <v>0</v>
      </c>
      <c r="O116" s="297">
        <f t="shared" si="23"/>
        <v>-293520.51132299675</v>
      </c>
      <c r="P116" s="298">
        <f t="shared" si="21"/>
        <v>64692635.294820778</v>
      </c>
      <c r="Q116" s="300">
        <f t="shared" si="25"/>
        <v>66417135.043802448</v>
      </c>
      <c r="R116" s="204"/>
      <c r="S116" s="247"/>
      <c r="T116" s="295"/>
      <c r="V116" s="295"/>
      <c r="W116" s="295"/>
      <c r="X116" s="295"/>
    </row>
    <row r="117" spans="1:24" ht="12.75" customHeight="1" outlineLevel="1">
      <c r="A117" s="287">
        <v>42947</v>
      </c>
      <c r="B117" s="295">
        <f t="shared" si="17"/>
        <v>0</v>
      </c>
      <c r="C117" s="215">
        <f>'LSR Prepaid BPA interest'!I115</f>
        <v>206883.45962422102</v>
      </c>
      <c r="D117" s="209">
        <f>'LSR Prepaid BPA interest'!H115</f>
        <v>-506260</v>
      </c>
      <c r="E117" s="296"/>
      <c r="F117" s="297">
        <f t="shared" si="11"/>
        <v>0</v>
      </c>
      <c r="G117" s="298">
        <f t="shared" si="18"/>
        <v>0</v>
      </c>
      <c r="H117" s="296">
        <f t="shared" si="22"/>
        <v>206883.45962422102</v>
      </c>
      <c r="I117" s="297">
        <f t="shared" si="16"/>
        <v>-206883.45962422102</v>
      </c>
      <c r="J117" s="298">
        <f t="shared" si="19"/>
        <v>0</v>
      </c>
      <c r="K117" s="296"/>
      <c r="L117" s="297">
        <f t="shared" si="24"/>
        <v>-12543.87704174514</v>
      </c>
      <c r="M117" s="298">
        <f t="shared" si="20"/>
        <v>4100139.4289823542</v>
      </c>
      <c r="N117" s="296">
        <f>'LSR Prepaid BPA interest'!G115</f>
        <v>0</v>
      </c>
      <c r="O117" s="297">
        <f t="shared" si="23"/>
        <v>-286832.6633340338</v>
      </c>
      <c r="P117" s="298">
        <f t="shared" si="21"/>
        <v>64405802.631486744</v>
      </c>
      <c r="Q117" s="300">
        <f t="shared" si="25"/>
        <v>66131125.882057779</v>
      </c>
      <c r="R117" s="204"/>
      <c r="S117" s="247"/>
      <c r="T117" s="295"/>
      <c r="V117" s="295"/>
      <c r="W117" s="295"/>
      <c r="X117" s="295"/>
    </row>
    <row r="118" spans="1:24" ht="12.75" customHeight="1" outlineLevel="1">
      <c r="A118" s="287">
        <v>42978</v>
      </c>
      <c r="B118" s="295">
        <f t="shared" si="17"/>
        <v>0</v>
      </c>
      <c r="C118" s="215">
        <f>'LSR Prepaid BPA interest'!I116</f>
        <v>205349.95647381005</v>
      </c>
      <c r="D118" s="209">
        <f>'LSR Prepaid BPA interest'!H116</f>
        <v>-506260</v>
      </c>
      <c r="E118" s="296"/>
      <c r="F118" s="297">
        <f t="shared" ref="F118:F181" si="26">-MIN(ABS(D118),ABS(G117))</f>
        <v>0</v>
      </c>
      <c r="G118" s="298">
        <f t="shared" si="18"/>
        <v>0</v>
      </c>
      <c r="H118" s="296">
        <f t="shared" si="22"/>
        <v>205349.95647381005</v>
      </c>
      <c r="I118" s="297">
        <f t="shared" si="16"/>
        <v>-205349.95647381005</v>
      </c>
      <c r="J118" s="298">
        <f t="shared" si="19"/>
        <v>0</v>
      </c>
      <c r="K118" s="296"/>
      <c r="L118" s="297">
        <f t="shared" si="24"/>
        <v>-12608.13082374736</v>
      </c>
      <c r="M118" s="298">
        <f t="shared" si="20"/>
        <v>4087531.298158607</v>
      </c>
      <c r="N118" s="296">
        <f>'LSR Prepaid BPA interest'!G116</f>
        <v>0</v>
      </c>
      <c r="O118" s="297">
        <f t="shared" si="23"/>
        <v>-288301.91270244261</v>
      </c>
      <c r="P118" s="298">
        <f t="shared" si="21"/>
        <v>64117500.718784302</v>
      </c>
      <c r="Q118" s="300">
        <f t="shared" si="25"/>
        <v>65844251.684977889</v>
      </c>
      <c r="R118" s="204"/>
      <c r="S118" s="247"/>
      <c r="T118" s="295"/>
      <c r="V118" s="295"/>
      <c r="W118" s="295"/>
      <c r="X118" s="295"/>
    </row>
    <row r="119" spans="1:24" ht="12.75" customHeight="1" outlineLevel="1">
      <c r="A119" s="287">
        <v>43008</v>
      </c>
      <c r="B119" s="295">
        <f t="shared" si="17"/>
        <v>0</v>
      </c>
      <c r="C119" s="215">
        <f>'LSR Prepaid BPA interest'!I117</f>
        <v>197241.72902264429</v>
      </c>
      <c r="D119" s="209">
        <f>'LSR Prepaid BPA interest'!H117</f>
        <v>-506260</v>
      </c>
      <c r="E119" s="296"/>
      <c r="F119" s="297">
        <f t="shared" si="26"/>
        <v>0</v>
      </c>
      <c r="G119" s="298">
        <f t="shared" si="18"/>
        <v>0</v>
      </c>
      <c r="H119" s="296">
        <f t="shared" si="22"/>
        <v>197241.72902264429</v>
      </c>
      <c r="I119" s="297">
        <f t="shared" si="16"/>
        <v>-197241.72902264429</v>
      </c>
      <c r="J119" s="298">
        <f t="shared" si="19"/>
        <v>0</v>
      </c>
      <c r="K119" s="296"/>
      <c r="L119" s="297">
        <f t="shared" si="24"/>
        <v>-12947.865553951204</v>
      </c>
      <c r="M119" s="298">
        <f t="shared" si="20"/>
        <v>4074583.4326046556</v>
      </c>
      <c r="N119" s="296">
        <f>'LSR Prepaid BPA interest'!G117</f>
        <v>0</v>
      </c>
      <c r="O119" s="297">
        <f t="shared" si="23"/>
        <v>-296070.40542340447</v>
      </c>
      <c r="P119" s="298">
        <f t="shared" si="21"/>
        <v>63821430.3133609</v>
      </c>
      <c r="Q119" s="300">
        <f t="shared" si="25"/>
        <v>65556526.404745616</v>
      </c>
      <c r="R119" s="204"/>
      <c r="S119" s="247"/>
      <c r="T119" s="295"/>
      <c r="V119" s="295"/>
      <c r="W119" s="295"/>
      <c r="X119" s="295"/>
    </row>
    <row r="120" spans="1:24" ht="12.75" customHeight="1" outlineLevel="1">
      <c r="A120" s="287">
        <v>43039</v>
      </c>
      <c r="B120" s="295">
        <f t="shared" si="17"/>
        <v>0</v>
      </c>
      <c r="C120" s="215">
        <f>'LSR Prepaid BPA interest'!I118</f>
        <v>204129.32155868353</v>
      </c>
      <c r="D120" s="209">
        <f>'LSR Prepaid BPA interest'!H118</f>
        <v>-500140</v>
      </c>
      <c r="E120" s="296"/>
      <c r="F120" s="297">
        <f t="shared" si="26"/>
        <v>0</v>
      </c>
      <c r="G120" s="298">
        <f t="shared" si="18"/>
        <v>0</v>
      </c>
      <c r="H120" s="296">
        <f t="shared" si="22"/>
        <v>204129.32155868353</v>
      </c>
      <c r="I120" s="297">
        <f t="shared" si="16"/>
        <v>-204129.32155868353</v>
      </c>
      <c r="J120" s="298">
        <f t="shared" si="19"/>
        <v>0</v>
      </c>
      <c r="K120" s="296"/>
      <c r="L120" s="297">
        <f t="shared" si="24"/>
        <v>-12402.84742669116</v>
      </c>
      <c r="M120" s="298">
        <f t="shared" si="20"/>
        <v>4062180.5851779645</v>
      </c>
      <c r="N120" s="296">
        <f>'LSR Prepaid BPA interest'!G118</f>
        <v>0</v>
      </c>
      <c r="O120" s="297">
        <v>-289472</v>
      </c>
      <c r="P120" s="298">
        <f t="shared" si="21"/>
        <v>63531958.3133609</v>
      </c>
      <c r="Q120" s="300">
        <f t="shared" si="25"/>
        <v>65267946.13717977</v>
      </c>
      <c r="R120" s="204"/>
      <c r="S120" s="247"/>
      <c r="T120" s="295"/>
      <c r="V120" s="295"/>
      <c r="W120" s="295"/>
      <c r="X120" s="295"/>
    </row>
    <row r="121" spans="1:24" ht="12.75" customHeight="1" outlineLevel="1">
      <c r="A121" s="287">
        <v>43069</v>
      </c>
      <c r="B121" s="295">
        <f t="shared" si="17"/>
        <v>0</v>
      </c>
      <c r="C121" s="215">
        <f>'LSR Prepaid BPA interest'!I119</f>
        <v>196078.54095459342</v>
      </c>
      <c r="D121" s="209">
        <f>'LSR Prepaid BPA interest'!H119</f>
        <v>-500140</v>
      </c>
      <c r="E121" s="296"/>
      <c r="F121" s="297">
        <f t="shared" si="26"/>
        <v>0</v>
      </c>
      <c r="G121" s="298">
        <f t="shared" si="18"/>
        <v>0</v>
      </c>
      <c r="H121" s="296">
        <f t="shared" si="22"/>
        <v>196078.54095459342</v>
      </c>
      <c r="I121" s="297">
        <f t="shared" si="16"/>
        <v>-196078.54095459342</v>
      </c>
      <c r="J121" s="298">
        <f t="shared" si="19"/>
        <v>0</v>
      </c>
      <c r="K121" s="296"/>
      <c r="L121" s="297">
        <f t="shared" si="24"/>
        <v>-12740.175134002535</v>
      </c>
      <c r="M121" s="298">
        <f t="shared" si="20"/>
        <v>4049440.4100439618</v>
      </c>
      <c r="N121" s="296">
        <f>'LSR Prepaid BPA interest'!G119</f>
        <v>0</v>
      </c>
      <c r="O121" s="297">
        <f t="shared" si="23"/>
        <v>-291321.28391140403</v>
      </c>
      <c r="P121" s="298">
        <f t="shared" si="21"/>
        <v>63240637.029449493</v>
      </c>
      <c r="Q121" s="300">
        <f t="shared" si="25"/>
        <v>64978752.165042914</v>
      </c>
      <c r="R121" s="204"/>
      <c r="S121" s="247"/>
      <c r="T121" s="295"/>
      <c r="V121" s="295"/>
      <c r="W121" s="295"/>
      <c r="X121" s="295"/>
    </row>
    <row r="122" spans="1:24" ht="12.75" customHeight="1" outlineLevel="1" thickBot="1">
      <c r="A122" s="287">
        <v>43100</v>
      </c>
      <c r="B122" s="295">
        <f t="shared" si="17"/>
        <v>0</v>
      </c>
      <c r="C122" s="215">
        <f>'LSR Prepaid BPA interest'!I120</f>
        <v>201099.66308080955</v>
      </c>
      <c r="D122" s="209">
        <f>'LSR Prepaid BPA interest'!H120</f>
        <v>-500140</v>
      </c>
      <c r="E122" s="296"/>
      <c r="F122" s="297">
        <f t="shared" si="26"/>
        <v>0</v>
      </c>
      <c r="G122" s="298">
        <f t="shared" si="18"/>
        <v>0</v>
      </c>
      <c r="H122" s="296">
        <f t="shared" si="22"/>
        <v>201099.66308080955</v>
      </c>
      <c r="I122" s="297">
        <f t="shared" si="16"/>
        <v>-201099.66308080955</v>
      </c>
      <c r="J122" s="298">
        <f t="shared" si="19"/>
        <v>0</v>
      </c>
      <c r="K122" s="296"/>
      <c r="L122" s="297">
        <f t="shared" si="24"/>
        <v>-12529.79011691408</v>
      </c>
      <c r="M122" s="298">
        <f t="shared" si="20"/>
        <v>4036910.6199270478</v>
      </c>
      <c r="N122" s="296">
        <f>'LSR Prepaid BPA interest'!G120</f>
        <v>0</v>
      </c>
      <c r="O122" s="297">
        <f t="shared" si="23"/>
        <v>-286510.5468022764</v>
      </c>
      <c r="P122" s="298">
        <f t="shared" si="21"/>
        <v>62954126.482647218</v>
      </c>
      <c r="Q122" s="300">
        <f t="shared" si="25"/>
        <v>64689190.319665641</v>
      </c>
      <c r="R122" s="204"/>
      <c r="S122" s="247"/>
      <c r="T122" s="295"/>
      <c r="V122" s="295"/>
      <c r="W122" s="295"/>
      <c r="X122" s="295"/>
    </row>
    <row r="123" spans="1:24" s="1226" customFormat="1" ht="12.6" customHeight="1" outlineLevel="1">
      <c r="A123" s="1215">
        <v>43131</v>
      </c>
      <c r="B123" s="1216">
        <f t="shared" si="17"/>
        <v>0</v>
      </c>
      <c r="C123" s="1217">
        <f>'LSR Prepaid BPA interest'!I121</f>
        <v>201406.08033557987</v>
      </c>
      <c r="D123" s="1218">
        <f>'LSR Prepaid BPA interest'!H121</f>
        <v>-500140</v>
      </c>
      <c r="E123" s="1219"/>
      <c r="F123" s="1220">
        <f t="shared" si="26"/>
        <v>0</v>
      </c>
      <c r="G123" s="1221">
        <f t="shared" si="18"/>
        <v>0</v>
      </c>
      <c r="H123" s="1219">
        <f t="shared" si="22"/>
        <v>201406.08033557987</v>
      </c>
      <c r="I123" s="1220">
        <f t="shared" si="16"/>
        <v>-201406.08033557987</v>
      </c>
      <c r="J123" s="1221">
        <f t="shared" si="19"/>
        <v>0</v>
      </c>
      <c r="K123" s="1219"/>
      <c r="L123" s="1220">
        <f t="shared" si="24"/>
        <v>-12516.951233939204</v>
      </c>
      <c r="M123" s="1221">
        <f t="shared" si="20"/>
        <v>4024393.6686931085</v>
      </c>
      <c r="N123" s="1219">
        <f>'LSR Prepaid BPA interest'!G121</f>
        <v>0</v>
      </c>
      <c r="O123" s="1222">
        <f t="shared" si="23"/>
        <v>-286216.96843048092</v>
      </c>
      <c r="P123" s="1221">
        <f t="shared" si="21"/>
        <v>62667909.514216736</v>
      </c>
      <c r="Q123" s="1223">
        <f t="shared" si="25"/>
        <v>64399244.115902044</v>
      </c>
      <c r="R123" s="1224"/>
      <c r="S123" s="1225"/>
      <c r="T123" s="1216"/>
      <c r="U123" s="1225"/>
      <c r="V123" s="1216"/>
      <c r="W123" s="1216"/>
      <c r="X123" s="1216"/>
    </row>
    <row r="124" spans="1:24" ht="12.75" customHeight="1" outlineLevel="1">
      <c r="A124" s="287">
        <v>43159</v>
      </c>
      <c r="B124" s="295">
        <f t="shared" si="17"/>
        <v>0</v>
      </c>
      <c r="C124" s="215">
        <f>'LSR Prepaid BPA interest'!I122</f>
        <v>180546.93647438713</v>
      </c>
      <c r="D124" s="209">
        <f>'LSR Prepaid BPA interest'!H122</f>
        <v>-500140</v>
      </c>
      <c r="E124" s="296"/>
      <c r="F124" s="297">
        <f t="shared" si="26"/>
        <v>0</v>
      </c>
      <c r="G124" s="298">
        <f t="shared" si="18"/>
        <v>0</v>
      </c>
      <c r="H124" s="296">
        <f t="shared" si="22"/>
        <v>180546.93647438713</v>
      </c>
      <c r="I124" s="297">
        <f t="shared" si="16"/>
        <v>-180546.93647438713</v>
      </c>
      <c r="J124" s="298">
        <f t="shared" si="19"/>
        <v>0</v>
      </c>
      <c r="K124" s="296"/>
      <c r="L124" s="297">
        <f t="shared" si="24"/>
        <v>-13390.94936172318</v>
      </c>
      <c r="M124" s="298">
        <f t="shared" si="20"/>
        <v>4011002.7193313851</v>
      </c>
      <c r="N124" s="296">
        <f>'LSR Prepaid BPA interest'!G122</f>
        <v>0</v>
      </c>
      <c r="O124" s="1060">
        <f t="shared" si="23"/>
        <v>-306202.11416388967</v>
      </c>
      <c r="P124" s="298">
        <f t="shared" si="21"/>
        <v>62361707.400052845</v>
      </c>
      <c r="Q124" s="300">
        <f t="shared" si="25"/>
        <v>64108953.444901891</v>
      </c>
      <c r="R124" s="204"/>
      <c r="S124" s="247"/>
      <c r="T124" s="295"/>
      <c r="V124" s="295"/>
      <c r="W124" s="295"/>
      <c r="X124" s="295"/>
    </row>
    <row r="125" spans="1:24" ht="12.75" customHeight="1" outlineLevel="1">
      <c r="A125" s="287">
        <v>43190</v>
      </c>
      <c r="B125" s="295">
        <f t="shared" si="17"/>
        <v>0</v>
      </c>
      <c r="C125" s="215">
        <f>'LSR Prepaid BPA interest'!I123</f>
        <v>198376.42185770589</v>
      </c>
      <c r="D125" s="209">
        <f>'LSR Prepaid BPA interest'!H123</f>
        <v>-500140</v>
      </c>
      <c r="E125" s="296"/>
      <c r="F125" s="297">
        <f t="shared" si="26"/>
        <v>0</v>
      </c>
      <c r="G125" s="298">
        <f t="shared" si="18"/>
        <v>0</v>
      </c>
      <c r="H125" s="296">
        <f t="shared" si="22"/>
        <v>198376.42185770589</v>
      </c>
      <c r="I125" s="297">
        <f t="shared" si="16"/>
        <v>-198376.42185770589</v>
      </c>
      <c r="J125" s="298">
        <f t="shared" si="19"/>
        <v>0</v>
      </c>
      <c r="K125" s="296"/>
      <c r="L125" s="297">
        <f t="shared" si="24"/>
        <v>-12643.893924162121</v>
      </c>
      <c r="M125" s="298">
        <f t="shared" si="20"/>
        <v>3998358.8254072228</v>
      </c>
      <c r="N125" s="296">
        <f>'LSR Prepaid BPA interest'!G123</f>
        <v>0</v>
      </c>
      <c r="O125" s="1060">
        <f t="shared" si="23"/>
        <v>-289119.68421813194</v>
      </c>
      <c r="P125" s="298">
        <f t="shared" si="21"/>
        <v>62072587.715834714</v>
      </c>
      <c r="Q125" s="300">
        <f t="shared" si="25"/>
        <v>63818319.797621392</v>
      </c>
      <c r="R125" s="204"/>
      <c r="S125" s="247"/>
      <c r="T125" s="295"/>
      <c r="V125" s="295"/>
      <c r="W125" s="295"/>
      <c r="X125" s="295"/>
    </row>
    <row r="126" spans="1:24" ht="12.75" customHeight="1" outlineLevel="1">
      <c r="A126" s="287">
        <v>43220</v>
      </c>
      <c r="B126" s="295">
        <f t="shared" si="17"/>
        <v>0</v>
      </c>
      <c r="C126" s="215">
        <f>'LSR Prepaid BPA interest'!I124</f>
        <v>192212.22625586277</v>
      </c>
      <c r="D126" s="209">
        <f>'LSR Prepaid BPA interest'!H124</f>
        <v>-500140</v>
      </c>
      <c r="E126" s="296"/>
      <c r="F126" s="297">
        <f t="shared" si="26"/>
        <v>0</v>
      </c>
      <c r="G126" s="298">
        <f t="shared" si="18"/>
        <v>0</v>
      </c>
      <c r="H126" s="296">
        <f t="shared" si="22"/>
        <v>192212.22625586277</v>
      </c>
      <c r="I126" s="297">
        <f t="shared" si="16"/>
        <v>-192212.22625586277</v>
      </c>
      <c r="J126" s="298">
        <f t="shared" si="19"/>
        <v>0</v>
      </c>
      <c r="K126" s="296"/>
      <c r="L126" s="297">
        <f t="shared" si="24"/>
        <v>-12902.173719879351</v>
      </c>
      <c r="M126" s="298">
        <f t="shared" si="20"/>
        <v>3985456.6516873436</v>
      </c>
      <c r="N126" s="296">
        <f>'LSR Prepaid BPA interest'!G124</f>
        <v>0</v>
      </c>
      <c r="O126" s="1060">
        <f t="shared" si="23"/>
        <v>-295025.6000242579</v>
      </c>
      <c r="P126" s="298">
        <f t="shared" si="21"/>
        <v>61777562.115810454</v>
      </c>
      <c r="Q126" s="300">
        <f t="shared" si="25"/>
        <v>63529370.64009463</v>
      </c>
      <c r="R126" s="204"/>
      <c r="S126" s="247"/>
      <c r="T126" s="295"/>
      <c r="V126" s="295"/>
      <c r="W126" s="295"/>
      <c r="X126" s="295"/>
    </row>
    <row r="127" spans="1:24" ht="12.75" customHeight="1" outlineLevel="1">
      <c r="A127" s="287">
        <v>43251</v>
      </c>
      <c r="B127" s="295">
        <f t="shared" si="17"/>
        <v>0</v>
      </c>
      <c r="C127" s="215">
        <f>'LSR Prepaid BPA interest'!I125</f>
        <v>197104.47122545453</v>
      </c>
      <c r="D127" s="209">
        <f>'LSR Prepaid BPA interest'!H125</f>
        <v>-500140</v>
      </c>
      <c r="E127" s="296"/>
      <c r="F127" s="297">
        <f t="shared" si="26"/>
        <v>0</v>
      </c>
      <c r="G127" s="298">
        <f t="shared" si="18"/>
        <v>0</v>
      </c>
      <c r="H127" s="296">
        <f t="shared" si="22"/>
        <v>197104.47122545453</v>
      </c>
      <c r="I127" s="297">
        <f t="shared" si="16"/>
        <v>-197104.47122545453</v>
      </c>
      <c r="J127" s="298">
        <f t="shared" si="19"/>
        <v>0</v>
      </c>
      <c r="K127" s="296"/>
      <c r="L127" s="297">
        <f t="shared" si="24"/>
        <v>-12697.188655653455</v>
      </c>
      <c r="M127" s="298">
        <f t="shared" si="20"/>
        <v>3972759.4630316901</v>
      </c>
      <c r="N127" s="296">
        <f>'LSR Prepaid BPA interest'!G125</f>
        <v>0</v>
      </c>
      <c r="O127" s="1060">
        <f t="shared" si="23"/>
        <v>-290338.34011889203</v>
      </c>
      <c r="P127" s="298">
        <f t="shared" si="21"/>
        <v>61487223.775691561</v>
      </c>
      <c r="Q127" s="300">
        <f t="shared" si="25"/>
        <v>63240045.610061906</v>
      </c>
      <c r="R127" s="204"/>
      <c r="S127" s="247"/>
      <c r="T127" s="295"/>
      <c r="V127" s="295"/>
      <c r="W127" s="295"/>
      <c r="X127" s="295"/>
    </row>
    <row r="128" spans="1:24" s="1277" customFormat="1" ht="12.75" customHeight="1" outlineLevel="1">
      <c r="A128" s="1266">
        <v>43281</v>
      </c>
      <c r="B128" s="1267">
        <f t="shared" si="17"/>
        <v>0</v>
      </c>
      <c r="C128" s="1228">
        <f>'LSR Prepaid BPA interest'!I126</f>
        <v>189280.29869662988</v>
      </c>
      <c r="D128" s="1228">
        <f>'LSR Prepaid BPA interest'!H126</f>
        <v>-500140</v>
      </c>
      <c r="E128" s="1270"/>
      <c r="F128" s="1271">
        <f t="shared" si="26"/>
        <v>0</v>
      </c>
      <c r="G128" s="1272">
        <f t="shared" si="18"/>
        <v>0</v>
      </c>
      <c r="H128" s="1270">
        <f t="shared" si="22"/>
        <v>189280.29869662988</v>
      </c>
      <c r="I128" s="1271">
        <f t="shared" si="16"/>
        <v>-189280.29869662988</v>
      </c>
      <c r="J128" s="1272">
        <f t="shared" si="19"/>
        <v>0</v>
      </c>
      <c r="K128" s="1270"/>
      <c r="L128" s="1271">
        <f t="shared" si="24"/>
        <v>-13025.021484611209</v>
      </c>
      <c r="M128" s="1272">
        <f t="shared" si="20"/>
        <v>3959734.441547079</v>
      </c>
      <c r="N128" s="1270">
        <f>'LSR Prepaid BPA interest'!G126</f>
        <v>0</v>
      </c>
      <c r="O128" s="1273">
        <f t="shared" si="23"/>
        <v>-297834.67981875892</v>
      </c>
      <c r="P128" s="1272">
        <f t="shared" si="21"/>
        <v>61189389.095872805</v>
      </c>
      <c r="Q128" s="1274">
        <f t="shared" si="25"/>
        <v>62948288.183836877</v>
      </c>
      <c r="R128" s="1275"/>
      <c r="S128" s="1276"/>
      <c r="T128" s="1267"/>
      <c r="U128" s="1276"/>
      <c r="V128" s="1267"/>
      <c r="W128" s="1267"/>
      <c r="X128" s="1267"/>
    </row>
    <row r="129" spans="1:24" ht="12.75" customHeight="1" outlineLevel="1">
      <c r="A129" s="287">
        <v>43312</v>
      </c>
      <c r="B129" s="295">
        <f t="shared" si="17"/>
        <v>0</v>
      </c>
      <c r="C129" s="215">
        <f>'LSR Prepaid BPA interest'!I127</f>
        <v>195827.27335335387</v>
      </c>
      <c r="D129" s="209">
        <f>'LSR Prepaid BPA interest'!H127</f>
        <v>-500140</v>
      </c>
      <c r="E129" s="296"/>
      <c r="F129" s="297">
        <f t="shared" si="26"/>
        <v>0</v>
      </c>
      <c r="G129" s="298">
        <f t="shared" si="18"/>
        <v>0</v>
      </c>
      <c r="H129" s="296">
        <f t="shared" si="22"/>
        <v>195827.27335335387</v>
      </c>
      <c r="I129" s="297">
        <f t="shared" si="16"/>
        <v>-195827.27335335387</v>
      </c>
      <c r="J129" s="298">
        <f t="shared" si="19"/>
        <v>0</v>
      </c>
      <c r="K129" s="296"/>
      <c r="L129" s="297">
        <f t="shared" si="24"/>
        <v>-12750.703246494473</v>
      </c>
      <c r="M129" s="298">
        <f t="shared" si="20"/>
        <v>3946983.7383005847</v>
      </c>
      <c r="N129" s="296">
        <f>'LSR Prepaid BPA interest'!G127</f>
        <v>0</v>
      </c>
      <c r="O129" s="1060">
        <f t="shared" si="23"/>
        <v>-291562.02340015169</v>
      </c>
      <c r="P129" s="298">
        <f t="shared" si="21"/>
        <v>60897827.072472654</v>
      </c>
      <c r="Q129" s="300">
        <f t="shared" si="25"/>
        <v>62656153.943921797</v>
      </c>
      <c r="R129" s="204"/>
      <c r="S129" s="247"/>
      <c r="T129" s="295"/>
      <c r="V129" s="295"/>
      <c r="W129" s="295"/>
      <c r="X129" s="295"/>
    </row>
    <row r="130" spans="1:24" ht="12.75" customHeight="1" outlineLevel="1">
      <c r="A130" s="287">
        <v>43343</v>
      </c>
      <c r="B130" s="295">
        <f t="shared" si="17"/>
        <v>0</v>
      </c>
      <c r="C130" s="215">
        <f>'LSR Prepaid BPA interest'!I128</f>
        <v>194312.4441144169</v>
      </c>
      <c r="D130" s="209">
        <f>'LSR Prepaid BPA interest'!H128</f>
        <v>-500140</v>
      </c>
      <c r="E130" s="296"/>
      <c r="F130" s="297">
        <f t="shared" si="26"/>
        <v>0</v>
      </c>
      <c r="G130" s="298">
        <f t="shared" si="18"/>
        <v>0</v>
      </c>
      <c r="H130" s="296">
        <f t="shared" si="22"/>
        <v>194312.4441144169</v>
      </c>
      <c r="I130" s="297">
        <f t="shared" si="16"/>
        <v>-194312.4441144169</v>
      </c>
      <c r="J130" s="298">
        <f t="shared" si="19"/>
        <v>0</v>
      </c>
      <c r="K130" s="296"/>
      <c r="L130" s="297">
        <f t="shared" si="24"/>
        <v>-12814.174591605932</v>
      </c>
      <c r="M130" s="298">
        <f t="shared" si="20"/>
        <v>3934169.5637089787</v>
      </c>
      <c r="N130" s="296">
        <f>'LSR Prepaid BPA interest'!G128</f>
        <v>0</v>
      </c>
      <c r="O130" s="1060">
        <f t="shared" si="23"/>
        <v>-293013.38129397715</v>
      </c>
      <c r="P130" s="298">
        <f t="shared" si="21"/>
        <v>60604813.691178679</v>
      </c>
      <c r="Q130" s="300">
        <f t="shared" si="25"/>
        <v>62363626.336145975</v>
      </c>
      <c r="R130" s="204"/>
      <c r="S130" s="247"/>
      <c r="T130" s="295"/>
      <c r="V130" s="295"/>
      <c r="W130" s="295"/>
      <c r="X130" s="295"/>
    </row>
    <row r="131" spans="1:24" ht="12.75" customHeight="1" outlineLevel="1">
      <c r="A131" s="287">
        <v>43373</v>
      </c>
      <c r="B131" s="295">
        <f t="shared" si="17"/>
        <v>0</v>
      </c>
      <c r="C131" s="215">
        <f>'LSR Prepaid BPA interest'!I129</f>
        <v>186578.33697627086</v>
      </c>
      <c r="D131" s="209">
        <f>'LSR Prepaid BPA interest'!H129</f>
        <v>-500140</v>
      </c>
      <c r="E131" s="296"/>
      <c r="F131" s="297">
        <f t="shared" si="26"/>
        <v>0</v>
      </c>
      <c r="G131" s="298">
        <f t="shared" si="18"/>
        <v>0</v>
      </c>
      <c r="H131" s="296">
        <f t="shared" si="22"/>
        <v>186578.33697627086</v>
      </c>
      <c r="I131" s="297">
        <f t="shared" ref="I131:I194" si="27">-J130-H131</f>
        <v>-186578.33697627086</v>
      </c>
      <c r="J131" s="298">
        <f t="shared" si="19"/>
        <v>0</v>
      </c>
      <c r="K131" s="296"/>
      <c r="L131" s="297">
        <f t="shared" si="24"/>
        <v>-13138.233680694249</v>
      </c>
      <c r="M131" s="298">
        <f t="shared" si="20"/>
        <v>3921031.3300282843</v>
      </c>
      <c r="N131" s="296">
        <f>'LSR Prepaid BPA interest'!G129</f>
        <v>0</v>
      </c>
      <c r="O131" s="1060">
        <f t="shared" si="23"/>
        <v>-300423.42934303486</v>
      </c>
      <c r="P131" s="298">
        <f t="shared" si="21"/>
        <v>60304390.261835642</v>
      </c>
      <c r="Q131" s="300">
        <f t="shared" si="25"/>
        <v>62070721.041182198</v>
      </c>
      <c r="R131" s="204"/>
      <c r="S131" s="247"/>
      <c r="T131" s="295"/>
      <c r="V131" s="295"/>
      <c r="W131" s="295"/>
      <c r="X131" s="295"/>
    </row>
    <row r="132" spans="1:24" ht="12.75" customHeight="1" outlineLevel="1">
      <c r="A132" s="287">
        <v>43404</v>
      </c>
      <c r="B132" s="295">
        <f t="shared" si="17"/>
        <v>0</v>
      </c>
      <c r="C132" s="215">
        <f>'LSR Prepaid BPA interest'!I130</f>
        <v>193029.55528403097</v>
      </c>
      <c r="D132" s="209">
        <f>'LSR Prepaid BPA interest'!H130</f>
        <v>-500140</v>
      </c>
      <c r="E132" s="296"/>
      <c r="F132" s="297">
        <f t="shared" si="26"/>
        <v>0</v>
      </c>
      <c r="G132" s="298">
        <f t="shared" si="18"/>
        <v>0</v>
      </c>
      <c r="H132" s="296">
        <f t="shared" si="22"/>
        <v>193029.55528403097</v>
      </c>
      <c r="I132" s="297">
        <f t="shared" si="27"/>
        <v>-193029.55528403097</v>
      </c>
      <c r="J132" s="298">
        <f t="shared" si="19"/>
        <v>0</v>
      </c>
      <c r="K132" s="296"/>
      <c r="L132" s="297">
        <f t="shared" si="24"/>
        <v>-12867.927633599102</v>
      </c>
      <c r="M132" s="298">
        <f t="shared" si="20"/>
        <v>3908163.4023946854</v>
      </c>
      <c r="N132" s="296">
        <f>'LSR Prepaid BPA interest'!G130</f>
        <v>0</v>
      </c>
      <c r="O132" s="1060">
        <f t="shared" si="23"/>
        <v>-294242.51708236989</v>
      </c>
      <c r="P132" s="298">
        <f t="shared" si="21"/>
        <v>60010147.744753271</v>
      </c>
      <c r="Q132" s="300">
        <f t="shared" si="25"/>
        <v>61777435.598676659</v>
      </c>
      <c r="R132" s="204"/>
      <c r="S132" s="247"/>
      <c r="T132" s="295"/>
      <c r="V132" s="295"/>
      <c r="W132" s="295"/>
      <c r="X132" s="295"/>
    </row>
    <row r="133" spans="1:24" ht="12.75" customHeight="1" outlineLevel="1">
      <c r="A133" s="287">
        <v>43434</v>
      </c>
      <c r="B133" s="295">
        <f t="shared" si="17"/>
        <v>0</v>
      </c>
      <c r="C133" s="215">
        <f>'LSR Prepaid BPA interest'!I131</f>
        <v>185336.83165654258</v>
      </c>
      <c r="D133" s="209">
        <f>'LSR Prepaid BPA interest'!H131</f>
        <v>-500140</v>
      </c>
      <c r="E133" s="296"/>
      <c r="F133" s="297">
        <f t="shared" si="26"/>
        <v>0</v>
      </c>
      <c r="G133" s="298">
        <f t="shared" si="18"/>
        <v>0</v>
      </c>
      <c r="H133" s="296">
        <f t="shared" si="22"/>
        <v>185336.83165654258</v>
      </c>
      <c r="I133" s="297">
        <f t="shared" si="27"/>
        <v>-185336.83165654258</v>
      </c>
      <c r="J133" s="298">
        <f t="shared" si="19"/>
        <v>0</v>
      </c>
      <c r="K133" s="296"/>
      <c r="L133" s="297">
        <f t="shared" si="24"/>
        <v>-13190.252753590865</v>
      </c>
      <c r="M133" s="298">
        <f t="shared" si="20"/>
        <v>3894973.1496410947</v>
      </c>
      <c r="N133" s="296">
        <f>'LSR Prepaid BPA interest'!G131</f>
        <v>0</v>
      </c>
      <c r="O133" s="1060">
        <f t="shared" si="23"/>
        <v>-301612.91558986652</v>
      </c>
      <c r="P133" s="298">
        <f t="shared" si="21"/>
        <v>59708534.829163402</v>
      </c>
      <c r="Q133" s="300">
        <f t="shared" si="25"/>
        <v>61483522.566639423</v>
      </c>
      <c r="R133" s="204"/>
      <c r="S133" s="247"/>
      <c r="T133" s="295"/>
      <c r="V133" s="295"/>
      <c r="W133" s="295"/>
      <c r="X133" s="295"/>
    </row>
    <row r="134" spans="1:24" s="1277" customFormat="1" ht="12.75" customHeight="1" outlineLevel="1" thickBot="1">
      <c r="A134" s="1266">
        <v>43465</v>
      </c>
      <c r="B134" s="1267">
        <f t="shared" si="17"/>
        <v>0</v>
      </c>
      <c r="C134" s="1268">
        <f>'LSR Prepaid BPA interest'!I132</f>
        <v>189999.89680615702</v>
      </c>
      <c r="D134" s="1269">
        <f>'LSR Prepaid BPA interest'!H132</f>
        <v>-500140</v>
      </c>
      <c r="E134" s="1270"/>
      <c r="F134" s="1271">
        <f t="shared" si="26"/>
        <v>0</v>
      </c>
      <c r="G134" s="1272">
        <f t="shared" si="18"/>
        <v>0</v>
      </c>
      <c r="H134" s="1270">
        <f t="shared" si="22"/>
        <v>189999.89680615702</v>
      </c>
      <c r="I134" s="1271">
        <f t="shared" si="27"/>
        <v>-189999.89680615702</v>
      </c>
      <c r="J134" s="1272">
        <f t="shared" si="19"/>
        <v>0</v>
      </c>
      <c r="K134" s="1270"/>
      <c r="L134" s="1271">
        <f t="shared" si="24"/>
        <v>-12994.870323822021</v>
      </c>
      <c r="M134" s="1272">
        <f t="shared" si="20"/>
        <v>3881978.2793172728</v>
      </c>
      <c r="N134" s="1270">
        <f>'LSR Prepaid BPA interest'!G132</f>
        <v>0</v>
      </c>
      <c r="O134" s="1278">
        <f t="shared" si="23"/>
        <v>-297145.23287002096</v>
      </c>
      <c r="P134" s="1272">
        <f t="shared" si="21"/>
        <v>59411389.596293382</v>
      </c>
      <c r="Q134" s="1274">
        <f t="shared" si="25"/>
        <v>61188737.604696095</v>
      </c>
      <c r="R134" s="1275"/>
      <c r="S134" s="1276"/>
      <c r="T134" s="1267"/>
      <c r="U134" s="1276"/>
      <c r="V134" s="1267"/>
      <c r="W134" s="1267"/>
      <c r="X134" s="1267"/>
    </row>
    <row r="135" spans="1:24" ht="12.75" customHeight="1" outlineLevel="1">
      <c r="A135" s="287">
        <v>43496</v>
      </c>
      <c r="B135" s="295">
        <f t="shared" si="17"/>
        <v>0</v>
      </c>
      <c r="C135" s="215">
        <f>'LSR Prepaid BPA interest'!I133</f>
        <v>190206.54128467015</v>
      </c>
      <c r="D135" s="209">
        <f>'LSR Prepaid BPA interest'!H133</f>
        <v>-500140</v>
      </c>
      <c r="E135" s="296"/>
      <c r="F135" s="297">
        <f t="shared" si="26"/>
        <v>0</v>
      </c>
      <c r="G135" s="298">
        <f t="shared" si="18"/>
        <v>0</v>
      </c>
      <c r="H135" s="296">
        <f t="shared" si="22"/>
        <v>190206.54128467015</v>
      </c>
      <c r="I135" s="297">
        <f t="shared" si="27"/>
        <v>-190206.54128467015</v>
      </c>
      <c r="J135" s="298">
        <f t="shared" si="19"/>
        <v>0</v>
      </c>
      <c r="K135" s="296"/>
      <c r="L135" s="297">
        <f t="shared" si="24"/>
        <v>-12986.211920172322</v>
      </c>
      <c r="M135" s="298">
        <f t="shared" si="20"/>
        <v>3868992.0673971004</v>
      </c>
      <c r="N135" s="296">
        <f>'LSR Prepaid BPA interest'!G133</f>
        <v>0</v>
      </c>
      <c r="O135" s="297">
        <f t="shared" si="23"/>
        <v>-296947.24679515755</v>
      </c>
      <c r="P135" s="298">
        <f t="shared" si="21"/>
        <v>59114442.349498227</v>
      </c>
      <c r="Q135" s="300">
        <f t="shared" si="25"/>
        <v>60893062.435901403</v>
      </c>
      <c r="R135" s="204"/>
      <c r="S135" s="247"/>
      <c r="T135" s="295"/>
      <c r="V135" s="295"/>
      <c r="W135" s="295"/>
      <c r="X135" s="295"/>
    </row>
    <row r="136" spans="1:24" ht="12.75" customHeight="1" outlineLevel="1">
      <c r="A136" s="287">
        <v>43524</v>
      </c>
      <c r="B136" s="295">
        <f t="shared" ref="B136:B199" si="28">E136+K136+H136-C136</f>
        <v>0</v>
      </c>
      <c r="C136" s="215">
        <f>'LSR Prepaid BPA interest'!I134</f>
        <v>170431.22378324287</v>
      </c>
      <c r="D136" s="209">
        <f>'LSR Prepaid BPA interest'!H134</f>
        <v>-500140</v>
      </c>
      <c r="E136" s="296"/>
      <c r="F136" s="297">
        <f t="shared" si="26"/>
        <v>0</v>
      </c>
      <c r="G136" s="298">
        <f t="shared" si="18"/>
        <v>0</v>
      </c>
      <c r="H136" s="296">
        <f t="shared" si="22"/>
        <v>170431.22378324287</v>
      </c>
      <c r="I136" s="297">
        <f t="shared" si="27"/>
        <v>-170431.22378324287</v>
      </c>
      <c r="J136" s="298">
        <f t="shared" si="19"/>
        <v>0</v>
      </c>
      <c r="K136" s="296"/>
      <c r="L136" s="297">
        <f t="shared" si="24"/>
        <v>-13814.797723482125</v>
      </c>
      <c r="M136" s="298">
        <f t="shared" si="20"/>
        <v>3855177.2696736185</v>
      </c>
      <c r="N136" s="296">
        <f>'LSR Prepaid BPA interest'!G134</f>
        <v>0</v>
      </c>
      <c r="O136" s="297">
        <f t="shared" si="23"/>
        <v>-315893.978493275</v>
      </c>
      <c r="P136" s="298">
        <f t="shared" si="21"/>
        <v>58798548.371004954</v>
      </c>
      <c r="Q136" s="300">
        <f t="shared" si="25"/>
        <v>60596536.344494469</v>
      </c>
      <c r="R136" s="204"/>
      <c r="S136" s="247"/>
      <c r="T136" s="295"/>
      <c r="V136" s="295"/>
      <c r="W136" s="295"/>
      <c r="X136" s="295"/>
    </row>
    <row r="137" spans="1:24" ht="12.75" customHeight="1" outlineLevel="1">
      <c r="A137" s="287">
        <v>43555</v>
      </c>
      <c r="B137" s="295">
        <f t="shared" si="28"/>
        <v>0</v>
      </c>
      <c r="C137" s="215">
        <f>'LSR Prepaid BPA interest'!I135</f>
        <v>187176.88280679617</v>
      </c>
      <c r="D137" s="209">
        <f>'LSR Prepaid BPA interest'!H135</f>
        <v>-500140</v>
      </c>
      <c r="E137" s="296"/>
      <c r="F137" s="297">
        <f t="shared" si="26"/>
        <v>0</v>
      </c>
      <c r="G137" s="298">
        <f t="shared" ref="G137:G200" si="29">G136+E137+F137</f>
        <v>0</v>
      </c>
      <c r="H137" s="296">
        <f t="shared" si="22"/>
        <v>187176.88280679617</v>
      </c>
      <c r="I137" s="297">
        <f t="shared" si="27"/>
        <v>-187176.88280679617</v>
      </c>
      <c r="J137" s="298">
        <f t="shared" ref="J137:J200" si="30">J136+H137+I137</f>
        <v>0</v>
      </c>
      <c r="K137" s="296"/>
      <c r="L137" s="297">
        <f t="shared" si="24"/>
        <v>-13113.154610395241</v>
      </c>
      <c r="M137" s="298">
        <f t="shared" ref="M137:M200" si="31">M136+K137+L137</f>
        <v>3842064.1150632231</v>
      </c>
      <c r="N137" s="296">
        <f>'LSR Prepaid BPA interest'!G135</f>
        <v>0</v>
      </c>
      <c r="O137" s="297">
        <f t="shared" si="23"/>
        <v>-299849.96258280857</v>
      </c>
      <c r="P137" s="298">
        <f t="shared" si="21"/>
        <v>58498698.408422142</v>
      </c>
      <c r="Q137" s="300">
        <f t="shared" si="25"/>
        <v>60299159.330475293</v>
      </c>
      <c r="R137" s="204"/>
      <c r="S137" s="247"/>
      <c r="T137" s="295"/>
      <c r="V137" s="295"/>
      <c r="W137" s="295"/>
      <c r="X137" s="295"/>
    </row>
    <row r="138" spans="1:24" ht="12.75" customHeight="1" outlineLevel="1">
      <c r="A138" s="287">
        <v>43585</v>
      </c>
      <c r="B138" s="295">
        <f t="shared" si="28"/>
        <v>0</v>
      </c>
      <c r="C138" s="215">
        <f>'LSR Prepaid BPA interest'!I136</f>
        <v>181278.65833221088</v>
      </c>
      <c r="D138" s="209">
        <f>'LSR Prepaid BPA interest'!H136</f>
        <v>-500140</v>
      </c>
      <c r="E138" s="296"/>
      <c r="F138" s="297">
        <f t="shared" si="26"/>
        <v>0</v>
      </c>
      <c r="G138" s="298">
        <f t="shared" si="29"/>
        <v>0</v>
      </c>
      <c r="H138" s="296">
        <f t="shared" si="22"/>
        <v>181278.65833221088</v>
      </c>
      <c r="I138" s="297">
        <f t="shared" si="27"/>
        <v>-181278.65833221088</v>
      </c>
      <c r="J138" s="298">
        <f t="shared" si="30"/>
        <v>0</v>
      </c>
      <c r="K138" s="296"/>
      <c r="L138" s="297">
        <f t="shared" si="24"/>
        <v>-13360.290215880364</v>
      </c>
      <c r="M138" s="298">
        <f t="shared" si="31"/>
        <v>3828703.8248473429</v>
      </c>
      <c r="N138" s="296">
        <f>'LSR Prepaid BPA interest'!G136</f>
        <v>0</v>
      </c>
      <c r="O138" s="297">
        <f t="shared" si="23"/>
        <v>-305501.05145190877</v>
      </c>
      <c r="P138" s="298">
        <f t="shared" si="21"/>
        <v>58193197.356970236</v>
      </c>
      <c r="Q138" s="300">
        <f t="shared" si="25"/>
        <v>60000898.74438142</v>
      </c>
      <c r="R138" s="204"/>
      <c r="S138" s="247"/>
      <c r="T138" s="295"/>
      <c r="V138" s="295"/>
      <c r="W138" s="295"/>
      <c r="X138" s="295"/>
    </row>
    <row r="139" spans="1:24" ht="12.75" customHeight="1" outlineLevel="1">
      <c r="A139" s="287">
        <v>43616</v>
      </c>
      <c r="B139" s="295">
        <f t="shared" si="28"/>
        <v>0</v>
      </c>
      <c r="C139" s="215">
        <f>'LSR Prepaid BPA interest'!I137</f>
        <v>185806.45103768088</v>
      </c>
      <c r="D139" s="209">
        <f>'LSR Prepaid BPA interest'!H137</f>
        <v>-500140</v>
      </c>
      <c r="E139" s="296"/>
      <c r="F139" s="297">
        <f t="shared" si="26"/>
        <v>0</v>
      </c>
      <c r="G139" s="298">
        <f t="shared" si="29"/>
        <v>0</v>
      </c>
      <c r="H139" s="296">
        <f t="shared" si="22"/>
        <v>185806.45103768088</v>
      </c>
      <c r="I139" s="297">
        <f t="shared" si="27"/>
        <v>-185806.45103768088</v>
      </c>
      <c r="J139" s="298">
        <f t="shared" si="30"/>
        <v>0</v>
      </c>
      <c r="K139" s="296"/>
      <c r="L139" s="297">
        <f t="shared" si="24"/>
        <v>-13170.575701521173</v>
      </c>
      <c r="M139" s="298">
        <f t="shared" si="31"/>
        <v>3815533.2491458217</v>
      </c>
      <c r="N139" s="296">
        <f>'LSR Prepaid BPA interest'!G137</f>
        <v>0</v>
      </c>
      <c r="O139" s="297">
        <f t="shared" si="23"/>
        <v>-301162.97326079797</v>
      </c>
      <c r="P139" s="298">
        <f t="shared" ref="P139:P201" si="32">P138+N139+O139</f>
        <v>57892034.383709438</v>
      </c>
      <c r="Q139" s="300">
        <f t="shared" si="25"/>
        <v>59701750.654763818</v>
      </c>
      <c r="R139" s="204"/>
      <c r="S139" s="247"/>
      <c r="T139" s="295"/>
      <c r="V139" s="295"/>
      <c r="W139" s="295"/>
      <c r="X139" s="295"/>
    </row>
    <row r="140" spans="1:24" ht="12.75" customHeight="1" outlineLevel="1">
      <c r="A140" s="287">
        <v>43646</v>
      </c>
      <c r="B140" s="295">
        <f t="shared" si="28"/>
        <v>0</v>
      </c>
      <c r="C140" s="215">
        <f>'LSR Prepaid BPA interest'!I138</f>
        <v>178346.73077297799</v>
      </c>
      <c r="D140" s="209">
        <f>'LSR Prepaid BPA interest'!H138</f>
        <v>-500140</v>
      </c>
      <c r="E140" s="296"/>
      <c r="F140" s="297">
        <f t="shared" si="26"/>
        <v>0</v>
      </c>
      <c r="G140" s="298">
        <f t="shared" si="29"/>
        <v>0</v>
      </c>
      <c r="H140" s="296">
        <f t="shared" si="22"/>
        <v>178346.73077297799</v>
      </c>
      <c r="I140" s="297">
        <f t="shared" si="27"/>
        <v>-178346.73077297799</v>
      </c>
      <c r="J140" s="298">
        <f t="shared" si="30"/>
        <v>0</v>
      </c>
      <c r="K140" s="296"/>
      <c r="L140" s="297">
        <f t="shared" si="24"/>
        <v>-13483.137980612222</v>
      </c>
      <c r="M140" s="298">
        <f t="shared" si="31"/>
        <v>3802050.1111652097</v>
      </c>
      <c r="N140" s="296">
        <f>'LSR Prepaid BPA interest'!G138</f>
        <v>0</v>
      </c>
      <c r="O140" s="297">
        <f t="shared" si="23"/>
        <v>-308310.13124640979</v>
      </c>
      <c r="P140" s="298">
        <f t="shared" si="32"/>
        <v>57583724.252463028</v>
      </c>
      <c r="Q140" s="300">
        <f t="shared" si="25"/>
        <v>59401715.061622478</v>
      </c>
      <c r="R140" s="204"/>
      <c r="S140" s="247"/>
      <c r="T140" s="295"/>
      <c r="V140" s="295"/>
      <c r="W140" s="295"/>
      <c r="X140" s="295"/>
    </row>
    <row r="141" spans="1:24" ht="12.75" customHeight="1" outlineLevel="1">
      <c r="A141" s="287">
        <v>43677</v>
      </c>
      <c r="B141" s="295">
        <f t="shared" si="28"/>
        <v>0</v>
      </c>
      <c r="C141" s="215">
        <f>'LSR Prepaid BPA interest'!I139</f>
        <v>184428.80219570015</v>
      </c>
      <c r="D141" s="209">
        <f>'LSR Prepaid BPA interest'!H139</f>
        <v>-500140</v>
      </c>
      <c r="E141" s="296"/>
      <c r="F141" s="297">
        <f t="shared" si="26"/>
        <v>0</v>
      </c>
      <c r="G141" s="298">
        <f t="shared" si="29"/>
        <v>0</v>
      </c>
      <c r="H141" s="296">
        <f t="shared" ref="H141:H204" si="33">C141</f>
        <v>184428.80219570015</v>
      </c>
      <c r="I141" s="297">
        <f t="shared" si="27"/>
        <v>-184428.80219570015</v>
      </c>
      <c r="J141" s="298">
        <f t="shared" si="30"/>
        <v>0</v>
      </c>
      <c r="K141" s="296"/>
      <c r="L141" s="297">
        <f t="shared" si="24"/>
        <v>-13228.299188000165</v>
      </c>
      <c r="M141" s="298">
        <f t="shared" si="31"/>
        <v>3788821.8119772095</v>
      </c>
      <c r="N141" s="296">
        <f>'LSR Prepaid BPA interest'!G139</f>
        <v>0</v>
      </c>
      <c r="O141" s="297">
        <f t="shared" si="23"/>
        <v>-302482.89861629967</v>
      </c>
      <c r="P141" s="298">
        <f t="shared" si="32"/>
        <v>57281241.353846729</v>
      </c>
      <c r="Q141" s="300">
        <f t="shared" si="25"/>
        <v>59100787.954871006</v>
      </c>
      <c r="R141" s="204"/>
      <c r="S141" s="247"/>
      <c r="T141" s="295"/>
      <c r="V141" s="295"/>
      <c r="W141" s="295"/>
      <c r="X141" s="295"/>
    </row>
    <row r="142" spans="1:24" ht="12.75" customHeight="1" outlineLevel="1">
      <c r="A142" s="287">
        <v>43708</v>
      </c>
      <c r="B142" s="295">
        <f t="shared" si="28"/>
        <v>0</v>
      </c>
      <c r="C142" s="215">
        <f>'LSR Prepaid BPA interest'!I140</f>
        <v>182913.97295676317</v>
      </c>
      <c r="D142" s="209">
        <f>'LSR Prepaid BPA interest'!H140</f>
        <v>-500140</v>
      </c>
      <c r="E142" s="296"/>
      <c r="F142" s="297">
        <f t="shared" si="26"/>
        <v>0</v>
      </c>
      <c r="G142" s="298">
        <f t="shared" si="29"/>
        <v>0</v>
      </c>
      <c r="H142" s="296">
        <f t="shared" si="33"/>
        <v>182913.97295676317</v>
      </c>
      <c r="I142" s="297">
        <f t="shared" si="27"/>
        <v>-182913.97295676317</v>
      </c>
      <c r="J142" s="298">
        <f t="shared" si="30"/>
        <v>0</v>
      </c>
      <c r="K142" s="296"/>
      <c r="L142" s="297">
        <f t="shared" si="24"/>
        <v>-13291.770533111623</v>
      </c>
      <c r="M142" s="298">
        <f t="shared" si="31"/>
        <v>3775530.0414440981</v>
      </c>
      <c r="N142" s="296">
        <f>'LSR Prepaid BPA interest'!G140</f>
        <v>0</v>
      </c>
      <c r="O142" s="297">
        <f t="shared" ref="O142:O201" si="34">IF((I142+L142)&gt;D142,(D142-I142)*$P$1,0)</f>
        <v>-303934.25651012518</v>
      </c>
      <c r="P142" s="298">
        <f t="shared" si="32"/>
        <v>56977307.097336605</v>
      </c>
      <c r="Q142" s="300">
        <f t="shared" si="25"/>
        <v>58798950.77518484</v>
      </c>
      <c r="R142" s="204"/>
      <c r="S142" s="247"/>
      <c r="T142" s="295"/>
      <c r="V142" s="295"/>
      <c r="W142" s="295"/>
      <c r="X142" s="295"/>
    </row>
    <row r="143" spans="1:24" ht="12.75" customHeight="1" outlineLevel="1">
      <c r="A143" s="287">
        <v>43738</v>
      </c>
      <c r="B143" s="295">
        <f t="shared" si="28"/>
        <v>0</v>
      </c>
      <c r="C143" s="215">
        <f>'LSR Prepaid BPA interest'!I141</f>
        <v>175547.55843660596</v>
      </c>
      <c r="D143" s="209">
        <f>'LSR Prepaid BPA interest'!H141</f>
        <v>-500140</v>
      </c>
      <c r="E143" s="296"/>
      <c r="F143" s="297">
        <f t="shared" si="26"/>
        <v>0</v>
      </c>
      <c r="G143" s="298">
        <f t="shared" si="29"/>
        <v>0</v>
      </c>
      <c r="H143" s="296">
        <f t="shared" si="33"/>
        <v>175547.55843660596</v>
      </c>
      <c r="I143" s="297">
        <f t="shared" si="27"/>
        <v>-175547.55843660596</v>
      </c>
      <c r="J143" s="298">
        <f t="shared" si="30"/>
        <v>0</v>
      </c>
      <c r="K143" s="296"/>
      <c r="L143" s="297">
        <f t="shared" ref="L143:L200" si="35">IF((F143+I143)&gt;D143,(D143-F143-I143)*$M$1,0)</f>
        <v>-13600.423301506211</v>
      </c>
      <c r="M143" s="298">
        <f t="shared" si="31"/>
        <v>3761929.6181425918</v>
      </c>
      <c r="N143" s="296">
        <f>'LSR Prepaid BPA interest'!G141</f>
        <v>0</v>
      </c>
      <c r="O143" s="297">
        <f t="shared" si="34"/>
        <v>-310992.01826188783</v>
      </c>
      <c r="P143" s="298">
        <f t="shared" si="32"/>
        <v>56666315.079074718</v>
      </c>
      <c r="Q143" s="300">
        <f t="shared" si="25"/>
        <v>58496218.201159723</v>
      </c>
      <c r="R143" s="204"/>
      <c r="S143" s="247"/>
      <c r="T143" s="295"/>
      <c r="V143" s="295"/>
      <c r="W143" s="295"/>
      <c r="X143" s="295"/>
    </row>
    <row r="144" spans="1:24" ht="12.75" customHeight="1" outlineLevel="1">
      <c r="A144" s="287">
        <v>43769</v>
      </c>
      <c r="B144" s="295">
        <f t="shared" si="28"/>
        <v>0</v>
      </c>
      <c r="C144" s="215">
        <f>'LSR Prepaid BPA interest'!I142</f>
        <v>181435.00992630637</v>
      </c>
      <c r="D144" s="209">
        <f>'LSR Prepaid BPA interest'!H142</f>
        <v>-531048.65200000012</v>
      </c>
      <c r="E144" s="296"/>
      <c r="F144" s="297">
        <f t="shared" si="26"/>
        <v>0</v>
      </c>
      <c r="G144" s="298">
        <f t="shared" si="29"/>
        <v>0</v>
      </c>
      <c r="H144" s="296">
        <f t="shared" si="33"/>
        <v>181435.00992630637</v>
      </c>
      <c r="I144" s="297">
        <f t="shared" si="27"/>
        <v>-181435.00992630637</v>
      </c>
      <c r="J144" s="298">
        <f t="shared" si="30"/>
        <v>0</v>
      </c>
      <c r="K144" s="296"/>
      <c r="L144" s="297">
        <f t="shared" si="35"/>
        <v>-14648.811602887768</v>
      </c>
      <c r="M144" s="298">
        <f t="shared" si="31"/>
        <v>3747280.8065397041</v>
      </c>
      <c r="N144" s="296">
        <f>'LSR Prepaid BPA interest'!G142</f>
        <v>0</v>
      </c>
      <c r="O144" s="297">
        <f t="shared" si="34"/>
        <v>-334964.83047080599</v>
      </c>
      <c r="P144" s="298">
        <f t="shared" si="32"/>
        <v>56331350.24860391</v>
      </c>
      <c r="Q144" s="300">
        <f t="shared" si="25"/>
        <v>58191348.506205119</v>
      </c>
      <c r="R144" s="204"/>
      <c r="S144" s="247"/>
      <c r="T144" s="295"/>
      <c r="V144" s="295"/>
      <c r="W144" s="295"/>
      <c r="X144" s="295"/>
    </row>
    <row r="145" spans="1:24" ht="12.75" customHeight="1" outlineLevel="1">
      <c r="A145" s="287">
        <v>43799</v>
      </c>
      <c r="B145" s="295">
        <f t="shared" si="28"/>
        <v>0</v>
      </c>
      <c r="C145" s="215">
        <f>'LSR Prepaid BPA interest'!I143</f>
        <v>174025.70732942232</v>
      </c>
      <c r="D145" s="209">
        <f>'LSR Prepaid BPA interest'!H143</f>
        <v>-531048.65200000012</v>
      </c>
      <c r="E145" s="296"/>
      <c r="F145" s="297">
        <f t="shared" si="26"/>
        <v>0</v>
      </c>
      <c r="G145" s="298">
        <f t="shared" si="29"/>
        <v>0</v>
      </c>
      <c r="H145" s="296">
        <f t="shared" si="33"/>
        <v>174025.70732942232</v>
      </c>
      <c r="I145" s="297">
        <f t="shared" si="27"/>
        <v>-174025.70732942232</v>
      </c>
      <c r="J145" s="298">
        <f t="shared" si="30"/>
        <v>0</v>
      </c>
      <c r="K145" s="296"/>
      <c r="L145" s="297">
        <f t="shared" si="35"/>
        <v>-14959.261381697208</v>
      </c>
      <c r="M145" s="298">
        <f t="shared" si="31"/>
        <v>3732321.5451580067</v>
      </c>
      <c r="N145" s="296">
        <f>'LSR Prepaid BPA interest'!G143</f>
        <v>0</v>
      </c>
      <c r="O145" s="297">
        <f t="shared" si="34"/>
        <v>-342063.68328888057</v>
      </c>
      <c r="P145" s="298">
        <f t="shared" si="32"/>
        <v>55989286.565315031</v>
      </c>
      <c r="Q145" s="300">
        <f t="shared" si="25"/>
        <v>57883096.599538542</v>
      </c>
      <c r="R145" s="204"/>
      <c r="S145" s="247"/>
      <c r="T145" s="295"/>
      <c r="V145" s="295"/>
      <c r="W145" s="295"/>
      <c r="X145" s="295"/>
    </row>
    <row r="146" spans="1:24" ht="12.75" customHeight="1" outlineLevel="1">
      <c r="A146" s="287">
        <v>43830</v>
      </c>
      <c r="B146" s="295">
        <f t="shared" si="28"/>
        <v>0</v>
      </c>
      <c r="C146" s="215">
        <f>'LSR Prepaid BPA interest'!I144</f>
        <v>178218.11855449976</v>
      </c>
      <c r="D146" s="209">
        <f>'LSR Prepaid BPA interest'!H144</f>
        <v>-531048.65200000012</v>
      </c>
      <c r="E146" s="296"/>
      <c r="F146" s="297">
        <f t="shared" si="26"/>
        <v>0</v>
      </c>
      <c r="G146" s="298">
        <f t="shared" si="29"/>
        <v>0</v>
      </c>
      <c r="H146" s="296">
        <f t="shared" si="33"/>
        <v>178218.11855449976</v>
      </c>
      <c r="I146" s="297">
        <f t="shared" si="27"/>
        <v>-178218.11855449976</v>
      </c>
      <c r="J146" s="298">
        <f t="shared" si="30"/>
        <v>0</v>
      </c>
      <c r="K146" s="296"/>
      <c r="L146" s="297">
        <f t="shared" si="35"/>
        <v>-14783.599351366465</v>
      </c>
      <c r="M146" s="298">
        <f t="shared" si="31"/>
        <v>3717537.9458066402</v>
      </c>
      <c r="N146" s="296">
        <f>'LSR Prepaid BPA interest'!G144</f>
        <v>0</v>
      </c>
      <c r="O146" s="297">
        <f t="shared" si="34"/>
        <v>-338046.9340941339</v>
      </c>
      <c r="P146" s="298">
        <f t="shared" si="32"/>
        <v>55651239.6312209</v>
      </c>
      <c r="Q146" s="300">
        <f t="shared" si="25"/>
        <v>57571455.006666847</v>
      </c>
      <c r="R146" s="204"/>
      <c r="S146" s="247"/>
      <c r="T146" s="295"/>
      <c r="V146" s="295"/>
      <c r="W146" s="295"/>
      <c r="X146" s="295"/>
    </row>
    <row r="147" spans="1:24" ht="12.75" customHeight="1" outlineLevel="1">
      <c r="A147" s="287">
        <v>43861</v>
      </c>
      <c r="B147" s="295">
        <f t="shared" si="28"/>
        <v>0</v>
      </c>
      <c r="C147" s="215">
        <f>'LSR Prepaid BPA interest'!I145</f>
        <v>178226.0848826069</v>
      </c>
      <c r="D147" s="209">
        <f>'LSR Prepaid BPA interest'!H145</f>
        <v>-531048.65200000012</v>
      </c>
      <c r="E147" s="296"/>
      <c r="F147" s="297">
        <f t="shared" si="26"/>
        <v>0</v>
      </c>
      <c r="G147" s="298">
        <f t="shared" si="29"/>
        <v>0</v>
      </c>
      <c r="H147" s="296">
        <f t="shared" si="33"/>
        <v>178226.0848826069</v>
      </c>
      <c r="I147" s="297">
        <f t="shared" si="27"/>
        <v>-178226.0848826069</v>
      </c>
      <c r="J147" s="298">
        <f t="shared" si="30"/>
        <v>0</v>
      </c>
      <c r="K147" s="296"/>
      <c r="L147" s="297">
        <f t="shared" si="35"/>
        <v>-14783.265562218778</v>
      </c>
      <c r="M147" s="298">
        <f t="shared" si="31"/>
        <v>3702754.6802444216</v>
      </c>
      <c r="N147" s="296">
        <f>'LSR Prepaid BPA interest'!G145</f>
        <v>0</v>
      </c>
      <c r="O147" s="297">
        <f t="shared" si="34"/>
        <v>-338039.30155517446</v>
      </c>
      <c r="P147" s="298">
        <f t="shared" si="32"/>
        <v>55313200.329665728</v>
      </c>
      <c r="Q147" s="300">
        <f t="shared" si="25"/>
        <v>57256397.00729581</v>
      </c>
      <c r="R147" s="204"/>
      <c r="S147" s="247"/>
      <c r="T147" s="295"/>
      <c r="V147" s="295"/>
      <c r="W147" s="295"/>
      <c r="X147" s="295"/>
    </row>
    <row r="148" spans="1:24" ht="12.75" customHeight="1" outlineLevel="1">
      <c r="A148" s="287">
        <v>43890</v>
      </c>
      <c r="B148" s="295">
        <f t="shared" si="28"/>
        <v>0</v>
      </c>
      <c r="C148" s="215">
        <f>'LSR Prepaid BPA interest'!I146</f>
        <v>165222.9527969163</v>
      </c>
      <c r="D148" s="209">
        <f>'LSR Prepaid BPA interest'!H146</f>
        <v>-531048.65200000012</v>
      </c>
      <c r="E148" s="296"/>
      <c r="F148" s="297">
        <f t="shared" si="26"/>
        <v>0</v>
      </c>
      <c r="G148" s="298">
        <f t="shared" si="29"/>
        <v>0</v>
      </c>
      <c r="H148" s="296">
        <f t="shared" si="33"/>
        <v>165222.9527969163</v>
      </c>
      <c r="I148" s="297">
        <f t="shared" si="27"/>
        <v>-165222.9527969163</v>
      </c>
      <c r="J148" s="298">
        <f t="shared" si="30"/>
        <v>0</v>
      </c>
      <c r="K148" s="296"/>
      <c r="L148" s="297">
        <f t="shared" si="35"/>
        <v>-15328.096796609212</v>
      </c>
      <c r="M148" s="298">
        <f t="shared" si="31"/>
        <v>3687426.5834478126</v>
      </c>
      <c r="N148" s="296">
        <f>'LSR Prepaid BPA interest'!G146</f>
        <v>0</v>
      </c>
      <c r="O148" s="297">
        <f t="shared" si="34"/>
        <v>-350497.60240647459</v>
      </c>
      <c r="P148" s="298">
        <f t="shared" si="32"/>
        <v>54962702.727259256</v>
      </c>
      <c r="Q148" s="300">
        <f t="shared" si="25"/>
        <v>56938185.021313392</v>
      </c>
      <c r="R148" s="204"/>
      <c r="S148" s="247"/>
      <c r="T148" s="295"/>
      <c r="V148" s="295"/>
      <c r="W148" s="295"/>
      <c r="X148" s="295"/>
    </row>
    <row r="149" spans="1:24" ht="12.75" customHeight="1" outlineLevel="1">
      <c r="A149" s="287">
        <v>43921</v>
      </c>
      <c r="B149" s="295">
        <f t="shared" si="28"/>
        <v>0</v>
      </c>
      <c r="C149" s="215">
        <f>'LSR Prepaid BPA interest'!I147</f>
        <v>175009.19351080034</v>
      </c>
      <c r="D149" s="209">
        <f>'LSR Prepaid BPA interest'!H147</f>
        <v>-531048.65200000012</v>
      </c>
      <c r="E149" s="296"/>
      <c r="F149" s="297">
        <f t="shared" si="26"/>
        <v>0</v>
      </c>
      <c r="G149" s="298">
        <f t="shared" si="29"/>
        <v>0</v>
      </c>
      <c r="H149" s="296">
        <f t="shared" si="33"/>
        <v>175009.19351080034</v>
      </c>
      <c r="I149" s="297">
        <f t="shared" si="27"/>
        <v>-175009.19351080034</v>
      </c>
      <c r="J149" s="298">
        <f t="shared" si="30"/>
        <v>0</v>
      </c>
      <c r="K149" s="296"/>
      <c r="L149" s="297">
        <f t="shared" si="35"/>
        <v>-14918.053310697469</v>
      </c>
      <c r="M149" s="298">
        <f t="shared" si="31"/>
        <v>3672508.5301371152</v>
      </c>
      <c r="N149" s="296">
        <f>'LSR Prepaid BPA interest'!G147</f>
        <v>0</v>
      </c>
      <c r="O149" s="297">
        <f t="shared" si="34"/>
        <v>-341121.40517850226</v>
      </c>
      <c r="P149" s="298">
        <f t="shared" si="32"/>
        <v>54621581.322080754</v>
      </c>
      <c r="Q149" s="300">
        <f t="shared" ref="Q149:Q212" si="36">(P149+P137+SUM(P138:P148)*2)/24</f>
        <v>56616811.574226417</v>
      </c>
      <c r="R149" s="204"/>
      <c r="S149" s="247"/>
      <c r="T149" s="295"/>
      <c r="V149" s="295"/>
      <c r="W149" s="295"/>
      <c r="X149" s="295"/>
    </row>
    <row r="150" spans="1:24" ht="12.75" customHeight="1" outlineLevel="1">
      <c r="A150" s="287">
        <v>43951</v>
      </c>
      <c r="B150" s="295">
        <f t="shared" si="28"/>
        <v>0</v>
      </c>
      <c r="C150" s="215">
        <f>'LSR Prepaid BPA interest'!I148</f>
        <v>169326.8317869422</v>
      </c>
      <c r="D150" s="209">
        <f>'LSR Prepaid BPA interest'!H148</f>
        <v>-531048.65200000012</v>
      </c>
      <c r="E150" s="296"/>
      <c r="F150" s="297">
        <f t="shared" si="26"/>
        <v>0</v>
      </c>
      <c r="G150" s="298">
        <f t="shared" si="29"/>
        <v>0</v>
      </c>
      <c r="H150" s="296">
        <f t="shared" si="33"/>
        <v>169326.8317869422</v>
      </c>
      <c r="I150" s="297">
        <f t="shared" si="27"/>
        <v>-169326.8317869422</v>
      </c>
      <c r="J150" s="298">
        <f t="shared" si="30"/>
        <v>0</v>
      </c>
      <c r="K150" s="296"/>
      <c r="L150" s="297">
        <f t="shared" si="35"/>
        <v>-15156.144266927127</v>
      </c>
      <c r="M150" s="298">
        <f t="shared" si="31"/>
        <v>3657352.385870188</v>
      </c>
      <c r="N150" s="296">
        <f>'LSR Prepaid BPA interest'!G148</f>
        <v>0</v>
      </c>
      <c r="O150" s="297">
        <f t="shared" si="34"/>
        <v>-346565.67594613077</v>
      </c>
      <c r="P150" s="298">
        <f t="shared" si="32"/>
        <v>54275015.646134622</v>
      </c>
      <c r="Q150" s="300">
        <f t="shared" si="36"/>
        <v>56292007.457677372</v>
      </c>
      <c r="R150" s="204"/>
      <c r="S150" s="247"/>
      <c r="T150" s="295"/>
      <c r="V150" s="295"/>
      <c r="W150" s="295"/>
      <c r="X150" s="295"/>
    </row>
    <row r="151" spans="1:24" ht="12.75" customHeight="1" outlineLevel="1">
      <c r="A151" s="287">
        <v>43982</v>
      </c>
      <c r="B151" s="295">
        <f t="shared" si="28"/>
        <v>0</v>
      </c>
      <c r="C151" s="215">
        <f>'LSR Prepaid BPA interest'!I149</f>
        <v>173362.61382727031</v>
      </c>
      <c r="D151" s="209">
        <f>'LSR Prepaid BPA interest'!H149</f>
        <v>-531048.65200000012</v>
      </c>
      <c r="E151" s="296"/>
      <c r="F151" s="297">
        <f t="shared" si="26"/>
        <v>0</v>
      </c>
      <c r="G151" s="298">
        <f t="shared" si="29"/>
        <v>0</v>
      </c>
      <c r="H151" s="296">
        <f t="shared" si="33"/>
        <v>173362.61382727031</v>
      </c>
      <c r="I151" s="297">
        <f t="shared" si="27"/>
        <v>-173362.61382727031</v>
      </c>
      <c r="J151" s="298">
        <f t="shared" si="30"/>
        <v>0</v>
      </c>
      <c r="K151" s="296"/>
      <c r="L151" s="297">
        <f t="shared" si="35"/>
        <v>-14987.044999437378</v>
      </c>
      <c r="M151" s="298">
        <f t="shared" si="31"/>
        <v>3642365.3408707506</v>
      </c>
      <c r="N151" s="296">
        <f>'LSR Prepaid BPA interest'!G149</f>
        <v>0</v>
      </c>
      <c r="O151" s="297">
        <f t="shared" si="34"/>
        <v>-342698.99317329237</v>
      </c>
      <c r="P151" s="298">
        <f t="shared" si="32"/>
        <v>53932316.652961329</v>
      </c>
      <c r="Q151" s="300">
        <f t="shared" si="36"/>
        <v>55963761.64761138</v>
      </c>
      <c r="R151" s="204"/>
      <c r="S151" s="247"/>
      <c r="T151" s="295"/>
      <c r="V151" s="295"/>
      <c r="W151" s="295"/>
      <c r="X151" s="295"/>
    </row>
    <row r="152" spans="1:24" ht="12.75" customHeight="1" outlineLevel="1">
      <c r="A152" s="287">
        <v>44012</v>
      </c>
      <c r="B152" s="295">
        <f t="shared" si="28"/>
        <v>0</v>
      </c>
      <c r="C152" s="215">
        <f>'LSR Prepaid BPA interest'!I150</f>
        <v>166213.71110454871</v>
      </c>
      <c r="D152" s="209">
        <f>'LSR Prepaid BPA interest'!H150</f>
        <v>-531048.65200000012</v>
      </c>
      <c r="E152" s="296"/>
      <c r="F152" s="297">
        <f t="shared" si="26"/>
        <v>0</v>
      </c>
      <c r="G152" s="298">
        <f t="shared" si="29"/>
        <v>0</v>
      </c>
      <c r="H152" s="296">
        <f t="shared" si="33"/>
        <v>166213.71110454871</v>
      </c>
      <c r="I152" s="297">
        <f t="shared" si="27"/>
        <v>-166213.71110454871</v>
      </c>
      <c r="J152" s="298">
        <f t="shared" si="30"/>
        <v>0</v>
      </c>
      <c r="K152" s="296"/>
      <c r="L152" s="297">
        <f t="shared" si="35"/>
        <v>-15286.584023519414</v>
      </c>
      <c r="M152" s="298">
        <f t="shared" si="31"/>
        <v>3627078.7568472312</v>
      </c>
      <c r="N152" s="296">
        <f>'LSR Prepaid BPA interest'!G150</f>
        <v>0</v>
      </c>
      <c r="O152" s="297">
        <f t="shared" si="34"/>
        <v>-349548.35687193199</v>
      </c>
      <c r="P152" s="298">
        <f t="shared" si="32"/>
        <v>53582768.296089396</v>
      </c>
      <c r="Q152" s="300">
        <f t="shared" si="36"/>
        <v>55632066.910647988</v>
      </c>
      <c r="R152" s="204"/>
      <c r="S152" s="247"/>
      <c r="T152" s="295"/>
      <c r="V152" s="295"/>
      <c r="W152" s="295"/>
      <c r="X152" s="295"/>
    </row>
    <row r="153" spans="1:24" ht="12.75" customHeight="1" outlineLevel="1">
      <c r="A153" s="287">
        <v>44043</v>
      </c>
      <c r="B153" s="295">
        <f t="shared" si="28"/>
        <v>0</v>
      </c>
      <c r="C153" s="215">
        <f>'LSR Prepaid BPA interest'!I151</f>
        <v>171687.09363470337</v>
      </c>
      <c r="D153" s="209">
        <f>'LSR Prepaid BPA interest'!H151</f>
        <v>-531048.65200000012</v>
      </c>
      <c r="E153" s="296"/>
      <c r="F153" s="297">
        <f t="shared" si="26"/>
        <v>0</v>
      </c>
      <c r="G153" s="298">
        <f t="shared" si="29"/>
        <v>0</v>
      </c>
      <c r="H153" s="296">
        <f t="shared" si="33"/>
        <v>171687.09363470337</v>
      </c>
      <c r="I153" s="297">
        <f t="shared" si="27"/>
        <v>-171687.09363470337</v>
      </c>
      <c r="J153" s="298">
        <f t="shared" si="30"/>
        <v>0</v>
      </c>
      <c r="K153" s="296"/>
      <c r="L153" s="297">
        <f t="shared" si="35"/>
        <v>-15057.249295505933</v>
      </c>
      <c r="M153" s="298">
        <f t="shared" si="31"/>
        <v>3612021.507551725</v>
      </c>
      <c r="N153" s="296">
        <f>'LSR Prepaid BPA interest'!G151</f>
        <v>0</v>
      </c>
      <c r="O153" s="297">
        <f t="shared" si="34"/>
        <v>-344304.30906979082</v>
      </c>
      <c r="P153" s="298">
        <f>P152+N153+O153</f>
        <v>53238463.987019606</v>
      </c>
      <c r="Q153" s="300">
        <f t="shared" si="36"/>
        <v>55296911.355514616</v>
      </c>
      <c r="R153" s="204"/>
      <c r="S153" s="247"/>
      <c r="T153" s="295"/>
      <c r="V153" s="295"/>
      <c r="W153" s="295"/>
      <c r="X153" s="295"/>
    </row>
    <row r="154" spans="1:24" ht="12.75" customHeight="1" outlineLevel="1">
      <c r="A154" s="287">
        <v>44074</v>
      </c>
      <c r="B154" s="295">
        <f t="shared" si="28"/>
        <v>0</v>
      </c>
      <c r="C154" s="215">
        <f>'LSR Prepaid BPA interest'!I152</f>
        <v>170078.64794880006</v>
      </c>
      <c r="D154" s="209">
        <f>'LSR Prepaid BPA interest'!H152</f>
        <v>-531048.65200000012</v>
      </c>
      <c r="E154" s="296"/>
      <c r="F154" s="297">
        <f t="shared" si="26"/>
        <v>0</v>
      </c>
      <c r="G154" s="298">
        <f t="shared" si="29"/>
        <v>0</v>
      </c>
      <c r="H154" s="296">
        <f t="shared" si="33"/>
        <v>170078.64794880006</v>
      </c>
      <c r="I154" s="297">
        <f t="shared" si="27"/>
        <v>-170078.64794880006</v>
      </c>
      <c r="J154" s="298">
        <f t="shared" si="30"/>
        <v>0</v>
      </c>
      <c r="K154" s="296"/>
      <c r="L154" s="297">
        <f t="shared" si="35"/>
        <v>-15124.643169745283</v>
      </c>
      <c r="M154" s="298">
        <f t="shared" si="31"/>
        <v>3596896.8643819797</v>
      </c>
      <c r="N154" s="296">
        <f>'LSR Prepaid BPA interest'!G152</f>
        <v>0</v>
      </c>
      <c r="O154" s="297">
        <f t="shared" si="34"/>
        <v>-345845.36088145478</v>
      </c>
      <c r="P154" s="298">
        <f t="shared" si="32"/>
        <v>52892618.626138151</v>
      </c>
      <c r="Q154" s="300">
        <f t="shared" si="36"/>
        <v>54958266.945596881</v>
      </c>
      <c r="R154" s="204"/>
      <c r="S154" s="247"/>
      <c r="T154" s="295"/>
      <c r="V154" s="295"/>
      <c r="W154" s="295"/>
      <c r="X154" s="295"/>
    </row>
    <row r="155" spans="1:24" ht="12.75" customHeight="1" outlineLevel="1">
      <c r="A155" s="287">
        <v>44104</v>
      </c>
      <c r="B155" s="295">
        <f t="shared" si="28"/>
        <v>0</v>
      </c>
      <c r="C155" s="215">
        <f>'LSR Prepaid BPA interest'!I153</f>
        <v>163035.67960925493</v>
      </c>
      <c r="D155" s="209">
        <f>'LSR Prepaid BPA interest'!H153</f>
        <v>-531048.65200000012</v>
      </c>
      <c r="E155" s="296"/>
      <c r="F155" s="297">
        <f t="shared" si="26"/>
        <v>0</v>
      </c>
      <c r="G155" s="298">
        <f t="shared" si="29"/>
        <v>0</v>
      </c>
      <c r="H155" s="296">
        <f t="shared" si="33"/>
        <v>163035.67960925493</v>
      </c>
      <c r="I155" s="297">
        <f t="shared" si="27"/>
        <v>-163035.67960925493</v>
      </c>
      <c r="J155" s="298">
        <f t="shared" si="30"/>
        <v>0</v>
      </c>
      <c r="K155" s="296"/>
      <c r="L155" s="297">
        <f t="shared" si="35"/>
        <v>-15419.743543172222</v>
      </c>
      <c r="M155" s="298">
        <f t="shared" si="31"/>
        <v>3581477.1208388074</v>
      </c>
      <c r="N155" s="296">
        <f>'LSR Prepaid BPA interest'!G153</f>
        <v>0</v>
      </c>
      <c r="O155" s="297">
        <f t="shared" si="34"/>
        <v>-352593.22884757293</v>
      </c>
      <c r="P155" s="298">
        <f t="shared" si="32"/>
        <v>52540025.39729058</v>
      </c>
      <c r="Q155" s="300">
        <f t="shared" si="36"/>
        <v>54616142.855889268</v>
      </c>
      <c r="R155" s="204"/>
      <c r="S155" s="247"/>
      <c r="T155" s="295"/>
      <c r="V155" s="295"/>
      <c r="W155" s="295"/>
      <c r="X155" s="295"/>
    </row>
    <row r="156" spans="1:24" ht="12.75" customHeight="1" outlineLevel="1">
      <c r="A156" s="287">
        <v>44135</v>
      </c>
      <c r="B156" s="295">
        <f t="shared" si="28"/>
        <v>0</v>
      </c>
      <c r="C156" s="215">
        <f>'LSR Prepaid BPA interest'!I154</f>
        <v>168390.70437696893</v>
      </c>
      <c r="D156" s="209">
        <f>'LSR Prepaid BPA interest'!H154</f>
        <v>-531048.65200000012</v>
      </c>
      <c r="E156" s="296"/>
      <c r="F156" s="297">
        <f t="shared" si="26"/>
        <v>0</v>
      </c>
      <c r="G156" s="298">
        <f t="shared" si="29"/>
        <v>0</v>
      </c>
      <c r="H156" s="296">
        <f t="shared" si="33"/>
        <v>168390.70437696893</v>
      </c>
      <c r="I156" s="297">
        <f t="shared" si="27"/>
        <v>-168390.70437696893</v>
      </c>
      <c r="J156" s="298">
        <f t="shared" si="30"/>
        <v>0</v>
      </c>
      <c r="K156" s="296"/>
      <c r="L156" s="297">
        <f t="shared" si="35"/>
        <v>-15195.368005405007</v>
      </c>
      <c r="M156" s="298">
        <f t="shared" si="31"/>
        <v>3566281.7528334022</v>
      </c>
      <c r="N156" s="296">
        <f>'LSR Prepaid BPA interest'!G154</f>
        <v>0</v>
      </c>
      <c r="O156" s="297">
        <f t="shared" si="34"/>
        <v>-347462.57961762621</v>
      </c>
      <c r="P156" s="298">
        <f t="shared" si="32"/>
        <v>52192562.817672953</v>
      </c>
      <c r="Q156" s="300">
        <f t="shared" si="36"/>
        <v>54271764.642859481</v>
      </c>
      <c r="R156" s="204"/>
      <c r="S156" s="247"/>
      <c r="T156" s="295"/>
      <c r="V156" s="295"/>
      <c r="W156" s="295"/>
      <c r="X156" s="295"/>
    </row>
    <row r="157" spans="1:24" ht="12.75" customHeight="1" outlineLevel="1">
      <c r="A157" s="287">
        <v>44165</v>
      </c>
      <c r="B157" s="295">
        <f t="shared" si="28"/>
        <v>0</v>
      </c>
      <c r="C157" s="215">
        <f>'LSR Prepaid BPA interest'!I155</f>
        <v>161402.18583006354</v>
      </c>
      <c r="D157" s="209">
        <f>'LSR Prepaid BPA interest'!H155</f>
        <v>-531048.65200000012</v>
      </c>
      <c r="E157" s="296"/>
      <c r="F157" s="297">
        <f t="shared" si="26"/>
        <v>0</v>
      </c>
      <c r="G157" s="298">
        <f t="shared" si="29"/>
        <v>0</v>
      </c>
      <c r="H157" s="296">
        <f t="shared" si="33"/>
        <v>161402.18583006354</v>
      </c>
      <c r="I157" s="297">
        <f t="shared" si="27"/>
        <v>-161402.18583006354</v>
      </c>
      <c r="J157" s="298">
        <f t="shared" si="30"/>
        <v>0</v>
      </c>
      <c r="K157" s="296"/>
      <c r="L157" s="297">
        <f t="shared" si="35"/>
        <v>-15488.186932520342</v>
      </c>
      <c r="M157" s="298">
        <f t="shared" si="31"/>
        <v>3550793.5659008818</v>
      </c>
      <c r="N157" s="296">
        <f>'LSR Prepaid BPA interest'!G155</f>
        <v>0</v>
      </c>
      <c r="O157" s="297">
        <f t="shared" si="34"/>
        <v>-354158.27923741622</v>
      </c>
      <c r="P157" s="298">
        <f t="shared" si="32"/>
        <v>51838404.538435534</v>
      </c>
      <c r="Q157" s="300">
        <f t="shared" si="36"/>
        <v>53926361.748784043</v>
      </c>
      <c r="R157" s="204"/>
      <c r="S157" s="247"/>
      <c r="T157" s="295"/>
      <c r="V157" s="295"/>
      <c r="W157" s="295"/>
      <c r="X157" s="295"/>
    </row>
    <row r="158" spans="1:24" ht="12.75" customHeight="1" outlineLevel="1">
      <c r="A158" s="287">
        <v>44196</v>
      </c>
      <c r="B158" s="295">
        <f t="shared" si="28"/>
        <v>0</v>
      </c>
      <c r="C158" s="215">
        <f>'LSR Prepaid BPA interest'!I156</f>
        <v>165173.81300516234</v>
      </c>
      <c r="D158" s="209">
        <f>'LSR Prepaid BPA interest'!H156</f>
        <v>-531048.65200000012</v>
      </c>
      <c r="E158" s="296"/>
      <c r="F158" s="297">
        <f t="shared" si="26"/>
        <v>0</v>
      </c>
      <c r="G158" s="298">
        <f t="shared" si="29"/>
        <v>0</v>
      </c>
      <c r="H158" s="296">
        <f t="shared" si="33"/>
        <v>165173.81300516234</v>
      </c>
      <c r="I158" s="297">
        <f t="shared" si="27"/>
        <v>-165173.81300516234</v>
      </c>
      <c r="J158" s="298">
        <f t="shared" si="30"/>
        <v>0</v>
      </c>
      <c r="K158" s="296"/>
      <c r="L158" s="297">
        <f t="shared" si="35"/>
        <v>-15330.155753883702</v>
      </c>
      <c r="M158" s="298">
        <f t="shared" si="31"/>
        <v>3535463.4101469982</v>
      </c>
      <c r="N158" s="296">
        <f>'LSR Prepaid BPA interest'!G156</f>
        <v>0</v>
      </c>
      <c r="O158" s="297">
        <f t="shared" si="34"/>
        <v>-350544.68324095407</v>
      </c>
      <c r="P158" s="298">
        <f t="shared" si="32"/>
        <v>51487859.855194576</v>
      </c>
      <c r="Q158" s="300">
        <f t="shared" si="36"/>
        <v>53579934.173662968</v>
      </c>
      <c r="R158" s="204"/>
      <c r="S158" s="247"/>
      <c r="T158" s="295"/>
      <c r="V158" s="295"/>
      <c r="W158" s="295"/>
      <c r="X158" s="295"/>
    </row>
    <row r="159" spans="1:24" ht="12.75" customHeight="1" outlineLevel="1">
      <c r="A159" s="287">
        <v>44227</v>
      </c>
      <c r="B159" s="295">
        <f t="shared" si="28"/>
        <v>0</v>
      </c>
      <c r="C159" s="215">
        <f>'LSR Prepaid BPA interest'!I157</f>
        <v>165064.52762302614</v>
      </c>
      <c r="D159" s="209">
        <f>'LSR Prepaid BPA interest'!H157</f>
        <v>-531048.65200000012</v>
      </c>
      <c r="E159" s="296"/>
      <c r="F159" s="297">
        <f t="shared" si="26"/>
        <v>0</v>
      </c>
      <c r="G159" s="298">
        <f t="shared" si="29"/>
        <v>0</v>
      </c>
      <c r="H159" s="296">
        <f t="shared" si="33"/>
        <v>165064.52762302614</v>
      </c>
      <c r="I159" s="297">
        <f t="shared" si="27"/>
        <v>-165064.52762302614</v>
      </c>
      <c r="J159" s="298">
        <f t="shared" si="30"/>
        <v>0</v>
      </c>
      <c r="K159" s="296"/>
      <c r="L159" s="297">
        <f t="shared" si="35"/>
        <v>-15334.734811395208</v>
      </c>
      <c r="M159" s="298">
        <f t="shared" si="31"/>
        <v>3520128.6753356028</v>
      </c>
      <c r="N159" s="296">
        <f>'LSR Prepaid BPA interest'!G157</f>
        <v>0</v>
      </c>
      <c r="O159" s="297">
        <f t="shared" si="34"/>
        <v>-350649.38956557872</v>
      </c>
      <c r="P159" s="298">
        <f t="shared" si="32"/>
        <v>51137210.465628996</v>
      </c>
      <c r="Q159" s="300">
        <f t="shared" si="36"/>
        <v>53232460.438660346</v>
      </c>
      <c r="R159" s="204"/>
      <c r="S159" s="247"/>
      <c r="T159" s="295"/>
      <c r="V159" s="295"/>
      <c r="W159" s="295"/>
      <c r="X159" s="295"/>
    </row>
    <row r="160" spans="1:24" ht="12.75" customHeight="1" outlineLevel="1">
      <c r="A160" s="287">
        <v>44255</v>
      </c>
      <c r="B160" s="295">
        <f t="shared" si="28"/>
        <v>0</v>
      </c>
      <c r="C160" s="215">
        <f>'LSR Prepaid BPA interest'!I158</f>
        <v>147637.75142707871</v>
      </c>
      <c r="D160" s="209">
        <f>'LSR Prepaid BPA interest'!H158</f>
        <v>-531048.65200000012</v>
      </c>
      <c r="E160" s="296"/>
      <c r="F160" s="297">
        <f t="shared" si="26"/>
        <v>0</v>
      </c>
      <c r="G160" s="298">
        <f t="shared" si="29"/>
        <v>0</v>
      </c>
      <c r="H160" s="296">
        <f t="shared" si="33"/>
        <v>147637.75142707871</v>
      </c>
      <c r="I160" s="297">
        <f t="shared" si="27"/>
        <v>-147637.75142707871</v>
      </c>
      <c r="J160" s="298">
        <f t="shared" si="30"/>
        <v>0</v>
      </c>
      <c r="K160" s="296"/>
      <c r="L160" s="297">
        <f t="shared" si="35"/>
        <v>-16064.916734005406</v>
      </c>
      <c r="M160" s="298">
        <f t="shared" si="31"/>
        <v>3504063.7586015975</v>
      </c>
      <c r="N160" s="296">
        <f>'LSR Prepaid BPA interest'!G158</f>
        <v>0</v>
      </c>
      <c r="O160" s="297">
        <f t="shared" si="34"/>
        <v>-367345.98383891594</v>
      </c>
      <c r="P160" s="298">
        <f t="shared" si="32"/>
        <v>50769864.481790081</v>
      </c>
      <c r="Q160" s="300">
        <f t="shared" si="36"/>
        <v>52883759.267430939</v>
      </c>
      <c r="R160" s="204"/>
      <c r="S160" s="247"/>
      <c r="T160" s="295"/>
      <c r="V160" s="295"/>
      <c r="W160" s="295"/>
      <c r="X160" s="295"/>
    </row>
    <row r="161" spans="1:24" ht="12.75" customHeight="1" outlineLevel="1">
      <c r="A161" s="287">
        <v>44286</v>
      </c>
      <c r="B161" s="295">
        <f t="shared" si="28"/>
        <v>0</v>
      </c>
      <c r="C161" s="215">
        <f>'LSR Prepaid BPA interest'!I159</f>
        <v>161847.63625121955</v>
      </c>
      <c r="D161" s="209">
        <f>'LSR Prepaid BPA interest'!H159</f>
        <v>-531048.65200000012</v>
      </c>
      <c r="E161" s="296"/>
      <c r="F161" s="297">
        <f t="shared" si="26"/>
        <v>0</v>
      </c>
      <c r="G161" s="298">
        <f t="shared" si="29"/>
        <v>0</v>
      </c>
      <c r="H161" s="296">
        <f t="shared" si="33"/>
        <v>161847.63625121955</v>
      </c>
      <c r="I161" s="297">
        <f t="shared" si="27"/>
        <v>-161847.63625121955</v>
      </c>
      <c r="J161" s="298">
        <f t="shared" si="30"/>
        <v>0</v>
      </c>
      <c r="K161" s="296"/>
      <c r="L161" s="297">
        <f t="shared" si="35"/>
        <v>-15469.522559873905</v>
      </c>
      <c r="M161" s="298">
        <f t="shared" si="31"/>
        <v>3488594.2360417238</v>
      </c>
      <c r="N161" s="296">
        <f>'LSR Prepaid BPA interest'!G159</f>
        <v>0</v>
      </c>
      <c r="O161" s="297">
        <f t="shared" si="34"/>
        <v>-353731.49318890664</v>
      </c>
      <c r="P161" s="298">
        <f t="shared" si="32"/>
        <v>50416132.98860117</v>
      </c>
      <c r="Q161" s="300">
        <f t="shared" si="36"/>
        <v>52533830.659974724</v>
      </c>
      <c r="R161" s="204"/>
      <c r="S161" s="247"/>
      <c r="T161" s="295"/>
      <c r="V161" s="295"/>
      <c r="W161" s="295"/>
      <c r="X161" s="295"/>
    </row>
    <row r="162" spans="1:24" ht="12.75" customHeight="1" outlineLevel="1">
      <c r="A162" s="287">
        <v>44316</v>
      </c>
      <c r="B162" s="295">
        <f t="shared" si="28"/>
        <v>0</v>
      </c>
      <c r="C162" s="215">
        <f>'LSR Prepaid BPA interest'!I160</f>
        <v>156461.14092512958</v>
      </c>
      <c r="D162" s="209">
        <f>'LSR Prepaid BPA interest'!H160</f>
        <v>-531048.65200000012</v>
      </c>
      <c r="E162" s="296"/>
      <c r="F162" s="297">
        <f t="shared" si="26"/>
        <v>0</v>
      </c>
      <c r="G162" s="298">
        <f t="shared" si="29"/>
        <v>0</v>
      </c>
      <c r="H162" s="296">
        <f t="shared" si="33"/>
        <v>156461.14092512958</v>
      </c>
      <c r="I162" s="297">
        <f t="shared" si="27"/>
        <v>-156461.14092512958</v>
      </c>
      <c r="J162" s="298">
        <f t="shared" si="30"/>
        <v>0</v>
      </c>
      <c r="K162" s="296"/>
      <c r="L162" s="297">
        <f t="shared" si="35"/>
        <v>-15695.216714037075</v>
      </c>
      <c r="M162" s="298">
        <f t="shared" si="31"/>
        <v>3472899.0193276866</v>
      </c>
      <c r="N162" s="296">
        <f>'LSR Prepaid BPA interest'!G160</f>
        <v>0</v>
      </c>
      <c r="O162" s="297">
        <f t="shared" si="34"/>
        <v>-358892.29436083342</v>
      </c>
      <c r="P162" s="298">
        <f t="shared" si="32"/>
        <v>50057240.694240339</v>
      </c>
      <c r="Q162" s="300">
        <f t="shared" si="36"/>
        <v>52182863.023084156</v>
      </c>
      <c r="R162" s="204"/>
      <c r="S162" s="247"/>
      <c r="T162" s="295"/>
      <c r="V162" s="295"/>
      <c r="W162" s="295"/>
      <c r="X162" s="295"/>
    </row>
    <row r="163" spans="1:24" ht="12.75" customHeight="1" outlineLevel="1">
      <c r="A163" s="287">
        <v>44347</v>
      </c>
      <c r="B163" s="295">
        <f t="shared" si="28"/>
        <v>0</v>
      </c>
      <c r="C163" s="215">
        <f>'LSR Prepaid BPA interest'!I161</f>
        <v>160068.06660339725</v>
      </c>
      <c r="D163" s="209">
        <f>'LSR Prepaid BPA interest'!H161</f>
        <v>-531048.65200000012</v>
      </c>
      <c r="E163" s="296"/>
      <c r="F163" s="297">
        <f t="shared" si="26"/>
        <v>0</v>
      </c>
      <c r="G163" s="298">
        <f t="shared" si="29"/>
        <v>0</v>
      </c>
      <c r="H163" s="296">
        <f t="shared" si="33"/>
        <v>160068.06660339725</v>
      </c>
      <c r="I163" s="297">
        <f t="shared" si="27"/>
        <v>-160068.06660339725</v>
      </c>
      <c r="J163" s="298">
        <f t="shared" si="30"/>
        <v>0</v>
      </c>
      <c r="K163" s="296"/>
      <c r="L163" s="297">
        <f t="shared" si="35"/>
        <v>-15544.086528117659</v>
      </c>
      <c r="M163" s="298">
        <f t="shared" si="31"/>
        <v>3457354.9327995689</v>
      </c>
      <c r="N163" s="296">
        <f>'LSR Prepaid BPA interest'!G161</f>
        <v>0</v>
      </c>
      <c r="O163" s="297">
        <f t="shared" si="34"/>
        <v>-355436.49886848521</v>
      </c>
      <c r="P163" s="298">
        <f t="shared" si="32"/>
        <v>49701804.195371851</v>
      </c>
      <c r="Q163" s="300">
        <f t="shared" si="36"/>
        <v>51830851.047688991</v>
      </c>
      <c r="R163" s="204"/>
      <c r="S163" s="247"/>
      <c r="T163" s="295"/>
      <c r="V163" s="295"/>
      <c r="W163" s="295"/>
      <c r="X163" s="295"/>
    </row>
    <row r="164" spans="1:24" ht="12.75" customHeight="1" outlineLevel="1">
      <c r="A164" s="287">
        <v>44377</v>
      </c>
      <c r="B164" s="295">
        <f t="shared" si="28"/>
        <v>0</v>
      </c>
      <c r="C164" s="215">
        <f>'LSR Prepaid BPA interest'!I162</f>
        <v>153348.02024273609</v>
      </c>
      <c r="D164" s="209">
        <f>'LSR Prepaid BPA interest'!H162</f>
        <v>-531048.65200000012</v>
      </c>
      <c r="E164" s="296"/>
      <c r="F164" s="297">
        <f t="shared" si="26"/>
        <v>0</v>
      </c>
      <c r="G164" s="298">
        <f t="shared" si="29"/>
        <v>0</v>
      </c>
      <c r="H164" s="296">
        <f t="shared" si="33"/>
        <v>153348.02024273609</v>
      </c>
      <c r="I164" s="297">
        <f t="shared" si="27"/>
        <v>-153348.02024273609</v>
      </c>
      <c r="J164" s="298">
        <f t="shared" si="30"/>
        <v>0</v>
      </c>
      <c r="K164" s="296"/>
      <c r="L164" s="297">
        <f t="shared" si="35"/>
        <v>-15825.656470629363</v>
      </c>
      <c r="M164" s="298">
        <f t="shared" si="31"/>
        <v>3441529.2763289395</v>
      </c>
      <c r="N164" s="296">
        <f>'LSR Prepaid BPA interest'!G162</f>
        <v>0</v>
      </c>
      <c r="O164" s="297">
        <f t="shared" si="34"/>
        <v>-361874.97528663464</v>
      </c>
      <c r="P164" s="298">
        <f t="shared" si="32"/>
        <v>49339929.220085219</v>
      </c>
      <c r="Q164" s="300">
        <f t="shared" si="36"/>
        <v>51477794.733789258</v>
      </c>
      <c r="R164" s="204"/>
      <c r="S164" s="247"/>
      <c r="T164" s="295"/>
      <c r="V164" s="295"/>
      <c r="W164" s="295"/>
      <c r="X164" s="295"/>
    </row>
    <row r="165" spans="1:24" ht="12.75" customHeight="1" outlineLevel="1">
      <c r="A165" s="287">
        <v>44408</v>
      </c>
      <c r="B165" s="295">
        <f t="shared" si="28"/>
        <v>0</v>
      </c>
      <c r="C165" s="215">
        <f>'LSR Prepaid BPA interest'!I163</f>
        <v>158274.3442709368</v>
      </c>
      <c r="D165" s="209">
        <f>'LSR Prepaid BPA interest'!H163</f>
        <v>-531048.65200000012</v>
      </c>
      <c r="E165" s="296"/>
      <c r="F165" s="297">
        <f t="shared" si="26"/>
        <v>0</v>
      </c>
      <c r="G165" s="298">
        <f t="shared" si="29"/>
        <v>0</v>
      </c>
      <c r="H165" s="296">
        <f t="shared" si="33"/>
        <v>158274.3442709368</v>
      </c>
      <c r="I165" s="297">
        <f t="shared" si="27"/>
        <v>-158274.3442709368</v>
      </c>
      <c r="J165" s="298">
        <f t="shared" si="30"/>
        <v>0</v>
      </c>
      <c r="K165" s="296"/>
      <c r="L165" s="297">
        <f t="shared" si="35"/>
        <v>-15619.243493847753</v>
      </c>
      <c r="M165" s="298">
        <f t="shared" si="31"/>
        <v>3425910.0328350919</v>
      </c>
      <c r="N165" s="296">
        <f>'LSR Prepaid BPA interest'!G163</f>
        <v>0</v>
      </c>
      <c r="O165" s="297">
        <f t="shared" si="34"/>
        <v>-357155.06423521554</v>
      </c>
      <c r="P165" s="298">
        <f t="shared" si="32"/>
        <v>48982774.155850001</v>
      </c>
      <c r="Q165" s="300">
        <f t="shared" si="36"/>
        <v>51123689.362657018</v>
      </c>
      <c r="R165" s="204"/>
      <c r="S165" s="247"/>
      <c r="T165" s="295"/>
      <c r="V165" s="295"/>
      <c r="W165" s="295"/>
      <c r="X165" s="295"/>
    </row>
    <row r="166" spans="1:24" ht="12.75" customHeight="1" outlineLevel="1">
      <c r="A166" s="287">
        <v>44439</v>
      </c>
      <c r="B166" s="295">
        <f t="shared" si="28"/>
        <v>0</v>
      </c>
      <c r="C166" s="215">
        <f>'LSR Prepaid BPA interest'!I164</f>
        <v>156665.89858503349</v>
      </c>
      <c r="D166" s="209">
        <f>'LSR Prepaid BPA interest'!H164</f>
        <v>-531048.65200000012</v>
      </c>
      <c r="E166" s="296"/>
      <c r="F166" s="297">
        <f t="shared" si="26"/>
        <v>0</v>
      </c>
      <c r="G166" s="298">
        <f t="shared" si="29"/>
        <v>0</v>
      </c>
      <c r="H166" s="296">
        <f t="shared" si="33"/>
        <v>156665.89858503349</v>
      </c>
      <c r="I166" s="297">
        <f t="shared" si="27"/>
        <v>-156665.89858503349</v>
      </c>
      <c r="J166" s="298">
        <f t="shared" si="30"/>
        <v>0</v>
      </c>
      <c r="K166" s="296"/>
      <c r="L166" s="297">
        <f t="shared" si="35"/>
        <v>-15686.637368087102</v>
      </c>
      <c r="M166" s="298">
        <f t="shared" si="31"/>
        <v>3410223.3954670047</v>
      </c>
      <c r="N166" s="296">
        <f>'LSR Prepaid BPA interest'!G164</f>
        <v>0</v>
      </c>
      <c r="O166" s="297">
        <f t="shared" si="34"/>
        <v>-358696.1160468795</v>
      </c>
      <c r="P166" s="298">
        <f t="shared" si="32"/>
        <v>48624078.039803118</v>
      </c>
      <c r="Q166" s="300">
        <f t="shared" si="36"/>
        <v>50768513.095260985</v>
      </c>
      <c r="R166" s="204"/>
      <c r="S166" s="247"/>
      <c r="T166" s="295"/>
      <c r="V166" s="295"/>
      <c r="W166" s="295"/>
      <c r="X166" s="295"/>
    </row>
    <row r="167" spans="1:24" ht="12.75" customHeight="1" outlineLevel="1">
      <c r="A167" s="287">
        <v>44469</v>
      </c>
      <c r="B167" s="295">
        <f t="shared" si="28"/>
        <v>0</v>
      </c>
      <c r="C167" s="215">
        <f>'LSR Prepaid BPA interest'!I165</f>
        <v>150055.59957980341</v>
      </c>
      <c r="D167" s="209">
        <f>'LSR Prepaid BPA interest'!H165</f>
        <v>-531048.65200000012</v>
      </c>
      <c r="E167" s="296"/>
      <c r="F167" s="297">
        <f t="shared" si="26"/>
        <v>0</v>
      </c>
      <c r="G167" s="298">
        <f t="shared" si="29"/>
        <v>0</v>
      </c>
      <c r="H167" s="296">
        <f t="shared" si="33"/>
        <v>150055.59957980341</v>
      </c>
      <c r="I167" s="297">
        <f t="shared" si="27"/>
        <v>-150055.59957980341</v>
      </c>
      <c r="J167" s="298">
        <f t="shared" si="30"/>
        <v>0</v>
      </c>
      <c r="K167" s="296"/>
      <c r="L167" s="297">
        <f t="shared" si="35"/>
        <v>-15963.608896406242</v>
      </c>
      <c r="M167" s="298">
        <f t="shared" si="31"/>
        <v>3394259.7865705984</v>
      </c>
      <c r="N167" s="296">
        <f>'LSR Prepaid BPA interest'!G165</f>
        <v>0</v>
      </c>
      <c r="O167" s="297">
        <f t="shared" si="34"/>
        <v>-365029.44352379045</v>
      </c>
      <c r="P167" s="298">
        <f t="shared" si="32"/>
        <v>48259048.596279331</v>
      </c>
      <c r="Q167" s="300">
        <f t="shared" si="36"/>
        <v>50412283.20412156</v>
      </c>
      <c r="R167" s="204"/>
      <c r="S167" s="247"/>
      <c r="T167" s="295"/>
      <c r="V167" s="295"/>
      <c r="W167" s="295"/>
      <c r="X167" s="295"/>
    </row>
    <row r="168" spans="1:24" ht="12.75" customHeight="1" outlineLevel="1">
      <c r="A168" s="287">
        <v>44500</v>
      </c>
      <c r="B168" s="295">
        <f t="shared" si="28"/>
        <v>0</v>
      </c>
      <c r="C168" s="215">
        <f>'LSR Prepaid BPA interest'!I166</f>
        <v>154757.98951846015</v>
      </c>
      <c r="D168" s="209">
        <f>'LSR Prepaid BPA interest'!H166</f>
        <v>-563867.45869360014</v>
      </c>
      <c r="E168" s="296"/>
      <c r="F168" s="297">
        <f t="shared" si="26"/>
        <v>0</v>
      </c>
      <c r="G168" s="298">
        <f t="shared" si="29"/>
        <v>0</v>
      </c>
      <c r="H168" s="296">
        <f t="shared" si="33"/>
        <v>154757.98951846015</v>
      </c>
      <c r="I168" s="297">
        <f t="shared" si="27"/>
        <v>-154757.98951846015</v>
      </c>
      <c r="J168" s="298">
        <f t="shared" si="30"/>
        <v>0</v>
      </c>
      <c r="K168" s="296"/>
      <c r="L168" s="297">
        <f t="shared" si="35"/>
        <v>-17141.686758438365</v>
      </c>
      <c r="M168" s="298">
        <f t="shared" si="31"/>
        <v>3377118.0998121598</v>
      </c>
      <c r="N168" s="296">
        <f>'LSR Prepaid BPA interest'!G166</f>
        <v>0</v>
      </c>
      <c r="O168" s="297">
        <f t="shared" si="34"/>
        <v>-391967.78241670167</v>
      </c>
      <c r="P168" s="298">
        <f t="shared" si="32"/>
        <v>47867080.813862629</v>
      </c>
      <c r="Q168" s="300">
        <f t="shared" si="36"/>
        <v>50053680.753920674</v>
      </c>
      <c r="R168" s="204"/>
      <c r="S168" s="247"/>
      <c r="T168" s="295"/>
      <c r="V168" s="295"/>
      <c r="W168" s="295"/>
      <c r="X168" s="295"/>
    </row>
    <row r="169" spans="1:24" ht="12.75" customHeight="1" outlineLevel="1">
      <c r="A169" s="287">
        <v>44530</v>
      </c>
      <c r="B169" s="295">
        <f t="shared" si="28"/>
        <v>0</v>
      </c>
      <c r="C169" s="215">
        <f>'LSR Prepaid BPA interest'!I167</f>
        <v>148113.04053790454</v>
      </c>
      <c r="D169" s="209">
        <f>'LSR Prepaid BPA interest'!H167</f>
        <v>-563867.45869360014</v>
      </c>
      <c r="E169" s="296"/>
      <c r="F169" s="297">
        <f t="shared" si="26"/>
        <v>0</v>
      </c>
      <c r="G169" s="298">
        <f t="shared" si="29"/>
        <v>0</v>
      </c>
      <c r="H169" s="296">
        <f t="shared" si="33"/>
        <v>148113.04053790454</v>
      </c>
      <c r="I169" s="297">
        <f t="shared" si="27"/>
        <v>-148113.04053790454</v>
      </c>
      <c r="J169" s="298">
        <f t="shared" si="30"/>
        <v>0</v>
      </c>
      <c r="K169" s="296"/>
      <c r="L169" s="297">
        <f t="shared" si="35"/>
        <v>-17420.110120723646</v>
      </c>
      <c r="M169" s="298">
        <f t="shared" si="31"/>
        <v>3359697.9896914363</v>
      </c>
      <c r="N169" s="296">
        <f>'LSR Prepaid BPA interest'!G167</f>
        <v>0</v>
      </c>
      <c r="O169" s="297">
        <f t="shared" si="34"/>
        <v>-398334.30803497194</v>
      </c>
      <c r="P169" s="298">
        <f t="shared" si="32"/>
        <v>47468746.505827658</v>
      </c>
      <c r="Q169" s="300">
        <f t="shared" si="36"/>
        <v>49691383.252403237</v>
      </c>
      <c r="R169" s="204"/>
      <c r="S169" s="247"/>
      <c r="T169" s="295"/>
      <c r="V169" s="295"/>
      <c r="W169" s="295"/>
      <c r="X169" s="295"/>
    </row>
    <row r="170" spans="1:24" ht="12.75" customHeight="1" outlineLevel="1">
      <c r="A170" s="287">
        <v>44561</v>
      </c>
      <c r="B170" s="295">
        <f t="shared" si="28"/>
        <v>0</v>
      </c>
      <c r="C170" s="215">
        <f>'LSR Prepaid BPA interest'!I168</f>
        <v>151342.29425987593</v>
      </c>
      <c r="D170" s="209">
        <f>'LSR Prepaid BPA interest'!H168</f>
        <v>-563867.45869360014</v>
      </c>
      <c r="E170" s="296"/>
      <c r="F170" s="297">
        <f t="shared" si="26"/>
        <v>0</v>
      </c>
      <c r="G170" s="298">
        <f t="shared" si="29"/>
        <v>0</v>
      </c>
      <c r="H170" s="296">
        <f t="shared" si="33"/>
        <v>151342.29425987593</v>
      </c>
      <c r="I170" s="297">
        <f t="shared" si="27"/>
        <v>-151342.29425987593</v>
      </c>
      <c r="J170" s="298">
        <f t="shared" si="30"/>
        <v>0</v>
      </c>
      <c r="K170" s="296"/>
      <c r="L170" s="297">
        <f t="shared" si="35"/>
        <v>-17284.804389773046</v>
      </c>
      <c r="M170" s="298">
        <f t="shared" si="31"/>
        <v>3342413.1853016634</v>
      </c>
      <c r="N170" s="296">
        <f>'LSR Prepaid BPA interest'!G168</f>
        <v>0</v>
      </c>
      <c r="O170" s="297">
        <f t="shared" si="34"/>
        <v>-395240.36004395119</v>
      </c>
      <c r="P170" s="298">
        <f t="shared" si="32"/>
        <v>47073506.145783707</v>
      </c>
      <c r="Q170" s="300">
        <f t="shared" si="36"/>
        <v>49325382.763152458</v>
      </c>
      <c r="R170" s="204"/>
      <c r="S170" s="247"/>
      <c r="T170" s="295"/>
      <c r="V170" s="295"/>
      <c r="W170" s="295"/>
      <c r="X170" s="295"/>
    </row>
    <row r="171" spans="1:24" ht="12.75" customHeight="1" outlineLevel="1">
      <c r="A171" s="287">
        <v>44592</v>
      </c>
      <c r="B171" s="295">
        <f t="shared" si="28"/>
        <v>0</v>
      </c>
      <c r="C171" s="215">
        <f>'LSR Prepaid BPA interest'!I169</f>
        <v>151010.17267606908</v>
      </c>
      <c r="D171" s="209">
        <f>'LSR Prepaid BPA interest'!H169</f>
        <v>-563867.45869360014</v>
      </c>
      <c r="E171" s="296"/>
      <c r="F171" s="297">
        <f t="shared" si="26"/>
        <v>0</v>
      </c>
      <c r="G171" s="298">
        <f t="shared" si="29"/>
        <v>0</v>
      </c>
      <c r="H171" s="296">
        <f t="shared" si="33"/>
        <v>151010.17267606908</v>
      </c>
      <c r="I171" s="297">
        <f t="shared" si="27"/>
        <v>-151010.17267606908</v>
      </c>
      <c r="J171" s="298">
        <f t="shared" si="30"/>
        <v>0</v>
      </c>
      <c r="K171" s="296"/>
      <c r="L171" s="297">
        <f t="shared" si="35"/>
        <v>-17298.72028413455</v>
      </c>
      <c r="M171" s="298">
        <f t="shared" si="31"/>
        <v>3325114.4650175287</v>
      </c>
      <c r="N171" s="296">
        <f>'LSR Prepaid BPA interest'!G169</f>
        <v>0</v>
      </c>
      <c r="O171" s="297">
        <f t="shared" si="34"/>
        <v>-395558.56573339651</v>
      </c>
      <c r="P171" s="298">
        <f t="shared" si="32"/>
        <v>46677947.580050312</v>
      </c>
      <c r="Q171" s="300">
        <f t="shared" si="36"/>
        <v>48955648.738361217</v>
      </c>
      <c r="R171" s="204"/>
      <c r="S171" s="247"/>
      <c r="T171" s="295"/>
      <c r="V171" s="295"/>
      <c r="W171" s="295"/>
      <c r="X171" s="295"/>
    </row>
    <row r="172" spans="1:24" ht="12.75" customHeight="1" outlineLevel="1">
      <c r="A172" s="287">
        <v>44620</v>
      </c>
      <c r="B172" s="295">
        <f t="shared" si="28"/>
        <v>0</v>
      </c>
      <c r="C172" s="215">
        <f>'LSR Prepaid BPA interest'!I170</f>
        <v>134853.71294547597</v>
      </c>
      <c r="D172" s="209">
        <f>'LSR Prepaid BPA interest'!H170</f>
        <v>-563867.45869360014</v>
      </c>
      <c r="E172" s="296"/>
      <c r="F172" s="297">
        <f t="shared" si="26"/>
        <v>0</v>
      </c>
      <c r="G172" s="298">
        <f t="shared" si="29"/>
        <v>0</v>
      </c>
      <c r="H172" s="296">
        <f t="shared" si="33"/>
        <v>134853.71294547597</v>
      </c>
      <c r="I172" s="297">
        <f t="shared" si="27"/>
        <v>-134853.71294547597</v>
      </c>
      <c r="J172" s="298">
        <f t="shared" si="30"/>
        <v>0</v>
      </c>
      <c r="K172" s="296"/>
      <c r="L172" s="297">
        <f t="shared" si="35"/>
        <v>-17975.675946846404</v>
      </c>
      <c r="M172" s="298">
        <f t="shared" si="31"/>
        <v>3307138.7890706821</v>
      </c>
      <c r="N172" s="296">
        <f>'LSR Prepaid BPA interest'!G170</f>
        <v>0</v>
      </c>
      <c r="O172" s="297">
        <f t="shared" si="34"/>
        <v>-411038.06980127777</v>
      </c>
      <c r="P172" s="298">
        <f t="shared" si="32"/>
        <v>46266909.510249034</v>
      </c>
      <c r="Q172" s="300">
        <f t="shared" si="36"/>
        <v>48582222.994314574</v>
      </c>
      <c r="R172" s="204"/>
      <c r="S172" s="247"/>
      <c r="T172" s="295"/>
      <c r="V172" s="295"/>
      <c r="W172" s="295"/>
      <c r="X172" s="295"/>
    </row>
    <row r="173" spans="1:24" ht="12.75" customHeight="1" outlineLevel="1">
      <c r="A173" s="287">
        <v>44651</v>
      </c>
      <c r="B173" s="295">
        <f t="shared" si="28"/>
        <v>0</v>
      </c>
      <c r="C173" s="215">
        <f>'LSR Prepaid BPA interest'!I171</f>
        <v>147594.47741748486</v>
      </c>
      <c r="D173" s="209">
        <f>'LSR Prepaid BPA interest'!H171</f>
        <v>-563867.45869360014</v>
      </c>
      <c r="E173" s="296"/>
      <c r="F173" s="297">
        <f t="shared" si="26"/>
        <v>0</v>
      </c>
      <c r="G173" s="298">
        <f t="shared" si="29"/>
        <v>0</v>
      </c>
      <c r="H173" s="296">
        <f t="shared" si="33"/>
        <v>147594.47741748486</v>
      </c>
      <c r="I173" s="297">
        <f t="shared" si="27"/>
        <v>-147594.47741748486</v>
      </c>
      <c r="J173" s="298">
        <f t="shared" si="30"/>
        <v>0</v>
      </c>
      <c r="K173" s="296"/>
      <c r="L173" s="297">
        <f t="shared" si="35"/>
        <v>-17441.83791546923</v>
      </c>
      <c r="M173" s="298">
        <f t="shared" si="31"/>
        <v>3289696.9511552127</v>
      </c>
      <c r="N173" s="296">
        <f>'LSR Prepaid BPA interest'!G171</f>
        <v>0</v>
      </c>
      <c r="O173" s="297">
        <f t="shared" si="34"/>
        <v>-398831.14336064603</v>
      </c>
      <c r="P173" s="298">
        <f t="shared" si="32"/>
        <v>45868078.366888389</v>
      </c>
      <c r="Q173" s="300">
        <f t="shared" si="36"/>
        <v>48205097.594595663</v>
      </c>
      <c r="R173" s="204"/>
      <c r="S173" s="247"/>
      <c r="T173" s="295"/>
      <c r="V173" s="295"/>
      <c r="W173" s="295"/>
      <c r="X173" s="295"/>
    </row>
    <row r="174" spans="1:24" ht="12.75" customHeight="1" outlineLevel="1">
      <c r="A174" s="287">
        <v>44681</v>
      </c>
      <c r="B174" s="295">
        <f t="shared" si="28"/>
        <v>0</v>
      </c>
      <c r="C174" s="215">
        <f>'LSR Prepaid BPA interest'!I172</f>
        <v>142451.12224924116</v>
      </c>
      <c r="D174" s="209">
        <f>'LSR Prepaid BPA interest'!H172</f>
        <v>-563867.45869360014</v>
      </c>
      <c r="E174" s="296"/>
      <c r="F174" s="297">
        <f t="shared" si="26"/>
        <v>0</v>
      </c>
      <c r="G174" s="298">
        <f t="shared" si="29"/>
        <v>0</v>
      </c>
      <c r="H174" s="296">
        <f t="shared" si="33"/>
        <v>142451.12224924116</v>
      </c>
      <c r="I174" s="297">
        <f t="shared" si="27"/>
        <v>-142451.12224924116</v>
      </c>
      <c r="J174" s="298">
        <f t="shared" si="30"/>
        <v>0</v>
      </c>
      <c r="K174" s="296"/>
      <c r="L174" s="297">
        <f t="shared" si="35"/>
        <v>-17657.344497018643</v>
      </c>
      <c r="M174" s="298">
        <f t="shared" si="31"/>
        <v>3272039.6066581942</v>
      </c>
      <c r="N174" s="296">
        <f>'LSR Prepaid BPA interest'!G172</f>
        <v>0</v>
      </c>
      <c r="O174" s="297">
        <f t="shared" si="34"/>
        <v>-403758.99194734031</v>
      </c>
      <c r="P174" s="298">
        <f t="shared" si="32"/>
        <v>45464319.374941051</v>
      </c>
      <c r="Q174" s="300">
        <f t="shared" si="36"/>
        <v>47824223.597053498</v>
      </c>
      <c r="R174" s="204"/>
      <c r="S174" s="247"/>
      <c r="T174" s="295"/>
      <c r="V174" s="295"/>
      <c r="W174" s="295"/>
      <c r="X174" s="295"/>
    </row>
    <row r="175" spans="1:24" ht="12.75" customHeight="1" outlineLevel="1">
      <c r="A175" s="287">
        <v>44712</v>
      </c>
      <c r="B175" s="295">
        <f t="shared" si="28"/>
        <v>0</v>
      </c>
      <c r="C175" s="215">
        <f>'LSR Prepaid BPA interest'!I173</f>
        <v>145491.64536159043</v>
      </c>
      <c r="D175" s="209">
        <f>'LSR Prepaid BPA interest'!H173</f>
        <v>-563867.45869360014</v>
      </c>
      <c r="E175" s="296"/>
      <c r="F175" s="297">
        <f t="shared" si="26"/>
        <v>0</v>
      </c>
      <c r="G175" s="298">
        <f t="shared" si="29"/>
        <v>0</v>
      </c>
      <c r="H175" s="296">
        <f t="shared" si="33"/>
        <v>145491.64536159043</v>
      </c>
      <c r="I175" s="297">
        <f t="shared" si="27"/>
        <v>-145491.64536159043</v>
      </c>
      <c r="J175" s="298">
        <f t="shared" si="30"/>
        <v>0</v>
      </c>
      <c r="K175" s="296"/>
      <c r="L175" s="297">
        <f t="shared" si="35"/>
        <v>-17529.946578611205</v>
      </c>
      <c r="M175" s="298">
        <f t="shared" si="31"/>
        <v>3254509.6600795831</v>
      </c>
      <c r="N175" s="296">
        <f>'LSR Prepaid BPA interest'!G173</f>
        <v>0</v>
      </c>
      <c r="O175" s="297">
        <f t="shared" si="34"/>
        <v>-400845.8667533985</v>
      </c>
      <c r="P175" s="298">
        <f t="shared" si="32"/>
        <v>45063473.508187652</v>
      </c>
      <c r="Q175" s="300">
        <f t="shared" si="36"/>
        <v>47439588.096783347</v>
      </c>
      <c r="R175" s="204"/>
      <c r="S175" s="247"/>
      <c r="T175" s="295"/>
      <c r="V175" s="295"/>
      <c r="W175" s="295"/>
      <c r="X175" s="295"/>
    </row>
    <row r="176" spans="1:24" ht="12.75" customHeight="1" outlineLevel="1">
      <c r="A176" s="287">
        <v>44742</v>
      </c>
      <c r="B176" s="295">
        <f t="shared" si="28"/>
        <v>0</v>
      </c>
      <c r="C176" s="215">
        <f>'LSR Prepaid BPA interest'!I174</f>
        <v>139145.61070867578</v>
      </c>
      <c r="D176" s="209">
        <f>'LSR Prepaid BPA interest'!H174</f>
        <v>-563867.45869360014</v>
      </c>
      <c r="E176" s="296"/>
      <c r="F176" s="297">
        <f t="shared" si="26"/>
        <v>0</v>
      </c>
      <c r="G176" s="298">
        <f t="shared" si="29"/>
        <v>0</v>
      </c>
      <c r="H176" s="296">
        <f t="shared" si="33"/>
        <v>139145.61070867578</v>
      </c>
      <c r="I176" s="297">
        <f t="shared" si="27"/>
        <v>-139145.61070867578</v>
      </c>
      <c r="J176" s="298">
        <f t="shared" si="30"/>
        <v>0</v>
      </c>
      <c r="K176" s="296"/>
      <c r="L176" s="297">
        <f t="shared" si="35"/>
        <v>-17795.84543056833</v>
      </c>
      <c r="M176" s="298">
        <f t="shared" si="31"/>
        <v>3236713.8146490147</v>
      </c>
      <c r="N176" s="296">
        <f>'LSR Prepaid BPA interest'!G174</f>
        <v>0</v>
      </c>
      <c r="O176" s="297">
        <f t="shared" si="34"/>
        <v>-406926.002554356</v>
      </c>
      <c r="P176" s="298">
        <f t="shared" si="32"/>
        <v>44656547.505633295</v>
      </c>
      <c r="Q176" s="300">
        <f t="shared" si="36"/>
        <v>47051183.413381845</v>
      </c>
      <c r="R176" s="204"/>
      <c r="S176" s="247"/>
      <c r="T176" s="295"/>
      <c r="V176" s="295"/>
      <c r="W176" s="295"/>
      <c r="X176" s="295"/>
    </row>
    <row r="177" spans="1:24" ht="12.75" customHeight="1" outlineLevel="1">
      <c r="A177" s="287">
        <v>44773</v>
      </c>
      <c r="B177" s="295">
        <f t="shared" si="28"/>
        <v>0</v>
      </c>
      <c r="C177" s="215">
        <f>'LSR Prepaid BPA interest'!I175</f>
        <v>143369.51982965984</v>
      </c>
      <c r="D177" s="209">
        <f>'LSR Prepaid BPA interest'!H175</f>
        <v>-563867.45869360014</v>
      </c>
      <c r="E177" s="296"/>
      <c r="F177" s="297">
        <f t="shared" si="26"/>
        <v>0</v>
      </c>
      <c r="G177" s="298">
        <f t="shared" si="29"/>
        <v>0</v>
      </c>
      <c r="H177" s="296">
        <f t="shared" si="33"/>
        <v>143369.51982965984</v>
      </c>
      <c r="I177" s="297">
        <f t="shared" si="27"/>
        <v>-143369.51982965984</v>
      </c>
      <c r="J177" s="298">
        <f t="shared" si="30"/>
        <v>0</v>
      </c>
      <c r="K177" s="296"/>
      <c r="L177" s="297">
        <f t="shared" si="35"/>
        <v>-17618.8636383991</v>
      </c>
      <c r="M177" s="298">
        <f t="shared" si="31"/>
        <v>3219094.9510106156</v>
      </c>
      <c r="N177" s="296">
        <f>'LSR Prepaid BPA interest'!G175</f>
        <v>0</v>
      </c>
      <c r="O177" s="297">
        <f t="shared" si="34"/>
        <v>-402879.07522554119</v>
      </c>
      <c r="P177" s="298">
        <f t="shared" si="32"/>
        <v>44253668.430407755</v>
      </c>
      <c r="Q177" s="300">
        <f t="shared" si="36"/>
        <v>46658996.436719589</v>
      </c>
      <c r="R177" s="204"/>
      <c r="S177" s="247"/>
      <c r="T177" s="295"/>
      <c r="V177" s="295"/>
      <c r="W177" s="295"/>
      <c r="X177" s="295"/>
    </row>
    <row r="178" spans="1:24" ht="12.75" customHeight="1" outlineLevel="1">
      <c r="A178" s="287">
        <v>44804</v>
      </c>
      <c r="B178" s="295">
        <f t="shared" si="28"/>
        <v>0</v>
      </c>
      <c r="C178" s="215">
        <f>'LSR Prepaid BPA interest'!I176</f>
        <v>141661.67220036773</v>
      </c>
      <c r="D178" s="209">
        <f>'LSR Prepaid BPA interest'!H176</f>
        <v>-563867.45869360014</v>
      </c>
      <c r="E178" s="296"/>
      <c r="F178" s="297">
        <f t="shared" si="26"/>
        <v>0</v>
      </c>
      <c r="G178" s="298">
        <f t="shared" si="29"/>
        <v>0</v>
      </c>
      <c r="H178" s="296">
        <f t="shared" si="33"/>
        <v>141661.67220036773</v>
      </c>
      <c r="I178" s="297">
        <f t="shared" si="27"/>
        <v>-141661.67220036773</v>
      </c>
      <c r="J178" s="298">
        <f t="shared" si="30"/>
        <v>0</v>
      </c>
      <c r="K178" s="296"/>
      <c r="L178" s="297">
        <f t="shared" si="35"/>
        <v>-17690.422454066436</v>
      </c>
      <c r="M178" s="298">
        <f>M177+K178+L178</f>
        <v>3201404.528556549</v>
      </c>
      <c r="N178" s="296">
        <f>'LSR Prepaid BPA interest'!G176</f>
        <v>0</v>
      </c>
      <c r="O178" s="297">
        <f t="shared" si="34"/>
        <v>-404515.36403916596</v>
      </c>
      <c r="P178" s="298">
        <f t="shared" si="32"/>
        <v>43849153.066368587</v>
      </c>
      <c r="Q178" s="300">
        <f t="shared" si="36"/>
        <v>46262995.157599725</v>
      </c>
      <c r="R178" s="204"/>
      <c r="S178" s="247"/>
      <c r="T178" s="295"/>
      <c r="V178" s="295"/>
      <c r="W178" s="295"/>
      <c r="X178" s="295"/>
    </row>
    <row r="179" spans="1:24" ht="12.75" customHeight="1" outlineLevel="1">
      <c r="A179" s="287">
        <v>44834</v>
      </c>
      <c r="B179" s="295">
        <f t="shared" si="28"/>
        <v>0</v>
      </c>
      <c r="C179" s="215">
        <f>'LSR Prepaid BPA interest'!I177</f>
        <v>135439.18506878286</v>
      </c>
      <c r="D179" s="209">
        <f>'LSR Prepaid BPA interest'!H177</f>
        <v>-563867.45869360014</v>
      </c>
      <c r="E179" s="296"/>
      <c r="F179" s="297">
        <f t="shared" si="26"/>
        <v>0</v>
      </c>
      <c r="G179" s="298">
        <f t="shared" si="29"/>
        <v>0</v>
      </c>
      <c r="H179" s="296">
        <f t="shared" si="33"/>
        <v>135439.18506878286</v>
      </c>
      <c r="I179" s="297">
        <f t="shared" si="27"/>
        <v>-135439.18506878286</v>
      </c>
      <c r="J179" s="298">
        <f t="shared" si="30"/>
        <v>0</v>
      </c>
      <c r="K179" s="296"/>
      <c r="L179" s="297">
        <f t="shared" si="35"/>
        <v>-17951.144664879845</v>
      </c>
      <c r="M179" s="298">
        <f t="shared" si="31"/>
        <v>3183453.3838916691</v>
      </c>
      <c r="N179" s="296">
        <f>'LSR Prepaid BPA interest'!G177</f>
        <v>0</v>
      </c>
      <c r="O179" s="297">
        <f t="shared" si="34"/>
        <v>-410477.12895993737</v>
      </c>
      <c r="P179" s="298">
        <f t="shared" si="32"/>
        <v>43438675.937408648</v>
      </c>
      <c r="Q179" s="300">
        <f t="shared" si="36"/>
        <v>45863191.08958701</v>
      </c>
      <c r="R179" s="204"/>
      <c r="S179" s="247"/>
      <c r="T179" s="295"/>
      <c r="V179" s="295"/>
      <c r="W179" s="295"/>
      <c r="X179" s="295"/>
    </row>
    <row r="180" spans="1:24" ht="12.75" customHeight="1" outlineLevel="1">
      <c r="A180" s="287">
        <v>44865</v>
      </c>
      <c r="B180" s="295">
        <f t="shared" si="28"/>
        <v>0</v>
      </c>
      <c r="C180" s="215">
        <f>'LSR Prepaid BPA interest'!I178</f>
        <v>139519.50199744021</v>
      </c>
      <c r="D180" s="209">
        <f>'LSR Prepaid BPA interest'!H178</f>
        <v>-563867.45869360014</v>
      </c>
      <c r="E180" s="296"/>
      <c r="F180" s="297">
        <f t="shared" si="26"/>
        <v>0</v>
      </c>
      <c r="G180" s="298">
        <f t="shared" si="29"/>
        <v>0</v>
      </c>
      <c r="H180" s="296">
        <f t="shared" si="33"/>
        <v>139519.50199744021</v>
      </c>
      <c r="I180" s="297">
        <f t="shared" si="27"/>
        <v>-139519.50199744021</v>
      </c>
      <c r="J180" s="298">
        <f t="shared" si="30"/>
        <v>0</v>
      </c>
      <c r="K180" s="296"/>
      <c r="L180" s="297">
        <f t="shared" si="35"/>
        <v>-17780.179385569099</v>
      </c>
      <c r="M180" s="298">
        <f t="shared" si="31"/>
        <v>3165673.2045061002</v>
      </c>
      <c r="N180" s="296">
        <f>'LSR Prepaid BPA interest'!G178</f>
        <v>0</v>
      </c>
      <c r="O180" s="297">
        <f t="shared" si="34"/>
        <v>-406567.77731059078</v>
      </c>
      <c r="P180" s="298">
        <f t="shared" si="32"/>
        <v>43032108.160098061</v>
      </c>
      <c r="Q180" s="300">
        <f t="shared" si="36"/>
        <v>45460885.03489387</v>
      </c>
      <c r="R180" s="204"/>
      <c r="S180" s="247"/>
      <c r="T180" s="295"/>
      <c r="V180" s="295"/>
      <c r="W180" s="295"/>
      <c r="X180" s="295"/>
    </row>
    <row r="181" spans="1:24" ht="12.75" customHeight="1" outlineLevel="1">
      <c r="A181" s="287">
        <v>44895</v>
      </c>
      <c r="B181" s="295">
        <f t="shared" si="28"/>
        <v>0</v>
      </c>
      <c r="C181" s="215">
        <f>'LSR Prepaid BPA interest'!I179</f>
        <v>133366.11713046589</v>
      </c>
      <c r="D181" s="209">
        <f>'LSR Prepaid BPA interest'!H179</f>
        <v>-563867.45869360014</v>
      </c>
      <c r="E181" s="296"/>
      <c r="F181" s="297">
        <f t="shared" si="26"/>
        <v>0</v>
      </c>
      <c r="G181" s="298">
        <f t="shared" si="29"/>
        <v>0</v>
      </c>
      <c r="H181" s="296">
        <f t="shared" si="33"/>
        <v>133366.11713046589</v>
      </c>
      <c r="I181" s="297">
        <f t="shared" si="27"/>
        <v>-133366.11713046589</v>
      </c>
      <c r="J181" s="298">
        <f t="shared" si="30"/>
        <v>0</v>
      </c>
      <c r="K181" s="296"/>
      <c r="L181" s="297">
        <f t="shared" si="35"/>
        <v>-18038.006211495325</v>
      </c>
      <c r="M181" s="298">
        <f t="shared" si="31"/>
        <v>3147635.1982946047</v>
      </c>
      <c r="N181" s="296">
        <f>'LSR Prepaid BPA interest'!G179</f>
        <v>0</v>
      </c>
      <c r="O181" s="297">
        <f t="shared" si="34"/>
        <v>-412463.3353516389</v>
      </c>
      <c r="P181" s="298">
        <f t="shared" si="32"/>
        <v>42619644.824746422</v>
      </c>
      <c r="Q181" s="300">
        <f t="shared" si="36"/>
        <v>45057381.937608629</v>
      </c>
      <c r="R181" s="204"/>
      <c r="S181" s="247"/>
      <c r="T181" s="295"/>
      <c r="V181" s="295"/>
      <c r="W181" s="295"/>
      <c r="X181" s="295"/>
    </row>
    <row r="182" spans="1:24" ht="12.75" customHeight="1" outlineLevel="1">
      <c r="A182" s="287">
        <v>44926</v>
      </c>
      <c r="B182" s="295">
        <f t="shared" si="28"/>
        <v>0</v>
      </c>
      <c r="C182" s="215">
        <f>'LSR Prepaid BPA interest'!I180</f>
        <v>136103.80673885596</v>
      </c>
      <c r="D182" s="209">
        <f>'LSR Prepaid BPA interest'!H180</f>
        <v>-563867.45869360014</v>
      </c>
      <c r="E182" s="296"/>
      <c r="F182" s="297">
        <f t="shared" ref="F182:F220" si="37">-MIN(ABS(D182),ABS(G181))</f>
        <v>0</v>
      </c>
      <c r="G182" s="298">
        <f t="shared" si="29"/>
        <v>0</v>
      </c>
      <c r="H182" s="296">
        <f t="shared" si="33"/>
        <v>136103.80673885596</v>
      </c>
      <c r="I182" s="297">
        <f t="shared" si="27"/>
        <v>-136103.80673885596</v>
      </c>
      <c r="J182" s="298">
        <f t="shared" si="30"/>
        <v>0</v>
      </c>
      <c r="K182" s="296"/>
      <c r="L182" s="297">
        <f t="shared" si="35"/>
        <v>-17923.29701690378</v>
      </c>
      <c r="M182" s="298">
        <f t="shared" si="31"/>
        <v>3129711.9012777009</v>
      </c>
      <c r="N182" s="296">
        <f>'LSR Prepaid BPA interest'!G180</f>
        <v>0</v>
      </c>
      <c r="O182" s="297">
        <f t="shared" si="34"/>
        <v>-409840.35493784037</v>
      </c>
      <c r="P182" s="298">
        <f t="shared" si="32"/>
        <v>42209804.469808578</v>
      </c>
      <c r="Q182" s="300">
        <f t="shared" si="36"/>
        <v>44652681.797731273</v>
      </c>
      <c r="R182" s="204"/>
      <c r="S182" s="247"/>
      <c r="T182" s="295"/>
      <c r="V182" s="295"/>
      <c r="W182" s="295"/>
      <c r="X182" s="295"/>
    </row>
    <row r="183" spans="1:24" ht="12.75" customHeight="1" outlineLevel="1">
      <c r="A183" s="287">
        <v>44957</v>
      </c>
      <c r="B183" s="295">
        <f t="shared" si="28"/>
        <v>0</v>
      </c>
      <c r="C183" s="215">
        <f>'LSR Prepaid BPA interest'!I181</f>
        <v>135634.7105406012</v>
      </c>
      <c r="D183" s="209">
        <f>'LSR Prepaid BPA interest'!H181</f>
        <v>-563867.45869360014</v>
      </c>
      <c r="E183" s="296"/>
      <c r="F183" s="297">
        <f t="shared" si="37"/>
        <v>0</v>
      </c>
      <c r="G183" s="298">
        <f t="shared" si="29"/>
        <v>0</v>
      </c>
      <c r="H183" s="296">
        <f t="shared" si="33"/>
        <v>135634.7105406012</v>
      </c>
      <c r="I183" s="297">
        <f t="shared" si="27"/>
        <v>-135634.7105406012</v>
      </c>
      <c r="J183" s="298">
        <f t="shared" si="30"/>
        <v>0</v>
      </c>
      <c r="K183" s="296"/>
      <c r="L183" s="297">
        <f t="shared" si="35"/>
        <v>-17942.952147610657</v>
      </c>
      <c r="M183" s="298">
        <f t="shared" si="31"/>
        <v>3111768.9491300904</v>
      </c>
      <c r="N183" s="296">
        <f>'LSR Prepaid BPA interest'!G181</f>
        <v>0</v>
      </c>
      <c r="O183" s="297">
        <f t="shared" si="34"/>
        <v>-410289.79600538831</v>
      </c>
      <c r="P183" s="298">
        <f t="shared" si="32"/>
        <v>41799514.673803188</v>
      </c>
      <c r="Q183" s="300">
        <f t="shared" si="36"/>
        <v>44246759.523472019</v>
      </c>
      <c r="R183" s="204"/>
      <c r="S183" s="247"/>
      <c r="T183" s="295"/>
      <c r="V183" s="295"/>
      <c r="W183" s="295"/>
      <c r="X183" s="295"/>
    </row>
    <row r="184" spans="1:24" ht="12.75" customHeight="1" outlineLevel="1">
      <c r="A184" s="287">
        <v>44985</v>
      </c>
      <c r="B184" s="295">
        <f t="shared" si="28"/>
        <v>0</v>
      </c>
      <c r="C184" s="215">
        <f>'LSR Prepaid BPA interest'!I182</f>
        <v>120966.19875860173</v>
      </c>
      <c r="D184" s="209">
        <f>'LSR Prepaid BPA interest'!H182</f>
        <v>-563867.45869360014</v>
      </c>
      <c r="E184" s="296"/>
      <c r="F184" s="297">
        <f t="shared" si="37"/>
        <v>0</v>
      </c>
      <c r="G184" s="298">
        <f t="shared" si="29"/>
        <v>0</v>
      </c>
      <c r="H184" s="296">
        <f t="shared" si="33"/>
        <v>120966.19875860173</v>
      </c>
      <c r="I184" s="297">
        <f t="shared" si="27"/>
        <v>-120966.19875860173</v>
      </c>
      <c r="J184" s="298">
        <f t="shared" si="30"/>
        <v>0</v>
      </c>
      <c r="K184" s="296"/>
      <c r="L184" s="297">
        <f t="shared" si="35"/>
        <v>-18557.562791276432</v>
      </c>
      <c r="M184" s="298">
        <f t="shared" si="31"/>
        <v>3093211.3863388142</v>
      </c>
      <c r="N184" s="296">
        <f>'LSR Prepaid BPA interest'!G182</f>
        <v>0</v>
      </c>
      <c r="O184" s="297">
        <f t="shared" si="34"/>
        <v>-424343.69714372198</v>
      </c>
      <c r="P184" s="298">
        <f t="shared" si="32"/>
        <v>41375170.976659469</v>
      </c>
      <c r="Q184" s="300">
        <f t="shared" si="36"/>
        <v>43839669.046812154</v>
      </c>
      <c r="R184" s="204"/>
      <c r="S184" s="247"/>
      <c r="T184" s="295"/>
      <c r="V184" s="295"/>
      <c r="W184" s="295"/>
      <c r="X184" s="295"/>
    </row>
    <row r="185" spans="1:24" ht="12.75" customHeight="1" outlineLevel="1">
      <c r="A185" s="287">
        <v>45016</v>
      </c>
      <c r="B185" s="295">
        <f t="shared" si="28"/>
        <v>0</v>
      </c>
      <c r="C185" s="215">
        <f>'LSR Prepaid BPA interest'!I183</f>
        <v>132219.01528201695</v>
      </c>
      <c r="D185" s="209">
        <f>'LSR Prepaid BPA interest'!H183</f>
        <v>-563867.45869360014</v>
      </c>
      <c r="E185" s="296"/>
      <c r="F185" s="297">
        <f t="shared" si="37"/>
        <v>0</v>
      </c>
      <c r="G185" s="298">
        <f t="shared" si="29"/>
        <v>0</v>
      </c>
      <c r="H185" s="296">
        <f t="shared" si="33"/>
        <v>132219.01528201695</v>
      </c>
      <c r="I185" s="297">
        <f t="shared" si="27"/>
        <v>-132219.01528201695</v>
      </c>
      <c r="J185" s="298">
        <f t="shared" si="30"/>
        <v>0</v>
      </c>
      <c r="K185" s="296"/>
      <c r="L185" s="297">
        <f t="shared" si="35"/>
        <v>-18086.069778945337</v>
      </c>
      <c r="M185" s="298">
        <f t="shared" si="31"/>
        <v>3075125.3165598689</v>
      </c>
      <c r="N185" s="296">
        <f>'LSR Prepaid BPA interest'!G183</f>
        <v>0</v>
      </c>
      <c r="O185" s="297">
        <f t="shared" si="34"/>
        <v>-413562.37363263784</v>
      </c>
      <c r="P185" s="298">
        <f t="shared" si="32"/>
        <v>40961608.60302683</v>
      </c>
      <c r="Q185" s="300">
        <f t="shared" si="36"/>
        <v>43431410.367751695</v>
      </c>
      <c r="R185" s="204"/>
      <c r="S185" s="247"/>
      <c r="T185" s="295"/>
      <c r="V185" s="295"/>
      <c r="W185" s="295"/>
      <c r="X185" s="295"/>
    </row>
    <row r="186" spans="1:24" ht="12.75" customHeight="1" outlineLevel="1">
      <c r="A186" s="287">
        <v>45046</v>
      </c>
      <c r="B186" s="295">
        <f t="shared" si="28"/>
        <v>0</v>
      </c>
      <c r="C186" s="215">
        <f>'LSR Prepaid BPA interest'!I184</f>
        <v>127440.80273059808</v>
      </c>
      <c r="D186" s="209">
        <f>'LSR Prepaid BPA interest'!H184</f>
        <v>-563867.45869360014</v>
      </c>
      <c r="E186" s="296"/>
      <c r="F186" s="297">
        <f t="shared" si="37"/>
        <v>0</v>
      </c>
      <c r="G186" s="298">
        <f t="shared" si="29"/>
        <v>0</v>
      </c>
      <c r="H186" s="296">
        <f t="shared" si="33"/>
        <v>127440.80273059808</v>
      </c>
      <c r="I186" s="297">
        <f t="shared" si="27"/>
        <v>-127440.80273059808</v>
      </c>
      <c r="J186" s="298">
        <f t="shared" si="30"/>
        <v>0</v>
      </c>
      <c r="K186" s="296"/>
      <c r="L186" s="297">
        <f t="shared" si="35"/>
        <v>-18286.276884849787</v>
      </c>
      <c r="M186" s="298">
        <f t="shared" si="31"/>
        <v>3056839.0396750192</v>
      </c>
      <c r="N186" s="296">
        <f>'LSR Prepaid BPA interest'!G184</f>
        <v>0</v>
      </c>
      <c r="O186" s="297">
        <f t="shared" si="34"/>
        <v>-418140.37907815224</v>
      </c>
      <c r="P186" s="298">
        <f t="shared" si="32"/>
        <v>40543468.22394868</v>
      </c>
      <c r="Q186" s="300">
        <f t="shared" si="36"/>
        <v>43021938.66296611</v>
      </c>
      <c r="R186" s="204"/>
      <c r="S186" s="247"/>
      <c r="T186" s="295"/>
      <c r="V186" s="295"/>
      <c r="W186" s="295"/>
      <c r="X186" s="295"/>
    </row>
    <row r="187" spans="1:24" ht="12.75" customHeight="1" outlineLevel="1">
      <c r="A187" s="287">
        <v>45077</v>
      </c>
      <c r="B187" s="295">
        <f t="shared" si="28"/>
        <v>0</v>
      </c>
      <c r="C187" s="215">
        <f>'LSR Prepaid BPA interest'!I185</f>
        <v>129980.98185899257</v>
      </c>
      <c r="D187" s="209">
        <f>'LSR Prepaid BPA interest'!H185</f>
        <v>-563867.45869360014</v>
      </c>
      <c r="E187" s="296"/>
      <c r="F187" s="297">
        <f t="shared" si="37"/>
        <v>0</v>
      </c>
      <c r="G187" s="298">
        <f t="shared" si="29"/>
        <v>0</v>
      </c>
      <c r="H187" s="296">
        <f t="shared" si="33"/>
        <v>129980.98185899257</v>
      </c>
      <c r="I187" s="297">
        <f t="shared" si="27"/>
        <v>-129980.98185899257</v>
      </c>
      <c r="J187" s="298">
        <f t="shared" si="30"/>
        <v>0</v>
      </c>
      <c r="K187" s="296"/>
      <c r="L187" s="297">
        <f t="shared" si="35"/>
        <v>-18179.843379370057</v>
      </c>
      <c r="M187" s="298">
        <f t="shared" si="31"/>
        <v>3038659.1962956493</v>
      </c>
      <c r="N187" s="296">
        <f>'LSR Prepaid BPA interest'!G185</f>
        <v>0</v>
      </c>
      <c r="O187" s="297">
        <f t="shared" si="34"/>
        <v>-415706.63345523749</v>
      </c>
      <c r="P187" s="298">
        <f t="shared" si="32"/>
        <v>40127761.590493441</v>
      </c>
      <c r="Q187" s="300">
        <f t="shared" si="36"/>
        <v>42611248.53510417</v>
      </c>
      <c r="R187" s="204"/>
      <c r="S187" s="247"/>
      <c r="T187" s="295"/>
      <c r="V187" s="295"/>
      <c r="W187" s="295"/>
      <c r="X187" s="295"/>
    </row>
    <row r="188" spans="1:24" ht="12.75" customHeight="1" outlineLevel="1">
      <c r="A188" s="287">
        <v>45107</v>
      </c>
      <c r="B188" s="295">
        <f t="shared" si="28"/>
        <v>0</v>
      </c>
      <c r="C188" s="215">
        <f>'LSR Prepaid BPA interest'!I186</f>
        <v>124135.2911900327</v>
      </c>
      <c r="D188" s="209">
        <f>'LSR Prepaid BPA interest'!H186</f>
        <v>-563867.45869360014</v>
      </c>
      <c r="E188" s="296"/>
      <c r="F188" s="297">
        <f t="shared" si="37"/>
        <v>0</v>
      </c>
      <c r="G188" s="298">
        <f t="shared" si="29"/>
        <v>0</v>
      </c>
      <c r="H188" s="296">
        <f t="shared" si="33"/>
        <v>124135.2911900327</v>
      </c>
      <c r="I188" s="297">
        <f t="shared" si="27"/>
        <v>-124135.2911900327</v>
      </c>
      <c r="J188" s="298">
        <f t="shared" si="30"/>
        <v>0</v>
      </c>
      <c r="K188" s="296"/>
      <c r="L188" s="297">
        <f t="shared" si="35"/>
        <v>-18424.777818399474</v>
      </c>
      <c r="M188" s="298">
        <f t="shared" si="31"/>
        <v>3020234.4184772498</v>
      </c>
      <c r="N188" s="296">
        <f>'LSR Prepaid BPA interest'!G186</f>
        <v>0</v>
      </c>
      <c r="O188" s="297">
        <f t="shared" si="34"/>
        <v>-421307.38968516793</v>
      </c>
      <c r="P188" s="298">
        <f t="shared" si="32"/>
        <v>39706454.200808272</v>
      </c>
      <c r="Q188" s="300">
        <f t="shared" si="36"/>
        <v>42199339.98416587</v>
      </c>
      <c r="R188" s="204"/>
      <c r="S188" s="247"/>
      <c r="T188" s="295"/>
      <c r="V188" s="295"/>
      <c r="W188" s="295"/>
      <c r="X188" s="295"/>
    </row>
    <row r="189" spans="1:24" ht="12.75" customHeight="1" outlineLevel="1">
      <c r="A189" s="287">
        <v>45138</v>
      </c>
      <c r="B189" s="295">
        <f t="shared" si="28"/>
        <v>0</v>
      </c>
      <c r="C189" s="215">
        <f>'LSR Prepaid BPA interest'!I187</f>
        <v>127720.9506439047</v>
      </c>
      <c r="D189" s="209">
        <f>'LSR Prepaid BPA interest'!H187</f>
        <v>-563867.45869360014</v>
      </c>
      <c r="E189" s="296"/>
      <c r="F189" s="297">
        <f t="shared" si="37"/>
        <v>0</v>
      </c>
      <c r="G189" s="298">
        <f t="shared" si="29"/>
        <v>0</v>
      </c>
      <c r="H189" s="296">
        <f t="shared" si="33"/>
        <v>127720.9506439047</v>
      </c>
      <c r="I189" s="297">
        <f t="shared" si="27"/>
        <v>-127720.9506439047</v>
      </c>
      <c r="J189" s="298">
        <f t="shared" si="30"/>
        <v>0</v>
      </c>
      <c r="K189" s="296"/>
      <c r="L189" s="297">
        <f t="shared" si="35"/>
        <v>-18274.538687282238</v>
      </c>
      <c r="M189" s="298">
        <f t="shared" si="31"/>
        <v>3001959.8797899676</v>
      </c>
      <c r="N189" s="296">
        <f>'LSR Prepaid BPA interest'!G187</f>
        <v>0</v>
      </c>
      <c r="O189" s="297">
        <f t="shared" si="34"/>
        <v>-417871.96936241322</v>
      </c>
      <c r="P189" s="298">
        <f t="shared" si="32"/>
        <v>39288582.231445856</v>
      </c>
      <c r="Q189" s="300">
        <f t="shared" si="36"/>
        <v>41786207.50484141</v>
      </c>
      <c r="R189" s="204"/>
      <c r="S189" s="247"/>
      <c r="T189" s="295"/>
      <c r="V189" s="295"/>
      <c r="W189" s="295"/>
      <c r="X189" s="295"/>
    </row>
    <row r="190" spans="1:24" ht="12.75" customHeight="1" outlineLevel="1">
      <c r="A190" s="287">
        <v>45169</v>
      </c>
      <c r="B190" s="295">
        <f t="shared" si="28"/>
        <v>0</v>
      </c>
      <c r="C190" s="215">
        <f>'LSR Prepaid BPA interest'!I188</f>
        <v>126013.10301461257</v>
      </c>
      <c r="D190" s="209">
        <f>'LSR Prepaid BPA interest'!H188</f>
        <v>-563867.45869360014</v>
      </c>
      <c r="E190" s="296"/>
      <c r="F190" s="297">
        <f t="shared" si="37"/>
        <v>0</v>
      </c>
      <c r="G190" s="298">
        <f t="shared" si="29"/>
        <v>0</v>
      </c>
      <c r="H190" s="296">
        <f t="shared" si="33"/>
        <v>126013.10301461257</v>
      </c>
      <c r="I190" s="297">
        <f t="shared" si="27"/>
        <v>-126013.10301461257</v>
      </c>
      <c r="J190" s="298">
        <f t="shared" si="30"/>
        <v>0</v>
      </c>
      <c r="K190" s="296"/>
      <c r="L190" s="297">
        <f t="shared" si="35"/>
        <v>-18346.097502949578</v>
      </c>
      <c r="M190" s="298">
        <f t="shared" si="31"/>
        <v>2983613.7822870179</v>
      </c>
      <c r="N190" s="296">
        <f>'LSR Prepaid BPA interest'!G188</f>
        <v>0</v>
      </c>
      <c r="O190" s="297">
        <f t="shared" si="34"/>
        <v>-419508.25817603798</v>
      </c>
      <c r="P190" s="298">
        <f t="shared" si="32"/>
        <v>38869073.97326982</v>
      </c>
      <c r="Q190" s="300">
        <f t="shared" si="36"/>
        <v>41371825.61767222</v>
      </c>
      <c r="R190" s="204"/>
      <c r="S190" s="247"/>
      <c r="T190" s="295"/>
      <c r="V190" s="295"/>
      <c r="W190" s="295"/>
      <c r="X190" s="295"/>
    </row>
    <row r="191" spans="1:24" ht="12.75" customHeight="1" outlineLevel="1">
      <c r="A191" s="287">
        <v>45199</v>
      </c>
      <c r="B191" s="295">
        <f t="shared" si="28"/>
        <v>0</v>
      </c>
      <c r="C191" s="215">
        <f>'LSR Prepaid BPA interest'!I189</f>
        <v>120295.40843740691</v>
      </c>
      <c r="D191" s="209">
        <f>'LSR Prepaid BPA interest'!H189</f>
        <v>-563867.45869360014</v>
      </c>
      <c r="E191" s="296"/>
      <c r="F191" s="297">
        <f t="shared" si="37"/>
        <v>0</v>
      </c>
      <c r="G191" s="298">
        <f t="shared" si="29"/>
        <v>0</v>
      </c>
      <c r="H191" s="296">
        <f t="shared" si="33"/>
        <v>120295.40843740691</v>
      </c>
      <c r="I191" s="297">
        <f t="shared" si="27"/>
        <v>-120295.40843740691</v>
      </c>
      <c r="J191" s="298">
        <f t="shared" si="30"/>
        <v>0</v>
      </c>
      <c r="K191" s="296"/>
      <c r="L191" s="297">
        <f t="shared" si="35"/>
        <v>-18585.668905734499</v>
      </c>
      <c r="M191" s="298">
        <f t="shared" si="31"/>
        <v>2965028.1133812834</v>
      </c>
      <c r="N191" s="296">
        <f>'LSR Prepaid BPA interest'!G189</f>
        <v>0</v>
      </c>
      <c r="O191" s="297">
        <f t="shared" si="34"/>
        <v>-424986.38135045877</v>
      </c>
      <c r="P191" s="298">
        <f t="shared" si="32"/>
        <v>38444087.591919363</v>
      </c>
      <c r="Q191" s="300">
        <f t="shared" si="36"/>
        <v>40956214.474397719</v>
      </c>
      <c r="R191" s="204"/>
      <c r="S191" s="247"/>
      <c r="T191" s="295"/>
      <c r="V191" s="295"/>
      <c r="W191" s="295"/>
      <c r="X191" s="295"/>
    </row>
    <row r="192" spans="1:24" ht="12.75" customHeight="1" outlineLevel="1">
      <c r="A192" s="287">
        <v>45230</v>
      </c>
      <c r="B192" s="295">
        <f t="shared" si="28"/>
        <v>0</v>
      </c>
      <c r="C192" s="215">
        <f>'LSR Prepaid BPA interest'!I190</f>
        <v>123624.72710133959</v>
      </c>
      <c r="D192" s="209">
        <f>'LSR Prepaid BPA interest'!H190</f>
        <v>-598714.46764086466</v>
      </c>
      <c r="E192" s="296"/>
      <c r="F192" s="297">
        <f t="shared" si="37"/>
        <v>0</v>
      </c>
      <c r="G192" s="298">
        <f t="shared" si="29"/>
        <v>0</v>
      </c>
      <c r="H192" s="296">
        <f t="shared" si="33"/>
        <v>123624.72710133959</v>
      </c>
      <c r="I192" s="297">
        <f t="shared" si="27"/>
        <v>-123624.72710133959</v>
      </c>
      <c r="J192" s="298">
        <f t="shared" si="30"/>
        <v>0</v>
      </c>
      <c r="K192" s="296"/>
      <c r="L192" s="297">
        <f t="shared" si="35"/>
        <v>-19906.2601286061</v>
      </c>
      <c r="M192" s="298">
        <f t="shared" si="31"/>
        <v>2945121.8532526772</v>
      </c>
      <c r="N192" s="296">
        <f>'LSR Prepaid BPA interest'!G190</f>
        <v>0</v>
      </c>
      <c r="O192" s="297">
        <f t="shared" si="34"/>
        <v>-455183.48041091894</v>
      </c>
      <c r="P192" s="298">
        <f t="shared" si="32"/>
        <v>37988904.111508444</v>
      </c>
      <c r="Q192" s="300">
        <f t="shared" si="36"/>
        <v>40537973.124644428</v>
      </c>
      <c r="R192" s="204"/>
      <c r="S192" s="247"/>
      <c r="T192" s="295"/>
      <c r="V192" s="295"/>
      <c r="W192" s="295"/>
      <c r="X192" s="295"/>
    </row>
    <row r="193" spans="1:24" ht="12.75" customHeight="1" outlineLevel="1">
      <c r="A193" s="287">
        <v>45260</v>
      </c>
      <c r="B193" s="295">
        <f t="shared" si="28"/>
        <v>0</v>
      </c>
      <c r="C193" s="215">
        <f>'LSR Prepaid BPA interest'!I191</f>
        <v>117881.93660182958</v>
      </c>
      <c r="D193" s="209">
        <f>'LSR Prepaid BPA interest'!H191</f>
        <v>-598714.46764086466</v>
      </c>
      <c r="E193" s="296"/>
      <c r="F193" s="297">
        <f t="shared" si="37"/>
        <v>0</v>
      </c>
      <c r="G193" s="298">
        <f t="shared" si="29"/>
        <v>0</v>
      </c>
      <c r="H193" s="296">
        <f t="shared" si="33"/>
        <v>117881.93660182958</v>
      </c>
      <c r="I193" s="297">
        <f t="shared" si="27"/>
        <v>-117881.93660182958</v>
      </c>
      <c r="J193" s="298">
        <f t="shared" si="30"/>
        <v>0</v>
      </c>
      <c r="K193" s="296"/>
      <c r="L193" s="297">
        <f t="shared" si="35"/>
        <v>-20146.883050535569</v>
      </c>
      <c r="M193" s="298">
        <f t="shared" si="31"/>
        <v>2924974.9702021419</v>
      </c>
      <c r="N193" s="296">
        <f>'LSR Prepaid BPA interest'!G191</f>
        <v>0</v>
      </c>
      <c r="O193" s="297">
        <f t="shared" si="34"/>
        <v>-460685.64798849949</v>
      </c>
      <c r="P193" s="298">
        <f t="shared" si="32"/>
        <v>37528218.463519946</v>
      </c>
      <c r="Q193" s="300">
        <f t="shared" si="36"/>
        <v>40115696.857568763</v>
      </c>
      <c r="R193" s="204"/>
      <c r="S193" s="247"/>
      <c r="T193" s="295"/>
      <c r="V193" s="295"/>
      <c r="W193" s="295"/>
      <c r="X193" s="295"/>
    </row>
    <row r="194" spans="1:24" ht="12.75" customHeight="1" outlineLevel="1">
      <c r="A194" s="287">
        <v>45291</v>
      </c>
      <c r="B194" s="295">
        <f t="shared" si="28"/>
        <v>0</v>
      </c>
      <c r="C194" s="215">
        <f>'LSR Prepaid BPA interest'!I192</f>
        <v>119997.94187577488</v>
      </c>
      <c r="D194" s="209">
        <f>'LSR Prepaid BPA interest'!H192</f>
        <v>-598714.46764086466</v>
      </c>
      <c r="E194" s="296"/>
      <c r="F194" s="297">
        <f t="shared" si="37"/>
        <v>0</v>
      </c>
      <c r="G194" s="298">
        <f t="shared" si="29"/>
        <v>0</v>
      </c>
      <c r="H194" s="296">
        <f t="shared" si="33"/>
        <v>119997.94187577488</v>
      </c>
      <c r="I194" s="297">
        <f t="shared" si="27"/>
        <v>-119997.94187577488</v>
      </c>
      <c r="J194" s="298">
        <f t="shared" si="30"/>
        <v>0</v>
      </c>
      <c r="K194" s="296"/>
      <c r="L194" s="297">
        <f t="shared" si="35"/>
        <v>-20058.222429557263</v>
      </c>
      <c r="M194" s="298">
        <f t="shared" si="31"/>
        <v>2904916.7477725847</v>
      </c>
      <c r="N194" s="296">
        <f>'LSR Prepaid BPA interest'!G192</f>
        <v>0</v>
      </c>
      <c r="O194" s="297">
        <f t="shared" si="34"/>
        <v>-458658.30333553249</v>
      </c>
      <c r="P194" s="298">
        <f t="shared" si="32"/>
        <v>37069560.160184413</v>
      </c>
      <c r="Q194" s="300">
        <f t="shared" si="36"/>
        <v>39689377.246283315</v>
      </c>
      <c r="R194" s="204"/>
      <c r="S194" s="247"/>
      <c r="T194" s="295"/>
      <c r="V194" s="295"/>
      <c r="W194" s="295"/>
      <c r="X194" s="295"/>
    </row>
    <row r="195" spans="1:24" ht="12.75" customHeight="1" outlineLevel="1">
      <c r="A195" s="287">
        <v>45322</v>
      </c>
      <c r="B195" s="295">
        <f t="shared" si="28"/>
        <v>0</v>
      </c>
      <c r="C195" s="215">
        <f>'LSR Prepaid BPA interest'!I193</f>
        <v>119279.47817597965</v>
      </c>
      <c r="D195" s="209">
        <f>'LSR Prepaid BPA interest'!H193</f>
        <v>-598714.46764086466</v>
      </c>
      <c r="E195" s="296"/>
      <c r="F195" s="297">
        <f t="shared" si="37"/>
        <v>0</v>
      </c>
      <c r="G195" s="298">
        <f t="shared" si="29"/>
        <v>0</v>
      </c>
      <c r="H195" s="296">
        <f t="shared" si="33"/>
        <v>119279.47817597965</v>
      </c>
      <c r="I195" s="297">
        <f t="shared" ref="I195:I220" si="38">-J194-H195</f>
        <v>-119279.47817597965</v>
      </c>
      <c r="J195" s="298">
        <f t="shared" si="30"/>
        <v>0</v>
      </c>
      <c r="K195" s="296"/>
      <c r="L195" s="297">
        <f t="shared" si="35"/>
        <v>-20088.326058578681</v>
      </c>
      <c r="M195" s="298">
        <f t="shared" si="31"/>
        <v>2884828.421714006</v>
      </c>
      <c r="N195" s="296">
        <f>'LSR Prepaid BPA interest'!G193</f>
        <v>0</v>
      </c>
      <c r="O195" s="297">
        <f t="shared" si="34"/>
        <v>-459346.66340630635</v>
      </c>
      <c r="P195" s="298">
        <f t="shared" si="32"/>
        <v>36610213.496778108</v>
      </c>
      <c r="Q195" s="300">
        <f t="shared" si="36"/>
        <v>39258979.517672926</v>
      </c>
      <c r="R195" s="204"/>
      <c r="S195" s="247"/>
      <c r="T195" s="295"/>
      <c r="V195" s="295"/>
      <c r="W195" s="295"/>
      <c r="X195" s="295"/>
    </row>
    <row r="196" spans="1:24" ht="12.75" customHeight="1" outlineLevel="1">
      <c r="A196" s="287">
        <v>45351</v>
      </c>
      <c r="B196" s="295">
        <f t="shared" si="28"/>
        <v>0</v>
      </c>
      <c r="C196" s="215">
        <f>'LSR Prepaid BPA interest'!I194</f>
        <v>109887.62843008777</v>
      </c>
      <c r="D196" s="209">
        <f>'LSR Prepaid BPA interest'!H194</f>
        <v>-598714.46764086466</v>
      </c>
      <c r="E196" s="296"/>
      <c r="F196" s="297">
        <f t="shared" si="37"/>
        <v>0</v>
      </c>
      <c r="G196" s="298">
        <f t="shared" si="29"/>
        <v>0</v>
      </c>
      <c r="H196" s="296">
        <f t="shared" si="33"/>
        <v>109887.62843008777</v>
      </c>
      <c r="I196" s="297">
        <f t="shared" si="38"/>
        <v>-109887.62843008777</v>
      </c>
      <c r="J196" s="298">
        <f t="shared" si="30"/>
        <v>0</v>
      </c>
      <c r="K196" s="296"/>
      <c r="L196" s="297">
        <f t="shared" si="35"/>
        <v>-20481.844562931554</v>
      </c>
      <c r="M196" s="298">
        <f t="shared" si="31"/>
        <v>2864346.5771510745</v>
      </c>
      <c r="N196" s="296">
        <f>'LSR Prepaid BPA interest'!G194</f>
        <v>0</v>
      </c>
      <c r="O196" s="297">
        <f t="shared" si="34"/>
        <v>-468344.99464784533</v>
      </c>
      <c r="P196" s="298">
        <f t="shared" si="32"/>
        <v>36141868.502130263</v>
      </c>
      <c r="Q196" s="300">
        <f t="shared" si="36"/>
        <v>38824704.365524836</v>
      </c>
      <c r="R196" s="204"/>
      <c r="S196" s="247"/>
      <c r="T196" s="295"/>
      <c r="V196" s="295"/>
      <c r="W196" s="295"/>
      <c r="X196" s="295"/>
    </row>
    <row r="197" spans="1:24" ht="12.75" customHeight="1" outlineLevel="1">
      <c r="A197" s="287">
        <v>45382</v>
      </c>
      <c r="B197" s="295">
        <f t="shared" si="28"/>
        <v>0</v>
      </c>
      <c r="C197" s="215">
        <f>'LSR Prepaid BPA interest'!I195</f>
        <v>115652.6929504149</v>
      </c>
      <c r="D197" s="209">
        <f>'LSR Prepaid BPA interest'!H195</f>
        <v>-598714.46764086466</v>
      </c>
      <c r="E197" s="296"/>
      <c r="F197" s="297">
        <f t="shared" si="37"/>
        <v>0</v>
      </c>
      <c r="G197" s="298">
        <f t="shared" si="29"/>
        <v>0</v>
      </c>
      <c r="H197" s="296">
        <f t="shared" si="33"/>
        <v>115652.6929504149</v>
      </c>
      <c r="I197" s="297">
        <f t="shared" si="38"/>
        <v>-115652.6929504149</v>
      </c>
      <c r="J197" s="298">
        <f t="shared" si="30"/>
        <v>0</v>
      </c>
      <c r="K197" s="296"/>
      <c r="L197" s="297">
        <f t="shared" si="35"/>
        <v>-20240.288359529844</v>
      </c>
      <c r="M197" s="298">
        <f t="shared" si="31"/>
        <v>2844106.2887915447</v>
      </c>
      <c r="N197" s="296">
        <f>'LSR Prepaid BPA interest'!G195</f>
        <v>0</v>
      </c>
      <c r="O197" s="297">
        <f t="shared" si="34"/>
        <v>-462821.4863309199</v>
      </c>
      <c r="P197" s="298">
        <f t="shared" si="32"/>
        <v>35679047.015799344</v>
      </c>
      <c r="Q197" s="300">
        <f t="shared" si="36"/>
        <v>38386543.362951644</v>
      </c>
      <c r="R197" s="204"/>
      <c r="S197" s="247"/>
      <c r="T197" s="295"/>
      <c r="V197" s="295"/>
      <c r="W197" s="295"/>
      <c r="X197" s="295"/>
    </row>
    <row r="198" spans="1:24" ht="12.75" customHeight="1" outlineLevel="1">
      <c r="A198" s="287">
        <v>45412</v>
      </c>
      <c r="B198" s="295">
        <f t="shared" si="28"/>
        <v>0</v>
      </c>
      <c r="C198" s="215">
        <f>'LSR Prepaid BPA interest'!I196</f>
        <v>111177.76851912968</v>
      </c>
      <c r="D198" s="209">
        <f>'LSR Prepaid BPA interest'!H196</f>
        <v>-598714.46764086466</v>
      </c>
      <c r="E198" s="296"/>
      <c r="F198" s="297">
        <f t="shared" si="37"/>
        <v>0</v>
      </c>
      <c r="G198" s="298">
        <f t="shared" si="29"/>
        <v>0</v>
      </c>
      <c r="H198" s="296">
        <f t="shared" si="33"/>
        <v>111177.76851912968</v>
      </c>
      <c r="I198" s="297">
        <f t="shared" si="38"/>
        <v>-111177.76851912968</v>
      </c>
      <c r="J198" s="298">
        <f t="shared" si="30"/>
        <v>0</v>
      </c>
      <c r="K198" s="296"/>
      <c r="L198" s="297">
        <f t="shared" si="35"/>
        <v>-20427.787693200695</v>
      </c>
      <c r="M198" s="298">
        <f t="shared" si="31"/>
        <v>2823678.5010983441</v>
      </c>
      <c r="N198" s="296">
        <f>'LSR Prepaid BPA interest'!G196</f>
        <v>0</v>
      </c>
      <c r="O198" s="297">
        <f t="shared" si="34"/>
        <v>-467108.91142853431</v>
      </c>
      <c r="P198" s="298">
        <f t="shared" si="32"/>
        <v>35211938.10437081</v>
      </c>
      <c r="Q198" s="300">
        <f t="shared" si="36"/>
        <v>37944289.541834749</v>
      </c>
      <c r="R198" s="204"/>
      <c r="S198" s="247"/>
      <c r="T198" s="295"/>
      <c r="V198" s="295"/>
      <c r="W198" s="295"/>
      <c r="X198" s="295"/>
    </row>
    <row r="199" spans="1:24" ht="12.75" customHeight="1" outlineLevel="1">
      <c r="A199" s="287">
        <v>45443</v>
      </c>
      <c r="B199" s="295">
        <f t="shared" si="28"/>
        <v>0</v>
      </c>
      <c r="C199" s="215">
        <f>'LSR Prepaid BPA interest'!I197</f>
        <v>113070.30152365162</v>
      </c>
      <c r="D199" s="209">
        <f>'LSR Prepaid BPA interest'!H197</f>
        <v>-598714.46764086466</v>
      </c>
      <c r="E199" s="296"/>
      <c r="F199" s="297">
        <f t="shared" si="37"/>
        <v>0</v>
      </c>
      <c r="G199" s="298">
        <f t="shared" si="29"/>
        <v>0</v>
      </c>
      <c r="H199" s="296">
        <f t="shared" si="33"/>
        <v>113070.30152365162</v>
      </c>
      <c r="I199" s="297">
        <f t="shared" si="38"/>
        <v>-113070.30152365162</v>
      </c>
      <c r="J199" s="298">
        <f t="shared" si="30"/>
        <v>0</v>
      </c>
      <c r="K199" s="296"/>
      <c r="L199" s="297">
        <f t="shared" si="35"/>
        <v>-20348.490560311227</v>
      </c>
      <c r="M199" s="298">
        <f t="shared" si="31"/>
        <v>2803330.0105380327</v>
      </c>
      <c r="N199" s="296">
        <f>'LSR Prepaid BPA interest'!G197</f>
        <v>0</v>
      </c>
      <c r="O199" s="297">
        <f t="shared" si="34"/>
        <v>-465295.67555690178</v>
      </c>
      <c r="P199" s="298">
        <f t="shared" si="32"/>
        <v>34746642.428813912</v>
      </c>
      <c r="Q199" s="300">
        <f t="shared" si="36"/>
        <v>37497929.155115701</v>
      </c>
      <c r="R199" s="204"/>
      <c r="S199" s="247"/>
      <c r="T199" s="295"/>
      <c r="V199" s="295"/>
      <c r="W199" s="295"/>
      <c r="X199" s="295"/>
    </row>
    <row r="200" spans="1:24" ht="12.75" customHeight="1" outlineLevel="1">
      <c r="A200" s="287">
        <v>45473</v>
      </c>
      <c r="B200" s="295">
        <f t="shared" ref="B200:B298" si="39">E200+K200+H200-C200</f>
        <v>0</v>
      </c>
      <c r="C200" s="215">
        <f>'LSR Prepaid BPA interest'!I198</f>
        <v>107667.97636535738</v>
      </c>
      <c r="D200" s="209">
        <f>'LSR Prepaid BPA interest'!H198</f>
        <v>-598714.46764086466</v>
      </c>
      <c r="E200" s="296"/>
      <c r="F200" s="297">
        <f t="shared" si="37"/>
        <v>0</v>
      </c>
      <c r="G200" s="298">
        <f t="shared" si="29"/>
        <v>0</v>
      </c>
      <c r="H200" s="296">
        <f t="shared" si="33"/>
        <v>107667.97636535738</v>
      </c>
      <c r="I200" s="297">
        <f t="shared" si="38"/>
        <v>-107667.97636535738</v>
      </c>
      <c r="J200" s="298">
        <f t="shared" si="30"/>
        <v>0</v>
      </c>
      <c r="K200" s="296"/>
      <c r="L200" s="297">
        <f t="shared" si="35"/>
        <v>-20574.847984443753</v>
      </c>
      <c r="M200" s="298">
        <f t="shared" si="31"/>
        <v>2782755.1625535889</v>
      </c>
      <c r="N200" s="296">
        <f>'LSR Prepaid BPA interest'!G198</f>
        <v>0</v>
      </c>
      <c r="O200" s="297">
        <f t="shared" si="34"/>
        <v>-470471.64329106349</v>
      </c>
      <c r="P200" s="298">
        <f t="shared" si="32"/>
        <v>34276170.785522848</v>
      </c>
      <c r="Q200" s="300">
        <f t="shared" si="36"/>
        <v>37047454.047742151</v>
      </c>
      <c r="R200" s="204"/>
      <c r="S200" s="247"/>
      <c r="T200" s="295"/>
      <c r="V200" s="295"/>
      <c r="W200" s="295"/>
      <c r="X200" s="295"/>
    </row>
    <row r="201" spans="1:24" ht="12.75" customHeight="1" outlineLevel="1">
      <c r="A201" s="287">
        <v>45504</v>
      </c>
      <c r="B201" s="295">
        <f t="shared" si="39"/>
        <v>0</v>
      </c>
      <c r="C201" s="215">
        <f>'LSR Prepaid BPA interest'!I199</f>
        <v>110448.8270750122</v>
      </c>
      <c r="D201" s="209">
        <f>'LSR Prepaid BPA interest'!H199</f>
        <v>-598714.46764086466</v>
      </c>
      <c r="E201" s="296"/>
      <c r="F201" s="297">
        <f t="shared" si="37"/>
        <v>0</v>
      </c>
      <c r="G201" s="298">
        <f t="shared" ref="G201:G220" si="40">G200+E201+F201</f>
        <v>0</v>
      </c>
      <c r="H201" s="296">
        <f t="shared" si="33"/>
        <v>110448.8270750122</v>
      </c>
      <c r="I201" s="297">
        <f t="shared" si="38"/>
        <v>-110448.8270750122</v>
      </c>
      <c r="J201" s="298">
        <f t="shared" ref="J201:J220" si="41">J200+H201+I201</f>
        <v>0</v>
      </c>
      <c r="K201" s="296"/>
      <c r="L201" s="297">
        <f>IF((F201+I201)&gt;D201,(D201-F201-I201)*$M$1,0)</f>
        <v>-20458.330339709217</v>
      </c>
      <c r="M201" s="298">
        <f>M200+K201+L201</f>
        <v>2762296.8322138796</v>
      </c>
      <c r="N201" s="296">
        <f>'LSR Prepaid BPA interest'!G199</f>
        <v>0</v>
      </c>
      <c r="O201" s="297">
        <f t="shared" si="34"/>
        <v>-467807.31022614322</v>
      </c>
      <c r="P201" s="298">
        <f t="shared" si="32"/>
        <v>33808363.475296706</v>
      </c>
      <c r="Q201" s="300">
        <f t="shared" si="36"/>
        <v>36592849.790599048</v>
      </c>
      <c r="R201" s="204"/>
      <c r="S201" s="247"/>
      <c r="T201" s="295"/>
      <c r="V201" s="295"/>
      <c r="W201" s="295"/>
      <c r="X201" s="295"/>
    </row>
    <row r="202" spans="1:24" ht="12.75" customHeight="1" outlineLevel="1">
      <c r="A202" s="287">
        <v>45535</v>
      </c>
      <c r="B202" s="295">
        <f t="shared" si="39"/>
        <v>0</v>
      </c>
      <c r="C202" s="215">
        <f>'LSR Prepaid BPA interest'!I200</f>
        <v>108635.43446222984</v>
      </c>
      <c r="D202" s="209">
        <f>'LSR Prepaid BPA interest'!H200</f>
        <v>-598714.46764086466</v>
      </c>
      <c r="E202" s="296"/>
      <c r="F202" s="297">
        <f t="shared" si="37"/>
        <v>0</v>
      </c>
      <c r="G202" s="298">
        <f t="shared" si="40"/>
        <v>0</v>
      </c>
      <c r="H202" s="296">
        <f t="shared" si="33"/>
        <v>108635.43446222984</v>
      </c>
      <c r="I202" s="297">
        <f>-J201-H202</f>
        <v>-108635.43446222984</v>
      </c>
      <c r="J202" s="298">
        <f t="shared" si="41"/>
        <v>0</v>
      </c>
      <c r="K202" s="296"/>
      <c r="L202" s="297">
        <f>IF((F202+I202)&gt;D202,(D202-F202-I202)*$M$1,0)</f>
        <v>-20534.311490184798</v>
      </c>
      <c r="M202" s="298">
        <f>M201+K202+L202</f>
        <v>2741762.5207236949</v>
      </c>
      <c r="N202" s="296">
        <f>'LSR Prepaid BPA interest'!G200</f>
        <v>0</v>
      </c>
      <c r="O202" s="297">
        <f>IF((I202+L202)&gt;D202,(D202-I202)*$P$1,0)</f>
        <v>-469544.72168845002</v>
      </c>
      <c r="P202" s="298">
        <f>P201+N202+O202</f>
        <v>33338818.753608257</v>
      </c>
      <c r="Q202" s="300">
        <f t="shared" si="36"/>
        <v>36134080.04160694</v>
      </c>
      <c r="R202" s="204"/>
      <c r="S202" s="247"/>
      <c r="T202" s="295"/>
      <c r="V202" s="295"/>
      <c r="W202" s="295"/>
      <c r="X202" s="295"/>
    </row>
    <row r="203" spans="1:24" ht="12.75" customHeight="1" outlineLevel="1">
      <c r="A203" s="287">
        <v>45565</v>
      </c>
      <c r="B203" s="295">
        <f t="shared" si="39"/>
        <v>0</v>
      </c>
      <c r="C203" s="215">
        <f>'LSR Prepaid BPA interest'!I201</f>
        <v>103376.16953172337</v>
      </c>
      <c r="D203" s="209">
        <f>'LSR Prepaid BPA interest'!H201</f>
        <v>-598714.46764086466</v>
      </c>
      <c r="E203" s="296"/>
      <c r="F203" s="297">
        <f t="shared" si="37"/>
        <v>0</v>
      </c>
      <c r="G203" s="298">
        <f t="shared" si="40"/>
        <v>0</v>
      </c>
      <c r="H203" s="296">
        <f t="shared" si="33"/>
        <v>103376.16953172337</v>
      </c>
      <c r="I203" s="297">
        <f t="shared" si="38"/>
        <v>-103376.16953172337</v>
      </c>
      <c r="J203" s="298">
        <f t="shared" si="41"/>
        <v>0</v>
      </c>
      <c r="K203" s="296"/>
      <c r="L203" s="297">
        <f>IF((F203+I203)&gt;D203,(D203-F203-I203)*$M$1,0)</f>
        <v>-20754.674690773019</v>
      </c>
      <c r="M203" s="298">
        <f>M202+K203+L203</f>
        <v>2721007.8460329217</v>
      </c>
      <c r="N203" s="296">
        <f>'LSR Prepaid BPA interest'!G201</f>
        <v>0</v>
      </c>
      <c r="O203" s="297">
        <f>IF((I203+L203)&gt;D203,(D203-I203)*$P$1,0)</f>
        <v>-474583.62341836822</v>
      </c>
      <c r="P203" s="298">
        <f>P202+N203+O203</f>
        <v>32864235.130189888</v>
      </c>
      <c r="Q203" s="300">
        <f t="shared" si="36"/>
        <v>35671158.888215639</v>
      </c>
      <c r="R203" s="204"/>
      <c r="S203" s="247"/>
      <c r="T203" s="295"/>
      <c r="V203" s="295"/>
      <c r="W203" s="295"/>
      <c r="X203" s="295"/>
    </row>
    <row r="204" spans="1:24" ht="12.75" customHeight="1" outlineLevel="1">
      <c r="A204" s="287">
        <v>45596</v>
      </c>
      <c r="B204" s="295">
        <f t="shared" si="39"/>
        <v>0</v>
      </c>
      <c r="C204" s="215">
        <f>'LSR Prepaid BPA interest'!I202</f>
        <v>105985.3207474091</v>
      </c>
      <c r="D204" s="209">
        <f>'LSR Prepaid BPA interest'!H202</f>
        <v>-598714.46764086466</v>
      </c>
      <c r="E204" s="296"/>
      <c r="F204" s="297">
        <f t="shared" si="37"/>
        <v>0</v>
      </c>
      <c r="G204" s="298">
        <f t="shared" si="40"/>
        <v>0</v>
      </c>
      <c r="H204" s="296">
        <f t="shared" si="33"/>
        <v>105985.3207474091</v>
      </c>
      <c r="I204" s="297">
        <f t="shared" si="38"/>
        <v>-105985.3207474091</v>
      </c>
      <c r="J204" s="298">
        <f t="shared" si="41"/>
        <v>0</v>
      </c>
      <c r="K204" s="296"/>
      <c r="L204" s="297">
        <f t="shared" ref="L204:L220" si="42">IF((F204+I204)&gt;D204,(D204-F204-I204)*$M$1,0)</f>
        <v>-20645.351254835787</v>
      </c>
      <c r="M204" s="298">
        <f t="shared" ref="M204:M220" si="43">M203+K204+L204</f>
        <v>2700362.494778086</v>
      </c>
      <c r="N204" s="296">
        <f>'LSR Prepaid BPA interest'!G202</f>
        <v>0</v>
      </c>
      <c r="O204" s="297">
        <f t="shared" ref="O204:O220" si="44">IF((I204+L204)&gt;D204,(D204-I204)*$P$1,0)</f>
        <v>-472083.79563861975</v>
      </c>
      <c r="P204" s="298">
        <f t="shared" ref="P204:P220" si="45">P203+N204+O204</f>
        <v>32392151.334551267</v>
      </c>
      <c r="Q204" s="300">
        <f t="shared" si="36"/>
        <v>35205467.003270358</v>
      </c>
      <c r="R204" s="204"/>
      <c r="S204" s="247"/>
      <c r="T204" s="295"/>
      <c r="V204" s="295"/>
      <c r="W204" s="295"/>
      <c r="X204" s="295"/>
    </row>
    <row r="205" spans="1:24" ht="12.75" customHeight="1" outlineLevel="1">
      <c r="A205" s="287">
        <v>45626</v>
      </c>
      <c r="B205" s="295">
        <f t="shared" si="39"/>
        <v>0</v>
      </c>
      <c r="C205" s="215">
        <f>'LSR Prepaid BPA interest'!I203</f>
        <v>100811.54335609041</v>
      </c>
      <c r="D205" s="209">
        <f>'LSR Prepaid BPA interest'!H203</f>
        <v>-598714.46764086466</v>
      </c>
      <c r="E205" s="296"/>
      <c r="F205" s="297">
        <f t="shared" si="37"/>
        <v>0</v>
      </c>
      <c r="G205" s="298">
        <f t="shared" si="40"/>
        <v>0</v>
      </c>
      <c r="H205" s="296">
        <f t="shared" ref="H205:H220" si="46">C205</f>
        <v>100811.54335609041</v>
      </c>
      <c r="I205" s="297">
        <f t="shared" si="38"/>
        <v>-100811.54335609041</v>
      </c>
      <c r="J205" s="298">
        <f t="shared" si="41"/>
        <v>0</v>
      </c>
      <c r="K205" s="296"/>
      <c r="L205" s="297">
        <f t="shared" si="42"/>
        <v>-20862.132527532041</v>
      </c>
      <c r="M205" s="298">
        <f t="shared" si="43"/>
        <v>2679500.3622505539</v>
      </c>
      <c r="N205" s="296">
        <f>'LSR Prepaid BPA interest'!G203</f>
        <v>0</v>
      </c>
      <c r="O205" s="297">
        <f t="shared" si="44"/>
        <v>-477040.79175724217</v>
      </c>
      <c r="P205" s="298">
        <f t="shared" si="45"/>
        <v>31915110.542794026</v>
      </c>
      <c r="Q205" s="300">
        <f t="shared" si="36"/>
        <v>34738389.474200226</v>
      </c>
      <c r="R205" s="204"/>
      <c r="S205" s="247"/>
      <c r="T205" s="295"/>
      <c r="V205" s="295"/>
      <c r="W205" s="295"/>
      <c r="X205" s="295"/>
    </row>
    <row r="206" spans="1:24" ht="12.75" customHeight="1" outlineLevel="1">
      <c r="A206" s="287">
        <v>45657</v>
      </c>
      <c r="B206" s="295">
        <f t="shared" si="39"/>
        <v>0</v>
      </c>
      <c r="C206" s="215">
        <f>'LSR Prepaid BPA interest'!I204</f>
        <v>102358.53552184439</v>
      </c>
      <c r="D206" s="209">
        <f>'LSR Prepaid BPA interest'!H204</f>
        <v>-598714.46764086466</v>
      </c>
      <c r="E206" s="296"/>
      <c r="F206" s="297">
        <f t="shared" si="37"/>
        <v>0</v>
      </c>
      <c r="G206" s="298">
        <f t="shared" si="40"/>
        <v>0</v>
      </c>
      <c r="H206" s="296">
        <f t="shared" si="46"/>
        <v>102358.53552184439</v>
      </c>
      <c r="I206" s="297">
        <f t="shared" si="38"/>
        <v>-102358.53552184439</v>
      </c>
      <c r="J206" s="298">
        <f t="shared" si="41"/>
        <v>0</v>
      </c>
      <c r="K206" s="296"/>
      <c r="L206" s="297">
        <f t="shared" si="42"/>
        <v>-20797.31355578695</v>
      </c>
      <c r="M206" s="298">
        <f t="shared" si="43"/>
        <v>2658703.0486947671</v>
      </c>
      <c r="N206" s="296">
        <f>'LSR Prepaid BPA interest'!G204</f>
        <v>0</v>
      </c>
      <c r="O206" s="297">
        <f t="shared" si="44"/>
        <v>-475558.61856323329</v>
      </c>
      <c r="P206" s="298">
        <f t="shared" si="45"/>
        <v>31439551.924230792</v>
      </c>
      <c r="Q206" s="300">
        <f t="shared" si="36"/>
        <v>34269926.301005252</v>
      </c>
      <c r="R206" s="204"/>
      <c r="S206" s="247"/>
      <c r="T206" s="295"/>
      <c r="V206" s="295"/>
      <c r="W206" s="295"/>
      <c r="X206" s="295"/>
    </row>
    <row r="207" spans="1:24" ht="12.75" customHeight="1" outlineLevel="1">
      <c r="A207" s="287">
        <v>45688</v>
      </c>
      <c r="B207" s="295">
        <f t="shared" si="39"/>
        <v>0</v>
      </c>
      <c r="C207" s="215">
        <f>'LSR Prepaid BPA interest'!I205</f>
        <v>101481.51600205142</v>
      </c>
      <c r="D207" s="209">
        <f>'LSR Prepaid BPA interest'!H205</f>
        <v>-598714.46764086466</v>
      </c>
      <c r="E207" s="296"/>
      <c r="F207" s="297">
        <f t="shared" si="37"/>
        <v>0</v>
      </c>
      <c r="G207" s="298">
        <f t="shared" si="40"/>
        <v>0</v>
      </c>
      <c r="H207" s="296">
        <f t="shared" si="46"/>
        <v>101481.51600205142</v>
      </c>
      <c r="I207" s="297">
        <f t="shared" si="38"/>
        <v>-101481.51600205142</v>
      </c>
      <c r="J207" s="298">
        <f t="shared" si="41"/>
        <v>0</v>
      </c>
      <c r="K207" s="296"/>
      <c r="L207" s="297">
        <f t="shared" si="42"/>
        <v>-20834.060673666274</v>
      </c>
      <c r="M207" s="298">
        <f t="shared" si="43"/>
        <v>2637868.9880211009</v>
      </c>
      <c r="N207" s="296">
        <f>'LSR Prepaid BPA interest'!G205</f>
        <v>0</v>
      </c>
      <c r="O207" s="297">
        <f t="shared" si="44"/>
        <v>-476398.89096514694</v>
      </c>
      <c r="P207" s="298">
        <f t="shared" si="45"/>
        <v>30963153.033265643</v>
      </c>
      <c r="Q207" s="300">
        <f t="shared" si="36"/>
        <v>33800048.438527502</v>
      </c>
      <c r="R207" s="204"/>
      <c r="S207" s="247"/>
      <c r="T207" s="295"/>
      <c r="V207" s="295"/>
      <c r="W207" s="295"/>
      <c r="X207" s="295"/>
    </row>
    <row r="208" spans="1:24" ht="12.75" customHeight="1" outlineLevel="1">
      <c r="A208" s="287">
        <v>45716</v>
      </c>
      <c r="B208" s="295">
        <f t="shared" si="39"/>
        <v>0</v>
      </c>
      <c r="C208" s="215">
        <f>'LSR Prepaid BPA interest'!I206</f>
        <v>90022.821125791379</v>
      </c>
      <c r="D208" s="209">
        <f>'LSR Prepaid BPA interest'!H206</f>
        <v>-598714.46764086466</v>
      </c>
      <c r="E208" s="296"/>
      <c r="F208" s="297">
        <f t="shared" si="37"/>
        <v>0</v>
      </c>
      <c r="G208" s="298">
        <f t="shared" si="40"/>
        <v>0</v>
      </c>
      <c r="H208" s="296">
        <f t="shared" si="46"/>
        <v>90022.821125791379</v>
      </c>
      <c r="I208" s="297">
        <f t="shared" si="38"/>
        <v>-90022.821125791379</v>
      </c>
      <c r="J208" s="298">
        <f t="shared" si="41"/>
        <v>0</v>
      </c>
      <c r="K208" s="296"/>
      <c r="L208" s="297">
        <f t="shared" si="42"/>
        <v>-21314.17998898157</v>
      </c>
      <c r="M208" s="298">
        <f t="shared" si="43"/>
        <v>2616554.8080321192</v>
      </c>
      <c r="N208" s="296">
        <f>'LSR Prepaid BPA interest'!G206</f>
        <v>0</v>
      </c>
      <c r="O208" s="297">
        <f t="shared" si="44"/>
        <v>-487377.46652609168</v>
      </c>
      <c r="P208" s="298">
        <f t="shared" si="45"/>
        <v>30475775.566739552</v>
      </c>
      <c r="Q208" s="300">
        <f t="shared" si="36"/>
        <v>33328667.046906535</v>
      </c>
      <c r="R208" s="204"/>
    </row>
    <row r="209" spans="1:18" ht="12.75" customHeight="1" outlineLevel="1">
      <c r="A209" s="287">
        <v>45747</v>
      </c>
      <c r="B209" s="295">
        <f t="shared" si="39"/>
        <v>0</v>
      </c>
      <c r="C209" s="215">
        <f>'LSR Prepaid BPA interest'!I207</f>
        <v>97854.730776486656</v>
      </c>
      <c r="D209" s="209">
        <f>'LSR Prepaid BPA interest'!H207</f>
        <v>-598714.46764086466</v>
      </c>
      <c r="E209" s="296"/>
      <c r="F209" s="297">
        <f t="shared" si="37"/>
        <v>0</v>
      </c>
      <c r="G209" s="298">
        <f t="shared" si="40"/>
        <v>0</v>
      </c>
      <c r="H209" s="296">
        <f t="shared" si="46"/>
        <v>97854.730776486656</v>
      </c>
      <c r="I209" s="297">
        <f t="shared" si="38"/>
        <v>-97854.730776486656</v>
      </c>
      <c r="J209" s="298">
        <f t="shared" si="41"/>
        <v>0</v>
      </c>
      <c r="K209" s="296"/>
      <c r="L209" s="297">
        <f t="shared" si="42"/>
        <v>-20986.022974617437</v>
      </c>
      <c r="M209" s="298">
        <f t="shared" si="43"/>
        <v>2595568.7850575019</v>
      </c>
      <c r="N209" s="296">
        <f>'LSR Prepaid BPA interest'!G207</f>
        <v>0</v>
      </c>
      <c r="O209" s="297">
        <f t="shared" si="44"/>
        <v>-479873.71388976049</v>
      </c>
      <c r="P209" s="298">
        <f t="shared" si="45"/>
        <v>29995901.852849793</v>
      </c>
      <c r="Q209" s="300">
        <f t="shared" si="36"/>
        <v>32855782.126142357</v>
      </c>
      <c r="R209" s="204"/>
    </row>
    <row r="210" spans="1:18" ht="12.75" customHeight="1" outlineLevel="1">
      <c r="A210" s="287">
        <v>45777</v>
      </c>
      <c r="B210" s="295">
        <f t="shared" si="39"/>
        <v>0</v>
      </c>
      <c r="C210" s="215">
        <f>'LSR Prepaid BPA interest'!I208</f>
        <v>93791.37282684994</v>
      </c>
      <c r="D210" s="209">
        <f>'LSR Prepaid BPA interest'!H208</f>
        <v>-598714.46764086466</v>
      </c>
      <c r="E210" s="296"/>
      <c r="F210" s="297">
        <f t="shared" si="37"/>
        <v>0</v>
      </c>
      <c r="G210" s="298">
        <f t="shared" si="40"/>
        <v>0</v>
      </c>
      <c r="H210" s="296">
        <f t="shared" si="46"/>
        <v>93791.37282684994</v>
      </c>
      <c r="I210" s="297">
        <f t="shared" si="38"/>
        <v>-93791.37282684994</v>
      </c>
      <c r="J210" s="298">
        <f t="shared" si="41"/>
        <v>0</v>
      </c>
      <c r="K210" s="296"/>
      <c r="L210" s="297">
        <f t="shared" si="42"/>
        <v>-21156.277672707216</v>
      </c>
      <c r="M210" s="298">
        <f t="shared" si="43"/>
        <v>2574412.5073847948</v>
      </c>
      <c r="N210" s="296">
        <f>'LSR Prepaid BPA interest'!G208</f>
        <v>0</v>
      </c>
      <c r="O210" s="297">
        <f t="shared" si="44"/>
        <v>-483766.81714130752</v>
      </c>
      <c r="P210" s="298">
        <f t="shared" si="45"/>
        <v>29512135.035708487</v>
      </c>
      <c r="Q210" s="300">
        <f t="shared" si="36"/>
        <v>32381492.616491858</v>
      </c>
      <c r="R210" s="204"/>
    </row>
    <row r="211" spans="1:18" ht="12.75" customHeight="1" outlineLevel="1">
      <c r="A211" s="287">
        <v>45808</v>
      </c>
      <c r="B211" s="295">
        <f t="shared" si="39"/>
        <v>0</v>
      </c>
      <c r="C211" s="215">
        <f>'LSR Prepaid BPA interest'!I209</f>
        <v>95104.359308295912</v>
      </c>
      <c r="D211" s="209">
        <f>'LSR Prepaid BPA interest'!H209</f>
        <v>-598714.46764086466</v>
      </c>
      <c r="E211" s="296"/>
      <c r="F211" s="297">
        <f t="shared" si="37"/>
        <v>0</v>
      </c>
      <c r="G211" s="298">
        <f t="shared" si="40"/>
        <v>0</v>
      </c>
      <c r="H211" s="296">
        <f t="shared" si="46"/>
        <v>95104.359308295912</v>
      </c>
      <c r="I211" s="297">
        <f t="shared" si="38"/>
        <v>-95104.359308295912</v>
      </c>
      <c r="J211" s="298">
        <f t="shared" si="41"/>
        <v>0</v>
      </c>
      <c r="K211" s="296"/>
      <c r="L211" s="297">
        <f t="shared" si="42"/>
        <v>-21101.26353913463</v>
      </c>
      <c r="M211" s="298">
        <f t="shared" si="43"/>
        <v>2553311.2438456602</v>
      </c>
      <c r="N211" s="296">
        <f>'LSR Prepaid BPA interest'!G209</f>
        <v>0</v>
      </c>
      <c r="O211" s="297">
        <f t="shared" si="44"/>
        <v>-482508.84479343414</v>
      </c>
      <c r="P211" s="298">
        <f t="shared" si="45"/>
        <v>29029626.190915052</v>
      </c>
      <c r="Q211" s="300">
        <f t="shared" si="36"/>
        <v>31905791.812051807</v>
      </c>
      <c r="R211" s="204"/>
    </row>
    <row r="212" spans="1:18" ht="12.75" customHeight="1" outlineLevel="1">
      <c r="A212" s="287">
        <v>45838</v>
      </c>
      <c r="B212" s="295">
        <f t="shared" si="39"/>
        <v>0</v>
      </c>
      <c r="C212" s="215">
        <f>'LSR Prepaid BPA interest'!I210</f>
        <v>90281.580673077624</v>
      </c>
      <c r="D212" s="209">
        <f>'LSR Prepaid BPA interest'!H210</f>
        <v>-598714.46764086466</v>
      </c>
      <c r="E212" s="296"/>
      <c r="F212" s="297">
        <f t="shared" si="37"/>
        <v>0</v>
      </c>
      <c r="G212" s="298">
        <f t="shared" si="40"/>
        <v>0</v>
      </c>
      <c r="H212" s="296">
        <f t="shared" si="46"/>
        <v>90281.580673077624</v>
      </c>
      <c r="I212" s="297">
        <f t="shared" si="38"/>
        <v>-90281.580673077624</v>
      </c>
      <c r="J212" s="298">
        <f t="shared" si="41"/>
        <v>0</v>
      </c>
      <c r="K212" s="296"/>
      <c r="L212" s="297">
        <f t="shared" si="42"/>
        <v>-21303.337963950278</v>
      </c>
      <c r="M212" s="298">
        <f t="shared" si="43"/>
        <v>2532007.9058817099</v>
      </c>
      <c r="N212" s="296">
        <f>'LSR Prepaid BPA interest'!G210</f>
        <v>0</v>
      </c>
      <c r="O212" s="297">
        <f t="shared" si="44"/>
        <v>-487129.54900383676</v>
      </c>
      <c r="P212" s="298">
        <f t="shared" si="45"/>
        <v>28542496.641911216</v>
      </c>
      <c r="Q212" s="300">
        <f t="shared" si="36"/>
        <v>31428679.71282221</v>
      </c>
      <c r="R212" s="204"/>
    </row>
    <row r="213" spans="1:18" ht="12.75" customHeight="1" outlineLevel="1">
      <c r="A213" s="287">
        <v>45869</v>
      </c>
      <c r="B213" s="295">
        <f t="shared" si="39"/>
        <v>0</v>
      </c>
      <c r="C213" s="215">
        <f>'LSR Prepaid BPA interest'!I211</f>
        <v>92323.149234268232</v>
      </c>
      <c r="D213" s="209">
        <f>'LSR Prepaid BPA interest'!H211</f>
        <v>-598714.46764086466</v>
      </c>
      <c r="E213" s="296"/>
      <c r="F213" s="297">
        <f t="shared" si="37"/>
        <v>0</v>
      </c>
      <c r="G213" s="298">
        <f t="shared" si="40"/>
        <v>0</v>
      </c>
      <c r="H213" s="296">
        <f t="shared" si="46"/>
        <v>92323.149234268232</v>
      </c>
      <c r="I213" s="297">
        <f t="shared" si="38"/>
        <v>-92323.149234268232</v>
      </c>
      <c r="J213" s="298">
        <f t="shared" si="41"/>
        <v>0</v>
      </c>
      <c r="K213" s="296"/>
      <c r="L213" s="297">
        <f t="shared" si="42"/>
        <v>-21217.796241236389</v>
      </c>
      <c r="M213" s="298">
        <f t="shared" si="43"/>
        <v>2510790.1096404735</v>
      </c>
      <c r="N213" s="296">
        <f>'LSR Prepaid BPA interest'!G211</f>
        <v>0</v>
      </c>
      <c r="O213" s="297">
        <f t="shared" si="44"/>
        <v>-485173.52216535999</v>
      </c>
      <c r="P213" s="298">
        <f t="shared" si="45"/>
        <v>28057323.119745854</v>
      </c>
      <c r="Q213" s="300">
        <f t="shared" ref="Q213:Q220" si="47">(P213+P201+SUM(P202:P212)*2)/24</f>
        <v>30950149.942023769</v>
      </c>
      <c r="R213" s="204"/>
    </row>
    <row r="214" spans="1:18" ht="12.75" customHeight="1" outlineLevel="1">
      <c r="A214" s="287">
        <v>45900</v>
      </c>
      <c r="B214" s="295">
        <f t="shared" si="39"/>
        <v>0</v>
      </c>
      <c r="C214" s="215">
        <f>'LSR Prepaid BPA interest'!I212</f>
        <v>90509.756621485853</v>
      </c>
      <c r="D214" s="209">
        <f>'LSR Prepaid BPA interest'!H212</f>
        <v>-598714.46764086466</v>
      </c>
      <c r="E214" s="296"/>
      <c r="F214" s="297">
        <f t="shared" si="37"/>
        <v>0</v>
      </c>
      <c r="G214" s="298">
        <f t="shared" si="40"/>
        <v>0</v>
      </c>
      <c r="H214" s="296">
        <f t="shared" si="46"/>
        <v>90509.756621485853</v>
      </c>
      <c r="I214" s="297">
        <f t="shared" si="38"/>
        <v>-90509.756621485853</v>
      </c>
      <c r="J214" s="298">
        <f t="shared" si="41"/>
        <v>0</v>
      </c>
      <c r="K214" s="296"/>
      <c r="L214" s="297">
        <f t="shared" si="42"/>
        <v>-21293.77739171197</v>
      </c>
      <c r="M214" s="298">
        <f t="shared" si="43"/>
        <v>2489496.3322487613</v>
      </c>
      <c r="N214" s="296">
        <f>'LSR Prepaid BPA interest'!G212</f>
        <v>0</v>
      </c>
      <c r="O214" s="297">
        <f t="shared" si="44"/>
        <v>-486910.93362766679</v>
      </c>
      <c r="P214" s="298">
        <f t="shared" si="45"/>
        <v>27570412.186118189</v>
      </c>
      <c r="Q214" s="300">
        <f t="shared" si="47"/>
        <v>30470172.986897066</v>
      </c>
      <c r="R214" s="204"/>
    </row>
    <row r="215" spans="1:18" ht="12.75" customHeight="1" outlineLevel="1">
      <c r="A215" s="287">
        <v>45930</v>
      </c>
      <c r="B215" s="295">
        <f t="shared" si="39"/>
        <v>0</v>
      </c>
      <c r="C215" s="215">
        <f>'LSR Prepaid BPA interest'!I213</f>
        <v>85835.190976164668</v>
      </c>
      <c r="D215" s="209">
        <f>'LSR Prepaid BPA interest'!H213</f>
        <v>-598714.46764086466</v>
      </c>
      <c r="E215" s="296"/>
      <c r="F215" s="297">
        <f t="shared" si="37"/>
        <v>0</v>
      </c>
      <c r="G215" s="298">
        <f t="shared" si="40"/>
        <v>0</v>
      </c>
      <c r="H215" s="296">
        <f t="shared" si="46"/>
        <v>85835.190976164668</v>
      </c>
      <c r="I215" s="297">
        <f t="shared" si="38"/>
        <v>-85835.190976164668</v>
      </c>
      <c r="J215" s="298">
        <f t="shared" si="41"/>
        <v>0</v>
      </c>
      <c r="K215" s="296"/>
      <c r="L215" s="297">
        <f t="shared" si="42"/>
        <v>-21489.641692250931</v>
      </c>
      <c r="M215" s="298">
        <f t="shared" si="43"/>
        <v>2468006.6905565104</v>
      </c>
      <c r="N215" s="296">
        <f>'LSR Prepaid BPA interest'!G213</f>
        <v>0</v>
      </c>
      <c r="O215" s="297">
        <f t="shared" si="44"/>
        <v>-491389.63497244904</v>
      </c>
      <c r="P215" s="298">
        <f t="shared" si="45"/>
        <v>27079022.55114574</v>
      </c>
      <c r="Q215" s="300">
        <f t="shared" si="47"/>
        <v>29988772.189124804</v>
      </c>
      <c r="R215" s="204"/>
    </row>
    <row r="216" spans="1:18" ht="12.75" customHeight="1" outlineLevel="1">
      <c r="A216" s="287">
        <v>45961</v>
      </c>
      <c r="B216" s="295">
        <f t="shared" si="39"/>
        <v>0</v>
      </c>
      <c r="C216" s="215">
        <f>'LSR Prepaid BPA interest'!I214</f>
        <v>87584.648461228207</v>
      </c>
      <c r="D216" s="209">
        <f>'LSR Prepaid BPA interest'!H214</f>
        <v>-635715.02174107009</v>
      </c>
      <c r="E216" s="296"/>
      <c r="F216" s="297">
        <f t="shared" si="37"/>
        <v>0</v>
      </c>
      <c r="G216" s="298">
        <f t="shared" si="40"/>
        <v>0</v>
      </c>
      <c r="H216" s="296">
        <f t="shared" si="46"/>
        <v>87584.648461228207</v>
      </c>
      <c r="I216" s="297">
        <f t="shared" si="38"/>
        <v>-87584.648461228207</v>
      </c>
      <c r="J216" s="298">
        <f t="shared" si="41"/>
        <v>0</v>
      </c>
      <c r="K216" s="296"/>
      <c r="L216" s="297">
        <f t="shared" si="42"/>
        <v>-22966.662640425373</v>
      </c>
      <c r="M216" s="298">
        <f t="shared" si="43"/>
        <v>2445040.027916085</v>
      </c>
      <c r="N216" s="296">
        <f>'LSR Prepaid BPA interest'!G214</f>
        <v>0</v>
      </c>
      <c r="O216" s="297">
        <f t="shared" si="44"/>
        <v>-525163.71063941647</v>
      </c>
      <c r="P216" s="298">
        <f t="shared" si="45"/>
        <v>26553858.840506323</v>
      </c>
      <c r="Q216" s="300">
        <f t="shared" si="47"/>
        <v>29504459.477746088</v>
      </c>
      <c r="R216" s="204"/>
    </row>
    <row r="217" spans="1:18" ht="12.75" customHeight="1" outlineLevel="1">
      <c r="A217" s="287">
        <v>45991</v>
      </c>
      <c r="B217" s="295">
        <f t="shared" si="39"/>
        <v>0</v>
      </c>
      <c r="C217" s="215">
        <f>'LSR Prepaid BPA interest'!I215</f>
        <v>82895.988566105691</v>
      </c>
      <c r="D217" s="209">
        <f>'LSR Prepaid BPA interest'!H215</f>
        <v>-635715.02174107009</v>
      </c>
      <c r="E217" s="296"/>
      <c r="F217" s="297">
        <f t="shared" si="37"/>
        <v>0</v>
      </c>
      <c r="G217" s="298">
        <f t="shared" si="40"/>
        <v>0</v>
      </c>
      <c r="H217" s="296">
        <f t="shared" si="46"/>
        <v>82895.988566105691</v>
      </c>
      <c r="I217" s="297">
        <f t="shared" si="38"/>
        <v>-82895.988566105691</v>
      </c>
      <c r="J217" s="298">
        <f t="shared" si="41"/>
        <v>0</v>
      </c>
      <c r="K217" s="296"/>
      <c r="L217" s="297">
        <f t="shared" si="42"/>
        <v>-23163.117490031007</v>
      </c>
      <c r="M217" s="298">
        <f t="shared" si="43"/>
        <v>2421876.9104260541</v>
      </c>
      <c r="N217" s="296">
        <f>'LSR Prepaid BPA interest'!G215</f>
        <v>0</v>
      </c>
      <c r="O217" s="297">
        <f t="shared" si="44"/>
        <v>-529655.91568493331</v>
      </c>
      <c r="P217" s="298">
        <f t="shared" si="45"/>
        <v>26024202.924821388</v>
      </c>
      <c r="Q217" s="300">
        <f t="shared" si="47"/>
        <v>29015742.806412026</v>
      </c>
      <c r="R217" s="204"/>
    </row>
    <row r="218" spans="1:18" ht="12.75" customHeight="1" outlineLevel="1">
      <c r="A218" s="287">
        <v>46022</v>
      </c>
      <c r="B218" s="295">
        <f t="shared" si="39"/>
        <v>0</v>
      </c>
      <c r="C218" s="215">
        <f>'LSR Prepaid BPA interest'!I216</f>
        <v>83733.727908723566</v>
      </c>
      <c r="D218" s="209">
        <f>'LSR Prepaid BPA interest'!H216</f>
        <v>-635715.02174107009</v>
      </c>
      <c r="E218" s="296"/>
      <c r="F218" s="297">
        <f t="shared" si="37"/>
        <v>0</v>
      </c>
      <c r="G218" s="298">
        <f t="shared" si="40"/>
        <v>0</v>
      </c>
      <c r="H218" s="296">
        <f t="shared" si="46"/>
        <v>83733.727908723566</v>
      </c>
      <c r="I218" s="297">
        <f t="shared" si="38"/>
        <v>-83733.727908723566</v>
      </c>
      <c r="J218" s="298">
        <f t="shared" si="41"/>
        <v>0</v>
      </c>
      <c r="K218" s="296"/>
      <c r="L218" s="297">
        <f t="shared" si="42"/>
        <v>-23128.016211575319</v>
      </c>
      <c r="M218" s="298">
        <f t="shared" si="43"/>
        <v>2398748.8942144788</v>
      </c>
      <c r="N218" s="296">
        <f>'LSR Prepaid BPA interest'!G216</f>
        <v>0</v>
      </c>
      <c r="O218" s="297">
        <f t="shared" si="44"/>
        <v>-528853.2776207712</v>
      </c>
      <c r="P218" s="298">
        <f t="shared" si="45"/>
        <v>25495349.647200618</v>
      </c>
      <c r="Q218" s="300">
        <f t="shared" si="47"/>
        <v>28522613.227453575</v>
      </c>
      <c r="R218" s="204"/>
    </row>
    <row r="219" spans="1:18" ht="12.75" customHeight="1" outlineLevel="1">
      <c r="A219" s="287">
        <v>46053</v>
      </c>
      <c r="B219" s="295">
        <f t="shared" si="39"/>
        <v>0</v>
      </c>
      <c r="C219" s="215">
        <f>'LSR Prepaid BPA interest'!I217</f>
        <v>82578.234747604874</v>
      </c>
      <c r="D219" s="209">
        <f>'LSR Prepaid BPA interest'!H217</f>
        <v>-635715.02174107009</v>
      </c>
      <c r="E219" s="296"/>
      <c r="F219" s="297">
        <f t="shared" si="37"/>
        <v>0</v>
      </c>
      <c r="G219" s="298">
        <f t="shared" si="40"/>
        <v>0</v>
      </c>
      <c r="H219" s="296">
        <f t="shared" si="46"/>
        <v>82578.234747604874</v>
      </c>
      <c r="I219" s="297">
        <f t="shared" si="38"/>
        <v>-82578.234747604874</v>
      </c>
      <c r="J219" s="298">
        <f t="shared" si="41"/>
        <v>0</v>
      </c>
      <c r="K219" s="296"/>
      <c r="L219" s="297">
        <f t="shared" si="42"/>
        <v>-23176.43137502619</v>
      </c>
      <c r="M219" s="298">
        <f t="shared" si="43"/>
        <v>2375572.4628394525</v>
      </c>
      <c r="N219" s="296">
        <f>'LSR Prepaid BPA interest'!G217</f>
        <v>0</v>
      </c>
      <c r="O219" s="297">
        <f t="shared" si="44"/>
        <v>-529960.35561843892</v>
      </c>
      <c r="P219" s="298">
        <f t="shared" si="45"/>
        <v>24965389.291582178</v>
      </c>
      <c r="Q219" s="300">
        <f t="shared" si="47"/>
        <v>28025031.310007174</v>
      </c>
      <c r="R219" s="204"/>
    </row>
    <row r="220" spans="1:18" ht="12.75" customHeight="1" outlineLevel="1">
      <c r="A220" s="287">
        <v>46081</v>
      </c>
      <c r="B220" s="295">
        <f t="shared" si="39"/>
        <v>0</v>
      </c>
      <c r="C220" s="215">
        <f>'LSR Prepaid BPA interest'!I218</f>
        <v>72847.667264447475</v>
      </c>
      <c r="D220" s="209">
        <f>'LSR Prepaid BPA interest'!H218</f>
        <v>-635715.02174107009</v>
      </c>
      <c r="E220" s="296"/>
      <c r="F220" s="297">
        <f t="shared" si="37"/>
        <v>0</v>
      </c>
      <c r="G220" s="298">
        <f t="shared" si="40"/>
        <v>0</v>
      </c>
      <c r="H220" s="296">
        <f t="shared" si="46"/>
        <v>72847.667264447475</v>
      </c>
      <c r="I220" s="297">
        <f t="shared" si="38"/>
        <v>-72847.667264447475</v>
      </c>
      <c r="J220" s="298">
        <f t="shared" si="41"/>
        <v>0</v>
      </c>
      <c r="K220" s="296"/>
      <c r="L220" s="297">
        <f t="shared" si="42"/>
        <v>-23584.14215257049</v>
      </c>
      <c r="M220" s="298">
        <f t="shared" si="43"/>
        <v>2351988.3206868819</v>
      </c>
      <c r="N220" s="296">
        <f>'LSR Prepaid BPA interest'!G218</f>
        <v>0</v>
      </c>
      <c r="O220" s="297">
        <f t="shared" si="44"/>
        <v>-539283.21232405212</v>
      </c>
      <c r="P220" s="298">
        <f t="shared" si="45"/>
        <v>24426106.079258125</v>
      </c>
      <c r="Q220" s="300">
        <f t="shared" si="47"/>
        <v>27523054.925458636</v>
      </c>
      <c r="R220" s="204"/>
    </row>
    <row r="221" spans="1:18" ht="12.75" customHeight="1" outlineLevel="1">
      <c r="A221" s="287">
        <v>46112</v>
      </c>
      <c r="B221" s="295">
        <f t="shared" si="39"/>
        <v>0</v>
      </c>
      <c r="C221" s="215">
        <f>'LSR Prepaid BPA interest'!I219</f>
        <v>78727.314195100233</v>
      </c>
      <c r="D221" s="209">
        <f>'LSR Prepaid BPA interest'!H219</f>
        <v>-635715.02174107009</v>
      </c>
      <c r="E221" s="296"/>
      <c r="F221" s="297">
        <f t="shared" ref="F221:F284" si="48">-MIN(ABS(D221),ABS(G220))</f>
        <v>0</v>
      </c>
      <c r="G221" s="298">
        <f t="shared" ref="G221:G284" si="49">G220+E221+F221</f>
        <v>0</v>
      </c>
      <c r="H221" s="296">
        <f t="shared" ref="H221:H284" si="50">C221</f>
        <v>78727.314195100233</v>
      </c>
      <c r="I221" s="297">
        <f t="shared" ref="I221:I284" si="51">-J220-H221</f>
        <v>-78727.314195100233</v>
      </c>
      <c r="J221" s="298">
        <f t="shared" ref="J221:J284" si="52">J220+H221+I221</f>
        <v>0</v>
      </c>
      <c r="K221" s="296"/>
      <c r="L221" s="297">
        <f t="shared" ref="L221:L284" si="53">IF((F221+I221)&gt;D221,(D221-F221-I221)*$M$1,0)</f>
        <v>-23337.784946176136</v>
      </c>
      <c r="M221" s="298">
        <f t="shared" ref="M221:M284" si="54">M220+K221+L221</f>
        <v>2328650.5357407057</v>
      </c>
      <c r="N221" s="296">
        <f>'LSR Prepaid BPA interest'!G219</f>
        <v>0</v>
      </c>
      <c r="O221" s="297">
        <f t="shared" ref="O221:O284" si="55">IF((I221+L221)&gt;D221,(D221-I221)*$P$1,0)</f>
        <v>-533649.92259979376</v>
      </c>
      <c r="P221" s="298">
        <f t="shared" ref="P221:P284" si="56">P220+N221+O221</f>
        <v>23892456.156658333</v>
      </c>
      <c r="Q221" s="300">
        <f t="shared" ref="Q221:Q284" si="57">(P221+P209+SUM(P210:P220)*2)/24</f>
        <v>27016675.126138937</v>
      </c>
      <c r="R221" s="204"/>
    </row>
    <row r="222" spans="1:18" ht="12.75" customHeight="1" outlineLevel="1">
      <c r="A222" s="287">
        <v>46142</v>
      </c>
      <c r="B222" s="295">
        <f t="shared" si="39"/>
        <v>0</v>
      </c>
      <c r="C222" s="215">
        <f>'LSR Prepaid BPA interest'!I220</f>
        <v>75010.702855989352</v>
      </c>
      <c r="D222" s="209">
        <f>'LSR Prepaid BPA interest'!H220</f>
        <v>-635715.02174107009</v>
      </c>
      <c r="E222" s="296"/>
      <c r="F222" s="297">
        <f t="shared" si="48"/>
        <v>0</v>
      </c>
      <c r="G222" s="298">
        <f t="shared" si="49"/>
        <v>0</v>
      </c>
      <c r="H222" s="296">
        <f t="shared" si="50"/>
        <v>75010.702855989352</v>
      </c>
      <c r="I222" s="297">
        <f t="shared" si="51"/>
        <v>-75010.702855989352</v>
      </c>
      <c r="J222" s="298">
        <f t="shared" si="52"/>
        <v>0</v>
      </c>
      <c r="K222" s="296"/>
      <c r="L222" s="297">
        <f t="shared" si="53"/>
        <v>-23493.510961284883</v>
      </c>
      <c r="M222" s="298">
        <f t="shared" si="54"/>
        <v>2305157.0247794208</v>
      </c>
      <c r="N222" s="296">
        <f>'LSR Prepaid BPA interest'!G220</f>
        <v>0</v>
      </c>
      <c r="O222" s="297">
        <f t="shared" si="55"/>
        <v>-537210.80792379589</v>
      </c>
      <c r="P222" s="298">
        <f t="shared" si="56"/>
        <v>23355245.348734535</v>
      </c>
      <c r="Q222" s="300">
        <f t="shared" si="57"/>
        <v>26505827.818507042</v>
      </c>
      <c r="R222" s="204"/>
    </row>
    <row r="223" spans="1:18" ht="12.75" customHeight="1" outlineLevel="1">
      <c r="A223" s="287">
        <v>46173</v>
      </c>
      <c r="B223" s="295">
        <f t="shared" si="39"/>
        <v>0</v>
      </c>
      <c r="C223" s="215">
        <f>'LSR Prepaid BPA interest'!I221</f>
        <v>75585.599341603331</v>
      </c>
      <c r="D223" s="209">
        <f>'LSR Prepaid BPA interest'!H221</f>
        <v>-635715.02174107009</v>
      </c>
      <c r="E223" s="296"/>
      <c r="F223" s="297">
        <f t="shared" si="48"/>
        <v>0</v>
      </c>
      <c r="G223" s="298">
        <f t="shared" si="49"/>
        <v>0</v>
      </c>
      <c r="H223" s="296">
        <f t="shared" si="50"/>
        <v>75585.599341603331</v>
      </c>
      <c r="I223" s="297">
        <f t="shared" si="51"/>
        <v>-75585.599341603331</v>
      </c>
      <c r="J223" s="298">
        <f t="shared" si="52"/>
        <v>0</v>
      </c>
      <c r="K223" s="296"/>
      <c r="L223" s="297">
        <f t="shared" si="53"/>
        <v>-23469.422798537656</v>
      </c>
      <c r="M223" s="298">
        <f t="shared" si="54"/>
        <v>2281687.6019808832</v>
      </c>
      <c r="N223" s="296">
        <f>'LSR Prepaid BPA interest'!G221</f>
        <v>0</v>
      </c>
      <c r="O223" s="297">
        <f t="shared" si="55"/>
        <v>-536659.99960092909</v>
      </c>
      <c r="P223" s="298">
        <f t="shared" si="56"/>
        <v>22818585.349133607</v>
      </c>
      <c r="Q223" s="300">
        <f t="shared" si="57"/>
        <v>25990497.379808903</v>
      </c>
      <c r="R223" s="204"/>
    </row>
    <row r="224" spans="1:18" ht="12.75" customHeight="1" outlineLevel="1">
      <c r="A224" s="287">
        <v>46203</v>
      </c>
      <c r="B224" s="295">
        <f t="shared" si="39"/>
        <v>0</v>
      </c>
      <c r="C224" s="215">
        <f>'LSR Prepaid BPA interest'!I222</f>
        <v>71284.005547113891</v>
      </c>
      <c r="D224" s="209">
        <f>'LSR Prepaid BPA interest'!H222</f>
        <v>-635715.02174107009</v>
      </c>
      <c r="E224" s="296"/>
      <c r="F224" s="297">
        <f t="shared" si="48"/>
        <v>0</v>
      </c>
      <c r="G224" s="298">
        <f t="shared" si="49"/>
        <v>0</v>
      </c>
      <c r="H224" s="296">
        <f t="shared" si="50"/>
        <v>71284.005547113891</v>
      </c>
      <c r="I224" s="297">
        <f t="shared" si="51"/>
        <v>-71284.005547113891</v>
      </c>
      <c r="J224" s="298">
        <f t="shared" si="52"/>
        <v>0</v>
      </c>
      <c r="K224" s="296"/>
      <c r="L224" s="297">
        <f t="shared" si="53"/>
        <v>-23649.659578526764</v>
      </c>
      <c r="M224" s="298">
        <f t="shared" si="54"/>
        <v>2258037.9424023563</v>
      </c>
      <c r="N224" s="296">
        <f>'LSR Prepaid BPA interest'!G222</f>
        <v>0</v>
      </c>
      <c r="O224" s="297">
        <f t="shared" si="55"/>
        <v>-540781.35661542939</v>
      </c>
      <c r="P224" s="298">
        <f t="shared" si="56"/>
        <v>22277803.992518179</v>
      </c>
      <c r="Q224" s="300">
        <f t="shared" si="57"/>
        <v>25470675.151009958</v>
      </c>
      <c r="R224" s="204"/>
    </row>
    <row r="225" spans="1:18" ht="12.75" customHeight="1" outlineLevel="1">
      <c r="A225" s="287">
        <v>46234</v>
      </c>
      <c r="B225" s="295">
        <f t="shared" si="39"/>
        <v>0</v>
      </c>
      <c r="C225" s="215">
        <f>'LSR Prepaid BPA interest'!I223</f>
        <v>72406.712175182634</v>
      </c>
      <c r="D225" s="209">
        <f>'LSR Prepaid BPA interest'!H223</f>
        <v>-635715.02174107009</v>
      </c>
      <c r="E225" s="296"/>
      <c r="F225" s="297">
        <f t="shared" si="48"/>
        <v>0</v>
      </c>
      <c r="G225" s="298">
        <f t="shared" si="49"/>
        <v>0</v>
      </c>
      <c r="H225" s="296">
        <f t="shared" si="50"/>
        <v>72406.712175182634</v>
      </c>
      <c r="I225" s="297">
        <f t="shared" si="51"/>
        <v>-72406.712175182634</v>
      </c>
      <c r="J225" s="298">
        <f t="shared" si="52"/>
        <v>0</v>
      </c>
      <c r="K225" s="296"/>
      <c r="L225" s="297">
        <f t="shared" si="53"/>
        <v>-23602.618170810685</v>
      </c>
      <c r="M225" s="298">
        <f t="shared" si="54"/>
        <v>2234435.3242315454</v>
      </c>
      <c r="N225" s="296">
        <f>'LSR Prepaid BPA interest'!G223</f>
        <v>0</v>
      </c>
      <c r="O225" s="297">
        <f t="shared" si="55"/>
        <v>-539705.69139507669</v>
      </c>
      <c r="P225" s="298">
        <f t="shared" si="56"/>
        <v>21738098.301123101</v>
      </c>
      <c r="Q225" s="300">
        <f t="shared" si="57"/>
        <v>24946345.256509308</v>
      </c>
      <c r="R225" s="204"/>
    </row>
    <row r="226" spans="1:18" ht="12.75" customHeight="1" outlineLevel="1">
      <c r="A226" s="287">
        <v>46265</v>
      </c>
      <c r="B226" s="295">
        <f t="shared" si="39"/>
        <v>0</v>
      </c>
      <c r="C226" s="215">
        <f>'LSR Prepaid BPA interest'!I224</f>
        <v>70481.251898930306</v>
      </c>
      <c r="D226" s="209">
        <f>'LSR Prepaid BPA interest'!H224</f>
        <v>-635715.02174107009</v>
      </c>
      <c r="E226" s="296"/>
      <c r="F226" s="297">
        <f t="shared" si="48"/>
        <v>0</v>
      </c>
      <c r="G226" s="298">
        <f t="shared" si="49"/>
        <v>0</v>
      </c>
      <c r="H226" s="296">
        <f t="shared" si="50"/>
        <v>70481.251898930306</v>
      </c>
      <c r="I226" s="297">
        <f t="shared" si="51"/>
        <v>-70481.251898930306</v>
      </c>
      <c r="J226" s="298">
        <f t="shared" si="52"/>
        <v>0</v>
      </c>
      <c r="K226" s="296"/>
      <c r="L226" s="297">
        <f t="shared" si="53"/>
        <v>-23683.294956385656</v>
      </c>
      <c r="M226" s="298">
        <f t="shared" si="54"/>
        <v>2210752.0292751598</v>
      </c>
      <c r="N226" s="296">
        <f>'LSR Prepaid BPA interest'!G224</f>
        <v>0</v>
      </c>
      <c r="O226" s="297">
        <f t="shared" si="55"/>
        <v>-541550.47488575405</v>
      </c>
      <c r="P226" s="298">
        <f t="shared" si="56"/>
        <v>21196547.826237347</v>
      </c>
      <c r="Q226" s="300">
        <f t="shared" si="57"/>
        <v>24417466.540738326</v>
      </c>
      <c r="R226" s="204"/>
    </row>
    <row r="227" spans="1:18" ht="12.75" customHeight="1" outlineLevel="1">
      <c r="A227" s="287">
        <v>46295</v>
      </c>
      <c r="B227" s="295">
        <f t="shared" si="39"/>
        <v>0</v>
      </c>
      <c r="C227" s="215">
        <f>'LSR Prepaid BPA interest'!I225</f>
        <v>66344.314473559352</v>
      </c>
      <c r="D227" s="209">
        <f>'LSR Prepaid BPA interest'!H225</f>
        <v>-635715.02174107009</v>
      </c>
      <c r="E227" s="296"/>
      <c r="F227" s="297">
        <f t="shared" si="48"/>
        <v>0</v>
      </c>
      <c r="G227" s="298">
        <f t="shared" si="49"/>
        <v>0</v>
      </c>
      <c r="H227" s="296">
        <f t="shared" si="50"/>
        <v>66344.314473559352</v>
      </c>
      <c r="I227" s="297">
        <f t="shared" si="51"/>
        <v>-66344.314473559352</v>
      </c>
      <c r="J227" s="298">
        <f t="shared" si="52"/>
        <v>0</v>
      </c>
      <c r="K227" s="296"/>
      <c r="L227" s="297">
        <f t="shared" si="53"/>
        <v>-23856.6326345087</v>
      </c>
      <c r="M227" s="298">
        <f t="shared" si="54"/>
        <v>2186895.3966406509</v>
      </c>
      <c r="N227" s="296">
        <f>'LSR Prepaid BPA interest'!G225</f>
        <v>0</v>
      </c>
      <c r="O227" s="297">
        <f t="shared" si="55"/>
        <v>-545514.07463300193</v>
      </c>
      <c r="P227" s="298">
        <f t="shared" si="56"/>
        <v>20651033.751604345</v>
      </c>
      <c r="Q227" s="300">
        <f t="shared" si="57"/>
        <v>23884055.992429066</v>
      </c>
      <c r="R227" s="204"/>
    </row>
    <row r="228" spans="1:18" ht="12.75" customHeight="1" outlineLevel="1">
      <c r="A228" s="287">
        <v>46326</v>
      </c>
      <c r="B228" s="295">
        <f t="shared" si="39"/>
        <v>0</v>
      </c>
      <c r="C228" s="215">
        <f>'LSR Prepaid BPA interest'!I226</f>
        <v>67264.056249999514</v>
      </c>
      <c r="D228" s="209">
        <f>'LSR Prepaid BPA interest'!H226</f>
        <v>-635715.02174107009</v>
      </c>
      <c r="E228" s="296"/>
      <c r="F228" s="297">
        <f t="shared" si="48"/>
        <v>0</v>
      </c>
      <c r="G228" s="298">
        <f t="shared" si="49"/>
        <v>0</v>
      </c>
      <c r="H228" s="296">
        <f t="shared" si="50"/>
        <v>67264.056249999514</v>
      </c>
      <c r="I228" s="297">
        <f t="shared" si="51"/>
        <v>-67264.056249999514</v>
      </c>
      <c r="J228" s="298">
        <f t="shared" si="52"/>
        <v>0</v>
      </c>
      <c r="K228" s="296"/>
      <c r="L228" s="297">
        <f t="shared" si="53"/>
        <v>-23818.095454075854</v>
      </c>
      <c r="M228" s="298">
        <f t="shared" si="54"/>
        <v>2163077.3011865751</v>
      </c>
      <c r="N228" s="296">
        <f>'LSR Prepaid BPA interest'!G226</f>
        <v>0</v>
      </c>
      <c r="O228" s="297">
        <f t="shared" si="55"/>
        <v>-544632.87003699469</v>
      </c>
      <c r="P228" s="298">
        <f t="shared" si="56"/>
        <v>20106400.881567352</v>
      </c>
      <c r="Q228" s="300">
        <f t="shared" si="57"/>
        <v>23347579.044159055</v>
      </c>
      <c r="R228" s="204"/>
    </row>
    <row r="229" spans="1:18" ht="12.75" customHeight="1" outlineLevel="1">
      <c r="A229" s="287">
        <v>46356</v>
      </c>
      <c r="B229" s="295">
        <f t="shared" si="39"/>
        <v>0</v>
      </c>
      <c r="C229" s="215">
        <f>'LSR Prepaid BPA interest'!I227</f>
        <v>63230.899329432774</v>
      </c>
      <c r="D229" s="209">
        <f>'LSR Prepaid BPA interest'!H227</f>
        <v>-635715.02174107009</v>
      </c>
      <c r="E229" s="296"/>
      <c r="F229" s="297">
        <f t="shared" si="48"/>
        <v>0</v>
      </c>
      <c r="G229" s="298">
        <f t="shared" si="49"/>
        <v>0</v>
      </c>
      <c r="H229" s="296">
        <f t="shared" si="50"/>
        <v>63230.899329432774</v>
      </c>
      <c r="I229" s="297">
        <f t="shared" si="51"/>
        <v>-63230.899329432774</v>
      </c>
      <c r="J229" s="298">
        <f t="shared" si="52"/>
        <v>0</v>
      </c>
      <c r="K229" s="296"/>
      <c r="L229" s="297">
        <f t="shared" si="53"/>
        <v>-23987.084729047605</v>
      </c>
      <c r="M229" s="298">
        <f t="shared" si="54"/>
        <v>2139090.2164575276</v>
      </c>
      <c r="N229" s="296">
        <f>'LSR Prepaid BPA interest'!G227</f>
        <v>0</v>
      </c>
      <c r="O229" s="297">
        <f t="shared" si="55"/>
        <v>-548497.03768258973</v>
      </c>
      <c r="P229" s="298">
        <f t="shared" si="56"/>
        <v>19557903.843884762</v>
      </c>
      <c r="Q229" s="300">
        <f t="shared" si="57"/>
        <v>22809505.834164236</v>
      </c>
      <c r="R229" s="204"/>
    </row>
    <row r="230" spans="1:18" ht="12.75" customHeight="1" outlineLevel="1">
      <c r="A230" s="287">
        <v>46387</v>
      </c>
      <c r="B230" s="295">
        <f t="shared" si="39"/>
        <v>0</v>
      </c>
      <c r="C230" s="215">
        <f>'LSR Prepaid BPA interest'!I228</f>
        <v>63413.135697494879</v>
      </c>
      <c r="D230" s="209">
        <f>'LSR Prepaid BPA interest'!H228</f>
        <v>-635715.02174107009</v>
      </c>
      <c r="E230" s="296"/>
      <c r="F230" s="297">
        <f t="shared" si="48"/>
        <v>0</v>
      </c>
      <c r="G230" s="298">
        <f t="shared" si="49"/>
        <v>0</v>
      </c>
      <c r="H230" s="296">
        <f t="shared" si="50"/>
        <v>63413.135697494879</v>
      </c>
      <c r="I230" s="297">
        <f t="shared" si="51"/>
        <v>-63413.135697494879</v>
      </c>
      <c r="J230" s="298">
        <f t="shared" si="52"/>
        <v>0</v>
      </c>
      <c r="K230" s="296"/>
      <c r="L230" s="297">
        <f t="shared" si="53"/>
        <v>-23979.449025225804</v>
      </c>
      <c r="M230" s="298">
        <f t="shared" si="54"/>
        <v>2115110.7674323018</v>
      </c>
      <c r="N230" s="296">
        <f>'LSR Prepaid BPA interest'!G228</f>
        <v>0</v>
      </c>
      <c r="O230" s="297">
        <f t="shared" si="55"/>
        <v>-548322.43701834942</v>
      </c>
      <c r="P230" s="298">
        <f t="shared" si="56"/>
        <v>19009581.406866413</v>
      </c>
      <c r="Q230" s="300">
        <f t="shared" si="57"/>
        <v>22269836.362444617</v>
      </c>
      <c r="R230" s="204"/>
    </row>
    <row r="231" spans="1:18" ht="12.75" customHeight="1" outlineLevel="1">
      <c r="A231" s="287">
        <v>46418</v>
      </c>
      <c r="B231" s="295">
        <f t="shared" si="39"/>
        <v>0</v>
      </c>
      <c r="C231" s="215">
        <f>'LSR Prepaid BPA interest'!I229</f>
        <v>62074.986266871281</v>
      </c>
      <c r="D231" s="209">
        <f>'LSR Prepaid BPA interest'!H229</f>
        <v>-635715.02174107009</v>
      </c>
      <c r="E231" s="296"/>
      <c r="F231" s="297">
        <f t="shared" si="48"/>
        <v>0</v>
      </c>
      <c r="G231" s="298">
        <f t="shared" si="49"/>
        <v>0</v>
      </c>
      <c r="H231" s="296">
        <f t="shared" si="50"/>
        <v>62074.986266871281</v>
      </c>
      <c r="I231" s="297">
        <f t="shared" si="51"/>
        <v>-62074.986266871281</v>
      </c>
      <c r="J231" s="298">
        <f t="shared" si="52"/>
        <v>0</v>
      </c>
      <c r="K231" s="296"/>
      <c r="L231" s="297">
        <f t="shared" si="53"/>
        <v>-24035.517486368928</v>
      </c>
      <c r="M231" s="298">
        <f t="shared" si="54"/>
        <v>2091075.2499459328</v>
      </c>
      <c r="N231" s="296">
        <f>'LSR Prepaid BPA interest'!G229</f>
        <v>0</v>
      </c>
      <c r="O231" s="297">
        <f t="shared" si="55"/>
        <v>-549604.51798782975</v>
      </c>
      <c r="P231" s="298">
        <f t="shared" si="56"/>
        <v>18459976.888878584</v>
      </c>
      <c r="Q231" s="300">
        <f t="shared" si="57"/>
        <v>21728537.168984707</v>
      </c>
      <c r="R231" s="204"/>
    </row>
    <row r="232" spans="1:18" ht="12.75" customHeight="1" outlineLevel="1">
      <c r="A232" s="287">
        <v>46446</v>
      </c>
      <c r="B232" s="295">
        <f t="shared" si="39"/>
        <v>0</v>
      </c>
      <c r="C232" s="215">
        <f>'LSR Prepaid BPA interest'!I230</f>
        <v>54328.604120559059</v>
      </c>
      <c r="D232" s="209">
        <f>'LSR Prepaid BPA interest'!H230</f>
        <v>-635715.02174107009</v>
      </c>
      <c r="E232" s="296"/>
      <c r="F232" s="297">
        <f t="shared" si="48"/>
        <v>0</v>
      </c>
      <c r="G232" s="298">
        <f t="shared" si="49"/>
        <v>0</v>
      </c>
      <c r="H232" s="296">
        <f t="shared" si="50"/>
        <v>54328.604120559059</v>
      </c>
      <c r="I232" s="297">
        <f t="shared" si="51"/>
        <v>-54328.604120559059</v>
      </c>
      <c r="J232" s="298">
        <f t="shared" si="52"/>
        <v>0</v>
      </c>
      <c r="K232" s="296"/>
      <c r="L232" s="297">
        <f t="shared" si="53"/>
        <v>-24360.090898299411</v>
      </c>
      <c r="M232" s="298">
        <f t="shared" si="54"/>
        <v>2066715.1590476334</v>
      </c>
      <c r="N232" s="296">
        <f>'LSR Prepaid BPA interest'!G230</f>
        <v>0</v>
      </c>
      <c r="O232" s="297">
        <f t="shared" si="55"/>
        <v>-557026.32672221155</v>
      </c>
      <c r="P232" s="298">
        <f t="shared" si="56"/>
        <v>17902950.562156372</v>
      </c>
      <c r="Q232" s="300">
        <f t="shared" si="57"/>
        <v>21185680.172326148</v>
      </c>
      <c r="R232" s="204"/>
    </row>
    <row r="233" spans="1:18" ht="12.75" customHeight="1" outlineLevel="1">
      <c r="A233" s="287">
        <v>46477</v>
      </c>
      <c r="B233" s="295">
        <f t="shared" si="39"/>
        <v>0</v>
      </c>
      <c r="C233" s="215">
        <f>'LSR Prepaid BPA interest'!I231</f>
        <v>58224.065714366647</v>
      </c>
      <c r="D233" s="209">
        <f>'LSR Prepaid BPA interest'!H231</f>
        <v>-635715.02174107009</v>
      </c>
      <c r="E233" s="296"/>
      <c r="F233" s="297">
        <f t="shared" si="48"/>
        <v>0</v>
      </c>
      <c r="G233" s="298">
        <f t="shared" si="49"/>
        <v>0</v>
      </c>
      <c r="H233" s="296">
        <f t="shared" si="50"/>
        <v>58224.065714366647</v>
      </c>
      <c r="I233" s="297">
        <f t="shared" si="51"/>
        <v>-58224.065714366647</v>
      </c>
      <c r="J233" s="298">
        <f t="shared" si="52"/>
        <v>0</v>
      </c>
      <c r="K233" s="296"/>
      <c r="L233" s="297">
        <f t="shared" si="53"/>
        <v>-24196.871057518874</v>
      </c>
      <c r="M233" s="298">
        <f t="shared" si="54"/>
        <v>2042518.2879901147</v>
      </c>
      <c r="N233" s="296">
        <f>'LSR Prepaid BPA interest'!G231</f>
        <v>0</v>
      </c>
      <c r="O233" s="297">
        <f t="shared" si="55"/>
        <v>-553294.08496918459</v>
      </c>
      <c r="P233" s="298">
        <f t="shared" si="56"/>
        <v>17349656.477187186</v>
      </c>
      <c r="Q233" s="300">
        <f t="shared" si="57"/>
        <v>20641265.372468945</v>
      </c>
      <c r="R233" s="204"/>
    </row>
    <row r="234" spans="1:18" ht="12.75" customHeight="1" outlineLevel="1">
      <c r="A234" s="287">
        <v>46507</v>
      </c>
      <c r="B234" s="295">
        <f t="shared" si="39"/>
        <v>0</v>
      </c>
      <c r="C234" s="215">
        <f>'LSR Prepaid BPA interest'!I232</f>
        <v>54994.373710603359</v>
      </c>
      <c r="D234" s="209">
        <f>'LSR Prepaid BPA interest'!H232</f>
        <v>-635715.02174107009</v>
      </c>
      <c r="E234" s="296"/>
      <c r="F234" s="297">
        <f t="shared" si="48"/>
        <v>0</v>
      </c>
      <c r="G234" s="298">
        <f t="shared" si="49"/>
        <v>0</v>
      </c>
      <c r="H234" s="296">
        <f t="shared" si="50"/>
        <v>54994.373710603359</v>
      </c>
      <c r="I234" s="297">
        <f t="shared" si="51"/>
        <v>-54994.373710603359</v>
      </c>
      <c r="J234" s="298">
        <f t="shared" si="52"/>
        <v>0</v>
      </c>
      <c r="K234" s="296"/>
      <c r="L234" s="297">
        <f t="shared" si="53"/>
        <v>-24332.195152476557</v>
      </c>
      <c r="M234" s="298">
        <f t="shared" si="54"/>
        <v>2018186.092837638</v>
      </c>
      <c r="N234" s="296">
        <f>'LSR Prepaid BPA interest'!G232</f>
        <v>0</v>
      </c>
      <c r="O234" s="297">
        <f t="shared" si="55"/>
        <v>-556388.4528779902</v>
      </c>
      <c r="P234" s="298">
        <f t="shared" si="56"/>
        <v>16793268.024309196</v>
      </c>
      <c r="Q234" s="300">
        <f t="shared" si="57"/>
        <v>20095232.997306593</v>
      </c>
      <c r="R234" s="204"/>
    </row>
    <row r="235" spans="1:18" ht="12.75" customHeight="1" outlineLevel="1">
      <c r="A235" s="287">
        <v>46538</v>
      </c>
      <c r="B235" s="295">
        <f t="shared" si="39"/>
        <v>0</v>
      </c>
      <c r="C235" s="215">
        <f>'LSR Prepaid BPA interest'!I233</f>
        <v>54902.059224704484</v>
      </c>
      <c r="D235" s="209">
        <f>'LSR Prepaid BPA interest'!H233</f>
        <v>-635715.02174107009</v>
      </c>
      <c r="E235" s="296"/>
      <c r="F235" s="297">
        <f t="shared" si="48"/>
        <v>0</v>
      </c>
      <c r="G235" s="298">
        <f t="shared" si="49"/>
        <v>0</v>
      </c>
      <c r="H235" s="296">
        <f t="shared" si="50"/>
        <v>54902.059224704484</v>
      </c>
      <c r="I235" s="297">
        <f t="shared" si="51"/>
        <v>-54902.059224704484</v>
      </c>
      <c r="J235" s="298">
        <f t="shared" si="52"/>
        <v>0</v>
      </c>
      <c r="K235" s="296"/>
      <c r="L235" s="297">
        <f t="shared" si="53"/>
        <v>-24336.063129435719</v>
      </c>
      <c r="M235" s="298">
        <f t="shared" si="54"/>
        <v>1993850.0297082022</v>
      </c>
      <c r="N235" s="296">
        <f>'LSR Prepaid BPA interest'!G233</f>
        <v>0</v>
      </c>
      <c r="O235" s="297">
        <f t="shared" si="55"/>
        <v>-556476.89938692981</v>
      </c>
      <c r="P235" s="298">
        <f t="shared" si="56"/>
        <v>16236791.124922266</v>
      </c>
      <c r="Q235" s="300">
        <f t="shared" si="57"/>
        <v>19547575.849446733</v>
      </c>
      <c r="R235" s="204"/>
    </row>
    <row r="236" spans="1:18" ht="12.75" customHeight="1" outlineLevel="1">
      <c r="A236" s="287">
        <v>46568</v>
      </c>
      <c r="B236" s="295">
        <f t="shared" si="39"/>
        <v>0</v>
      </c>
      <c r="C236" s="215">
        <f>'LSR Prepaid BPA interest'!I234</f>
        <v>51267.676401727898</v>
      </c>
      <c r="D236" s="209">
        <f>'LSR Prepaid BPA interest'!H234</f>
        <v>-635715.02174107009</v>
      </c>
      <c r="E236" s="296"/>
      <c r="F236" s="297">
        <f t="shared" si="48"/>
        <v>0</v>
      </c>
      <c r="G236" s="298">
        <f t="shared" si="49"/>
        <v>0</v>
      </c>
      <c r="H236" s="296">
        <f t="shared" si="50"/>
        <v>51267.676401727898</v>
      </c>
      <c r="I236" s="297">
        <f t="shared" si="51"/>
        <v>-51267.676401727898</v>
      </c>
      <c r="J236" s="298">
        <f t="shared" si="52"/>
        <v>0</v>
      </c>
      <c r="K236" s="296"/>
      <c r="L236" s="297">
        <f t="shared" si="53"/>
        <v>-24488.343769718434</v>
      </c>
      <c r="M236" s="298">
        <f t="shared" si="54"/>
        <v>1969361.6859384838</v>
      </c>
      <c r="N236" s="296">
        <f>'LSR Prepaid BPA interest'!G234</f>
        <v>0</v>
      </c>
      <c r="O236" s="297">
        <f t="shared" si="55"/>
        <v>-559959.00156962371</v>
      </c>
      <c r="P236" s="298">
        <f t="shared" si="56"/>
        <v>15676832.123352643</v>
      </c>
      <c r="Q236" s="300">
        <f t="shared" si="57"/>
        <v>18998293.928889364</v>
      </c>
      <c r="R236" s="204"/>
    </row>
    <row r="237" spans="1:18" ht="12.75" customHeight="1" outlineLevel="1">
      <c r="A237" s="287">
        <v>46599</v>
      </c>
      <c r="B237" s="295">
        <f t="shared" si="39"/>
        <v>0</v>
      </c>
      <c r="C237" s="215">
        <f>'LSR Prepaid BPA interest'!I235</f>
        <v>51539.274204432782</v>
      </c>
      <c r="D237" s="209">
        <f>'LSR Prepaid BPA interest'!H235</f>
        <v>-635715.02174107009</v>
      </c>
      <c r="E237" s="296"/>
      <c r="F237" s="297">
        <f t="shared" si="48"/>
        <v>0</v>
      </c>
      <c r="G237" s="298">
        <f t="shared" si="49"/>
        <v>0</v>
      </c>
      <c r="H237" s="296">
        <f t="shared" si="50"/>
        <v>51539.274204432782</v>
      </c>
      <c r="I237" s="297">
        <f t="shared" si="51"/>
        <v>-51539.274204432782</v>
      </c>
      <c r="J237" s="298">
        <f t="shared" si="52"/>
        <v>0</v>
      </c>
      <c r="K237" s="296"/>
      <c r="L237" s="297">
        <f t="shared" si="53"/>
        <v>-24476.963821785106</v>
      </c>
      <c r="M237" s="298">
        <f t="shared" si="54"/>
        <v>1944884.7221166987</v>
      </c>
      <c r="N237" s="296">
        <f>'LSR Prepaid BPA interest'!G235</f>
        <v>0</v>
      </c>
      <c r="O237" s="297">
        <f t="shared" si="55"/>
        <v>-559698.78371485218</v>
      </c>
      <c r="P237" s="298">
        <f t="shared" si="56"/>
        <v>15117133.339637792</v>
      </c>
      <c r="Q237" s="300">
        <f t="shared" si="57"/>
        <v>18447379.89427891</v>
      </c>
      <c r="R237" s="204"/>
    </row>
    <row r="238" spans="1:18" ht="12.75" customHeight="1" outlineLevel="1">
      <c r="A238" s="287">
        <v>46630</v>
      </c>
      <c r="B238" s="302">
        <f t="shared" si="39"/>
        <v>0</v>
      </c>
      <c r="C238" s="215">
        <f>'LSR Prepaid BPA interest'!I236</f>
        <v>49613.813928180454</v>
      </c>
      <c r="D238" s="209">
        <f>'LSR Prepaid BPA interest'!H236</f>
        <v>-635715.02174107009</v>
      </c>
      <c r="E238" s="296"/>
      <c r="F238" s="297">
        <f t="shared" si="48"/>
        <v>0</v>
      </c>
      <c r="G238" s="298">
        <f t="shared" si="49"/>
        <v>0</v>
      </c>
      <c r="H238" s="296">
        <f t="shared" si="50"/>
        <v>49613.813928180454</v>
      </c>
      <c r="I238" s="297">
        <f t="shared" si="51"/>
        <v>-49613.813928180454</v>
      </c>
      <c r="J238" s="298">
        <f t="shared" si="52"/>
        <v>0</v>
      </c>
      <c r="K238" s="296"/>
      <c r="L238" s="297">
        <f t="shared" si="53"/>
        <v>-24557.640607360074</v>
      </c>
      <c r="M238" s="298">
        <f t="shared" si="54"/>
        <v>1920327.0815093387</v>
      </c>
      <c r="N238" s="296">
        <f>'LSR Prepaid BPA interest'!G236</f>
        <v>0</v>
      </c>
      <c r="O238" s="297">
        <f t="shared" si="55"/>
        <v>-561543.56720552954</v>
      </c>
      <c r="P238" s="298">
        <f t="shared" si="56"/>
        <v>14555589.772432262</v>
      </c>
      <c r="Q238" s="300">
        <f t="shared" si="57"/>
        <v>17894799.768641811</v>
      </c>
      <c r="R238" s="204"/>
    </row>
    <row r="239" spans="1:18" ht="12.75" customHeight="1" outlineLevel="1">
      <c r="A239" s="287">
        <v>46660</v>
      </c>
      <c r="B239" s="302">
        <f t="shared" si="39"/>
        <v>0</v>
      </c>
      <c r="C239" s="215">
        <f>'LSR Prepaid BPA interest'!I237</f>
        <v>46150.019663156265</v>
      </c>
      <c r="D239" s="209">
        <f>'LSR Prepaid BPA interest'!H237</f>
        <v>-635715.02174107009</v>
      </c>
      <c r="E239" s="296"/>
      <c r="F239" s="297">
        <f t="shared" si="48"/>
        <v>0</v>
      </c>
      <c r="G239" s="298">
        <f t="shared" si="49"/>
        <v>0</v>
      </c>
      <c r="H239" s="296">
        <f t="shared" si="50"/>
        <v>46150.019663156265</v>
      </c>
      <c r="I239" s="297">
        <f t="shared" si="51"/>
        <v>-46150.019663156265</v>
      </c>
      <c r="J239" s="298">
        <f t="shared" si="52"/>
        <v>0</v>
      </c>
      <c r="K239" s="296"/>
      <c r="L239" s="297">
        <f t="shared" si="53"/>
        <v>-24702.773587064588</v>
      </c>
      <c r="M239" s="298">
        <f t="shared" si="54"/>
        <v>1895624.3079222741</v>
      </c>
      <c r="N239" s="296">
        <f>'LSR Prepaid BPA interest'!G237</f>
        <v>0</v>
      </c>
      <c r="O239" s="297">
        <f t="shared" si="55"/>
        <v>-564862.22849084926</v>
      </c>
      <c r="P239" s="298">
        <f t="shared" si="56"/>
        <v>13990727.543941412</v>
      </c>
      <c r="Q239" s="300">
        <f t="shared" si="57"/>
        <v>17340580.424413975</v>
      </c>
      <c r="R239" s="204"/>
    </row>
    <row r="240" spans="1:18" ht="12.75" customHeight="1" outlineLevel="1">
      <c r="A240" s="287">
        <v>46691</v>
      </c>
      <c r="B240" s="302">
        <f t="shared" si="39"/>
        <v>0</v>
      </c>
      <c r="C240" s="215">
        <f>'LSR Prepaid BPA interest'!I238</f>
        <v>46090.053117061863</v>
      </c>
      <c r="D240" s="209">
        <f>'LSR Prepaid BPA interest'!H238</f>
        <v>-675002.21008466824</v>
      </c>
      <c r="E240" s="296"/>
      <c r="F240" s="297">
        <f t="shared" si="48"/>
        <v>0</v>
      </c>
      <c r="G240" s="298">
        <f t="shared" si="49"/>
        <v>0</v>
      </c>
      <c r="H240" s="296">
        <f t="shared" si="50"/>
        <v>46090.053117061863</v>
      </c>
      <c r="I240" s="297">
        <f t="shared" si="51"/>
        <v>-46090.053117061863</v>
      </c>
      <c r="J240" s="298">
        <f t="shared" si="52"/>
        <v>0</v>
      </c>
      <c r="K240" s="296"/>
      <c r="L240" s="297">
        <f t="shared" si="53"/>
        <v>-26351.419376942707</v>
      </c>
      <c r="M240" s="298">
        <f t="shared" si="54"/>
        <v>1869272.8885453313</v>
      </c>
      <c r="N240" s="296">
        <f>'LSR Prepaid BPA interest'!G238</f>
        <v>0</v>
      </c>
      <c r="O240" s="297">
        <f t="shared" si="55"/>
        <v>-602560.7375906636</v>
      </c>
      <c r="P240" s="298">
        <f t="shared" si="56"/>
        <v>13388166.806350749</v>
      </c>
      <c r="Q240" s="300">
        <f t="shared" si="57"/>
        <v>16783141.24596066</v>
      </c>
      <c r="R240" s="204"/>
    </row>
    <row r="241" spans="1:18" ht="12.75" customHeight="1" outlineLevel="1">
      <c r="A241" s="287">
        <v>46721</v>
      </c>
      <c r="B241" s="302">
        <f t="shared" si="39"/>
        <v>0</v>
      </c>
      <c r="C241" s="215">
        <f>'LSR Prepaid BPA interest'!I239</f>
        <v>42624.77360877789</v>
      </c>
      <c r="D241" s="209">
        <f>'LSR Prepaid BPA interest'!H239</f>
        <v>-675002.21008466824</v>
      </c>
      <c r="E241" s="296"/>
      <c r="F241" s="297">
        <f t="shared" si="48"/>
        <v>0</v>
      </c>
      <c r="G241" s="298">
        <f t="shared" si="49"/>
        <v>0</v>
      </c>
      <c r="H241" s="296">
        <f t="shared" si="50"/>
        <v>42624.77360877789</v>
      </c>
      <c r="I241" s="297">
        <f t="shared" si="51"/>
        <v>-42624.77360877789</v>
      </c>
      <c r="J241" s="298">
        <f t="shared" si="52"/>
        <v>0</v>
      </c>
      <c r="K241" s="296"/>
      <c r="L241" s="297">
        <f t="shared" si="53"/>
        <v>-26496.614588339806</v>
      </c>
      <c r="M241" s="298">
        <f t="shared" si="54"/>
        <v>1842776.2739569915</v>
      </c>
      <c r="N241" s="296">
        <f>'LSR Prepaid BPA interest'!G239</f>
        <v>0</v>
      </c>
      <c r="O241" s="297">
        <f t="shared" si="55"/>
        <v>-605880.82188755053</v>
      </c>
      <c r="P241" s="298">
        <f t="shared" si="56"/>
        <v>12782285.984463198</v>
      </c>
      <c r="Q241" s="300">
        <f t="shared" si="57"/>
        <v>16220897.415350737</v>
      </c>
      <c r="R241" s="204"/>
    </row>
    <row r="242" spans="1:18" ht="12.75" customHeight="1" outlineLevel="1">
      <c r="A242" s="287">
        <v>46752</v>
      </c>
      <c r="B242" s="302">
        <f t="shared" si="39"/>
        <v>0</v>
      </c>
      <c r="C242" s="215">
        <f>'LSR Prepaid BPA interest'!I240</f>
        <v>42001.145674412444</v>
      </c>
      <c r="D242" s="209">
        <f>'LSR Prepaid BPA interest'!H240</f>
        <v>-675002.21008466824</v>
      </c>
      <c r="E242" s="296"/>
      <c r="F242" s="297">
        <f t="shared" si="48"/>
        <v>0</v>
      </c>
      <c r="G242" s="298">
        <f t="shared" si="49"/>
        <v>0</v>
      </c>
      <c r="H242" s="296">
        <f t="shared" si="50"/>
        <v>42001.145674412444</v>
      </c>
      <c r="I242" s="297">
        <f t="shared" si="51"/>
        <v>-42001.145674412444</v>
      </c>
      <c r="J242" s="298">
        <f t="shared" si="52"/>
        <v>0</v>
      </c>
      <c r="K242" s="296"/>
      <c r="L242" s="297">
        <f t="shared" si="53"/>
        <v>-26522.744598789715</v>
      </c>
      <c r="M242" s="298">
        <f t="shared" si="54"/>
        <v>1816253.5293582019</v>
      </c>
      <c r="N242" s="296">
        <f>'LSR Prepaid BPA interest'!G240</f>
        <v>0</v>
      </c>
      <c r="O242" s="297">
        <f t="shared" si="55"/>
        <v>-606478.31981146603</v>
      </c>
      <c r="P242" s="298">
        <f t="shared" si="56"/>
        <v>12175807.664651733</v>
      </c>
      <c r="Q242" s="300">
        <f t="shared" si="57"/>
        <v>15653839.431949226</v>
      </c>
      <c r="R242" s="204"/>
    </row>
    <row r="243" spans="1:18" ht="12.75" customHeight="1" outlineLevel="1">
      <c r="A243" s="226">
        <v>46783</v>
      </c>
      <c r="B243" s="302">
        <f t="shared" si="39"/>
        <v>0</v>
      </c>
      <c r="C243" s="215">
        <f>'LSR Prepaid BPA interest'!I241</f>
        <v>40352.605851172229</v>
      </c>
      <c r="D243" s="209">
        <f>'LSR Prepaid BPA interest'!H241</f>
        <v>-675002.21008466824</v>
      </c>
      <c r="E243" s="296"/>
      <c r="F243" s="297">
        <f t="shared" si="48"/>
        <v>0</v>
      </c>
      <c r="G243" s="298">
        <f t="shared" si="49"/>
        <v>0</v>
      </c>
      <c r="H243" s="296">
        <f t="shared" si="50"/>
        <v>40352.605851172229</v>
      </c>
      <c r="I243" s="297">
        <f t="shared" si="51"/>
        <v>-40352.605851172229</v>
      </c>
      <c r="J243" s="298">
        <f t="shared" si="52"/>
        <v>0</v>
      </c>
      <c r="K243" s="296"/>
      <c r="L243" s="297">
        <f t="shared" si="53"/>
        <v>-26591.818417383482</v>
      </c>
      <c r="M243" s="298">
        <f t="shared" si="54"/>
        <v>1789661.7109408183</v>
      </c>
      <c r="N243" s="296">
        <f>'LSR Prepaid BPA interest'!G241</f>
        <v>0</v>
      </c>
      <c r="O243" s="297">
        <f t="shared" si="55"/>
        <v>-608057.78581611253</v>
      </c>
      <c r="P243" s="298">
        <f t="shared" si="56"/>
        <v>11567749.87883562</v>
      </c>
      <c r="Q243" s="300">
        <f t="shared" si="57"/>
        <v>15081922.733938491</v>
      </c>
      <c r="R243" s="204"/>
    </row>
    <row r="244" spans="1:18" ht="12.75" customHeight="1" outlineLevel="1">
      <c r="A244" s="226">
        <v>46811</v>
      </c>
      <c r="B244" s="302">
        <f t="shared" si="39"/>
        <v>0</v>
      </c>
      <c r="C244" s="215">
        <f>'LSR Prepaid BPA interest'!I242</f>
        <v>35836.658444050903</v>
      </c>
      <c r="D244" s="209">
        <f>'LSR Prepaid BPA interest'!H242</f>
        <v>-675002.21008466824</v>
      </c>
      <c r="E244" s="296"/>
      <c r="F244" s="297">
        <f t="shared" si="48"/>
        <v>0</v>
      </c>
      <c r="G244" s="298">
        <f t="shared" si="49"/>
        <v>0</v>
      </c>
      <c r="H244" s="296">
        <f t="shared" si="50"/>
        <v>35836.658444050903</v>
      </c>
      <c r="I244" s="297">
        <f t="shared" si="51"/>
        <v>-35836.658444050903</v>
      </c>
      <c r="J244" s="298">
        <f t="shared" si="52"/>
        <v>0</v>
      </c>
      <c r="K244" s="296"/>
      <c r="L244" s="297">
        <f t="shared" si="53"/>
        <v>-26781.036613741864</v>
      </c>
      <c r="M244" s="298">
        <f t="shared" si="54"/>
        <v>1762880.6743270764</v>
      </c>
      <c r="N244" s="296">
        <f>'LSR Prepaid BPA interest'!G242</f>
        <v>0</v>
      </c>
      <c r="O244" s="297">
        <f t="shared" si="55"/>
        <v>-612384.51502687542</v>
      </c>
      <c r="P244" s="298">
        <f t="shared" si="56"/>
        <v>10955365.363808746</v>
      </c>
      <c r="Q244" s="300">
        <f t="shared" si="57"/>
        <v>14505263.891922219</v>
      </c>
      <c r="R244" s="204"/>
    </row>
    <row r="245" spans="1:18" ht="12.75" customHeight="1" outlineLevel="1">
      <c r="A245" s="226">
        <v>46843</v>
      </c>
      <c r="B245" s="302">
        <f t="shared" si="39"/>
        <v>0</v>
      </c>
      <c r="C245" s="215">
        <f>'LSR Prepaid BPA interest'!I243</f>
        <v>36263.69840852281</v>
      </c>
      <c r="D245" s="209">
        <f>'LSR Prepaid BPA interest'!H243</f>
        <v>-675002.21008466824</v>
      </c>
      <c r="E245" s="296"/>
      <c r="F245" s="297">
        <f t="shared" si="48"/>
        <v>0</v>
      </c>
      <c r="G245" s="298">
        <f t="shared" si="49"/>
        <v>0</v>
      </c>
      <c r="H245" s="296">
        <f t="shared" si="50"/>
        <v>36263.69840852281</v>
      </c>
      <c r="I245" s="297">
        <f t="shared" si="51"/>
        <v>-36263.69840852281</v>
      </c>
      <c r="J245" s="298">
        <f t="shared" si="52"/>
        <v>0</v>
      </c>
      <c r="K245" s="296"/>
      <c r="L245" s="297">
        <f t="shared" si="53"/>
        <v>-26763.143639230497</v>
      </c>
      <c r="M245" s="298">
        <f t="shared" si="54"/>
        <v>1736117.530687846</v>
      </c>
      <c r="N245" s="296">
        <f>'LSR Prepaid BPA interest'!G243</f>
        <v>0</v>
      </c>
      <c r="O245" s="297">
        <f t="shared" si="55"/>
        <v>-611975.36803691497</v>
      </c>
      <c r="P245" s="298">
        <f t="shared" si="56"/>
        <v>10343389.995771831</v>
      </c>
      <c r="Q245" s="300">
        <f t="shared" si="57"/>
        <v>13923853.40526543</v>
      </c>
      <c r="R245" s="204"/>
    </row>
    <row r="246" spans="1:18" ht="12.75" customHeight="1" outlineLevel="1">
      <c r="A246" s="226">
        <v>46873</v>
      </c>
      <c r="B246" s="302">
        <f t="shared" si="39"/>
        <v>0</v>
      </c>
      <c r="C246" s="215">
        <f>'LSR Prepaid BPA interest'!I244</f>
        <v>33445.009733591978</v>
      </c>
      <c r="D246" s="209">
        <f>'LSR Prepaid BPA interest'!H244</f>
        <v>-675002.21008466824</v>
      </c>
      <c r="E246" s="296"/>
      <c r="F246" s="297">
        <f t="shared" si="48"/>
        <v>0</v>
      </c>
      <c r="G246" s="298">
        <f t="shared" si="49"/>
        <v>0</v>
      </c>
      <c r="H246" s="296">
        <f t="shared" si="50"/>
        <v>33445.009733591978</v>
      </c>
      <c r="I246" s="297">
        <f t="shared" si="51"/>
        <v>-33445.009733591978</v>
      </c>
      <c r="J246" s="298">
        <f t="shared" si="52"/>
        <v>0</v>
      </c>
      <c r="K246" s="296"/>
      <c r="L246" s="297">
        <f t="shared" si="53"/>
        <v>-26881.246694710098</v>
      </c>
      <c r="M246" s="298">
        <f t="shared" si="54"/>
        <v>1709236.2839931359</v>
      </c>
      <c r="N246" s="296">
        <f>'LSR Prepaid BPA interest'!G244</f>
        <v>0</v>
      </c>
      <c r="O246" s="297">
        <f t="shared" si="55"/>
        <v>-614675.95365636621</v>
      </c>
      <c r="P246" s="298">
        <f t="shared" si="56"/>
        <v>9728714.0421154648</v>
      </c>
      <c r="Q246" s="300">
        <f t="shared" si="57"/>
        <v>13337569.219281716</v>
      </c>
      <c r="R246" s="204"/>
    </row>
    <row r="247" spans="1:18" ht="12.75" customHeight="1" outlineLevel="1">
      <c r="A247" s="226">
        <v>46904</v>
      </c>
      <c r="B247" s="302">
        <f t="shared" si="39"/>
        <v>0</v>
      </c>
      <c r="C247" s="215">
        <f>'LSR Prepaid BPA interest'!I245</f>
        <v>32515.389670053672</v>
      </c>
      <c r="D247" s="209">
        <f>'LSR Prepaid BPA interest'!H245</f>
        <v>-675002.21008466824</v>
      </c>
      <c r="E247" s="296"/>
      <c r="F247" s="297">
        <f t="shared" si="48"/>
        <v>0</v>
      </c>
      <c r="G247" s="298">
        <f t="shared" si="49"/>
        <v>0</v>
      </c>
      <c r="H247" s="296">
        <f t="shared" si="50"/>
        <v>32515.389670053672</v>
      </c>
      <c r="I247" s="297">
        <f t="shared" si="51"/>
        <v>-32515.389670053672</v>
      </c>
      <c r="J247" s="298">
        <f t="shared" si="52"/>
        <v>0</v>
      </c>
      <c r="K247" s="296"/>
      <c r="L247" s="297">
        <f t="shared" si="53"/>
        <v>-26920.197775372351</v>
      </c>
      <c r="M247" s="298">
        <f t="shared" si="54"/>
        <v>1682316.0862177636</v>
      </c>
      <c r="N247" s="296">
        <f>'LSR Prepaid BPA interest'!G245</f>
        <v>0</v>
      </c>
      <c r="O247" s="297">
        <f t="shared" si="55"/>
        <v>-615566.62263924221</v>
      </c>
      <c r="P247" s="298">
        <f t="shared" si="56"/>
        <v>9113147.4194762222</v>
      </c>
      <c r="Q247" s="300">
        <f t="shared" si="57"/>
        <v>12746394.315630058</v>
      </c>
      <c r="R247" s="204"/>
    </row>
    <row r="248" spans="1:18" ht="12.75" customHeight="1" outlineLevel="1">
      <c r="A248" s="226">
        <v>46934</v>
      </c>
      <c r="B248" s="302">
        <f t="shared" si="39"/>
        <v>0</v>
      </c>
      <c r="C248" s="215">
        <f>'LSR Prepaid BPA interest'!I246</f>
        <v>29488.002531028029</v>
      </c>
      <c r="D248" s="209">
        <f>'LSR Prepaid BPA interest'!H246</f>
        <v>-675002.21008466824</v>
      </c>
      <c r="E248" s="296"/>
      <c r="F248" s="297">
        <f t="shared" si="48"/>
        <v>0</v>
      </c>
      <c r="G248" s="298">
        <f t="shared" si="49"/>
        <v>0</v>
      </c>
      <c r="H248" s="296">
        <f t="shared" si="50"/>
        <v>29488.002531028029</v>
      </c>
      <c r="I248" s="297">
        <f t="shared" si="51"/>
        <v>-29488.002531028029</v>
      </c>
      <c r="J248" s="298">
        <f t="shared" si="52"/>
        <v>0</v>
      </c>
      <c r="K248" s="296"/>
      <c r="L248" s="297">
        <f t="shared" si="53"/>
        <v>-27047.045296497527</v>
      </c>
      <c r="M248" s="298">
        <f t="shared" si="54"/>
        <v>1655269.0409212662</v>
      </c>
      <c r="N248" s="296">
        <f>'LSR Prepaid BPA interest'!G246</f>
        <v>0</v>
      </c>
      <c r="O248" s="297">
        <f t="shared" si="55"/>
        <v>-618467.16225714271</v>
      </c>
      <c r="P248" s="298">
        <f t="shared" si="56"/>
        <v>8494680.2572190799</v>
      </c>
      <c r="Q248" s="300">
        <f t="shared" si="57"/>
        <v>12150319.500147576</v>
      </c>
      <c r="R248" s="204"/>
    </row>
    <row r="249" spans="1:18" ht="12.75" customHeight="1" outlineLevel="1">
      <c r="A249" s="226">
        <v>46965</v>
      </c>
      <c r="B249" s="302">
        <f t="shared" si="39"/>
        <v>0</v>
      </c>
      <c r="C249" s="215">
        <f>'LSR Prepaid BPA interest'!I247</f>
        <v>28715.577340893378</v>
      </c>
      <c r="D249" s="209">
        <f>'LSR Prepaid BPA interest'!H247</f>
        <v>-675002.21008466824</v>
      </c>
      <c r="E249" s="296"/>
      <c r="F249" s="297">
        <f t="shared" si="48"/>
        <v>0</v>
      </c>
      <c r="G249" s="298">
        <f t="shared" si="49"/>
        <v>0</v>
      </c>
      <c r="H249" s="296">
        <f t="shared" si="50"/>
        <v>28715.577340893378</v>
      </c>
      <c r="I249" s="297">
        <f t="shared" si="51"/>
        <v>-28715.577340893378</v>
      </c>
      <c r="J249" s="298">
        <f t="shared" si="52"/>
        <v>0</v>
      </c>
      <c r="K249" s="296"/>
      <c r="L249" s="297">
        <f t="shared" si="53"/>
        <v>-27079.409911964169</v>
      </c>
      <c r="M249" s="298">
        <f t="shared" si="54"/>
        <v>1628189.6310093021</v>
      </c>
      <c r="N249" s="296">
        <f>'LSR Prepaid BPA interest'!G247</f>
        <v>0</v>
      </c>
      <c r="O249" s="297">
        <f t="shared" si="55"/>
        <v>-619207.22283181071</v>
      </c>
      <c r="P249" s="298">
        <f t="shared" si="56"/>
        <v>7875473.0343872691</v>
      </c>
      <c r="Q249" s="300">
        <f t="shared" si="57"/>
        <v>11549327.326339906</v>
      </c>
      <c r="R249" s="204"/>
    </row>
    <row r="250" spans="1:18" ht="12.75" customHeight="1" outlineLevel="1">
      <c r="A250" s="226">
        <v>46996</v>
      </c>
      <c r="B250" s="302">
        <f t="shared" si="39"/>
        <v>0</v>
      </c>
      <c r="C250" s="215">
        <f>'LSR Prepaid BPA interest'!I248</f>
        <v>26671.123619568669</v>
      </c>
      <c r="D250" s="209">
        <f>'LSR Prepaid BPA interest'!H248</f>
        <v>-675002.21008466824</v>
      </c>
      <c r="E250" s="296"/>
      <c r="F250" s="297">
        <f t="shared" si="48"/>
        <v>0</v>
      </c>
      <c r="G250" s="298">
        <f t="shared" si="49"/>
        <v>0</v>
      </c>
      <c r="H250" s="296">
        <f t="shared" si="50"/>
        <v>26671.123619568669</v>
      </c>
      <c r="I250" s="297">
        <f t="shared" si="51"/>
        <v>-26671.123619568669</v>
      </c>
      <c r="J250" s="298">
        <f t="shared" si="52"/>
        <v>0</v>
      </c>
      <c r="K250" s="296"/>
      <c r="L250" s="297">
        <f t="shared" si="53"/>
        <v>-27165.072522887673</v>
      </c>
      <c r="M250" s="298">
        <f t="shared" si="54"/>
        <v>1601024.5584864144</v>
      </c>
      <c r="N250" s="296">
        <f>'LSR Prepaid BPA interest'!G248</f>
        <v>0</v>
      </c>
      <c r="O250" s="297">
        <f t="shared" si="55"/>
        <v>-621166.01394221187</v>
      </c>
      <c r="P250" s="298">
        <f t="shared" si="56"/>
        <v>7254307.0204450572</v>
      </c>
      <c r="Q250" s="300">
        <f t="shared" si="57"/>
        <v>10943371.365621665</v>
      </c>
      <c r="R250" s="204"/>
    </row>
    <row r="251" spans="1:18" ht="12.75" customHeight="1" outlineLevel="1">
      <c r="A251" s="226">
        <v>47026</v>
      </c>
      <c r="B251" s="302">
        <f t="shared" si="39"/>
        <v>0</v>
      </c>
      <c r="C251" s="215">
        <f>'LSR Prepaid BPA interest'!I249</f>
        <v>23832.261191848986</v>
      </c>
      <c r="D251" s="209">
        <f>'LSR Prepaid BPA interest'!H249</f>
        <v>-675002.21008466824</v>
      </c>
      <c r="E251" s="296"/>
      <c r="F251" s="297">
        <f t="shared" si="48"/>
        <v>0</v>
      </c>
      <c r="G251" s="298">
        <f t="shared" si="49"/>
        <v>0</v>
      </c>
      <c r="H251" s="296">
        <f t="shared" si="50"/>
        <v>23832.261191848986</v>
      </c>
      <c r="I251" s="297">
        <f t="shared" si="51"/>
        <v>-23832.261191848986</v>
      </c>
      <c r="J251" s="298">
        <f t="shared" si="52"/>
        <v>0</v>
      </c>
      <c r="K251" s="296"/>
      <c r="L251" s="297">
        <f t="shared" si="53"/>
        <v>-27284.020858609125</v>
      </c>
      <c r="M251" s="298">
        <f t="shared" si="54"/>
        <v>1573740.5376278053</v>
      </c>
      <c r="N251" s="296">
        <f>'LSR Prepaid BPA interest'!G249</f>
        <v>0</v>
      </c>
      <c r="O251" s="297">
        <f t="shared" si="55"/>
        <v>-623885.92803421011</v>
      </c>
      <c r="P251" s="298">
        <f t="shared" si="56"/>
        <v>6630421.0924108475</v>
      </c>
      <c r="Q251" s="300">
        <f t="shared" si="57"/>
        <v>10332471.815475093</v>
      </c>
      <c r="R251" s="204"/>
    </row>
    <row r="252" spans="1:18" ht="12.75" customHeight="1" outlineLevel="1">
      <c r="A252" s="226">
        <v>47057</v>
      </c>
      <c r="B252" s="302">
        <f t="shared" si="39"/>
        <v>0</v>
      </c>
      <c r="C252" s="215">
        <f>'LSR Prepaid BPA interest'!I250</f>
        <v>22822.155394231522</v>
      </c>
      <c r="D252" s="209">
        <f>'LSR Prepaid BPA interest'!H250</f>
        <v>-675002.21008466824</v>
      </c>
      <c r="E252" s="296"/>
      <c r="F252" s="297">
        <f t="shared" si="48"/>
        <v>0</v>
      </c>
      <c r="G252" s="298">
        <f t="shared" si="49"/>
        <v>0</v>
      </c>
      <c r="H252" s="296">
        <f t="shared" si="50"/>
        <v>22822.155394231522</v>
      </c>
      <c r="I252" s="297">
        <f t="shared" si="51"/>
        <v>-22822.155394231522</v>
      </c>
      <c r="J252" s="298">
        <f t="shared" si="52"/>
        <v>0</v>
      </c>
      <c r="K252" s="296"/>
      <c r="L252" s="297">
        <f t="shared" si="53"/>
        <v>-27326.344291529298</v>
      </c>
      <c r="M252" s="298">
        <f t="shared" si="54"/>
        <v>1546414.1933362759</v>
      </c>
      <c r="N252" s="296">
        <f>'LSR Prepaid BPA interest'!G250</f>
        <v>0</v>
      </c>
      <c r="O252" s="297">
        <f t="shared" si="55"/>
        <v>-624853.71039890731</v>
      </c>
      <c r="P252" s="298">
        <f t="shared" si="56"/>
        <v>6005567.3820119407</v>
      </c>
      <c r="Q252" s="300">
        <f t="shared" si="57"/>
        <v>9718184.0706472006</v>
      </c>
      <c r="R252" s="204"/>
    </row>
    <row r="253" spans="1:18" ht="12.75" customHeight="1" outlineLevel="1">
      <c r="A253" s="226">
        <v>47087</v>
      </c>
      <c r="B253" s="302">
        <f t="shared" si="39"/>
        <v>0</v>
      </c>
      <c r="C253" s="215">
        <f>'LSR Prepaid BPA interest'!I251</f>
        <v>20107.453231845298</v>
      </c>
      <c r="D253" s="209">
        <f>'LSR Prepaid BPA interest'!H251</f>
        <v>-675002.21008466824</v>
      </c>
      <c r="E253" s="296"/>
      <c r="F253" s="297">
        <f t="shared" si="48"/>
        <v>0</v>
      </c>
      <c r="G253" s="298">
        <f t="shared" si="49"/>
        <v>0</v>
      </c>
      <c r="H253" s="296">
        <f t="shared" si="50"/>
        <v>20107.453231845298</v>
      </c>
      <c r="I253" s="297">
        <f t="shared" si="51"/>
        <v>-20107.453231845298</v>
      </c>
      <c r="J253" s="298">
        <f t="shared" si="52"/>
        <v>0</v>
      </c>
      <c r="K253" s="296"/>
      <c r="L253" s="297">
        <f t="shared" si="53"/>
        <v>-27440.090312133281</v>
      </c>
      <c r="M253" s="298">
        <f t="shared" si="54"/>
        <v>1518974.1030241426</v>
      </c>
      <c r="N253" s="296">
        <f>'LSR Prepaid BPA interest'!G251</f>
        <v>0</v>
      </c>
      <c r="O253" s="297">
        <f t="shared" si="55"/>
        <v>-627454.66654068965</v>
      </c>
      <c r="P253" s="298">
        <f t="shared" si="56"/>
        <v>5378112.7154712509</v>
      </c>
      <c r="Q253" s="300">
        <f t="shared" si="57"/>
        <v>9102068.5417584199</v>
      </c>
      <c r="R253" s="204"/>
    </row>
    <row r="254" spans="1:18" ht="12.75" customHeight="1" outlineLevel="1">
      <c r="A254" s="226">
        <v>47118</v>
      </c>
      <c r="B254" s="302">
        <f t="shared" si="39"/>
        <v>0</v>
      </c>
      <c r="C254" s="215">
        <f>'LSR Prepaid BPA interest'!I252</f>
        <v>18733.247951582096</v>
      </c>
      <c r="D254" s="209">
        <f>'LSR Prepaid BPA interest'!H252</f>
        <v>-675002.21008466824</v>
      </c>
      <c r="E254" s="296"/>
      <c r="F254" s="297">
        <f t="shared" si="48"/>
        <v>0</v>
      </c>
      <c r="G254" s="298">
        <f t="shared" si="49"/>
        <v>0</v>
      </c>
      <c r="H254" s="296">
        <f t="shared" si="50"/>
        <v>18733.247951582096</v>
      </c>
      <c r="I254" s="297">
        <f t="shared" si="51"/>
        <v>-18733.247951582096</v>
      </c>
      <c r="J254" s="298">
        <f t="shared" si="52"/>
        <v>0</v>
      </c>
      <c r="K254" s="296"/>
      <c r="L254" s="297">
        <f t="shared" si="53"/>
        <v>-27497.66951337631</v>
      </c>
      <c r="M254" s="298">
        <f t="shared" si="54"/>
        <v>1491476.4335107664</v>
      </c>
      <c r="N254" s="296">
        <f>'LSR Prepaid BPA interest'!G252</f>
        <v>0</v>
      </c>
      <c r="O254" s="297">
        <f t="shared" si="55"/>
        <v>-628771.29261970986</v>
      </c>
      <c r="P254" s="298">
        <f t="shared" si="56"/>
        <v>4749341.4228515411</v>
      </c>
      <c r="Q254" s="300">
        <f t="shared" si="57"/>
        <v>8484125.2288087476</v>
      </c>
      <c r="R254" s="204"/>
    </row>
    <row r="255" spans="1:18" ht="12.75" customHeight="1" outlineLevel="1">
      <c r="A255" s="226">
        <v>47149</v>
      </c>
      <c r="B255" s="302">
        <f t="shared" si="39"/>
        <v>0</v>
      </c>
      <c r="C255" s="215">
        <f>'LSR Prepaid BPA interest'!I253</f>
        <v>16875.559332229263</v>
      </c>
      <c r="D255" s="209">
        <f>'LSR Prepaid BPA interest'!H253</f>
        <v>-675002.21008466824</v>
      </c>
      <c r="E255" s="296"/>
      <c r="F255" s="297">
        <f t="shared" si="48"/>
        <v>0</v>
      </c>
      <c r="G255" s="298">
        <f t="shared" si="49"/>
        <v>0</v>
      </c>
      <c r="H255" s="296">
        <f t="shared" si="50"/>
        <v>16875.559332229263</v>
      </c>
      <c r="I255" s="297">
        <f t="shared" si="51"/>
        <v>-16875.559332229263</v>
      </c>
      <c r="J255" s="298">
        <f t="shared" si="52"/>
        <v>0</v>
      </c>
      <c r="K255" s="296"/>
      <c r="L255" s="297">
        <f t="shared" si="53"/>
        <v>-27575.506666527192</v>
      </c>
      <c r="M255" s="298">
        <f t="shared" si="54"/>
        <v>1463900.9268442392</v>
      </c>
      <c r="N255" s="296">
        <f>'LSR Prepaid BPA interest'!G253</f>
        <v>0</v>
      </c>
      <c r="O255" s="297">
        <f t="shared" si="55"/>
        <v>-630551.14408591168</v>
      </c>
      <c r="P255" s="298">
        <f t="shared" si="56"/>
        <v>4118790.2787656295</v>
      </c>
      <c r="Q255" s="300">
        <f t="shared" si="57"/>
        <v>7864315.8187308228</v>
      </c>
      <c r="R255" s="204"/>
    </row>
    <row r="256" spans="1:18" ht="12.75" customHeight="1" outlineLevel="1">
      <c r="A256" s="226">
        <v>47177</v>
      </c>
      <c r="B256" s="302">
        <f t="shared" si="39"/>
        <v>0</v>
      </c>
      <c r="C256" s="215">
        <f>'LSR Prepaid BPA interest'!I254</f>
        <v>13395.8373259783</v>
      </c>
      <c r="D256" s="209">
        <f>'LSR Prepaid BPA interest'!H254</f>
        <v>-675002.21008466824</v>
      </c>
      <c r="E256" s="296"/>
      <c r="F256" s="297">
        <f t="shared" si="48"/>
        <v>0</v>
      </c>
      <c r="G256" s="298">
        <f t="shared" si="49"/>
        <v>0</v>
      </c>
      <c r="H256" s="296">
        <f t="shared" si="50"/>
        <v>13395.8373259783</v>
      </c>
      <c r="I256" s="297">
        <f t="shared" si="51"/>
        <v>-13395.8373259783</v>
      </c>
      <c r="J256" s="298">
        <f t="shared" si="52"/>
        <v>0</v>
      </c>
      <c r="K256" s="296"/>
      <c r="L256" s="297">
        <f t="shared" si="53"/>
        <v>-27721.307018589108</v>
      </c>
      <c r="M256" s="298">
        <f t="shared" si="54"/>
        <v>1436179.6198256502</v>
      </c>
      <c r="N256" s="296">
        <f>'LSR Prepaid BPA interest'!G254</f>
        <v>0</v>
      </c>
      <c r="O256" s="297">
        <f t="shared" si="55"/>
        <v>-633885.06574010081</v>
      </c>
      <c r="P256" s="298">
        <f t="shared" si="56"/>
        <v>3484905.2130255289</v>
      </c>
      <c r="Q256" s="300">
        <f t="shared" si="57"/>
        <v>7242673.3291119402</v>
      </c>
      <c r="R256" s="204"/>
    </row>
    <row r="257" spans="1:18" ht="12.75" customHeight="1" outlineLevel="1">
      <c r="A257" s="226">
        <v>47208</v>
      </c>
      <c r="B257" s="302">
        <f t="shared" si="39"/>
        <v>0</v>
      </c>
      <c r="C257" s="215">
        <f>'LSR Prepaid BPA interest'!I255</f>
        <v>12786.651889579836</v>
      </c>
      <c r="D257" s="209">
        <f>'LSR Prepaid BPA interest'!H255</f>
        <v>-675002.21008466824</v>
      </c>
      <c r="E257" s="296"/>
      <c r="F257" s="297">
        <f t="shared" si="48"/>
        <v>0</v>
      </c>
      <c r="G257" s="298">
        <f t="shared" si="49"/>
        <v>0</v>
      </c>
      <c r="H257" s="296">
        <f t="shared" si="50"/>
        <v>12786.651889579836</v>
      </c>
      <c r="I257" s="297">
        <f t="shared" si="51"/>
        <v>-12786.651889579836</v>
      </c>
      <c r="J257" s="298">
        <f t="shared" si="52"/>
        <v>0</v>
      </c>
      <c r="K257" s="296"/>
      <c r="L257" s="297">
        <f t="shared" si="53"/>
        <v>-27746.831888374203</v>
      </c>
      <c r="M257" s="298">
        <f t="shared" si="54"/>
        <v>1408432.7879372761</v>
      </c>
      <c r="N257" s="296">
        <f>'LSR Prepaid BPA interest'!G255</f>
        <v>0</v>
      </c>
      <c r="O257" s="297">
        <f t="shared" si="55"/>
        <v>-634468.72630671412</v>
      </c>
      <c r="P257" s="298">
        <f t="shared" si="56"/>
        <v>2850436.4867188148</v>
      </c>
      <c r="Q257" s="300">
        <f t="shared" si="57"/>
        <v>6619197.7599520972</v>
      </c>
      <c r="R257" s="204"/>
    </row>
    <row r="258" spans="1:18" ht="12.75" customHeight="1" outlineLevel="1">
      <c r="A258" s="226">
        <v>47238</v>
      </c>
      <c r="B258" s="302">
        <f t="shared" si="39"/>
        <v>0</v>
      </c>
      <c r="C258" s="215">
        <f>'LSR Prepaid BPA interest'!I256</f>
        <v>10521.883387715065</v>
      </c>
      <c r="D258" s="209">
        <f>'LSR Prepaid BPA interest'!H256</f>
        <v>-675002.21008466824</v>
      </c>
      <c r="E258" s="296"/>
      <c r="F258" s="297">
        <f t="shared" si="48"/>
        <v>0</v>
      </c>
      <c r="G258" s="298">
        <f t="shared" si="49"/>
        <v>0</v>
      </c>
      <c r="H258" s="296">
        <f t="shared" si="50"/>
        <v>10521.883387715065</v>
      </c>
      <c r="I258" s="297">
        <f t="shared" si="51"/>
        <v>-10521.883387715065</v>
      </c>
      <c r="J258" s="298">
        <f t="shared" si="52"/>
        <v>0</v>
      </c>
      <c r="K258" s="296"/>
      <c r="L258" s="297">
        <f t="shared" si="53"/>
        <v>-27841.725688602339</v>
      </c>
      <c r="M258" s="298">
        <f t="shared" si="54"/>
        <v>1380591.0622486738</v>
      </c>
      <c r="N258" s="296">
        <f>'LSR Prepaid BPA interest'!G256</f>
        <v>0</v>
      </c>
      <c r="O258" s="297">
        <f t="shared" si="55"/>
        <v>-636638.60100835073</v>
      </c>
      <c r="P258" s="298">
        <f t="shared" si="56"/>
        <v>2213797.8857104639</v>
      </c>
      <c r="Q258" s="300">
        <f t="shared" si="57"/>
        <v>5993869.8572246796</v>
      </c>
      <c r="R258" s="204"/>
    </row>
    <row r="259" spans="1:18" ht="12.75" customHeight="1" outlineLevel="1">
      <c r="A259" s="226">
        <v>47269</v>
      </c>
      <c r="B259" s="302">
        <f t="shared" si="39"/>
        <v>0</v>
      </c>
      <c r="C259" s="215">
        <f>'LSR Prepaid BPA interest'!I257</f>
        <v>8828.1591126475214</v>
      </c>
      <c r="D259" s="209">
        <f>'LSR Prepaid BPA interest'!H257</f>
        <v>-675002.21008466824</v>
      </c>
      <c r="E259" s="296"/>
      <c r="F259" s="297">
        <f t="shared" si="48"/>
        <v>0</v>
      </c>
      <c r="G259" s="298">
        <f t="shared" si="49"/>
        <v>0</v>
      </c>
      <c r="H259" s="296">
        <f t="shared" si="50"/>
        <v>8828.1591126475214</v>
      </c>
      <c r="I259" s="297">
        <f t="shared" si="51"/>
        <v>-8828.1591126475214</v>
      </c>
      <c r="J259" s="298">
        <f t="shared" si="52"/>
        <v>0</v>
      </c>
      <c r="K259" s="296"/>
      <c r="L259" s="297">
        <f t="shared" si="53"/>
        <v>-27912.692735727669</v>
      </c>
      <c r="M259" s="298">
        <f t="shared" si="54"/>
        <v>1352678.3695129461</v>
      </c>
      <c r="N259" s="296">
        <f>'LSR Prepaid BPA interest'!G257</f>
        <v>0</v>
      </c>
      <c r="O259" s="297">
        <f t="shared" si="55"/>
        <v>-638261.35823629308</v>
      </c>
      <c r="P259" s="298">
        <f t="shared" si="56"/>
        <v>1575536.5274741708</v>
      </c>
      <c r="Q259" s="300">
        <f t="shared" si="57"/>
        <v>5366681.230207718</v>
      </c>
      <c r="R259" s="204"/>
    </row>
    <row r="260" spans="1:18" ht="12.75" customHeight="1" outlineLevel="1">
      <c r="A260" s="226">
        <v>47299</v>
      </c>
      <c r="B260" s="302">
        <f t="shared" si="39"/>
        <v>0</v>
      </c>
      <c r="C260" s="215">
        <f>'LSR Prepaid BPA interest'!I258</f>
        <v>6564.8761851511035</v>
      </c>
      <c r="D260" s="209">
        <f>'LSR Prepaid BPA interest'!H258</f>
        <v>-675002.21008466824</v>
      </c>
      <c r="E260" s="296"/>
      <c r="F260" s="297">
        <f t="shared" si="48"/>
        <v>0</v>
      </c>
      <c r="G260" s="298">
        <f t="shared" si="49"/>
        <v>0</v>
      </c>
      <c r="H260" s="296">
        <f t="shared" si="50"/>
        <v>6564.8761851511035</v>
      </c>
      <c r="I260" s="297">
        <f t="shared" si="51"/>
        <v>-6564.8761851511035</v>
      </c>
      <c r="J260" s="298">
        <f t="shared" si="52"/>
        <v>0</v>
      </c>
      <c r="K260" s="296"/>
      <c r="L260" s="297">
        <f t="shared" si="53"/>
        <v>-28007.524290389771</v>
      </c>
      <c r="M260" s="298">
        <f t="shared" si="54"/>
        <v>1324670.8452225563</v>
      </c>
      <c r="N260" s="296">
        <f>'LSR Prepaid BPA interest'!G258</f>
        <v>0</v>
      </c>
      <c r="O260" s="297">
        <f t="shared" si="55"/>
        <v>-640429.80960912735</v>
      </c>
      <c r="P260" s="298">
        <f t="shared" si="56"/>
        <v>935106.71786504344</v>
      </c>
      <c r="Q260" s="300">
        <f t="shared" si="57"/>
        <v>4737631.8789012153</v>
      </c>
      <c r="R260" s="204"/>
    </row>
    <row r="261" spans="1:18" ht="12.75" customHeight="1" outlineLevel="1">
      <c r="A261" s="226">
        <v>47330</v>
      </c>
      <c r="B261" s="302">
        <f t="shared" si="39"/>
        <v>0</v>
      </c>
      <c r="C261" s="215">
        <f>'LSR Prepaid BPA interest'!I259</f>
        <v>4817.7430455119329</v>
      </c>
      <c r="D261" s="209">
        <f>'LSR Prepaid BPA interest'!H259</f>
        <v>-675002.21008466824</v>
      </c>
      <c r="E261" s="296"/>
      <c r="F261" s="297">
        <f t="shared" si="48"/>
        <v>0</v>
      </c>
      <c r="G261" s="298">
        <f t="shared" si="49"/>
        <v>0</v>
      </c>
      <c r="H261" s="296">
        <f t="shared" si="50"/>
        <v>4817.7430455119329</v>
      </c>
      <c r="I261" s="297">
        <f t="shared" si="51"/>
        <v>-4817.7430455119329</v>
      </c>
      <c r="J261" s="298">
        <f t="shared" si="52"/>
        <v>0</v>
      </c>
      <c r="K261" s="296"/>
      <c r="L261" s="297">
        <f t="shared" si="53"/>
        <v>-28080.729168940652</v>
      </c>
      <c r="M261" s="298">
        <f t="shared" si="54"/>
        <v>1296590.1160536157</v>
      </c>
      <c r="N261" s="296">
        <f>'LSR Prepaid BPA interest'!G259</f>
        <v>0</v>
      </c>
      <c r="O261" s="297">
        <f t="shared" si="55"/>
        <v>-642103.73787021567</v>
      </c>
      <c r="P261" s="298">
        <f t="shared" si="56"/>
        <v>293002.97999482777</v>
      </c>
      <c r="Q261" s="300">
        <f t="shared" si="57"/>
        <v>4106713.3958284445</v>
      </c>
      <c r="R261" s="204"/>
    </row>
    <row r="262" spans="1:18" ht="12.75" customHeight="1" outlineLevel="1">
      <c r="A262" s="226">
        <v>47361</v>
      </c>
      <c r="B262" s="302">
        <f t="shared" si="39"/>
        <v>0</v>
      </c>
      <c r="C262" s="215">
        <f>'LSR Prepaid BPA interest'!I260</f>
        <v>2773.2893241872202</v>
      </c>
      <c r="D262" s="209">
        <f>'LSR Prepaid BPA interest'!H260</f>
        <v>-675002.21008466824</v>
      </c>
      <c r="E262" s="296"/>
      <c r="F262" s="297">
        <f t="shared" si="48"/>
        <v>0</v>
      </c>
      <c r="G262" s="298">
        <f t="shared" si="49"/>
        <v>0</v>
      </c>
      <c r="H262" s="296">
        <f t="shared" si="50"/>
        <v>2773.2893241872202</v>
      </c>
      <c r="I262" s="297">
        <f t="shared" si="51"/>
        <v>-2773.2893241872202</v>
      </c>
      <c r="J262" s="298">
        <f t="shared" si="52"/>
        <v>0</v>
      </c>
      <c r="K262" s="296"/>
      <c r="L262" s="297">
        <f t="shared" si="53"/>
        <v>-28166.391779864156</v>
      </c>
      <c r="M262" s="298">
        <f t="shared" si="54"/>
        <v>1268423.7242737515</v>
      </c>
      <c r="N262" s="296">
        <f>'LSR Prepaid BPA interest'!G260</f>
        <v>0</v>
      </c>
      <c r="O262" s="297">
        <f t="shared" si="55"/>
        <v>-644062.52898061683</v>
      </c>
      <c r="P262" s="298">
        <f t="shared" si="56"/>
        <v>-351059.54898578906</v>
      </c>
      <c r="Q262" s="300">
        <f t="shared" si="57"/>
        <v>3473886.8698358075</v>
      </c>
      <c r="R262" s="204"/>
    </row>
    <row r="263" spans="1:18" ht="12.75" customHeight="1" outlineLevel="1">
      <c r="A263" s="226">
        <v>47391</v>
      </c>
      <c r="B263" s="302">
        <f t="shared" si="39"/>
        <v>0</v>
      </c>
      <c r="C263" s="215">
        <f>'LSR Prepaid BPA interest'!I261</f>
        <v>705.32477696371711</v>
      </c>
      <c r="D263" s="209">
        <f>'LSR Prepaid BPA interest'!H261</f>
        <v>-675002.21008466824</v>
      </c>
      <c r="E263" s="296"/>
      <c r="F263" s="297">
        <f t="shared" si="48"/>
        <v>0</v>
      </c>
      <c r="G263" s="298">
        <f t="shared" si="49"/>
        <v>0</v>
      </c>
      <c r="H263" s="296">
        <f t="shared" si="50"/>
        <v>705.32477696371711</v>
      </c>
      <c r="I263" s="297">
        <f t="shared" si="51"/>
        <v>-705.32477696371711</v>
      </c>
      <c r="J263" s="298">
        <f t="shared" si="52"/>
        <v>0</v>
      </c>
      <c r="K263" s="296"/>
      <c r="L263" s="297">
        <f t="shared" si="53"/>
        <v>-28253.039494392822</v>
      </c>
      <c r="M263" s="298">
        <f t="shared" si="54"/>
        <v>1240170.6847793586</v>
      </c>
      <c r="N263" s="296">
        <f>'LSR Prepaid BPA interest'!G261</f>
        <v>0</v>
      </c>
      <c r="O263" s="297">
        <f t="shared" si="55"/>
        <v>-646043.84581331175</v>
      </c>
      <c r="P263" s="298">
        <f t="shared" si="56"/>
        <v>-997103.39479910082</v>
      </c>
      <c r="Q263" s="300">
        <f t="shared" si="57"/>
        <v>2839183.0758091076</v>
      </c>
      <c r="R263" s="204"/>
    </row>
    <row r="264" spans="1:18" ht="12.75" customHeight="1" outlineLevel="1">
      <c r="A264" s="226">
        <v>47422</v>
      </c>
      <c r="B264" s="302">
        <f t="shared" si="39"/>
        <v>0</v>
      </c>
      <c r="C264" s="215">
        <f>'LSR Prepaid BPA interest'!I262</f>
        <v>-1416.8372655412265</v>
      </c>
      <c r="D264" s="209">
        <f>'LSR Prepaid BPA interest'!H262</f>
        <v>-716717.3466679008</v>
      </c>
      <c r="E264" s="296"/>
      <c r="F264" s="297">
        <f t="shared" si="48"/>
        <v>0</v>
      </c>
      <c r="G264" s="298">
        <f t="shared" si="49"/>
        <v>0</v>
      </c>
      <c r="H264" s="296">
        <f t="shared" si="50"/>
        <v>-1416.8372655412265</v>
      </c>
      <c r="I264" s="297">
        <f t="shared" si="51"/>
        <v>1416.8372655412265</v>
      </c>
      <c r="J264" s="298">
        <f t="shared" si="52"/>
        <v>0</v>
      </c>
      <c r="K264" s="296"/>
      <c r="L264" s="297">
        <f t="shared" si="53"/>
        <v>-30089.82230681122</v>
      </c>
      <c r="M264" s="298">
        <f t="shared" si="54"/>
        <v>1210080.8624725475</v>
      </c>
      <c r="N264" s="296">
        <f>'LSR Prepaid BPA interest'!G262</f>
        <v>0</v>
      </c>
      <c r="O264" s="297">
        <f t="shared" si="55"/>
        <v>-688044.36162663077</v>
      </c>
      <c r="P264" s="298">
        <f t="shared" si="56"/>
        <v>-1685147.7564257316</v>
      </c>
      <c r="Q264" s="300">
        <f t="shared" si="57"/>
        <v>2200923.0914071235</v>
      </c>
      <c r="R264" s="204"/>
    </row>
    <row r="265" spans="1:18" ht="12.75" customHeight="1" outlineLevel="1">
      <c r="A265" s="226">
        <v>47452</v>
      </c>
      <c r="B265" s="302">
        <f t="shared" si="39"/>
        <v>0</v>
      </c>
      <c r="C265" s="215">
        <f>'LSR Prepaid BPA interest'!I263</f>
        <v>-3471.9079614617485</v>
      </c>
      <c r="D265" s="209">
        <f>'LSR Prepaid BPA interest'!H263</f>
        <v>-716717.3466679008</v>
      </c>
      <c r="E265" s="296"/>
      <c r="F265" s="297">
        <f t="shared" si="48"/>
        <v>0</v>
      </c>
      <c r="G265" s="298">
        <f t="shared" si="49"/>
        <v>0</v>
      </c>
      <c r="H265" s="296">
        <f t="shared" si="50"/>
        <v>-3471.9079614617485</v>
      </c>
      <c r="I265" s="297">
        <f t="shared" si="51"/>
        <v>3471.9079614617485</v>
      </c>
      <c r="J265" s="298">
        <f t="shared" si="52"/>
        <v>0</v>
      </c>
      <c r="K265" s="296"/>
      <c r="L265" s="297">
        <f t="shared" si="53"/>
        <v>-30175.929768970287</v>
      </c>
      <c r="M265" s="298">
        <f t="shared" si="54"/>
        <v>1179904.9327035772</v>
      </c>
      <c r="N265" s="296">
        <f>'LSR Prepaid BPA interest'!G263</f>
        <v>0</v>
      </c>
      <c r="O265" s="297">
        <f t="shared" si="55"/>
        <v>-690013.32486039214</v>
      </c>
      <c r="P265" s="298">
        <f t="shared" si="56"/>
        <v>-2375161.081286124</v>
      </c>
      <c r="Q265" s="300">
        <f t="shared" si="57"/>
        <v>1557423.5524406631</v>
      </c>
      <c r="R265" s="204"/>
    </row>
    <row r="266" spans="1:18" ht="12.75" customHeight="1" outlineLevel="1">
      <c r="A266" s="226">
        <v>47483</v>
      </c>
      <c r="B266" s="302">
        <f t="shared" si="39"/>
        <v>0</v>
      </c>
      <c r="C266" s="215">
        <f>'LSR Prepaid BPA interest'!I264</f>
        <v>-5758.4391881463862</v>
      </c>
      <c r="D266" s="209">
        <f>'LSR Prepaid BPA interest'!H264</f>
        <v>-716717.3466679008</v>
      </c>
      <c r="E266" s="296"/>
      <c r="F266" s="297">
        <f t="shared" si="48"/>
        <v>0</v>
      </c>
      <c r="G266" s="298">
        <f t="shared" si="49"/>
        <v>0</v>
      </c>
      <c r="H266" s="296">
        <f t="shared" si="50"/>
        <v>-5758.4391881463862</v>
      </c>
      <c r="I266" s="297">
        <f t="shared" si="51"/>
        <v>5758.4391881463862</v>
      </c>
      <c r="J266" s="298">
        <f t="shared" si="52"/>
        <v>0</v>
      </c>
      <c r="K266" s="296"/>
      <c r="L266" s="297">
        <f t="shared" si="53"/>
        <v>-30271.735427368378</v>
      </c>
      <c r="M266" s="298">
        <f t="shared" si="54"/>
        <v>1149633.1972762088</v>
      </c>
      <c r="N266" s="296">
        <f>'LSR Prepaid BPA interest'!G264</f>
        <v>0</v>
      </c>
      <c r="O266" s="297">
        <f t="shared" si="55"/>
        <v>-692204.05042867875</v>
      </c>
      <c r="P266" s="298">
        <f t="shared" si="56"/>
        <v>-3067365.1317148027</v>
      </c>
      <c r="Q266" s="300">
        <f t="shared" si="57"/>
        <v>908674.37113550876</v>
      </c>
      <c r="R266" s="204"/>
    </row>
    <row r="267" spans="1:18" ht="12.75" customHeight="1" outlineLevel="1">
      <c r="A267" s="226">
        <v>47514</v>
      </c>
      <c r="B267" s="302">
        <f t="shared" si="39"/>
        <v>0</v>
      </c>
      <c r="C267" s="215">
        <f>'LSR Prepaid BPA interest'!I265</f>
        <v>-7961.4884524529698</v>
      </c>
      <c r="D267" s="209">
        <f>'LSR Prepaid BPA interest'!H265</f>
        <v>-716717.3466679008</v>
      </c>
      <c r="E267" s="296"/>
      <c r="F267" s="297">
        <f t="shared" si="48"/>
        <v>0</v>
      </c>
      <c r="G267" s="298">
        <f t="shared" si="49"/>
        <v>0</v>
      </c>
      <c r="H267" s="296">
        <f t="shared" si="50"/>
        <v>-7961.4884524529698</v>
      </c>
      <c r="I267" s="297">
        <f t="shared" si="51"/>
        <v>7961.4884524529698</v>
      </c>
      <c r="J267" s="298">
        <f t="shared" si="52"/>
        <v>0</v>
      </c>
      <c r="K267" s="296"/>
      <c r="L267" s="297">
        <f t="shared" si="53"/>
        <v>-30364.04319154282</v>
      </c>
      <c r="M267" s="298">
        <f t="shared" si="54"/>
        <v>1119269.1540846659</v>
      </c>
      <c r="N267" s="296">
        <f>'LSR Prepaid BPA interest'!G265</f>
        <v>0</v>
      </c>
      <c r="O267" s="297">
        <f t="shared" si="55"/>
        <v>-694314.79192881088</v>
      </c>
      <c r="P267" s="298">
        <f t="shared" si="56"/>
        <v>-3761679.9236436137</v>
      </c>
      <c r="Q267" s="300">
        <f t="shared" si="57"/>
        <v>254625.33959485916</v>
      </c>
      <c r="R267" s="204"/>
    </row>
    <row r="268" spans="1:18" ht="12.75" customHeight="1" outlineLevel="1">
      <c r="A268" s="226">
        <v>47542</v>
      </c>
      <c r="B268" s="302">
        <f t="shared" si="39"/>
        <v>0</v>
      </c>
      <c r="C268" s="215">
        <f>'LSR Prepaid BPA interest'!I266</f>
        <v>-9151.7452769404954</v>
      </c>
      <c r="D268" s="209">
        <f>'LSR Prepaid BPA interest'!H266</f>
        <v>-716717.3466679008</v>
      </c>
      <c r="E268" s="296"/>
      <c r="F268" s="297">
        <f t="shared" si="48"/>
        <v>0</v>
      </c>
      <c r="G268" s="298">
        <f t="shared" si="49"/>
        <v>0</v>
      </c>
      <c r="H268" s="296">
        <f t="shared" si="50"/>
        <v>-9151.7452769404954</v>
      </c>
      <c r="I268" s="297">
        <f t="shared" si="51"/>
        <v>9151.7452769404954</v>
      </c>
      <c r="J268" s="298">
        <f t="shared" si="52"/>
        <v>0</v>
      </c>
      <c r="K268" s="296"/>
      <c r="L268" s="297">
        <f t="shared" si="53"/>
        <v>-30413.914952488853</v>
      </c>
      <c r="M268" s="298">
        <f t="shared" si="54"/>
        <v>1088855.2391321771</v>
      </c>
      <c r="N268" s="296">
        <f>'LSR Prepaid BPA interest'!G266</f>
        <v>0</v>
      </c>
      <c r="O268" s="297">
        <f t="shared" si="55"/>
        <v>-695455.17699235247</v>
      </c>
      <c r="P268" s="298">
        <f t="shared" si="56"/>
        <v>-4457135.1006359663</v>
      </c>
      <c r="Q268" s="300">
        <f t="shared" si="57"/>
        <v>-404645.93190808833</v>
      </c>
      <c r="R268" s="204"/>
    </row>
    <row r="269" spans="1:18" ht="12.75" customHeight="1" outlineLevel="1">
      <c r="A269" s="226">
        <v>47573</v>
      </c>
      <c r="B269" s="302">
        <f t="shared" si="39"/>
        <v>0</v>
      </c>
      <c r="C269" s="215">
        <f>'LSR Prepaid BPA interest'!I267</f>
        <v>-12303.090375058129</v>
      </c>
      <c r="D269" s="209">
        <f>'LSR Prepaid BPA interest'!H267</f>
        <v>-716717.3466679008</v>
      </c>
      <c r="E269" s="296"/>
      <c r="F269" s="297">
        <f t="shared" si="48"/>
        <v>0</v>
      </c>
      <c r="G269" s="298">
        <f t="shared" si="49"/>
        <v>0</v>
      </c>
      <c r="H269" s="296">
        <f t="shared" si="50"/>
        <v>-12303.090375058129</v>
      </c>
      <c r="I269" s="297">
        <f t="shared" si="51"/>
        <v>12303.090375058129</v>
      </c>
      <c r="J269" s="298">
        <f t="shared" si="52"/>
        <v>0</v>
      </c>
      <c r="K269" s="296"/>
      <c r="L269" s="297">
        <f t="shared" si="53"/>
        <v>-30545.956312099977</v>
      </c>
      <c r="M269" s="298">
        <f t="shared" si="54"/>
        <v>1058309.2828200771</v>
      </c>
      <c r="N269" s="296">
        <f>'LSR Prepaid BPA interest'!G267</f>
        <v>0</v>
      </c>
      <c r="O269" s="297">
        <f t="shared" si="55"/>
        <v>-698474.48073085886</v>
      </c>
      <c r="P269" s="298">
        <f t="shared" si="56"/>
        <v>-5155609.5813668249</v>
      </c>
      <c r="Q269" s="300">
        <f t="shared" si="57"/>
        <v>-1069149.5311475524</v>
      </c>
      <c r="R269" s="204"/>
    </row>
    <row r="270" spans="1:18" ht="12.75" customHeight="1" outlineLevel="1">
      <c r="A270" s="226">
        <v>47603</v>
      </c>
      <c r="B270" s="302">
        <f t="shared" si="39"/>
        <v>0</v>
      </c>
      <c r="C270" s="215">
        <f>'LSR Prepaid BPA interest'!I268</f>
        <v>-14093.214004897176</v>
      </c>
      <c r="D270" s="209">
        <f>'LSR Prepaid BPA interest'!H268</f>
        <v>-716717.3466679008</v>
      </c>
      <c r="E270" s="296"/>
      <c r="F270" s="297">
        <f t="shared" si="48"/>
        <v>0</v>
      </c>
      <c r="G270" s="298">
        <f t="shared" si="49"/>
        <v>0</v>
      </c>
      <c r="H270" s="296">
        <f t="shared" si="50"/>
        <v>-14093.214004897176</v>
      </c>
      <c r="I270" s="297">
        <f t="shared" si="51"/>
        <v>14093.214004897176</v>
      </c>
      <c r="J270" s="298">
        <f t="shared" si="52"/>
        <v>0</v>
      </c>
      <c r="K270" s="296"/>
      <c r="L270" s="297">
        <f t="shared" si="53"/>
        <v>-30620.962492190236</v>
      </c>
      <c r="M270" s="298">
        <f t="shared" si="54"/>
        <v>1027688.320327887</v>
      </c>
      <c r="N270" s="296">
        <f>'LSR Prepaid BPA interest'!G268</f>
        <v>0</v>
      </c>
      <c r="O270" s="297">
        <f t="shared" si="55"/>
        <v>-700189.59818060766</v>
      </c>
      <c r="P270" s="298">
        <f t="shared" si="56"/>
        <v>-5855799.1795474328</v>
      </c>
      <c r="Q270" s="300">
        <f t="shared" si="57"/>
        <v>-1738967.9950368663</v>
      </c>
      <c r="R270" s="204"/>
    </row>
    <row r="271" spans="1:18" ht="12.75" customHeight="1" outlineLevel="1">
      <c r="A271" s="226">
        <v>47634</v>
      </c>
      <c r="B271" s="302">
        <f t="shared" si="39"/>
        <v>0</v>
      </c>
      <c r="C271" s="215">
        <f>'LSR Prepaid BPA interest'!I269</f>
        <v>-16733.788766362992</v>
      </c>
      <c r="D271" s="209">
        <f>'LSR Prepaid BPA interest'!H269</f>
        <v>-716717.3466679008</v>
      </c>
      <c r="E271" s="296"/>
      <c r="F271" s="297">
        <f t="shared" si="48"/>
        <v>0</v>
      </c>
      <c r="G271" s="298">
        <f t="shared" si="49"/>
        <v>0</v>
      </c>
      <c r="H271" s="296">
        <f t="shared" si="50"/>
        <v>-16733.788766362992</v>
      </c>
      <c r="I271" s="297">
        <f t="shared" si="51"/>
        <v>16733.788766362992</v>
      </c>
      <c r="J271" s="298">
        <f t="shared" si="52"/>
        <v>0</v>
      </c>
      <c r="K271" s="296"/>
      <c r="L271" s="297">
        <f t="shared" si="53"/>
        <v>-30731.602574695651</v>
      </c>
      <c r="M271" s="298">
        <f t="shared" si="54"/>
        <v>996956.71775319136</v>
      </c>
      <c r="N271" s="296">
        <f>'LSR Prepaid BPA interest'!G269</f>
        <v>0</v>
      </c>
      <c r="O271" s="297">
        <f t="shared" si="55"/>
        <v>-702719.53285956802</v>
      </c>
      <c r="P271" s="298">
        <f t="shared" si="56"/>
        <v>-6558518.7124070004</v>
      </c>
      <c r="Q271" s="300">
        <f t="shared" si="57"/>
        <v>-2414120.1744176606</v>
      </c>
      <c r="R271" s="204"/>
    </row>
    <row r="272" spans="1:18" ht="12.75" customHeight="1" outlineLevel="1">
      <c r="A272" s="226">
        <v>47664</v>
      </c>
      <c r="B272" s="302">
        <f t="shared" si="39"/>
        <v>0</v>
      </c>
      <c r="C272" s="215">
        <f>'LSR Prepaid BPA interest'!I270</f>
        <v>-18294.764252579589</v>
      </c>
      <c r="D272" s="209">
        <f>'LSR Prepaid BPA interest'!H270</f>
        <v>-716717.3466679008</v>
      </c>
      <c r="E272" s="296"/>
      <c r="F272" s="297">
        <f t="shared" si="48"/>
        <v>0</v>
      </c>
      <c r="G272" s="298">
        <f t="shared" si="49"/>
        <v>0</v>
      </c>
      <c r="H272" s="296">
        <f t="shared" si="50"/>
        <v>-18294.764252579589</v>
      </c>
      <c r="I272" s="297">
        <f t="shared" si="51"/>
        <v>18294.764252579589</v>
      </c>
      <c r="J272" s="298">
        <f t="shared" si="52"/>
        <v>0</v>
      </c>
      <c r="K272" s="296"/>
      <c r="L272" s="297">
        <f t="shared" si="53"/>
        <v>-30797.007447568125</v>
      </c>
      <c r="M272" s="298">
        <f t="shared" si="54"/>
        <v>966159.71030562324</v>
      </c>
      <c r="N272" s="296">
        <f>'LSR Prepaid BPA interest'!G270</f>
        <v>0</v>
      </c>
      <c r="O272" s="297">
        <f t="shared" si="55"/>
        <v>-704215.10347291222</v>
      </c>
      <c r="P272" s="298">
        <f t="shared" si="56"/>
        <v>-7262733.815879913</v>
      </c>
      <c r="Q272" s="300">
        <f t="shared" si="57"/>
        <v>-3094615.831652083</v>
      </c>
      <c r="R272" s="204"/>
    </row>
    <row r="273" spans="1:18" ht="12.75" customHeight="1" outlineLevel="1">
      <c r="A273" s="226">
        <v>47695</v>
      </c>
      <c r="B273" s="302">
        <f t="shared" si="39"/>
        <v>0</v>
      </c>
      <c r="C273" s="215">
        <f>'LSR Prepaid BPA interest'!I271</f>
        <v>-21224.171208334657</v>
      </c>
      <c r="D273" s="209">
        <f>'LSR Prepaid BPA interest'!H271</f>
        <v>-716717.3466679008</v>
      </c>
      <c r="E273" s="296"/>
      <c r="F273" s="297">
        <f t="shared" si="48"/>
        <v>0</v>
      </c>
      <c r="G273" s="298">
        <f t="shared" si="49"/>
        <v>0</v>
      </c>
      <c r="H273" s="296">
        <f t="shared" si="50"/>
        <v>-21224.171208334657</v>
      </c>
      <c r="I273" s="297">
        <f t="shared" si="51"/>
        <v>21224.171208334657</v>
      </c>
      <c r="J273" s="298">
        <f t="shared" si="52"/>
        <v>0</v>
      </c>
      <c r="K273" s="296"/>
      <c r="L273" s="297">
        <f t="shared" si="53"/>
        <v>-30919.749599014263</v>
      </c>
      <c r="M273" s="298">
        <f t="shared" si="54"/>
        <v>935239.96070660895</v>
      </c>
      <c r="N273" s="296">
        <f>'LSR Prepaid BPA interest'!G271</f>
        <v>0</v>
      </c>
      <c r="O273" s="297">
        <f t="shared" si="55"/>
        <v>-707021.76827722113</v>
      </c>
      <c r="P273" s="298">
        <f t="shared" si="56"/>
        <v>-7969755.5841571344</v>
      </c>
      <c r="Q273" s="300">
        <f t="shared" si="57"/>
        <v>-3780474.1273977873</v>
      </c>
      <c r="R273" s="204"/>
    </row>
    <row r="274" spans="1:18" ht="12.75" customHeight="1" outlineLevel="1">
      <c r="A274" s="226">
        <v>47726</v>
      </c>
      <c r="B274" s="302">
        <f t="shared" si="39"/>
        <v>0</v>
      </c>
      <c r="C274" s="215">
        <f>'LSR Prepaid BPA interest'!I272</f>
        <v>-23394.97216963724</v>
      </c>
      <c r="D274" s="209">
        <f>'LSR Prepaid BPA interest'!H272</f>
        <v>-716717.3466679008</v>
      </c>
      <c r="E274" s="296"/>
      <c r="F274" s="297">
        <f t="shared" si="48"/>
        <v>0</v>
      </c>
      <c r="G274" s="298">
        <f t="shared" si="49"/>
        <v>0</v>
      </c>
      <c r="H274" s="296">
        <f t="shared" si="50"/>
        <v>-23394.97216963724</v>
      </c>
      <c r="I274" s="297">
        <f t="shared" si="51"/>
        <v>23394.97216963724</v>
      </c>
      <c r="J274" s="298">
        <f t="shared" si="52"/>
        <v>0</v>
      </c>
      <c r="K274" s="296"/>
      <c r="L274" s="297">
        <f t="shared" si="53"/>
        <v>-31010.706159292844</v>
      </c>
      <c r="M274" s="298">
        <f t="shared" si="54"/>
        <v>904229.25454731612</v>
      </c>
      <c r="N274" s="296">
        <f>'LSR Prepaid BPA interest'!G272</f>
        <v>0</v>
      </c>
      <c r="O274" s="297">
        <f t="shared" si="55"/>
        <v>-709101.61267824518</v>
      </c>
      <c r="P274" s="298">
        <f t="shared" si="56"/>
        <v>-8678857.19683538</v>
      </c>
      <c r="Q274" s="300">
        <f t="shared" si="57"/>
        <v>-4471747.3028978519</v>
      </c>
      <c r="R274" s="204"/>
    </row>
    <row r="275" spans="1:18" ht="12.75" customHeight="1" outlineLevel="1">
      <c r="A275" s="226">
        <v>47756</v>
      </c>
      <c r="B275" s="302">
        <f t="shared" si="39"/>
        <v>0</v>
      </c>
      <c r="C275" s="215">
        <f>'LSR Prepaid BPA interest'!I273</f>
        <v>-24741.070771877246</v>
      </c>
      <c r="D275" s="209">
        <f>'LSR Prepaid BPA interest'!H273</f>
        <v>-716717.3466679008</v>
      </c>
      <c r="E275" s="296"/>
      <c r="F275" s="297">
        <f t="shared" si="48"/>
        <v>0</v>
      </c>
      <c r="G275" s="298">
        <f t="shared" si="49"/>
        <v>0</v>
      </c>
      <c r="H275" s="296">
        <f t="shared" si="50"/>
        <v>-24741.070771877246</v>
      </c>
      <c r="I275" s="297">
        <f t="shared" si="51"/>
        <v>24741.070771877246</v>
      </c>
      <c r="J275" s="298">
        <f t="shared" si="52"/>
        <v>0</v>
      </c>
      <c r="K275" s="296"/>
      <c r="L275" s="297">
        <f t="shared" si="53"/>
        <v>-31067.107690726702</v>
      </c>
      <c r="M275" s="298">
        <f t="shared" si="54"/>
        <v>873162.14685658936</v>
      </c>
      <c r="N275" s="296">
        <f>'LSR Prepaid BPA interest'!G273</f>
        <v>0</v>
      </c>
      <c r="O275" s="297">
        <f t="shared" si="55"/>
        <v>-710391.30974905135</v>
      </c>
      <c r="P275" s="298">
        <f t="shared" si="56"/>
        <v>-9389248.506584432</v>
      </c>
      <c r="Q275" s="300">
        <f t="shared" si="57"/>
        <v>-5168411.5845493069</v>
      </c>
      <c r="R275" s="204"/>
    </row>
    <row r="276" spans="1:18" ht="12.75" customHeight="1" outlineLevel="1">
      <c r="A276" s="226">
        <v>47787</v>
      </c>
      <c r="B276" s="302">
        <f t="shared" si="39"/>
        <v>0</v>
      </c>
      <c r="C276" s="215">
        <f>'LSR Prepaid BPA interest'!I274</f>
        <v>-27946.653030965801</v>
      </c>
      <c r="D276" s="209">
        <f>'LSR Prepaid BPA interest'!H274</f>
        <v>-716717.3466679008</v>
      </c>
      <c r="E276" s="296"/>
      <c r="F276" s="297">
        <f t="shared" si="48"/>
        <v>0</v>
      </c>
      <c r="G276" s="298">
        <f t="shared" si="49"/>
        <v>0</v>
      </c>
      <c r="H276" s="296">
        <f t="shared" si="50"/>
        <v>-27946.653030965801</v>
      </c>
      <c r="I276" s="297">
        <f t="shared" si="51"/>
        <v>27946.653030965801</v>
      </c>
      <c r="J276" s="298">
        <f t="shared" si="52"/>
        <v>0</v>
      </c>
      <c r="K276" s="296"/>
      <c r="L276" s="297">
        <f t="shared" si="53"/>
        <v>-31201.421587382512</v>
      </c>
      <c r="M276" s="298">
        <f t="shared" si="54"/>
        <v>841960.7252692068</v>
      </c>
      <c r="N276" s="296">
        <f>'LSR Prepaid BPA interest'!G274</f>
        <v>0</v>
      </c>
      <c r="O276" s="297">
        <f t="shared" si="55"/>
        <v>-713462.57811148406</v>
      </c>
      <c r="P276" s="298">
        <f t="shared" si="56"/>
        <v>-10102711.084695917</v>
      </c>
      <c r="Q276" s="300">
        <f t="shared" si="57"/>
        <v>-5868816.1028849548</v>
      </c>
      <c r="R276" s="204"/>
    </row>
    <row r="277" spans="1:18" ht="12.75" customHeight="1" outlineLevel="1">
      <c r="A277" s="226">
        <v>47817</v>
      </c>
      <c r="B277" s="302">
        <f t="shared" si="39"/>
        <v>0</v>
      </c>
      <c r="C277" s="215">
        <f>'LSR Prepaid BPA interest'!I275</f>
        <v>-29145.923218324242</v>
      </c>
      <c r="D277" s="209">
        <f>'LSR Prepaid BPA interest'!H275</f>
        <v>-716717.3466679008</v>
      </c>
      <c r="E277" s="296"/>
      <c r="F277" s="297">
        <f t="shared" si="48"/>
        <v>0</v>
      </c>
      <c r="G277" s="298">
        <f t="shared" si="49"/>
        <v>0</v>
      </c>
      <c r="H277" s="296">
        <f t="shared" si="50"/>
        <v>-29145.923218324242</v>
      </c>
      <c r="I277" s="297">
        <f t="shared" si="51"/>
        <v>29145.923218324242</v>
      </c>
      <c r="J277" s="298">
        <f t="shared" si="52"/>
        <v>0</v>
      </c>
      <c r="K277" s="296"/>
      <c r="L277" s="297">
        <f t="shared" si="53"/>
        <v>-31251.671008232828</v>
      </c>
      <c r="M277" s="298">
        <f t="shared" si="54"/>
        <v>810709.05426097394</v>
      </c>
      <c r="N277" s="296">
        <f>'LSR Prepaid BPA interest'!G275</f>
        <v>0</v>
      </c>
      <c r="O277" s="297">
        <f t="shared" si="55"/>
        <v>-714611.59887799213</v>
      </c>
      <c r="P277" s="298">
        <f t="shared" si="56"/>
        <v>-10817322.683573909</v>
      </c>
      <c r="Q277" s="300">
        <f t="shared" si="57"/>
        <v>-6571304.6416582027</v>
      </c>
      <c r="R277" s="204"/>
    </row>
    <row r="278" spans="1:18" ht="12.75" customHeight="1" outlineLevel="1">
      <c r="A278" s="226">
        <v>47848</v>
      </c>
      <c r="B278" s="302">
        <f t="shared" si="39"/>
        <v>0</v>
      </c>
      <c r="C278" s="215">
        <f>'LSR Prepaid BPA interest'!I276</f>
        <v>-32288.254953570959</v>
      </c>
      <c r="D278" s="209">
        <f>'LSR Prepaid BPA interest'!H276</f>
        <v>-716717.3466679008</v>
      </c>
      <c r="E278" s="296"/>
      <c r="F278" s="297">
        <f t="shared" si="48"/>
        <v>0</v>
      </c>
      <c r="G278" s="298">
        <f t="shared" si="49"/>
        <v>0</v>
      </c>
      <c r="H278" s="296">
        <f t="shared" si="50"/>
        <v>-32288.254953570959</v>
      </c>
      <c r="I278" s="297">
        <f t="shared" si="51"/>
        <v>32288.254953570959</v>
      </c>
      <c r="J278" s="298">
        <f t="shared" si="52"/>
        <v>0</v>
      </c>
      <c r="K278" s="296"/>
      <c r="L278" s="297">
        <f t="shared" si="53"/>
        <v>-31383.33470793967</v>
      </c>
      <c r="M278" s="298">
        <f t="shared" si="54"/>
        <v>779325.71955303429</v>
      </c>
      <c r="N278" s="296">
        <f>'LSR Prepaid BPA interest'!G276</f>
        <v>0</v>
      </c>
      <c r="O278" s="297">
        <f t="shared" si="55"/>
        <v>-717622.26691353216</v>
      </c>
      <c r="P278" s="298">
        <f t="shared" si="56"/>
        <v>-11534944.95048744</v>
      </c>
      <c r="Q278" s="300">
        <f t="shared" si="57"/>
        <v>-7275877.2008690536</v>
      </c>
      <c r="R278" s="204"/>
    </row>
    <row r="279" spans="1:18" ht="12.75" customHeight="1" outlineLevel="1">
      <c r="A279" s="226">
        <v>47879</v>
      </c>
      <c r="B279" s="302">
        <f t="shared" si="39"/>
        <v>0</v>
      </c>
      <c r="C279" s="215">
        <f>'LSR Prepaid BPA interest'!I277</f>
        <v>-34729.773506960926</v>
      </c>
      <c r="D279" s="209">
        <f>'LSR Prepaid BPA interest'!H277</f>
        <v>-716717.3466679008</v>
      </c>
      <c r="E279" s="296"/>
      <c r="F279" s="297">
        <f t="shared" si="48"/>
        <v>0</v>
      </c>
      <c r="G279" s="298">
        <f t="shared" si="49"/>
        <v>0</v>
      </c>
      <c r="H279" s="296">
        <f t="shared" si="50"/>
        <v>-34729.773506960926</v>
      </c>
      <c r="I279" s="297">
        <f t="shared" si="51"/>
        <v>34729.773506960926</v>
      </c>
      <c r="J279" s="298">
        <f t="shared" si="52"/>
        <v>0</v>
      </c>
      <c r="K279" s="296"/>
      <c r="L279" s="297">
        <f t="shared" si="53"/>
        <v>-31485.634335326708</v>
      </c>
      <c r="M279" s="298">
        <f t="shared" si="54"/>
        <v>747840.08521770756</v>
      </c>
      <c r="N279" s="296">
        <f>'LSR Prepaid BPA interest'!G277</f>
        <v>0</v>
      </c>
      <c r="O279" s="297">
        <f t="shared" si="55"/>
        <v>-719961.48583953502</v>
      </c>
      <c r="P279" s="298">
        <f t="shared" si="56"/>
        <v>-12254906.436326975</v>
      </c>
      <c r="Q279" s="300">
        <f t="shared" si="57"/>
        <v>-7982577.4646797217</v>
      </c>
      <c r="R279" s="204"/>
    </row>
    <row r="280" spans="1:18" ht="12.75" customHeight="1" outlineLevel="1">
      <c r="A280" s="226">
        <v>47907</v>
      </c>
      <c r="B280" s="302">
        <f t="shared" si="39"/>
        <v>0</v>
      </c>
      <c r="C280" s="215">
        <f>'LSR Prepaid BPA interest'!I278</f>
        <v>-33329.5511326251</v>
      </c>
      <c r="D280" s="209">
        <f>'LSR Prepaid BPA interest'!H278</f>
        <v>-716717.3466679008</v>
      </c>
      <c r="E280" s="296"/>
      <c r="F280" s="297">
        <f t="shared" si="48"/>
        <v>0</v>
      </c>
      <c r="G280" s="298">
        <f t="shared" si="49"/>
        <v>0</v>
      </c>
      <c r="H280" s="296">
        <f t="shared" si="50"/>
        <v>-33329.5511326251</v>
      </c>
      <c r="I280" s="297">
        <f t="shared" si="51"/>
        <v>33329.5511326251</v>
      </c>
      <c r="J280" s="298">
        <f t="shared" si="52"/>
        <v>0</v>
      </c>
      <c r="K280" s="296"/>
      <c r="L280" s="297">
        <f t="shared" si="53"/>
        <v>-31426.965017842034</v>
      </c>
      <c r="M280" s="298">
        <f t="shared" si="54"/>
        <v>716413.12019986555</v>
      </c>
      <c r="N280" s="296">
        <f>'LSR Prepaid BPA interest'!G278</f>
        <v>0</v>
      </c>
      <c r="O280" s="297">
        <f t="shared" si="55"/>
        <v>-718619.93278268375</v>
      </c>
      <c r="P280" s="298">
        <f t="shared" si="56"/>
        <v>-12973526.369109659</v>
      </c>
      <c r="Q280" s="300">
        <f t="shared" si="57"/>
        <v>-8691311.5388945993</v>
      </c>
      <c r="R280" s="204"/>
    </row>
    <row r="281" spans="1:18" ht="12.75" customHeight="1" outlineLevel="1">
      <c r="A281" s="226">
        <v>47938</v>
      </c>
      <c r="B281" s="302">
        <f t="shared" si="39"/>
        <v>0</v>
      </c>
      <c r="C281" s="215">
        <f>'LSR Prepaid BPA interest'!I279</f>
        <v>-39071.375429566084</v>
      </c>
      <c r="D281" s="209">
        <f>'LSR Prepaid BPA interest'!H279</f>
        <v>-716717.3466679008</v>
      </c>
      <c r="E281" s="296"/>
      <c r="F281" s="297">
        <f t="shared" si="48"/>
        <v>0</v>
      </c>
      <c r="G281" s="298">
        <f t="shared" si="49"/>
        <v>0</v>
      </c>
      <c r="H281" s="296">
        <f t="shared" si="50"/>
        <v>-39071.375429566084</v>
      </c>
      <c r="I281" s="297">
        <f t="shared" si="51"/>
        <v>39071.375429566084</v>
      </c>
      <c r="J281" s="298">
        <f t="shared" si="52"/>
        <v>0</v>
      </c>
      <c r="K281" s="296"/>
      <c r="L281" s="297">
        <f t="shared" si="53"/>
        <v>-31667.547455883865</v>
      </c>
      <c r="M281" s="298">
        <f t="shared" si="54"/>
        <v>684745.57274398173</v>
      </c>
      <c r="N281" s="296">
        <f>'LSR Prepaid BPA interest'!G279</f>
        <v>0</v>
      </c>
      <c r="O281" s="297">
        <f t="shared" si="55"/>
        <v>-724121.174641583</v>
      </c>
      <c r="P281" s="298">
        <f t="shared" si="56"/>
        <v>-13697647.543751242</v>
      </c>
      <c r="Q281" s="300">
        <f t="shared" si="57"/>
        <v>-9402079.4235136863</v>
      </c>
      <c r="R281" s="204"/>
    </row>
    <row r="282" spans="1:18" ht="12.75" customHeight="1" outlineLevel="1">
      <c r="A282" s="226">
        <v>47968</v>
      </c>
      <c r="B282" s="302">
        <f t="shared" si="39"/>
        <v>0</v>
      </c>
      <c r="C282" s="215">
        <f>'LSR Prepaid BPA interest'!I280</f>
        <v>-40225.795132811065</v>
      </c>
      <c r="D282" s="209">
        <f>'LSR Prepaid BPA interest'!H280</f>
        <v>-716717.3466679008</v>
      </c>
      <c r="E282" s="296"/>
      <c r="F282" s="297">
        <f t="shared" si="48"/>
        <v>0</v>
      </c>
      <c r="G282" s="298">
        <f t="shared" si="49"/>
        <v>0</v>
      </c>
      <c r="H282" s="296">
        <f t="shared" si="50"/>
        <v>-40225.795132811065</v>
      </c>
      <c r="I282" s="297">
        <f t="shared" si="51"/>
        <v>40225.795132811065</v>
      </c>
      <c r="J282" s="298">
        <f t="shared" si="52"/>
        <v>0</v>
      </c>
      <c r="K282" s="296"/>
      <c r="L282" s="297">
        <f t="shared" si="53"/>
        <v>-31715.917641449825</v>
      </c>
      <c r="M282" s="298">
        <f t="shared" si="54"/>
        <v>653029.65510253189</v>
      </c>
      <c r="N282" s="296">
        <f>'LSR Prepaid BPA interest'!G280</f>
        <v>0</v>
      </c>
      <c r="O282" s="297">
        <f t="shared" si="55"/>
        <v>-725227.22415926203</v>
      </c>
      <c r="P282" s="298">
        <f t="shared" si="56"/>
        <v>-14422874.767910503</v>
      </c>
      <c r="Q282" s="300">
        <f t="shared" si="57"/>
        <v>-10114959.154794833</v>
      </c>
      <c r="R282" s="204"/>
    </row>
    <row r="283" spans="1:18" ht="12.75" customHeight="1" outlineLevel="1">
      <c r="A283" s="226">
        <v>47999</v>
      </c>
      <c r="B283" s="302">
        <f t="shared" si="39"/>
        <v>0</v>
      </c>
      <c r="C283" s="215">
        <f>'LSR Prepaid BPA interest'!I281</f>
        <v>-43737.455931874014</v>
      </c>
      <c r="D283" s="209">
        <f>'LSR Prepaid BPA interest'!H281</f>
        <v>-716717.3466679008</v>
      </c>
      <c r="E283" s="296"/>
      <c r="F283" s="297">
        <f t="shared" si="48"/>
        <v>0</v>
      </c>
      <c r="G283" s="298">
        <f t="shared" si="49"/>
        <v>0</v>
      </c>
      <c r="H283" s="296">
        <f t="shared" si="50"/>
        <v>-43737.455931874014</v>
      </c>
      <c r="I283" s="297">
        <f t="shared" si="51"/>
        <v>43737.455931874014</v>
      </c>
      <c r="J283" s="298">
        <f t="shared" si="52"/>
        <v>0</v>
      </c>
      <c r="K283" s="296"/>
      <c r="L283" s="297">
        <f t="shared" si="53"/>
        <v>-31863.056228930564</v>
      </c>
      <c r="M283" s="298">
        <f t="shared" si="54"/>
        <v>621166.5988736013</v>
      </c>
      <c r="N283" s="296">
        <f>'LSR Prepaid BPA interest'!G281</f>
        <v>0</v>
      </c>
      <c r="O283" s="297">
        <f t="shared" si="55"/>
        <v>-728591.74637084419</v>
      </c>
      <c r="P283" s="298">
        <f t="shared" si="56"/>
        <v>-15151466.514281347</v>
      </c>
      <c r="Q283" s="300">
        <f t="shared" si="57"/>
        <v>-10829960.129388059</v>
      </c>
      <c r="R283" s="204"/>
    </row>
    <row r="284" spans="1:18" ht="12.75" customHeight="1" outlineLevel="1">
      <c r="A284" s="226">
        <v>48029</v>
      </c>
      <c r="B284" s="302">
        <f t="shared" si="39"/>
        <v>0</v>
      </c>
      <c r="C284" s="215">
        <f>'LSR Prepaid BPA interest'!I282</f>
        <v>-44427.345380493476</v>
      </c>
      <c r="D284" s="209">
        <f>'LSR Prepaid BPA interest'!H282</f>
        <v>-716717.3466679008</v>
      </c>
      <c r="E284" s="296"/>
      <c r="F284" s="297">
        <f t="shared" si="48"/>
        <v>0</v>
      </c>
      <c r="G284" s="298">
        <f t="shared" si="49"/>
        <v>0</v>
      </c>
      <c r="H284" s="296">
        <f t="shared" si="50"/>
        <v>-44427.345380493476</v>
      </c>
      <c r="I284" s="297">
        <f t="shared" si="51"/>
        <v>44427.345380493476</v>
      </c>
      <c r="J284" s="298">
        <f t="shared" si="52"/>
        <v>0</v>
      </c>
      <c r="K284" s="296"/>
      <c r="L284" s="297">
        <f t="shared" si="53"/>
        <v>-31891.962596827718</v>
      </c>
      <c r="M284" s="298">
        <f t="shared" si="54"/>
        <v>589274.63627677353</v>
      </c>
      <c r="N284" s="296">
        <f>'LSR Prepaid BPA interest'!G282</f>
        <v>0</v>
      </c>
      <c r="O284" s="297">
        <f t="shared" si="55"/>
        <v>-729252.72945156647</v>
      </c>
      <c r="P284" s="298">
        <f t="shared" si="56"/>
        <v>-15880719.243732914</v>
      </c>
      <c r="Q284" s="300">
        <f t="shared" si="57"/>
        <v>-11547082.347293364</v>
      </c>
      <c r="R284" s="204"/>
    </row>
    <row r="285" spans="1:18" ht="12.75" customHeight="1" outlineLevel="1">
      <c r="A285" s="226">
        <v>48060</v>
      </c>
      <c r="B285" s="302">
        <f t="shared" si="39"/>
        <v>0</v>
      </c>
      <c r="C285" s="215">
        <f>'LSR Prepaid BPA interest'!I283</f>
        <v>-48467.928629661554</v>
      </c>
      <c r="D285" s="209">
        <f>'LSR Prepaid BPA interest'!H283</f>
        <v>-716717.3466679008</v>
      </c>
      <c r="E285" s="296"/>
      <c r="F285" s="297">
        <f>-MIN(ABS(D285),ABS(G284))</f>
        <v>0</v>
      </c>
      <c r="G285" s="298">
        <f>G284+E285+F285</f>
        <v>0</v>
      </c>
      <c r="H285" s="296">
        <f>C285</f>
        <v>-48467.928629661554</v>
      </c>
      <c r="I285" s="297">
        <f>-J284-H285</f>
        <v>48467.928629661554</v>
      </c>
      <c r="J285" s="298">
        <f>J284+H285+I285</f>
        <v>0</v>
      </c>
      <c r="K285" s="296"/>
      <c r="L285" s="297">
        <f>IF((F285+I285)&gt;D285,(D285-F285-I285)*$M$1,0)</f>
        <v>-32061.263034967862</v>
      </c>
      <c r="M285" s="298">
        <f>M284+K285+L285</f>
        <v>557213.3732418057</v>
      </c>
      <c r="N285" s="296">
        <f>'LSR Prepaid BPA interest'!G283</f>
        <v>0</v>
      </c>
      <c r="O285" s="297">
        <f t="shared" ref="O285:O295" si="58">IF((I285+L285)&gt;D285,(D285-I285)*$P$1,0)</f>
        <v>-733124.01226259442</v>
      </c>
      <c r="P285" s="298">
        <f t="shared" ref="P285:P295" si="59">P284+N285+O285</f>
        <v>-16613843.255995508</v>
      </c>
      <c r="Q285" s="300">
        <f t="shared" ref="Q285:Q298" si="60">(P285+P273+SUM(P274:P284)*2)/24</f>
        <v>-12266335.393113837</v>
      </c>
      <c r="R285" s="204"/>
    </row>
    <row r="286" spans="1:18" ht="12.75" customHeight="1" outlineLevel="1">
      <c r="A286" s="226">
        <v>48091</v>
      </c>
      <c r="B286" s="302">
        <f t="shared" si="39"/>
        <v>0</v>
      </c>
      <c r="C286" s="215">
        <f>'LSR Prepaid BPA interest'!I284</f>
        <v>0</v>
      </c>
      <c r="D286" s="209">
        <f>'LSR Prepaid BPA interest'!H284</f>
        <v>-476931</v>
      </c>
      <c r="E286" s="296"/>
      <c r="F286" s="297">
        <f>-MIN(ABS(D286),ABS(G285))</f>
        <v>0</v>
      </c>
      <c r="G286" s="298">
        <f>G285+E286+F286</f>
        <v>0</v>
      </c>
      <c r="H286" s="296">
        <f>C286</f>
        <v>0</v>
      </c>
      <c r="I286" s="297">
        <f>-J285-H286</f>
        <v>0</v>
      </c>
      <c r="J286" s="298">
        <f>J285+H286+I286</f>
        <v>0</v>
      </c>
      <c r="K286" s="296"/>
      <c r="L286" s="297">
        <f>-M285</f>
        <v>-557213.3732418057</v>
      </c>
      <c r="M286" s="298">
        <f>M285+K286+L286</f>
        <v>0</v>
      </c>
      <c r="N286" s="296">
        <f>'LSR Prepaid BPA interest'!G284</f>
        <v>0</v>
      </c>
      <c r="O286" s="297">
        <f>-P285</f>
        <v>16613843.255995508</v>
      </c>
      <c r="P286" s="298">
        <f t="shared" si="59"/>
        <v>0</v>
      </c>
      <c r="Q286" s="300">
        <f t="shared" si="60"/>
        <v>-12264886.662905628</v>
      </c>
      <c r="R286" s="204"/>
    </row>
    <row r="287" spans="1:18" ht="12.75" customHeight="1" outlineLevel="1">
      <c r="A287" s="226">
        <v>48121</v>
      </c>
      <c r="B287" s="302">
        <f t="shared" si="39"/>
        <v>0</v>
      </c>
      <c r="C287" s="215">
        <f>'LSR Prepaid BPA interest'!I285</f>
        <v>0</v>
      </c>
      <c r="D287" s="209">
        <f>'LSR Prepaid BPA interest'!H285</f>
        <v>0</v>
      </c>
      <c r="E287" s="296"/>
      <c r="F287" s="297">
        <f>-MIN(ABS(D287),ABS(G286))</f>
        <v>0</v>
      </c>
      <c r="G287" s="298">
        <f>G286+E287+F287</f>
        <v>0</v>
      </c>
      <c r="H287" s="296">
        <f>C287</f>
        <v>0</v>
      </c>
      <c r="I287" s="297">
        <f>-J286-H287</f>
        <v>0</v>
      </c>
      <c r="J287" s="298">
        <f>J286+H287+I287</f>
        <v>0</v>
      </c>
      <c r="K287" s="296"/>
      <c r="L287" s="297">
        <f>IF((F287+I287)&gt;D287,(D287-F287-I287)*$M$1,0)</f>
        <v>0</v>
      </c>
      <c r="M287" s="298">
        <f>M286+K287+L287</f>
        <v>0</v>
      </c>
      <c r="N287" s="296">
        <f>'LSR Prepaid BPA interest'!G285</f>
        <v>0</v>
      </c>
      <c r="O287" s="297">
        <f t="shared" si="58"/>
        <v>0</v>
      </c>
      <c r="P287" s="298">
        <f t="shared" si="59"/>
        <v>0</v>
      </c>
      <c r="Q287" s="300">
        <f t="shared" si="60"/>
        <v>-11512048.925263135</v>
      </c>
      <c r="R287" s="204"/>
    </row>
    <row r="288" spans="1:18" ht="12.75" customHeight="1" outlineLevel="1">
      <c r="A288" s="391">
        <v>48152</v>
      </c>
      <c r="B288" s="302">
        <f t="shared" si="39"/>
        <v>0</v>
      </c>
      <c r="C288" s="215">
        <f>'LSR Prepaid BPA interest'!I286</f>
        <v>0</v>
      </c>
      <c r="D288" s="209">
        <f>'LSR Prepaid BPA interest'!H286</f>
        <v>0</v>
      </c>
      <c r="E288" s="296"/>
      <c r="F288" s="297">
        <f>-MIN(ABS(D288),ABS(G287))</f>
        <v>0</v>
      </c>
      <c r="G288" s="298">
        <f>G287+E288+F288</f>
        <v>0</v>
      </c>
      <c r="H288" s="296">
        <f>C288</f>
        <v>0</v>
      </c>
      <c r="I288" s="297">
        <f>-J287-H288</f>
        <v>0</v>
      </c>
      <c r="J288" s="298">
        <f>J287+H288+I288</f>
        <v>0</v>
      </c>
      <c r="K288" s="296"/>
      <c r="L288" s="297">
        <f>IF((F288+I288)&gt;D288,(D288-F288-I288)*$M$1,0)</f>
        <v>0</v>
      </c>
      <c r="M288" s="298">
        <f>M287+K288+L288</f>
        <v>0</v>
      </c>
      <c r="N288" s="296">
        <f>'LSR Prepaid BPA interest'!G286</f>
        <v>0</v>
      </c>
      <c r="O288" s="297">
        <f t="shared" si="58"/>
        <v>0</v>
      </c>
      <c r="P288" s="298">
        <f t="shared" si="59"/>
        <v>0</v>
      </c>
      <c r="Q288" s="300">
        <f t="shared" si="60"/>
        <v>-10699883.942293121</v>
      </c>
      <c r="R288" s="204"/>
    </row>
    <row r="289" spans="1:18" ht="12.75" customHeight="1" outlineLevel="1">
      <c r="A289" s="226">
        <v>48182</v>
      </c>
      <c r="B289" s="302">
        <f t="shared" si="39"/>
        <v>0</v>
      </c>
      <c r="C289" s="215">
        <f>'LSR Prepaid BPA interest'!I287</f>
        <v>0</v>
      </c>
      <c r="D289" s="209">
        <f>'LSR Prepaid BPA interest'!H287</f>
        <v>0</v>
      </c>
      <c r="E289" s="296"/>
      <c r="F289" s="297">
        <f>-MIN(ABS(D289),ABS(G288))</f>
        <v>0</v>
      </c>
      <c r="G289" s="298">
        <f>G288+E289+F289</f>
        <v>0</v>
      </c>
      <c r="H289" s="296">
        <f>C289</f>
        <v>0</v>
      </c>
      <c r="I289" s="297">
        <f>-J288-H289</f>
        <v>0</v>
      </c>
      <c r="J289" s="298">
        <f>J288+H289+I289</f>
        <v>0</v>
      </c>
      <c r="K289" s="296"/>
      <c r="L289" s="297">
        <f>IF((F289+I289)&gt;D289,(D289-F289-I289)*$M$1,0)</f>
        <v>0</v>
      </c>
      <c r="M289" s="298">
        <f>M288+K289+L289</f>
        <v>0</v>
      </c>
      <c r="N289" s="296">
        <f>'LSR Prepaid BPA interest'!G287</f>
        <v>0</v>
      </c>
      <c r="O289" s="297">
        <f t="shared" si="58"/>
        <v>0</v>
      </c>
      <c r="P289" s="298">
        <f t="shared" si="59"/>
        <v>0</v>
      </c>
      <c r="Q289" s="300">
        <f t="shared" si="60"/>
        <v>-9828215.8686152119</v>
      </c>
      <c r="R289" s="204"/>
    </row>
    <row r="290" spans="1:18" ht="12.75" customHeight="1" outlineLevel="1">
      <c r="A290" s="226">
        <v>48213</v>
      </c>
      <c r="B290" s="302">
        <f t="shared" si="39"/>
        <v>0</v>
      </c>
      <c r="C290" s="215"/>
      <c r="D290" s="209"/>
      <c r="E290" s="296"/>
      <c r="F290" s="297"/>
      <c r="G290" s="298"/>
      <c r="H290" s="296"/>
      <c r="I290" s="297"/>
      <c r="J290" s="298"/>
      <c r="K290" s="296"/>
      <c r="L290" s="297"/>
      <c r="M290" s="298"/>
      <c r="N290" s="296"/>
      <c r="O290" s="297">
        <f t="shared" si="58"/>
        <v>0</v>
      </c>
      <c r="P290" s="298">
        <f t="shared" si="59"/>
        <v>0</v>
      </c>
      <c r="Q290" s="300">
        <f t="shared" si="60"/>
        <v>-8896871.3838626556</v>
      </c>
      <c r="R290" s="204"/>
    </row>
    <row r="291" spans="1:18" ht="12.75" customHeight="1" outlineLevel="1">
      <c r="A291" s="226">
        <v>48244</v>
      </c>
      <c r="B291" s="302">
        <f t="shared" si="39"/>
        <v>0</v>
      </c>
      <c r="C291" s="215"/>
      <c r="D291" s="209"/>
      <c r="E291" s="296"/>
      <c r="F291" s="297"/>
      <c r="G291" s="298"/>
      <c r="H291" s="296"/>
      <c r="I291" s="297"/>
      <c r="J291" s="298"/>
      <c r="K291" s="296"/>
      <c r="L291" s="297"/>
      <c r="M291" s="298"/>
      <c r="N291" s="296">
        <f>'LSR Prepaid BPA interest'!G289</f>
        <v>0</v>
      </c>
      <c r="O291" s="297">
        <f t="shared" si="58"/>
        <v>0</v>
      </c>
      <c r="P291" s="298">
        <f t="shared" si="59"/>
        <v>0</v>
      </c>
      <c r="Q291" s="300">
        <f t="shared" si="60"/>
        <v>-7905627.5760787232</v>
      </c>
      <c r="R291" s="204"/>
    </row>
    <row r="292" spans="1:18" ht="12.75" customHeight="1" outlineLevel="1">
      <c r="A292" s="226">
        <v>48272</v>
      </c>
      <c r="B292" s="302">
        <f t="shared" si="39"/>
        <v>0</v>
      </c>
      <c r="C292" s="215"/>
      <c r="D292" s="209"/>
      <c r="E292" s="296"/>
      <c r="F292" s="297"/>
      <c r="G292" s="298"/>
      <c r="H292" s="296"/>
      <c r="I292" s="297"/>
      <c r="J292" s="298"/>
      <c r="K292" s="296"/>
      <c r="L292" s="297"/>
      <c r="M292" s="298"/>
      <c r="N292" s="296">
        <f>'LSR Prepaid BPA interest'!G290</f>
        <v>0</v>
      </c>
      <c r="O292" s="297">
        <f t="shared" si="58"/>
        <v>0</v>
      </c>
      <c r="P292" s="298">
        <f t="shared" si="59"/>
        <v>0</v>
      </c>
      <c r="Q292" s="300">
        <f t="shared" si="60"/>
        <v>-6854442.8758521946</v>
      </c>
      <c r="R292" s="204"/>
    </row>
    <row r="293" spans="1:18" ht="12.75" customHeight="1" outlineLevel="1">
      <c r="A293" s="226">
        <v>48304</v>
      </c>
      <c r="B293" s="302">
        <f t="shared" si="39"/>
        <v>0</v>
      </c>
      <c r="C293" s="215"/>
      <c r="D293" s="209"/>
      <c r="E293" s="296"/>
      <c r="F293" s="297"/>
      <c r="G293" s="298"/>
      <c r="H293" s="296"/>
      <c r="I293" s="297"/>
      <c r="J293" s="298"/>
      <c r="K293" s="296"/>
      <c r="L293" s="297"/>
      <c r="M293" s="298"/>
      <c r="N293" s="296">
        <f>'LSR Prepaid BPA interest'!G291</f>
        <v>0</v>
      </c>
      <c r="O293" s="297">
        <f t="shared" si="58"/>
        <v>0</v>
      </c>
      <c r="P293" s="298">
        <f t="shared" si="59"/>
        <v>0</v>
      </c>
      <c r="Q293" s="300">
        <f t="shared" si="60"/>
        <v>-5743143.9628163241</v>
      </c>
      <c r="R293" s="204"/>
    </row>
    <row r="294" spans="1:18" ht="12.75" customHeight="1" outlineLevel="1">
      <c r="A294" s="226">
        <v>48334</v>
      </c>
      <c r="B294" s="302">
        <f t="shared" si="39"/>
        <v>0</v>
      </c>
      <c r="C294" s="215"/>
      <c r="D294" s="209"/>
      <c r="E294" s="296"/>
      <c r="F294" s="297"/>
      <c r="G294" s="298"/>
      <c r="H294" s="296"/>
      <c r="I294" s="297"/>
      <c r="J294" s="298"/>
      <c r="K294" s="296"/>
      <c r="L294" s="297"/>
      <c r="M294" s="298"/>
      <c r="N294" s="296">
        <f>'LSR Prepaid BPA interest'!G292</f>
        <v>0</v>
      </c>
      <c r="O294" s="297">
        <f t="shared" si="58"/>
        <v>0</v>
      </c>
      <c r="P294" s="298">
        <f t="shared" si="59"/>
        <v>0</v>
      </c>
      <c r="Q294" s="300">
        <f t="shared" si="60"/>
        <v>-4571455.5331637524</v>
      </c>
      <c r="R294" s="204"/>
    </row>
    <row r="295" spans="1:18" ht="12.75" customHeight="1" outlineLevel="1">
      <c r="A295" s="226">
        <v>48365</v>
      </c>
      <c r="B295" s="302">
        <f t="shared" si="39"/>
        <v>0</v>
      </c>
      <c r="C295" s="215"/>
      <c r="D295" s="209"/>
      <c r="E295" s="296"/>
      <c r="F295" s="297"/>
      <c r="G295" s="298"/>
      <c r="H295" s="296"/>
      <c r="I295" s="297"/>
      <c r="J295" s="298"/>
      <c r="K295" s="296"/>
      <c r="L295" s="297"/>
      <c r="M295" s="298"/>
      <c r="N295" s="296">
        <f>'LSR Prepaid BPA interest'!G293</f>
        <v>0</v>
      </c>
      <c r="O295" s="297">
        <f t="shared" si="58"/>
        <v>0</v>
      </c>
      <c r="P295" s="298">
        <f t="shared" si="59"/>
        <v>0</v>
      </c>
      <c r="Q295" s="300">
        <f t="shared" si="60"/>
        <v>-3339191.3130724244</v>
      </c>
      <c r="R295" s="204"/>
    </row>
    <row r="296" spans="1:18" ht="12.75" customHeight="1" outlineLevel="1">
      <c r="A296" s="226">
        <v>48395</v>
      </c>
      <c r="B296" s="302">
        <f t="shared" si="39"/>
        <v>0</v>
      </c>
      <c r="C296" s="215"/>
      <c r="D296" s="209"/>
      <c r="E296" s="296"/>
      <c r="F296" s="297"/>
      <c r="G296" s="298"/>
      <c r="H296" s="296"/>
      <c r="I296" s="297"/>
      <c r="J296" s="298"/>
      <c r="K296" s="296"/>
      <c r="L296" s="297"/>
      <c r="M296" s="298"/>
      <c r="N296" s="296"/>
      <c r="O296" s="297"/>
      <c r="P296" s="298"/>
      <c r="Q296" s="300">
        <f t="shared" si="60"/>
        <v>-2046183.5731551638</v>
      </c>
      <c r="R296" s="204"/>
    </row>
    <row r="297" spans="1:18" ht="12.75" customHeight="1" outlineLevel="1">
      <c r="A297" s="226">
        <v>48426</v>
      </c>
      <c r="B297" s="302">
        <f t="shared" si="39"/>
        <v>0</v>
      </c>
      <c r="C297" s="215"/>
      <c r="D297" s="209"/>
      <c r="E297" s="296"/>
      <c r="F297" s="297"/>
      <c r="G297" s="298"/>
      <c r="H297" s="296"/>
      <c r="I297" s="297"/>
      <c r="J297" s="298"/>
      <c r="K297" s="296"/>
      <c r="L297" s="297"/>
      <c r="M297" s="298"/>
      <c r="N297" s="296"/>
      <c r="O297" s="297"/>
      <c r="P297" s="298"/>
      <c r="Q297" s="300">
        <f t="shared" si="60"/>
        <v>-692243.46899981285</v>
      </c>
      <c r="R297" s="204"/>
    </row>
    <row r="298" spans="1:18" ht="12.75" customHeight="1" outlineLevel="1">
      <c r="A298" s="392">
        <v>48457</v>
      </c>
      <c r="B298" s="304">
        <f t="shared" si="39"/>
        <v>0</v>
      </c>
      <c r="C298" s="393"/>
      <c r="D298" s="225"/>
      <c r="E298" s="307"/>
      <c r="F298" s="305"/>
      <c r="G298" s="306"/>
      <c r="H298" s="307"/>
      <c r="I298" s="305"/>
      <c r="J298" s="306"/>
      <c r="K298" s="307"/>
      <c r="L298" s="305"/>
      <c r="M298" s="306"/>
      <c r="N298" s="307"/>
      <c r="O298" s="305"/>
      <c r="P298" s="306"/>
      <c r="Q298" s="308">
        <f t="shared" si="60"/>
        <v>0</v>
      </c>
      <c r="R298" s="204"/>
    </row>
    <row r="299" spans="1:18" ht="12.75" customHeight="1">
      <c r="C299" s="309">
        <f>SUM(C8:C298)</f>
        <v>38939395.161770344</v>
      </c>
      <c r="D299" s="309">
        <f>SUM(D8:D298)</f>
        <v>-132740949.07053868</v>
      </c>
      <c r="E299" s="309">
        <f>SUM(E8:E298)</f>
        <v>1171319.3303789822</v>
      </c>
      <c r="F299" s="309">
        <f>SUM(F8:F298)</f>
        <v>-1171319.3303789822</v>
      </c>
      <c r="G299" s="303"/>
      <c r="H299" s="309">
        <f>SUM(H8:H298)</f>
        <v>33105185.660094779</v>
      </c>
      <c r="I299" s="309">
        <f>SUM(I8:I298)</f>
        <v>-33105185.660094779</v>
      </c>
      <c r="J299" s="303"/>
      <c r="K299" s="309">
        <f>SUM(K8:K298)</f>
        <v>4662890.171296522</v>
      </c>
      <c r="L299" s="309">
        <f>SUM(L8:L298)</f>
        <v>-4662890.1712965267</v>
      </c>
      <c r="M299" s="303"/>
      <c r="N299" s="309">
        <f>SUM(N8:N298)</f>
        <v>77273856.370000005</v>
      </c>
      <c r="O299" s="309">
        <f>SUM(O8:O298)</f>
        <v>-77273856.37000002</v>
      </c>
      <c r="P299" s="303"/>
      <c r="Q299" s="303"/>
      <c r="R299" s="303"/>
    </row>
    <row r="300" spans="1:18">
      <c r="C300" s="303"/>
      <c r="D300" s="303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</row>
    <row r="301" spans="1:18">
      <c r="C301" s="303"/>
      <c r="D301" s="303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</row>
    <row r="302" spans="1:18">
      <c r="C302" s="303"/>
      <c r="D302" s="303"/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O302" s="303"/>
      <c r="P302" s="303"/>
      <c r="Q302" s="303"/>
      <c r="R302" s="303"/>
    </row>
    <row r="303" spans="1:18"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3"/>
      <c r="P303" s="303"/>
      <c r="Q303" s="303"/>
      <c r="R303" s="303"/>
    </row>
    <row r="304" spans="1:18">
      <c r="C304" s="303"/>
      <c r="D304" s="303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</row>
    <row r="305" spans="3:18">
      <c r="C305" s="303"/>
      <c r="D305" s="303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</row>
    <row r="306" spans="3:18">
      <c r="C306" s="303"/>
      <c r="D306" s="303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</row>
    <row r="307" spans="3:18">
      <c r="C307" s="303"/>
      <c r="D307" s="303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</row>
    <row r="308" spans="3:18">
      <c r="C308" s="303"/>
      <c r="D308" s="303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</row>
    <row r="309" spans="3:18">
      <c r="C309" s="303"/>
      <c r="D309" s="303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</row>
    <row r="310" spans="3:18">
      <c r="C310" s="303"/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</row>
    <row r="311" spans="3:18">
      <c r="C311" s="303"/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</row>
    <row r="312" spans="3:18">
      <c r="C312" s="303"/>
      <c r="D312" s="303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</row>
    <row r="313" spans="3:18">
      <c r="C313" s="303"/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</row>
    <row r="314" spans="3:18">
      <c r="C314" s="303"/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3"/>
      <c r="R314" s="303"/>
    </row>
    <row r="315" spans="3:18">
      <c r="C315" s="303"/>
      <c r="D315" s="303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</row>
    <row r="316" spans="3:18">
      <c r="C316" s="303"/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</row>
    <row r="317" spans="3:18">
      <c r="C317" s="303"/>
      <c r="D317" s="303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</row>
    <row r="318" spans="3:18">
      <c r="C318" s="303"/>
      <c r="D318" s="303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</row>
    <row r="319" spans="3:18">
      <c r="C319" s="303"/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</row>
    <row r="320" spans="3:18">
      <c r="C320" s="303"/>
      <c r="D320" s="303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</row>
    <row r="321" spans="3:18"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</row>
    <row r="322" spans="3:18">
      <c r="C322" s="303"/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</row>
    <row r="323" spans="3:18">
      <c r="C323" s="303"/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</row>
    <row r="324" spans="3:18">
      <c r="C324" s="303"/>
      <c r="D324" s="303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</row>
    <row r="325" spans="3:18"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</row>
    <row r="326" spans="3:18">
      <c r="C326" s="303"/>
      <c r="D326" s="303"/>
      <c r="E326" s="303"/>
      <c r="F326" s="303"/>
      <c r="G326" s="303"/>
      <c r="H326" s="303"/>
      <c r="I326" s="303"/>
      <c r="J326" s="303"/>
      <c r="K326" s="303"/>
      <c r="L326" s="303"/>
      <c r="M326" s="303"/>
      <c r="N326" s="303"/>
      <c r="O326" s="303"/>
      <c r="P326" s="303"/>
      <c r="Q326" s="303"/>
      <c r="R326" s="303"/>
    </row>
    <row r="327" spans="3:18"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</row>
    <row r="328" spans="3:18">
      <c r="C328" s="303"/>
      <c r="D328" s="303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</row>
    <row r="329" spans="3:18"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</row>
    <row r="330" spans="3:18"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</row>
    <row r="331" spans="3:18">
      <c r="C331" s="303"/>
      <c r="D331" s="303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</row>
    <row r="332" spans="3:18">
      <c r="C332" s="303"/>
      <c r="D332" s="303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</row>
    <row r="333" spans="3:18">
      <c r="C333" s="303"/>
      <c r="D333" s="303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</row>
    <row r="334" spans="3:18">
      <c r="C334" s="303"/>
      <c r="D334" s="303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</row>
    <row r="335" spans="3:18">
      <c r="C335" s="303"/>
      <c r="D335" s="303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</row>
    <row r="336" spans="3:18"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</row>
    <row r="337" spans="3:18">
      <c r="C337" s="303"/>
      <c r="D337" s="303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</row>
    <row r="338" spans="3:18">
      <c r="C338" s="303"/>
      <c r="D338" s="303"/>
      <c r="E338" s="303"/>
      <c r="F338" s="303"/>
      <c r="G338" s="303"/>
      <c r="H338" s="303"/>
      <c r="I338" s="303"/>
      <c r="J338" s="303"/>
      <c r="K338" s="303"/>
      <c r="L338" s="303"/>
      <c r="M338" s="303"/>
      <c r="N338" s="303"/>
      <c r="O338" s="303"/>
      <c r="P338" s="303"/>
      <c r="Q338" s="303"/>
      <c r="R338" s="303"/>
    </row>
    <row r="339" spans="3:18">
      <c r="C339" s="303"/>
      <c r="D339" s="303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</row>
    <row r="340" spans="3:18">
      <c r="C340" s="303"/>
      <c r="D340" s="303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</row>
    <row r="341" spans="3:18">
      <c r="C341" s="303"/>
      <c r="D341" s="303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</row>
    <row r="342" spans="3:18"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</row>
    <row r="343" spans="3:18">
      <c r="C343" s="303"/>
      <c r="D343" s="303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</row>
  </sheetData>
  <mergeCells count="2">
    <mergeCell ref="E3:G3"/>
    <mergeCell ref="K3:M3"/>
  </mergeCells>
  <printOptions horizontalCentered="1"/>
  <pageMargins left="0.2" right="0.2" top="0.5" bottom="0.5" header="0.3" footer="0"/>
  <pageSetup scale="72" fitToHeight="0" orientation="landscape" r:id="rId1"/>
  <headerFooter>
    <oddFooter>&amp;RPage &amp;P of &amp;N</oddFooter>
  </headerFooter>
  <rowBreaks count="1" manualBreakCount="1">
    <brk id="138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O272"/>
  <sheetViews>
    <sheetView zoomScaleNormal="100" workbookViewId="0">
      <pane ySplit="20" topLeftCell="A103" activePane="bottomLeft" state="frozen"/>
      <selection activeCell="L393" sqref="L393"/>
      <selection pane="bottomLeft" activeCell="L393" sqref="L393"/>
    </sheetView>
  </sheetViews>
  <sheetFormatPr defaultRowHeight="12.75" outlineLevelRow="1" outlineLevelCol="1"/>
  <cols>
    <col min="1" max="1" width="2.42578125" customWidth="1"/>
    <col min="2" max="2" width="12.7109375" customWidth="1"/>
    <col min="3" max="3" width="2.7109375" customWidth="1"/>
    <col min="4" max="4" width="11.7109375" bestFit="1" customWidth="1"/>
    <col min="5" max="5" width="12.28515625" bestFit="1" customWidth="1"/>
    <col min="6" max="6" width="13.28515625" hidden="1" customWidth="1" outlineLevel="1"/>
    <col min="7" max="7" width="13.42578125" bestFit="1" customWidth="1" collapsed="1"/>
    <col min="8" max="8" width="14.140625" customWidth="1"/>
    <col min="9" max="9" width="17.85546875" bestFit="1" customWidth="1"/>
    <col min="10" max="10" width="14" bestFit="1" customWidth="1"/>
    <col min="12" max="12" width="12.85546875" bestFit="1" customWidth="1"/>
    <col min="13" max="13" width="10.42578125" bestFit="1" customWidth="1"/>
  </cols>
  <sheetData>
    <row r="1" spans="1:11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64"/>
    </row>
    <row r="2" spans="1:11">
      <c r="A2" s="62"/>
      <c r="B2" s="63" t="s">
        <v>176</v>
      </c>
      <c r="C2" s="62"/>
      <c r="D2" s="62"/>
      <c r="E2" s="62"/>
      <c r="F2" s="62"/>
      <c r="G2" s="62"/>
      <c r="H2" s="62"/>
      <c r="I2" s="62"/>
      <c r="J2" s="64"/>
    </row>
    <row r="3" spans="1:11">
      <c r="A3" s="62"/>
      <c r="B3" s="63" t="s">
        <v>631</v>
      </c>
      <c r="C3" s="62"/>
      <c r="D3" s="62"/>
      <c r="E3" s="62"/>
      <c r="F3" s="62"/>
      <c r="G3" s="62"/>
      <c r="H3" s="62"/>
      <c r="I3" s="62"/>
      <c r="J3" s="64"/>
    </row>
    <row r="4" spans="1:11">
      <c r="A4" s="75"/>
      <c r="B4" s="75"/>
      <c r="C4" s="75"/>
      <c r="D4" s="76"/>
      <c r="E4" s="76"/>
      <c r="F4" s="76"/>
      <c r="G4" s="1103" t="s">
        <v>642</v>
      </c>
      <c r="H4" s="1103" t="s">
        <v>638</v>
      </c>
      <c r="I4" s="76"/>
      <c r="J4" s="79"/>
    </row>
    <row r="5" spans="1:11">
      <c r="A5" s="62"/>
      <c r="B5" s="62"/>
      <c r="C5" s="62"/>
      <c r="D5" s="71" t="s">
        <v>93</v>
      </c>
      <c r="E5" s="83" t="s">
        <v>2</v>
      </c>
      <c r="F5" s="1102" t="s">
        <v>643</v>
      </c>
      <c r="G5" s="71" t="s">
        <v>19</v>
      </c>
      <c r="H5" s="72" t="s">
        <v>20</v>
      </c>
      <c r="I5" s="72" t="s">
        <v>151</v>
      </c>
      <c r="J5" s="72" t="s">
        <v>149</v>
      </c>
    </row>
    <row r="6" spans="1:11">
      <c r="A6" s="65"/>
      <c r="B6" s="86" t="s">
        <v>17</v>
      </c>
      <c r="C6" s="86"/>
      <c r="D6" s="83" t="s">
        <v>28</v>
      </c>
      <c r="E6" s="83"/>
      <c r="F6" s="153"/>
      <c r="G6" s="83" t="s">
        <v>3</v>
      </c>
      <c r="H6" s="87" t="s">
        <v>3</v>
      </c>
      <c r="I6" s="87" t="s">
        <v>152</v>
      </c>
      <c r="J6" s="87" t="s">
        <v>34</v>
      </c>
    </row>
    <row r="7" spans="1:11">
      <c r="A7" s="65"/>
      <c r="B7" s="86"/>
      <c r="C7" s="86"/>
      <c r="D7" s="87" t="s">
        <v>119</v>
      </c>
      <c r="E7" s="87" t="s">
        <v>31</v>
      </c>
      <c r="F7" s="87" t="s">
        <v>634</v>
      </c>
      <c r="G7" s="87" t="s">
        <v>150</v>
      </c>
      <c r="H7" s="85" t="s">
        <v>719</v>
      </c>
      <c r="I7" s="85" t="s">
        <v>153</v>
      </c>
      <c r="J7" s="87" t="s">
        <v>108</v>
      </c>
      <c r="K7" s="133"/>
    </row>
    <row r="8" spans="1:11">
      <c r="A8" s="75"/>
      <c r="B8" s="88"/>
      <c r="C8" s="88"/>
      <c r="D8" s="79"/>
      <c r="E8" s="1054" t="s">
        <v>177</v>
      </c>
      <c r="F8" s="360">
        <v>40179</v>
      </c>
      <c r="G8" s="1054" t="s">
        <v>632</v>
      </c>
      <c r="H8" s="89" t="s">
        <v>722</v>
      </c>
      <c r="I8" s="89"/>
      <c r="J8" s="79"/>
      <c r="K8" s="133"/>
    </row>
    <row r="9" spans="1:11" hidden="1">
      <c r="A9" s="65"/>
      <c r="B9" s="86"/>
      <c r="C9" s="86"/>
      <c r="D9" s="87"/>
      <c r="E9" s="87"/>
      <c r="F9" s="87"/>
      <c r="G9" s="87"/>
      <c r="H9" s="87"/>
      <c r="I9" s="87"/>
      <c r="J9" s="87"/>
      <c r="K9" s="133"/>
    </row>
    <row r="10" spans="1:11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133"/>
    </row>
    <row r="11" spans="1:11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133"/>
    </row>
    <row r="12" spans="1:11" hidden="1">
      <c r="A12" s="65"/>
      <c r="B12" s="86"/>
      <c r="C12" s="86"/>
      <c r="D12" s="87"/>
      <c r="E12" s="87"/>
      <c r="F12" s="87"/>
      <c r="G12" s="87"/>
      <c r="H12" s="87"/>
      <c r="I12" s="87"/>
      <c r="J12" s="87"/>
    </row>
    <row r="13" spans="1:11" hidden="1">
      <c r="A13" s="65"/>
      <c r="B13" s="86"/>
      <c r="C13" s="86"/>
      <c r="D13" s="87"/>
      <c r="E13" s="87"/>
      <c r="F13" s="87"/>
      <c r="G13" s="87"/>
      <c r="H13" s="87"/>
      <c r="I13" s="87"/>
      <c r="J13" s="87"/>
    </row>
    <row r="14" spans="1:11" hidden="1">
      <c r="A14" s="65"/>
      <c r="B14" s="86"/>
      <c r="C14" s="86"/>
      <c r="D14" s="87"/>
      <c r="E14" s="87"/>
      <c r="F14" s="87"/>
      <c r="G14" s="87"/>
      <c r="H14" s="87"/>
      <c r="I14" s="87"/>
      <c r="J14" s="87"/>
    </row>
    <row r="15" spans="1:11" hidden="1">
      <c r="A15" s="65"/>
      <c r="B15" s="86"/>
      <c r="C15" s="86"/>
      <c r="D15" s="87"/>
      <c r="E15" s="87"/>
      <c r="F15" s="87"/>
      <c r="G15" s="87"/>
      <c r="H15" s="87"/>
      <c r="I15" s="87"/>
      <c r="J15" s="87"/>
    </row>
    <row r="16" spans="1:11" hidden="1">
      <c r="A16" s="65"/>
      <c r="B16" s="86"/>
      <c r="C16" s="86"/>
      <c r="D16" s="87"/>
      <c r="E16" s="87"/>
      <c r="F16" s="87"/>
      <c r="G16" s="87"/>
      <c r="H16" s="87"/>
      <c r="I16" s="87"/>
      <c r="J16" s="87"/>
    </row>
    <row r="17" spans="1:10" hidden="1">
      <c r="A17" s="65"/>
      <c r="B17" s="86"/>
      <c r="C17" s="86"/>
      <c r="D17" s="87"/>
      <c r="E17" s="87"/>
      <c r="F17" s="87"/>
      <c r="G17" s="87"/>
      <c r="H17" s="87"/>
      <c r="I17" s="87"/>
      <c r="J17" s="87"/>
    </row>
    <row r="18" spans="1:10" hidden="1">
      <c r="A18" s="65"/>
      <c r="B18" s="86"/>
      <c r="C18" s="86"/>
      <c r="D18" s="87"/>
      <c r="E18" s="87"/>
      <c r="F18" s="87"/>
      <c r="G18" s="87"/>
      <c r="H18" s="87"/>
      <c r="I18" s="87"/>
      <c r="J18" s="87"/>
    </row>
    <row r="19" spans="1:10" hidden="1">
      <c r="A19" s="65"/>
      <c r="B19" s="86"/>
      <c r="C19" s="86"/>
      <c r="D19" s="87"/>
      <c r="E19" s="87"/>
      <c r="F19" s="87"/>
      <c r="G19" s="87"/>
      <c r="H19" s="87"/>
      <c r="I19" s="87"/>
      <c r="J19" s="87"/>
    </row>
    <row r="20" spans="1:10" hidden="1">
      <c r="A20" s="65"/>
      <c r="B20" s="86"/>
      <c r="C20" s="86"/>
      <c r="D20" s="87"/>
      <c r="E20" s="87"/>
      <c r="F20" s="87"/>
      <c r="G20" s="87"/>
      <c r="H20" s="87"/>
      <c r="I20" s="87"/>
      <c r="J20" s="87"/>
    </row>
    <row r="21" spans="1:10" hidden="1" outlineLevel="1">
      <c r="A21" s="65"/>
      <c r="B21" s="86" t="s">
        <v>178</v>
      </c>
      <c r="C21" s="86"/>
      <c r="D21" s="134">
        <v>5000000</v>
      </c>
      <c r="E21" s="135">
        <f>D21</f>
        <v>5000000</v>
      </c>
      <c r="F21" s="135"/>
      <c r="G21" s="135"/>
      <c r="H21" s="145"/>
      <c r="I21" s="135">
        <f>E21</f>
        <v>5000000</v>
      </c>
      <c r="J21" s="87"/>
    </row>
    <row r="22" spans="1:10" hidden="1" outlineLevel="1">
      <c r="A22" s="65"/>
      <c r="B22" s="106" t="s">
        <v>179</v>
      </c>
      <c r="C22" s="86"/>
      <c r="D22" s="134"/>
      <c r="E22" s="135">
        <f>E21</f>
        <v>5000000</v>
      </c>
      <c r="F22" s="135"/>
      <c r="G22" s="135">
        <f>E22/108</f>
        <v>46296.296296296299</v>
      </c>
      <c r="H22" s="145">
        <f t="shared" ref="H22:H37" si="0">H21-G22-F22</f>
        <v>-46296.296296296299</v>
      </c>
      <c r="I22" s="135">
        <f>E22+H22</f>
        <v>4953703.7037037034</v>
      </c>
      <c r="J22" s="98"/>
    </row>
    <row r="23" spans="1:10" hidden="1" outlineLevel="1">
      <c r="A23" s="65"/>
      <c r="B23" s="97">
        <v>40602</v>
      </c>
      <c r="C23" s="86"/>
      <c r="D23" s="135"/>
      <c r="E23" s="135">
        <f t="shared" ref="E23:E86" si="1">E22</f>
        <v>5000000</v>
      </c>
      <c r="F23" s="135"/>
      <c r="G23" s="135">
        <f t="shared" ref="G23:G37" si="2">E23/108</f>
        <v>46296.296296296299</v>
      </c>
      <c r="H23" s="145">
        <f t="shared" si="0"/>
        <v>-92592.592592592599</v>
      </c>
      <c r="I23" s="135">
        <f t="shared" ref="I23:I74" si="3">E23+H23</f>
        <v>4907407.4074074076</v>
      </c>
      <c r="J23" s="98"/>
    </row>
    <row r="24" spans="1:10" hidden="1" outlineLevel="1">
      <c r="A24" s="65"/>
      <c r="B24" s="97">
        <v>40633</v>
      </c>
      <c r="C24" s="86"/>
      <c r="D24" s="135"/>
      <c r="E24" s="135">
        <f t="shared" si="1"/>
        <v>5000000</v>
      </c>
      <c r="F24" s="135"/>
      <c r="G24" s="135">
        <f t="shared" si="2"/>
        <v>46296.296296296299</v>
      </c>
      <c r="H24" s="145">
        <f t="shared" si="0"/>
        <v>-138888.88888888891</v>
      </c>
      <c r="I24" s="135">
        <f t="shared" si="3"/>
        <v>4861111.111111111</v>
      </c>
      <c r="J24" s="98"/>
    </row>
    <row r="25" spans="1:10" hidden="1" outlineLevel="1">
      <c r="A25" s="65"/>
      <c r="B25" s="97">
        <v>40663</v>
      </c>
      <c r="C25" s="86"/>
      <c r="D25" s="135"/>
      <c r="E25" s="135">
        <f t="shared" si="1"/>
        <v>5000000</v>
      </c>
      <c r="F25" s="135"/>
      <c r="G25" s="135">
        <f t="shared" si="2"/>
        <v>46296.296296296299</v>
      </c>
      <c r="H25" s="145">
        <f t="shared" si="0"/>
        <v>-185185.1851851852</v>
      </c>
      <c r="I25" s="135">
        <f t="shared" si="3"/>
        <v>4814814.8148148144</v>
      </c>
      <c r="J25" s="98"/>
    </row>
    <row r="26" spans="1:10" hidden="1" outlineLevel="1">
      <c r="A26" s="65"/>
      <c r="B26" s="97">
        <v>40694</v>
      </c>
      <c r="C26" s="86"/>
      <c r="D26" s="135"/>
      <c r="E26" s="135">
        <f t="shared" si="1"/>
        <v>5000000</v>
      </c>
      <c r="F26" s="135"/>
      <c r="G26" s="135">
        <f t="shared" si="2"/>
        <v>46296.296296296299</v>
      </c>
      <c r="H26" s="145">
        <f t="shared" si="0"/>
        <v>-231481.48148148149</v>
      </c>
      <c r="I26" s="135">
        <f t="shared" si="3"/>
        <v>4768518.5185185187</v>
      </c>
      <c r="J26" s="98"/>
    </row>
    <row r="27" spans="1:10" hidden="1" outlineLevel="1">
      <c r="A27" s="65"/>
      <c r="B27" s="97">
        <v>40724</v>
      </c>
      <c r="C27" s="86"/>
      <c r="D27" s="135"/>
      <c r="E27" s="135">
        <f t="shared" si="1"/>
        <v>5000000</v>
      </c>
      <c r="F27" s="135"/>
      <c r="G27" s="135">
        <f t="shared" si="2"/>
        <v>46296.296296296299</v>
      </c>
      <c r="H27" s="145">
        <f t="shared" si="0"/>
        <v>-277777.77777777781</v>
      </c>
      <c r="I27" s="135">
        <f t="shared" si="3"/>
        <v>4722222.222222222</v>
      </c>
      <c r="J27" s="98"/>
    </row>
    <row r="28" spans="1:10" hidden="1" outlineLevel="1">
      <c r="A28" s="65"/>
      <c r="B28" s="97">
        <v>40755</v>
      </c>
      <c r="C28" s="86"/>
      <c r="D28" s="135"/>
      <c r="E28" s="135">
        <f t="shared" si="1"/>
        <v>5000000</v>
      </c>
      <c r="F28" s="135"/>
      <c r="G28" s="135">
        <f t="shared" si="2"/>
        <v>46296.296296296299</v>
      </c>
      <c r="H28" s="145">
        <f t="shared" si="0"/>
        <v>-324074.0740740741</v>
      </c>
      <c r="I28" s="135">
        <f t="shared" si="3"/>
        <v>4675925.9259259263</v>
      </c>
      <c r="J28" s="98"/>
    </row>
    <row r="29" spans="1:10" hidden="1" outlineLevel="1">
      <c r="A29" s="65"/>
      <c r="B29" s="97">
        <v>40786</v>
      </c>
      <c r="C29" s="86"/>
      <c r="D29" s="135"/>
      <c r="E29" s="135">
        <f t="shared" si="1"/>
        <v>5000000</v>
      </c>
      <c r="F29" s="135"/>
      <c r="G29" s="135">
        <f t="shared" si="2"/>
        <v>46296.296296296299</v>
      </c>
      <c r="H29" s="145">
        <f t="shared" si="0"/>
        <v>-370370.37037037039</v>
      </c>
      <c r="I29" s="135">
        <f t="shared" si="3"/>
        <v>4629629.6296296297</v>
      </c>
      <c r="J29" s="98"/>
    </row>
    <row r="30" spans="1:10" hidden="1" outlineLevel="1">
      <c r="A30" s="65"/>
      <c r="B30" s="97">
        <v>40816</v>
      </c>
      <c r="C30" s="86"/>
      <c r="D30" s="135"/>
      <c r="E30" s="135">
        <f t="shared" si="1"/>
        <v>5000000</v>
      </c>
      <c r="F30" s="135"/>
      <c r="G30" s="135">
        <f t="shared" si="2"/>
        <v>46296.296296296299</v>
      </c>
      <c r="H30" s="145">
        <f t="shared" si="0"/>
        <v>-416666.66666666669</v>
      </c>
      <c r="I30" s="135">
        <f t="shared" si="3"/>
        <v>4583333.333333333</v>
      </c>
      <c r="J30" s="98"/>
    </row>
    <row r="31" spans="1:10" hidden="1" outlineLevel="1">
      <c r="A31" s="65"/>
      <c r="B31" s="97">
        <v>40847</v>
      </c>
      <c r="C31" s="86"/>
      <c r="D31" s="135"/>
      <c r="E31" s="135">
        <f t="shared" si="1"/>
        <v>5000000</v>
      </c>
      <c r="F31" s="135"/>
      <c r="G31" s="135">
        <f t="shared" si="2"/>
        <v>46296.296296296299</v>
      </c>
      <c r="H31" s="145">
        <f t="shared" si="0"/>
        <v>-462962.96296296298</v>
      </c>
      <c r="I31" s="135">
        <f t="shared" si="3"/>
        <v>4537037.0370370373</v>
      </c>
      <c r="J31" s="98"/>
    </row>
    <row r="32" spans="1:10" hidden="1" outlineLevel="1">
      <c r="A32" s="62"/>
      <c r="B32" s="97">
        <v>40877</v>
      </c>
      <c r="C32" s="62"/>
      <c r="D32" s="136"/>
      <c r="E32" s="135">
        <f t="shared" si="1"/>
        <v>5000000</v>
      </c>
      <c r="F32" s="135"/>
      <c r="G32" s="135">
        <f t="shared" si="2"/>
        <v>46296.296296296299</v>
      </c>
      <c r="H32" s="145">
        <f t="shared" si="0"/>
        <v>-509259.25925925927</v>
      </c>
      <c r="I32" s="135">
        <f t="shared" si="3"/>
        <v>4490740.7407407407</v>
      </c>
      <c r="J32" s="98"/>
    </row>
    <row r="33" spans="1:14" s="131" customFormat="1" hidden="1" outlineLevel="1">
      <c r="A33" s="64"/>
      <c r="B33" s="106">
        <v>40908</v>
      </c>
      <c r="C33" s="105"/>
      <c r="D33" s="137"/>
      <c r="E33" s="135">
        <f t="shared" si="1"/>
        <v>5000000</v>
      </c>
      <c r="F33" s="135"/>
      <c r="G33" s="135">
        <f t="shared" si="2"/>
        <v>46296.296296296299</v>
      </c>
      <c r="H33" s="145">
        <f t="shared" si="0"/>
        <v>-555555.55555555562</v>
      </c>
      <c r="I33" s="135">
        <f>E33+H33</f>
        <v>4444444.444444444</v>
      </c>
      <c r="J33" s="98"/>
      <c r="K33" s="331"/>
    </row>
    <row r="34" spans="1:14" hidden="1" outlineLevel="1">
      <c r="A34" s="62"/>
      <c r="B34" s="97">
        <v>40939</v>
      </c>
      <c r="C34" s="97"/>
      <c r="D34" s="138"/>
      <c r="E34" s="135">
        <f t="shared" si="1"/>
        <v>5000000</v>
      </c>
      <c r="F34" s="135"/>
      <c r="G34" s="135">
        <f t="shared" si="2"/>
        <v>46296.296296296299</v>
      </c>
      <c r="H34" s="145">
        <f t="shared" si="0"/>
        <v>-601851.85185185191</v>
      </c>
      <c r="I34" s="135">
        <f t="shared" si="3"/>
        <v>4398148.1481481483</v>
      </c>
      <c r="J34" s="98">
        <f>(I22+I34+SUM(I23:I33)*2)/24</f>
        <v>4675925.9259259254</v>
      </c>
    </row>
    <row r="35" spans="1:14" hidden="1" outlineLevel="1">
      <c r="A35" s="62"/>
      <c r="B35" s="97">
        <v>40968</v>
      </c>
      <c r="C35" s="97"/>
      <c r="D35" s="138"/>
      <c r="E35" s="135">
        <f t="shared" si="1"/>
        <v>5000000</v>
      </c>
      <c r="F35" s="135"/>
      <c r="G35" s="135">
        <f t="shared" si="2"/>
        <v>46296.296296296299</v>
      </c>
      <c r="H35" s="145">
        <f t="shared" si="0"/>
        <v>-648148.1481481482</v>
      </c>
      <c r="I35" s="135">
        <f t="shared" si="3"/>
        <v>4351851.8518518517</v>
      </c>
      <c r="J35" s="98">
        <f t="shared" ref="J35:J98" si="4">(I23+I35+SUM(I24:I34)*2)/24</f>
        <v>4629629.6296296297</v>
      </c>
    </row>
    <row r="36" spans="1:14" hidden="1" outlineLevel="1">
      <c r="A36" s="62"/>
      <c r="B36" s="97">
        <v>40999</v>
      </c>
      <c r="C36" s="97"/>
      <c r="D36" s="138"/>
      <c r="E36" s="135">
        <f t="shared" si="1"/>
        <v>5000000</v>
      </c>
      <c r="F36" s="135"/>
      <c r="G36" s="135">
        <f t="shared" si="2"/>
        <v>46296.296296296299</v>
      </c>
      <c r="H36" s="145">
        <f t="shared" si="0"/>
        <v>-694444.4444444445</v>
      </c>
      <c r="I36" s="135">
        <f t="shared" si="3"/>
        <v>4305555.555555556</v>
      </c>
      <c r="J36" s="98">
        <f t="shared" si="4"/>
        <v>4583333.333333334</v>
      </c>
      <c r="K36" s="109"/>
    </row>
    <row r="37" spans="1:14" hidden="1" outlineLevel="1">
      <c r="A37" s="62"/>
      <c r="B37" s="97">
        <v>41029</v>
      </c>
      <c r="C37" s="103"/>
      <c r="D37" s="138"/>
      <c r="E37" s="135">
        <f t="shared" si="1"/>
        <v>5000000</v>
      </c>
      <c r="G37" s="135">
        <f t="shared" si="2"/>
        <v>46296.296296296299</v>
      </c>
      <c r="H37" s="145">
        <f t="shared" si="0"/>
        <v>-740740.74074074079</v>
      </c>
      <c r="I37" s="135">
        <f t="shared" si="3"/>
        <v>4259259.2592592593</v>
      </c>
      <c r="J37" s="98">
        <f>(I25+I37+SUM(I26:I36)*2)/24</f>
        <v>4537037.0370370364</v>
      </c>
    </row>
    <row r="38" spans="1:14" hidden="1" outlineLevel="1">
      <c r="A38" s="62"/>
      <c r="B38" s="105">
        <v>41060</v>
      </c>
      <c r="C38" s="97"/>
      <c r="D38" s="138"/>
      <c r="E38" s="135">
        <f t="shared" si="1"/>
        <v>5000000</v>
      </c>
      <c r="F38" s="135">
        <f>((E38/120)*12)-(G22-G38)*16</f>
        <v>425925.92592592584</v>
      </c>
      <c r="G38" s="135">
        <f>E38/120</f>
        <v>41666.666666666664</v>
      </c>
      <c r="H38" s="145">
        <f>H37-G38-F38</f>
        <v>-1208333.3333333333</v>
      </c>
      <c r="I38" s="135">
        <f>E38+H38</f>
        <v>3791666.666666667</v>
      </c>
      <c r="J38" s="98">
        <f>(I26+I38+SUM(I27:I37)*2)/24</f>
        <v>4473186.7283950606</v>
      </c>
    </row>
    <row r="39" spans="1:14" hidden="1" outlineLevel="1">
      <c r="A39" s="62"/>
      <c r="B39" s="97">
        <v>41090</v>
      </c>
      <c r="C39" s="97"/>
      <c r="D39" s="138"/>
      <c r="E39" s="135">
        <f t="shared" si="1"/>
        <v>5000000</v>
      </c>
      <c r="F39" s="135"/>
      <c r="G39" s="135">
        <f t="shared" ref="G39:G74" si="5">E39/120</f>
        <v>41666.666666666664</v>
      </c>
      <c r="H39" s="145">
        <f>H38-G39-F39</f>
        <v>-1250000</v>
      </c>
      <c r="I39" s="135">
        <f>E39+H39</f>
        <v>3750000</v>
      </c>
      <c r="J39" s="98">
        <f t="shared" si="4"/>
        <v>4391975.3086419757</v>
      </c>
      <c r="M39" s="161"/>
    </row>
    <row r="40" spans="1:14" hidden="1" outlineLevel="1">
      <c r="A40" s="62"/>
      <c r="B40" s="97">
        <v>41121</v>
      </c>
      <c r="C40" s="97"/>
      <c r="D40" s="138"/>
      <c r="E40" s="135">
        <f t="shared" si="1"/>
        <v>5000000</v>
      </c>
      <c r="F40" s="135"/>
      <c r="G40" s="135">
        <f t="shared" si="5"/>
        <v>41666.666666666664</v>
      </c>
      <c r="H40" s="145">
        <f t="shared" ref="H40:H103" si="6">H39-G40-F40</f>
        <v>-1291666.6666666667</v>
      </c>
      <c r="I40" s="135">
        <f t="shared" si="3"/>
        <v>3708333.333333333</v>
      </c>
      <c r="J40" s="98">
        <f t="shared" si="4"/>
        <v>4311149.6913580243</v>
      </c>
      <c r="K40" s="109"/>
    </row>
    <row r="41" spans="1:14" hidden="1" outlineLevel="1">
      <c r="A41" s="62"/>
      <c r="B41" s="97">
        <v>41152</v>
      </c>
      <c r="C41" s="97"/>
      <c r="D41" s="102"/>
      <c r="E41" s="135">
        <f t="shared" si="1"/>
        <v>5000000</v>
      </c>
      <c r="F41" s="135"/>
      <c r="G41" s="135">
        <f t="shared" si="5"/>
        <v>41666.666666666664</v>
      </c>
      <c r="H41" s="145">
        <f t="shared" si="6"/>
        <v>-1333333.3333333335</v>
      </c>
      <c r="I41" s="135">
        <f t="shared" si="3"/>
        <v>3666666.6666666665</v>
      </c>
      <c r="J41" s="98">
        <f t="shared" si="4"/>
        <v>4230709.8765432099</v>
      </c>
    </row>
    <row r="42" spans="1:14" hidden="1" outlineLevel="1">
      <c r="A42" s="62"/>
      <c r="B42" s="97">
        <v>41182</v>
      </c>
      <c r="C42" s="97"/>
      <c r="D42" s="102"/>
      <c r="E42" s="135">
        <f t="shared" si="1"/>
        <v>5000000</v>
      </c>
      <c r="F42" s="135"/>
      <c r="G42" s="135">
        <f t="shared" si="5"/>
        <v>41666.666666666664</v>
      </c>
      <c r="H42" s="145">
        <f t="shared" si="6"/>
        <v>-1375000.0000000002</v>
      </c>
      <c r="I42" s="135">
        <f t="shared" si="3"/>
        <v>3625000</v>
      </c>
      <c r="J42" s="98">
        <f t="shared" si="4"/>
        <v>4150655.8641975303</v>
      </c>
      <c r="N42" t="s">
        <v>175</v>
      </c>
    </row>
    <row r="43" spans="1:14" s="109" customFormat="1" hidden="1" outlineLevel="1">
      <c r="A43" s="62"/>
      <c r="B43" s="97">
        <v>41213</v>
      </c>
      <c r="C43" s="97"/>
      <c r="D43" s="102"/>
      <c r="E43" s="135">
        <f t="shared" si="1"/>
        <v>5000000</v>
      </c>
      <c r="F43" s="135"/>
      <c r="G43" s="135">
        <f t="shared" si="5"/>
        <v>41666.666666666664</v>
      </c>
      <c r="H43" s="145">
        <f t="shared" si="6"/>
        <v>-1416666.666666667</v>
      </c>
      <c r="I43" s="135">
        <f t="shared" si="3"/>
        <v>3583333.333333333</v>
      </c>
      <c r="J43" s="98">
        <f t="shared" si="4"/>
        <v>4070987.6543209883</v>
      </c>
    </row>
    <row r="44" spans="1:14" hidden="1" outlineLevel="1">
      <c r="A44" s="62"/>
      <c r="B44" s="97">
        <v>41243</v>
      </c>
      <c r="C44" s="97"/>
      <c r="D44" s="102"/>
      <c r="E44" s="135">
        <f t="shared" si="1"/>
        <v>5000000</v>
      </c>
      <c r="F44" s="135"/>
      <c r="G44" s="135">
        <f t="shared" si="5"/>
        <v>41666.666666666664</v>
      </c>
      <c r="H44" s="145">
        <f t="shared" si="6"/>
        <v>-1458333.3333333337</v>
      </c>
      <c r="I44" s="135">
        <f t="shared" si="3"/>
        <v>3541666.666666666</v>
      </c>
      <c r="J44" s="98">
        <f t="shared" si="4"/>
        <v>3991705.2469135802</v>
      </c>
    </row>
    <row r="45" spans="1:14" hidden="1" outlineLevel="1">
      <c r="A45" s="62"/>
      <c r="B45" s="106">
        <v>41274</v>
      </c>
      <c r="C45" s="97"/>
      <c r="D45" s="102"/>
      <c r="E45" s="135">
        <f t="shared" si="1"/>
        <v>5000000</v>
      </c>
      <c r="F45" s="135"/>
      <c r="G45" s="135">
        <f t="shared" si="5"/>
        <v>41666.666666666664</v>
      </c>
      <c r="H45" s="145">
        <f t="shared" si="6"/>
        <v>-1500000.0000000005</v>
      </c>
      <c r="I45" s="135">
        <f t="shared" si="3"/>
        <v>3499999.9999999995</v>
      </c>
      <c r="J45" s="98">
        <f>(I33+I45+SUM(I34:I44)*2)/24</f>
        <v>3912808.6419753083</v>
      </c>
      <c r="K45" s="109"/>
    </row>
    <row r="46" spans="1:14" hidden="1" outlineLevel="1">
      <c r="A46" s="62"/>
      <c r="B46" s="97">
        <v>41305</v>
      </c>
      <c r="C46" s="97"/>
      <c r="D46" s="102"/>
      <c r="E46" s="135">
        <f t="shared" si="1"/>
        <v>5000000</v>
      </c>
      <c r="F46" s="135"/>
      <c r="G46" s="135">
        <f t="shared" si="5"/>
        <v>41666.666666666664</v>
      </c>
      <c r="H46" s="145">
        <f t="shared" si="6"/>
        <v>-1541666.6666666672</v>
      </c>
      <c r="I46" s="135">
        <f t="shared" si="3"/>
        <v>3458333.333333333</v>
      </c>
      <c r="J46" s="98">
        <f>(I34+I46+SUM(I35:I45)*2)/24</f>
        <v>3834297.8395061721</v>
      </c>
    </row>
    <row r="47" spans="1:14" hidden="1" outlineLevel="1">
      <c r="A47" s="62"/>
      <c r="B47" s="97">
        <v>41333</v>
      </c>
      <c r="C47" s="97"/>
      <c r="D47" s="102"/>
      <c r="E47" s="135">
        <f t="shared" si="1"/>
        <v>5000000</v>
      </c>
      <c r="F47" s="135"/>
      <c r="G47" s="135">
        <f t="shared" si="5"/>
        <v>41666.666666666664</v>
      </c>
      <c r="H47" s="145">
        <f t="shared" si="6"/>
        <v>-1583333.333333334</v>
      </c>
      <c r="I47" s="135">
        <f t="shared" si="3"/>
        <v>3416666.666666666</v>
      </c>
      <c r="J47" s="98">
        <f t="shared" si="4"/>
        <v>3756172.839506173</v>
      </c>
      <c r="K47" s="109"/>
    </row>
    <row r="48" spans="1:14" s="109" customFormat="1" hidden="1" outlineLevel="1">
      <c r="A48" s="62"/>
      <c r="B48" s="97">
        <v>41364</v>
      </c>
      <c r="C48" s="97"/>
      <c r="D48" s="102"/>
      <c r="E48" s="135">
        <f t="shared" si="1"/>
        <v>5000000</v>
      </c>
      <c r="F48" s="135"/>
      <c r="G48" s="135">
        <f t="shared" si="5"/>
        <v>41666.666666666664</v>
      </c>
      <c r="H48" s="145">
        <f t="shared" si="6"/>
        <v>-1625000.0000000007</v>
      </c>
      <c r="I48" s="135">
        <f t="shared" si="3"/>
        <v>3374999.9999999991</v>
      </c>
      <c r="J48" s="98">
        <f t="shared" si="4"/>
        <v>3678433.6419753083</v>
      </c>
    </row>
    <row r="49" spans="1:15" s="109" customFormat="1" hidden="1" outlineLevel="1">
      <c r="A49" s="62"/>
      <c r="B49" s="97">
        <v>41394</v>
      </c>
      <c r="C49" s="97"/>
      <c r="D49" s="102"/>
      <c r="E49" s="135">
        <f t="shared" si="1"/>
        <v>5000000</v>
      </c>
      <c r="F49" s="135"/>
      <c r="G49" s="135">
        <f t="shared" si="5"/>
        <v>41666.666666666664</v>
      </c>
      <c r="H49" s="145">
        <f t="shared" si="6"/>
        <v>-1666666.6666666674</v>
      </c>
      <c r="I49" s="135">
        <f t="shared" si="3"/>
        <v>3333333.3333333326</v>
      </c>
      <c r="J49" s="98">
        <f>(I37+I49+SUM(I38:I48)*2)/24</f>
        <v>3601080.2469135802</v>
      </c>
    </row>
    <row r="50" spans="1:15" hidden="1" outlineLevel="1">
      <c r="A50" s="62"/>
      <c r="B50" s="97">
        <v>41425</v>
      </c>
      <c r="C50" s="97"/>
      <c r="D50" s="102"/>
      <c r="E50" s="135">
        <f t="shared" si="1"/>
        <v>5000000</v>
      </c>
      <c r="F50" s="135"/>
      <c r="G50" s="135">
        <f t="shared" si="5"/>
        <v>41666.666666666664</v>
      </c>
      <c r="H50" s="145">
        <f t="shared" si="6"/>
        <v>-1708333.3333333342</v>
      </c>
      <c r="I50" s="135">
        <f t="shared" si="3"/>
        <v>3291666.666666666</v>
      </c>
      <c r="J50" s="98">
        <f t="shared" si="4"/>
        <v>3541666.6666666665</v>
      </c>
    </row>
    <row r="51" spans="1:15" hidden="1" outlineLevel="1">
      <c r="A51" s="62"/>
      <c r="B51" s="97">
        <v>41455</v>
      </c>
      <c r="C51" s="97"/>
      <c r="D51" s="102"/>
      <c r="E51" s="135">
        <f t="shared" si="1"/>
        <v>5000000</v>
      </c>
      <c r="F51" s="135"/>
      <c r="G51" s="135">
        <f t="shared" si="5"/>
        <v>41666.666666666664</v>
      </c>
      <c r="H51" s="145">
        <f t="shared" si="6"/>
        <v>-1750000.0000000009</v>
      </c>
      <c r="I51" s="135">
        <f t="shared" si="3"/>
        <v>3249999.9999999991</v>
      </c>
      <c r="J51" s="98">
        <f t="shared" si="4"/>
        <v>3500000</v>
      </c>
    </row>
    <row r="52" spans="1:15" hidden="1" outlineLevel="1">
      <c r="A52" s="62"/>
      <c r="B52" s="97">
        <v>41486</v>
      </c>
      <c r="C52" s="97"/>
      <c r="D52" s="102"/>
      <c r="E52" s="135">
        <f t="shared" si="1"/>
        <v>5000000</v>
      </c>
      <c r="F52" s="135"/>
      <c r="G52" s="135">
        <f t="shared" si="5"/>
        <v>41666.666666666664</v>
      </c>
      <c r="H52" s="145">
        <f t="shared" si="6"/>
        <v>-1791666.6666666677</v>
      </c>
      <c r="I52" s="135">
        <f t="shared" si="3"/>
        <v>3208333.3333333321</v>
      </c>
      <c r="J52" s="98">
        <f t="shared" si="4"/>
        <v>3458333.3333333335</v>
      </c>
    </row>
    <row r="53" spans="1:15" hidden="1" outlineLevel="1">
      <c r="A53" s="62"/>
      <c r="B53" s="97">
        <v>41517</v>
      </c>
      <c r="C53" s="97"/>
      <c r="D53" s="102"/>
      <c r="E53" s="135">
        <f t="shared" si="1"/>
        <v>5000000</v>
      </c>
      <c r="F53" s="135"/>
      <c r="G53" s="135">
        <f t="shared" si="5"/>
        <v>41666.666666666664</v>
      </c>
      <c r="H53" s="145">
        <f t="shared" si="6"/>
        <v>-1833333.3333333344</v>
      </c>
      <c r="I53" s="135">
        <f t="shared" si="3"/>
        <v>3166666.6666666656</v>
      </c>
      <c r="J53" s="98">
        <f t="shared" si="4"/>
        <v>3416666.666666666</v>
      </c>
      <c r="K53" s="109"/>
    </row>
    <row r="54" spans="1:15" s="109" customFormat="1" hidden="1" outlineLevel="1">
      <c r="A54" s="62"/>
      <c r="B54" s="97">
        <v>41547</v>
      </c>
      <c r="C54" s="97"/>
      <c r="D54" s="102"/>
      <c r="E54" s="135">
        <f t="shared" si="1"/>
        <v>5000000</v>
      </c>
      <c r="F54" s="135"/>
      <c r="G54" s="135">
        <f t="shared" si="5"/>
        <v>41666.666666666664</v>
      </c>
      <c r="H54" s="145">
        <f t="shared" si="6"/>
        <v>-1875000.0000000012</v>
      </c>
      <c r="I54" s="135">
        <f t="shared" si="3"/>
        <v>3124999.9999999991</v>
      </c>
      <c r="J54" s="98">
        <f t="shared" si="4"/>
        <v>3374999.9999999995</v>
      </c>
      <c r="L54"/>
      <c r="M54"/>
      <c r="N54"/>
      <c r="O54"/>
    </row>
    <row r="55" spans="1:15" hidden="1" outlineLevel="1">
      <c r="A55" s="62"/>
      <c r="B55" s="97">
        <v>41578</v>
      </c>
      <c r="C55" s="97"/>
      <c r="D55" s="102"/>
      <c r="E55" s="135">
        <f t="shared" si="1"/>
        <v>5000000</v>
      </c>
      <c r="F55" s="135"/>
      <c r="G55" s="135">
        <f t="shared" si="5"/>
        <v>41666.666666666664</v>
      </c>
      <c r="H55" s="145">
        <f t="shared" si="6"/>
        <v>-1916666.6666666679</v>
      </c>
      <c r="I55" s="135">
        <f t="shared" si="3"/>
        <v>3083333.3333333321</v>
      </c>
      <c r="J55" s="98">
        <f t="shared" si="4"/>
        <v>3333333.3333333326</v>
      </c>
    </row>
    <row r="56" spans="1:15" hidden="1" outlineLevel="1">
      <c r="A56" s="62"/>
      <c r="B56" s="97">
        <v>41608</v>
      </c>
      <c r="C56" s="97"/>
      <c r="D56" s="102"/>
      <c r="E56" s="135">
        <f t="shared" si="1"/>
        <v>5000000</v>
      </c>
      <c r="F56" s="135"/>
      <c r="G56" s="135">
        <f t="shared" si="5"/>
        <v>41666.666666666664</v>
      </c>
      <c r="H56" s="145">
        <f t="shared" si="6"/>
        <v>-1958333.3333333347</v>
      </c>
      <c r="I56" s="135">
        <f t="shared" si="3"/>
        <v>3041666.6666666651</v>
      </c>
      <c r="J56" s="98">
        <f>(I44+I56+SUM(I45:I55)*2)/24</f>
        <v>3291666.6666666656</v>
      </c>
    </row>
    <row r="57" spans="1:15" hidden="1" outlineLevel="1">
      <c r="A57" s="62"/>
      <c r="B57" s="106">
        <v>41639</v>
      </c>
      <c r="C57" s="97"/>
      <c r="D57" s="102"/>
      <c r="E57" s="135">
        <f t="shared" si="1"/>
        <v>5000000</v>
      </c>
      <c r="F57" s="135"/>
      <c r="G57" s="135">
        <f t="shared" si="5"/>
        <v>41666.666666666664</v>
      </c>
      <c r="H57" s="145">
        <f t="shared" si="6"/>
        <v>-2000000.0000000014</v>
      </c>
      <c r="I57" s="135">
        <f>E57+H57</f>
        <v>2999999.9999999986</v>
      </c>
      <c r="J57" s="98">
        <f t="shared" si="4"/>
        <v>3249999.9999999995</v>
      </c>
      <c r="K57" s="109"/>
    </row>
    <row r="58" spans="1:15" s="109" customFormat="1" hidden="1" outlineLevel="1">
      <c r="A58" s="62"/>
      <c r="B58" s="97">
        <v>41670</v>
      </c>
      <c r="C58" s="97"/>
      <c r="D58" s="102"/>
      <c r="E58" s="135">
        <f t="shared" si="1"/>
        <v>5000000</v>
      </c>
      <c r="F58" s="135"/>
      <c r="G58" s="135">
        <f t="shared" si="5"/>
        <v>41666.666666666664</v>
      </c>
      <c r="H58" s="145">
        <f t="shared" si="6"/>
        <v>-2041666.6666666681</v>
      </c>
      <c r="I58" s="135">
        <f t="shared" si="3"/>
        <v>2958333.3333333321</v>
      </c>
      <c r="J58" s="98">
        <f t="shared" si="4"/>
        <v>3208333.3333333326</v>
      </c>
      <c r="L58"/>
      <c r="M58"/>
      <c r="N58"/>
      <c r="O58"/>
    </row>
    <row r="59" spans="1:15" hidden="1" outlineLevel="1">
      <c r="A59" s="64"/>
      <c r="B59" s="97">
        <v>41698</v>
      </c>
      <c r="C59" s="105"/>
      <c r="D59" s="100"/>
      <c r="E59" s="135">
        <f t="shared" si="1"/>
        <v>5000000</v>
      </c>
      <c r="F59" s="135"/>
      <c r="G59" s="135">
        <f t="shared" si="5"/>
        <v>41666.666666666664</v>
      </c>
      <c r="H59" s="145">
        <f t="shared" si="6"/>
        <v>-2083333.3333333349</v>
      </c>
      <c r="I59" s="135">
        <f t="shared" si="3"/>
        <v>2916666.6666666651</v>
      </c>
      <c r="J59" s="98">
        <f t="shared" si="4"/>
        <v>3166666.6666666656</v>
      </c>
    </row>
    <row r="60" spans="1:15" hidden="1" outlineLevel="1">
      <c r="A60" s="62"/>
      <c r="B60" s="97">
        <v>41729</v>
      </c>
      <c r="C60" s="97"/>
      <c r="D60" s="102"/>
      <c r="E60" s="135">
        <f t="shared" si="1"/>
        <v>5000000</v>
      </c>
      <c r="F60" s="135"/>
      <c r="G60" s="135">
        <f t="shared" si="5"/>
        <v>41666.666666666664</v>
      </c>
      <c r="H60" s="145">
        <f t="shared" si="6"/>
        <v>-2125000.0000000014</v>
      </c>
      <c r="I60" s="135">
        <f t="shared" si="3"/>
        <v>2874999.9999999986</v>
      </c>
      <c r="J60" s="98">
        <f t="shared" si="4"/>
        <v>3124999.9999999986</v>
      </c>
    </row>
    <row r="61" spans="1:15" hidden="1" outlineLevel="1">
      <c r="A61" s="62"/>
      <c r="B61" s="97">
        <v>41759</v>
      </c>
      <c r="C61" s="97"/>
      <c r="D61" s="102"/>
      <c r="E61" s="135">
        <f t="shared" si="1"/>
        <v>5000000</v>
      </c>
      <c r="F61" s="135"/>
      <c r="G61" s="135">
        <f t="shared" si="5"/>
        <v>41666.666666666664</v>
      </c>
      <c r="H61" s="145">
        <f t="shared" si="6"/>
        <v>-2166666.6666666679</v>
      </c>
      <c r="I61" s="135">
        <f t="shared" si="3"/>
        <v>2833333.3333333321</v>
      </c>
      <c r="J61" s="98">
        <f t="shared" si="4"/>
        <v>3083333.3333333321</v>
      </c>
    </row>
    <row r="62" spans="1:15" hidden="1" outlineLevel="1">
      <c r="A62" s="62"/>
      <c r="B62" s="97">
        <v>41790</v>
      </c>
      <c r="C62" s="108"/>
      <c r="D62" s="102"/>
      <c r="E62" s="135">
        <f t="shared" si="1"/>
        <v>5000000</v>
      </c>
      <c r="F62" s="135"/>
      <c r="G62" s="135">
        <f t="shared" si="5"/>
        <v>41666.666666666664</v>
      </c>
      <c r="H62" s="145">
        <f t="shared" si="6"/>
        <v>-2208333.3333333344</v>
      </c>
      <c r="I62" s="135">
        <f t="shared" si="3"/>
        <v>2791666.6666666656</v>
      </c>
      <c r="J62" s="98">
        <f t="shared" si="4"/>
        <v>3041666.6666666656</v>
      </c>
      <c r="K62" s="109"/>
    </row>
    <row r="63" spans="1:15" hidden="1" outlineLevel="1">
      <c r="A63" s="62"/>
      <c r="B63" s="97">
        <v>41820</v>
      </c>
      <c r="C63" s="108"/>
      <c r="D63" s="102"/>
      <c r="E63" s="135">
        <f t="shared" si="1"/>
        <v>5000000</v>
      </c>
      <c r="F63" s="135"/>
      <c r="G63" s="135">
        <f t="shared" si="5"/>
        <v>41666.666666666664</v>
      </c>
      <c r="H63" s="145">
        <f t="shared" si="6"/>
        <v>-2250000.0000000009</v>
      </c>
      <c r="I63" s="135">
        <f t="shared" si="3"/>
        <v>2749999.9999999991</v>
      </c>
      <c r="J63" s="98">
        <f t="shared" si="4"/>
        <v>2999999.9999999986</v>
      </c>
    </row>
    <row r="64" spans="1:15" hidden="1" outlineLevel="1">
      <c r="A64" s="62"/>
      <c r="B64" s="97">
        <v>41851</v>
      </c>
      <c r="C64" s="108"/>
      <c r="D64" s="102"/>
      <c r="E64" s="135">
        <f t="shared" si="1"/>
        <v>5000000</v>
      </c>
      <c r="F64" s="135"/>
      <c r="G64" s="135">
        <f t="shared" si="5"/>
        <v>41666.666666666664</v>
      </c>
      <c r="H64" s="145">
        <f t="shared" si="6"/>
        <v>-2291666.6666666674</v>
      </c>
      <c r="I64" s="135">
        <f t="shared" si="3"/>
        <v>2708333.3333333326</v>
      </c>
      <c r="J64" s="98">
        <f t="shared" si="4"/>
        <v>2958333.3333333321</v>
      </c>
    </row>
    <row r="65" spans="2:12" hidden="1" outlineLevel="1">
      <c r="B65" s="97">
        <v>41882</v>
      </c>
      <c r="C65" s="109"/>
      <c r="D65" s="109"/>
      <c r="E65" s="135">
        <f t="shared" si="1"/>
        <v>5000000</v>
      </c>
      <c r="F65" s="135"/>
      <c r="G65" s="135">
        <f t="shared" si="5"/>
        <v>41666.666666666664</v>
      </c>
      <c r="H65" s="145">
        <f t="shared" si="6"/>
        <v>-2333333.333333334</v>
      </c>
      <c r="I65" s="135">
        <f t="shared" si="3"/>
        <v>2666666.666666666</v>
      </c>
      <c r="J65" s="98">
        <f t="shared" si="4"/>
        <v>2916666.6666666656</v>
      </c>
      <c r="K65" s="109"/>
    </row>
    <row r="66" spans="2:12" hidden="1" outlineLevel="1">
      <c r="B66" s="97">
        <v>41912</v>
      </c>
      <c r="C66" s="109"/>
      <c r="D66" s="109"/>
      <c r="E66" s="135">
        <f t="shared" si="1"/>
        <v>5000000</v>
      </c>
      <c r="F66" s="135"/>
      <c r="G66" s="135">
        <f t="shared" si="5"/>
        <v>41666.666666666664</v>
      </c>
      <c r="H66" s="145">
        <f t="shared" si="6"/>
        <v>-2375000.0000000005</v>
      </c>
      <c r="I66" s="135">
        <f t="shared" si="3"/>
        <v>2624999.9999999995</v>
      </c>
      <c r="J66" s="98">
        <f t="shared" si="4"/>
        <v>2874999.9999999986</v>
      </c>
      <c r="K66" s="109"/>
      <c r="L66" s="109"/>
    </row>
    <row r="67" spans="2:12" hidden="1" outlineLevel="1">
      <c r="B67" s="97">
        <v>41943</v>
      </c>
      <c r="C67" s="109"/>
      <c r="D67" s="109"/>
      <c r="E67" s="135">
        <f t="shared" si="1"/>
        <v>5000000</v>
      </c>
      <c r="F67" s="135"/>
      <c r="G67" s="135">
        <f t="shared" si="5"/>
        <v>41666.666666666664</v>
      </c>
      <c r="H67" s="145">
        <f t="shared" si="6"/>
        <v>-2416666.666666667</v>
      </c>
      <c r="I67" s="135">
        <f t="shared" si="3"/>
        <v>2583333.333333333</v>
      </c>
      <c r="J67" s="98">
        <f>(I55+I67+SUM(I56:I66)*2)/24</f>
        <v>2833333.3333333326</v>
      </c>
      <c r="K67" s="109"/>
      <c r="L67" s="109"/>
    </row>
    <row r="68" spans="2:12" hidden="1" outlineLevel="1">
      <c r="B68" s="97">
        <v>41973</v>
      </c>
      <c r="C68" s="109"/>
      <c r="D68" s="109"/>
      <c r="E68" s="135">
        <f t="shared" si="1"/>
        <v>5000000</v>
      </c>
      <c r="F68" s="135"/>
      <c r="G68" s="135">
        <f t="shared" si="5"/>
        <v>41666.666666666664</v>
      </c>
      <c r="H68" s="145">
        <f t="shared" si="6"/>
        <v>-2458333.3333333335</v>
      </c>
      <c r="I68" s="135">
        <f t="shared" si="3"/>
        <v>2541666.6666666665</v>
      </c>
      <c r="J68" s="98">
        <f t="shared" si="4"/>
        <v>2791666.666666666</v>
      </c>
      <c r="K68" s="109"/>
      <c r="L68" s="109"/>
    </row>
    <row r="69" spans="2:12" hidden="1" outlineLevel="1">
      <c r="B69" s="106">
        <v>42004</v>
      </c>
      <c r="C69" s="109"/>
      <c r="D69" s="109"/>
      <c r="E69" s="135">
        <f t="shared" si="1"/>
        <v>5000000</v>
      </c>
      <c r="F69" s="135"/>
      <c r="G69" s="135">
        <f t="shared" si="5"/>
        <v>41666.666666666664</v>
      </c>
      <c r="H69" s="145">
        <f t="shared" si="6"/>
        <v>-2500000</v>
      </c>
      <c r="I69" s="135">
        <f t="shared" si="3"/>
        <v>2500000</v>
      </c>
      <c r="J69" s="98">
        <f t="shared" si="4"/>
        <v>2749999.9999999995</v>
      </c>
      <c r="K69" s="109"/>
      <c r="L69" s="109"/>
    </row>
    <row r="70" spans="2:12" collapsed="1">
      <c r="B70" s="97">
        <v>42035</v>
      </c>
      <c r="C70" s="109"/>
      <c r="D70" s="109"/>
      <c r="E70" s="135">
        <f t="shared" si="1"/>
        <v>5000000</v>
      </c>
      <c r="F70" s="135"/>
      <c r="G70" s="135">
        <f t="shared" si="5"/>
        <v>41666.666666666664</v>
      </c>
      <c r="H70" s="145">
        <f t="shared" si="6"/>
        <v>-2541666.6666666665</v>
      </c>
      <c r="I70" s="135">
        <f t="shared" si="3"/>
        <v>2458333.3333333335</v>
      </c>
      <c r="J70" s="98">
        <f t="shared" si="4"/>
        <v>2708333.3333333326</v>
      </c>
      <c r="K70" s="109"/>
      <c r="L70" s="109"/>
    </row>
    <row r="71" spans="2:12">
      <c r="B71" s="97">
        <v>42063</v>
      </c>
      <c r="E71" s="135">
        <f t="shared" si="1"/>
        <v>5000000</v>
      </c>
      <c r="F71" s="135"/>
      <c r="G71" s="135">
        <f t="shared" si="5"/>
        <v>41666.666666666664</v>
      </c>
      <c r="H71" s="145">
        <f t="shared" si="6"/>
        <v>-2583333.333333333</v>
      </c>
      <c r="I71" s="135">
        <f t="shared" si="3"/>
        <v>2416666.666666667</v>
      </c>
      <c r="J71" s="98">
        <f t="shared" si="4"/>
        <v>2666666.666666666</v>
      </c>
    </row>
    <row r="72" spans="2:12">
      <c r="B72" s="97">
        <v>42094</v>
      </c>
      <c r="E72" s="135">
        <f t="shared" si="1"/>
        <v>5000000</v>
      </c>
      <c r="F72" s="135"/>
      <c r="G72" s="135">
        <f t="shared" si="5"/>
        <v>41666.666666666664</v>
      </c>
      <c r="H72" s="145">
        <f t="shared" si="6"/>
        <v>-2624999.9999999995</v>
      </c>
      <c r="I72" s="135">
        <f t="shared" si="3"/>
        <v>2375000.0000000005</v>
      </c>
      <c r="J72" s="98">
        <f t="shared" si="4"/>
        <v>2624999.9999999995</v>
      </c>
    </row>
    <row r="73" spans="2:12">
      <c r="B73" s="97">
        <v>42124</v>
      </c>
      <c r="E73" s="135">
        <f t="shared" si="1"/>
        <v>5000000</v>
      </c>
      <c r="F73" s="135"/>
      <c r="G73" s="135">
        <f t="shared" si="5"/>
        <v>41666.666666666664</v>
      </c>
      <c r="H73" s="145">
        <f t="shared" si="6"/>
        <v>-2666666.666666666</v>
      </c>
      <c r="I73" s="135">
        <f t="shared" si="3"/>
        <v>2333333.333333334</v>
      </c>
      <c r="J73" s="98">
        <f t="shared" si="4"/>
        <v>2583333.333333333</v>
      </c>
    </row>
    <row r="74" spans="2:12">
      <c r="B74" s="97">
        <v>42155</v>
      </c>
      <c r="E74" s="135">
        <f t="shared" si="1"/>
        <v>5000000</v>
      </c>
      <c r="F74" s="135"/>
      <c r="G74" s="135">
        <f t="shared" si="5"/>
        <v>41666.666666666664</v>
      </c>
      <c r="H74" s="145">
        <f t="shared" si="6"/>
        <v>-2708333.3333333326</v>
      </c>
      <c r="I74" s="135">
        <f t="shared" si="3"/>
        <v>2291666.6666666674</v>
      </c>
      <c r="J74" s="98">
        <f t="shared" si="4"/>
        <v>2541666.666666667</v>
      </c>
    </row>
    <row r="75" spans="2:12">
      <c r="B75" s="97">
        <v>42185</v>
      </c>
      <c r="C75" s="109"/>
      <c r="D75" s="109"/>
      <c r="E75" s="135">
        <f t="shared" si="1"/>
        <v>5000000</v>
      </c>
      <c r="F75" s="135"/>
      <c r="G75" s="135">
        <f t="shared" ref="G75:G128" si="7">E75/120</f>
        <v>41666.666666666664</v>
      </c>
      <c r="H75" s="145">
        <f t="shared" si="6"/>
        <v>-2749999.9999999991</v>
      </c>
      <c r="I75" s="135">
        <f t="shared" ref="I75:I126" si="8">E75+H75</f>
        <v>2250000.0000000009</v>
      </c>
      <c r="J75" s="98">
        <f t="shared" si="4"/>
        <v>2500000.0000000005</v>
      </c>
      <c r="K75" s="109"/>
    </row>
    <row r="76" spans="2:12">
      <c r="B76" s="97">
        <v>42216</v>
      </c>
      <c r="C76" s="109"/>
      <c r="D76" s="109"/>
      <c r="E76" s="135">
        <f t="shared" si="1"/>
        <v>5000000</v>
      </c>
      <c r="F76" s="135"/>
      <c r="G76" s="135">
        <f t="shared" si="7"/>
        <v>41666.666666666664</v>
      </c>
      <c r="H76" s="145">
        <f t="shared" si="6"/>
        <v>-2791666.6666666656</v>
      </c>
      <c r="I76" s="135">
        <f t="shared" si="8"/>
        <v>2208333.3333333344</v>
      </c>
      <c r="J76" s="98">
        <f t="shared" si="4"/>
        <v>2458333.3333333335</v>
      </c>
      <c r="K76" s="109"/>
    </row>
    <row r="77" spans="2:12">
      <c r="B77" s="97">
        <v>42247</v>
      </c>
      <c r="C77" s="109"/>
      <c r="D77" s="109"/>
      <c r="E77" s="135">
        <f t="shared" si="1"/>
        <v>5000000</v>
      </c>
      <c r="F77" s="135"/>
      <c r="G77" s="135">
        <f t="shared" si="7"/>
        <v>41666.666666666664</v>
      </c>
      <c r="H77" s="145">
        <f t="shared" si="6"/>
        <v>-2833333.3333333321</v>
      </c>
      <c r="I77" s="135">
        <f t="shared" si="8"/>
        <v>2166666.6666666679</v>
      </c>
      <c r="J77" s="98">
        <f t="shared" si="4"/>
        <v>2416666.6666666674</v>
      </c>
      <c r="K77" s="109"/>
    </row>
    <row r="78" spans="2:12">
      <c r="B78" s="97">
        <v>42277</v>
      </c>
      <c r="E78" s="135">
        <f t="shared" si="1"/>
        <v>5000000</v>
      </c>
      <c r="F78" s="135"/>
      <c r="G78" s="135">
        <f t="shared" si="7"/>
        <v>41666.666666666664</v>
      </c>
      <c r="H78" s="145">
        <f t="shared" si="6"/>
        <v>-2874999.9999999986</v>
      </c>
      <c r="I78" s="135">
        <f t="shared" si="8"/>
        <v>2125000.0000000014</v>
      </c>
      <c r="J78" s="98">
        <f t="shared" si="4"/>
        <v>2375000.0000000005</v>
      </c>
    </row>
    <row r="79" spans="2:12">
      <c r="B79" s="97">
        <v>42308</v>
      </c>
      <c r="C79" s="109"/>
      <c r="D79" s="109"/>
      <c r="E79" s="135">
        <f t="shared" si="1"/>
        <v>5000000</v>
      </c>
      <c r="F79" s="135"/>
      <c r="G79" s="135">
        <f t="shared" si="7"/>
        <v>41666.666666666664</v>
      </c>
      <c r="H79" s="145">
        <f t="shared" si="6"/>
        <v>-2916666.6666666651</v>
      </c>
      <c r="I79" s="135">
        <f t="shared" si="8"/>
        <v>2083333.3333333349</v>
      </c>
      <c r="J79" s="98">
        <f t="shared" si="4"/>
        <v>2333333.333333334</v>
      </c>
      <c r="K79" s="109"/>
    </row>
    <row r="80" spans="2:12" s="109" customFormat="1">
      <c r="B80" s="97">
        <v>42338</v>
      </c>
      <c r="E80" s="135">
        <f t="shared" si="1"/>
        <v>5000000</v>
      </c>
      <c r="F80" s="135"/>
      <c r="G80" s="135">
        <f t="shared" si="7"/>
        <v>41666.666666666664</v>
      </c>
      <c r="H80" s="145">
        <f t="shared" si="6"/>
        <v>-2958333.3333333316</v>
      </c>
      <c r="I80" s="135">
        <f t="shared" si="8"/>
        <v>2041666.6666666684</v>
      </c>
      <c r="J80" s="98">
        <f t="shared" si="4"/>
        <v>2291666.6666666674</v>
      </c>
    </row>
    <row r="81" spans="2:11">
      <c r="B81" s="106">
        <v>42369</v>
      </c>
      <c r="C81" s="109"/>
      <c r="D81" s="109"/>
      <c r="E81" s="135">
        <f t="shared" si="1"/>
        <v>5000000</v>
      </c>
      <c r="F81" s="135"/>
      <c r="G81" s="135">
        <f t="shared" si="7"/>
        <v>41666.666666666664</v>
      </c>
      <c r="H81" s="145">
        <f t="shared" si="6"/>
        <v>-2999999.9999999981</v>
      </c>
      <c r="I81" s="135">
        <f t="shared" si="8"/>
        <v>2000000.0000000019</v>
      </c>
      <c r="J81" s="98">
        <f t="shared" si="4"/>
        <v>2250000.0000000009</v>
      </c>
    </row>
    <row r="82" spans="2:11">
      <c r="B82" s="97">
        <v>42400</v>
      </c>
      <c r="C82" s="109"/>
      <c r="D82" s="109"/>
      <c r="E82" s="135">
        <f t="shared" si="1"/>
        <v>5000000</v>
      </c>
      <c r="F82" s="135"/>
      <c r="G82" s="135">
        <f t="shared" si="7"/>
        <v>41666.666666666664</v>
      </c>
      <c r="H82" s="145">
        <f t="shared" si="6"/>
        <v>-3041666.6666666646</v>
      </c>
      <c r="I82" s="135">
        <f t="shared" si="8"/>
        <v>1958333.3333333354</v>
      </c>
      <c r="J82" s="98">
        <f t="shared" si="4"/>
        <v>2208333.3333333344</v>
      </c>
    </row>
    <row r="83" spans="2:11">
      <c r="B83" s="97">
        <v>42428</v>
      </c>
      <c r="C83" s="109"/>
      <c r="D83" s="109"/>
      <c r="E83" s="135">
        <f t="shared" si="1"/>
        <v>5000000</v>
      </c>
      <c r="F83" s="135"/>
      <c r="G83" s="135">
        <f t="shared" si="7"/>
        <v>41666.666666666664</v>
      </c>
      <c r="H83" s="145">
        <f t="shared" si="6"/>
        <v>-3083333.3333333312</v>
      </c>
      <c r="I83" s="135">
        <f t="shared" si="8"/>
        <v>1916666.6666666688</v>
      </c>
      <c r="J83" s="98">
        <f t="shared" si="4"/>
        <v>2166666.6666666684</v>
      </c>
    </row>
    <row r="84" spans="2:11" s="109" customFormat="1">
      <c r="B84" s="97">
        <v>42460</v>
      </c>
      <c r="E84" s="135">
        <f t="shared" si="1"/>
        <v>5000000</v>
      </c>
      <c r="F84" s="135"/>
      <c r="G84" s="135">
        <f t="shared" si="7"/>
        <v>41666.666666666664</v>
      </c>
      <c r="H84" s="145">
        <f t="shared" si="6"/>
        <v>-3124999.9999999977</v>
      </c>
      <c r="I84" s="135">
        <f t="shared" si="8"/>
        <v>1875000.0000000023</v>
      </c>
      <c r="J84" s="98">
        <f t="shared" si="4"/>
        <v>2125000.0000000014</v>
      </c>
    </row>
    <row r="85" spans="2:11">
      <c r="B85" s="97">
        <v>42490</v>
      </c>
      <c r="C85" s="109"/>
      <c r="D85" s="109"/>
      <c r="E85" s="135">
        <f t="shared" si="1"/>
        <v>5000000</v>
      </c>
      <c r="F85" s="135"/>
      <c r="G85" s="135">
        <f t="shared" si="7"/>
        <v>41666.666666666664</v>
      </c>
      <c r="H85" s="145">
        <f t="shared" si="6"/>
        <v>-3166666.6666666642</v>
      </c>
      <c r="I85" s="135">
        <f t="shared" si="8"/>
        <v>1833333.3333333358</v>
      </c>
      <c r="J85" s="98">
        <f t="shared" si="4"/>
        <v>2083333.3333333351</v>
      </c>
    </row>
    <row r="86" spans="2:11" s="109" customFormat="1">
      <c r="B86" s="97">
        <v>42521</v>
      </c>
      <c r="E86" s="135">
        <f t="shared" si="1"/>
        <v>5000000</v>
      </c>
      <c r="F86" s="135"/>
      <c r="G86" s="135">
        <f t="shared" si="7"/>
        <v>41666.666666666664</v>
      </c>
      <c r="H86" s="145">
        <f t="shared" si="6"/>
        <v>-3208333.3333333307</v>
      </c>
      <c r="I86" s="135">
        <f t="shared" si="8"/>
        <v>1791666.6666666693</v>
      </c>
      <c r="J86" s="98">
        <f t="shared" si="4"/>
        <v>2041666.6666666681</v>
      </c>
    </row>
    <row r="87" spans="2:11">
      <c r="B87" s="97">
        <v>42551</v>
      </c>
      <c r="C87" s="109"/>
      <c r="D87" s="109"/>
      <c r="E87" s="135">
        <f t="shared" ref="E87:E141" si="9">E86</f>
        <v>5000000</v>
      </c>
      <c r="F87" s="135"/>
      <c r="G87" s="135">
        <f t="shared" si="7"/>
        <v>41666.666666666664</v>
      </c>
      <c r="H87" s="145">
        <f t="shared" si="6"/>
        <v>-3249999.9999999972</v>
      </c>
      <c r="I87" s="135">
        <f t="shared" si="8"/>
        <v>1750000.0000000028</v>
      </c>
      <c r="J87" s="98">
        <f t="shared" si="4"/>
        <v>2000000.0000000019</v>
      </c>
      <c r="K87" s="109"/>
    </row>
    <row r="88" spans="2:11">
      <c r="B88" s="97">
        <v>42582</v>
      </c>
      <c r="C88" s="109"/>
      <c r="D88" s="109"/>
      <c r="E88" s="135">
        <f t="shared" si="9"/>
        <v>5000000</v>
      </c>
      <c r="F88" s="135"/>
      <c r="G88" s="135">
        <f t="shared" si="7"/>
        <v>41666.666666666664</v>
      </c>
      <c r="H88" s="145">
        <f t="shared" si="6"/>
        <v>-3291666.6666666637</v>
      </c>
      <c r="I88" s="135">
        <f t="shared" si="8"/>
        <v>1708333.3333333363</v>
      </c>
      <c r="J88" s="98">
        <f t="shared" si="4"/>
        <v>1958333.3333333351</v>
      </c>
    </row>
    <row r="89" spans="2:11">
      <c r="B89" s="97">
        <v>42613</v>
      </c>
      <c r="E89" s="135">
        <f t="shared" si="9"/>
        <v>5000000</v>
      </c>
      <c r="F89" s="135"/>
      <c r="G89" s="135">
        <f t="shared" si="7"/>
        <v>41666.666666666664</v>
      </c>
      <c r="H89" s="145">
        <f t="shared" si="6"/>
        <v>-3333333.3333333302</v>
      </c>
      <c r="I89" s="135">
        <f t="shared" si="8"/>
        <v>1666666.6666666698</v>
      </c>
      <c r="J89" s="98">
        <f t="shared" si="4"/>
        <v>1916666.6666666688</v>
      </c>
    </row>
    <row r="90" spans="2:11">
      <c r="B90" s="97">
        <v>42643</v>
      </c>
      <c r="C90" s="109"/>
      <c r="D90" s="109"/>
      <c r="E90" s="135">
        <f t="shared" si="9"/>
        <v>5000000</v>
      </c>
      <c r="F90" s="135"/>
      <c r="G90" s="135">
        <f t="shared" si="7"/>
        <v>41666.666666666664</v>
      </c>
      <c r="H90" s="145">
        <f t="shared" si="6"/>
        <v>-3374999.9999999967</v>
      </c>
      <c r="I90" s="135">
        <f t="shared" si="8"/>
        <v>1625000.0000000033</v>
      </c>
      <c r="J90" s="98">
        <f t="shared" si="4"/>
        <v>1875000.0000000028</v>
      </c>
    </row>
    <row r="91" spans="2:11">
      <c r="B91" s="97">
        <v>42674</v>
      </c>
      <c r="C91" s="109"/>
      <c r="D91" s="109"/>
      <c r="E91" s="135">
        <f t="shared" si="9"/>
        <v>5000000</v>
      </c>
      <c r="F91" s="135"/>
      <c r="G91" s="135">
        <f t="shared" si="7"/>
        <v>41666.666666666664</v>
      </c>
      <c r="H91" s="145">
        <f t="shared" si="6"/>
        <v>-3416666.6666666633</v>
      </c>
      <c r="I91" s="135">
        <f t="shared" si="8"/>
        <v>1583333.3333333367</v>
      </c>
      <c r="J91" s="98">
        <f t="shared" si="4"/>
        <v>1833333.333333336</v>
      </c>
    </row>
    <row r="92" spans="2:11">
      <c r="B92" s="97">
        <v>42704</v>
      </c>
      <c r="C92" s="109"/>
      <c r="D92" s="109"/>
      <c r="E92" s="135">
        <f t="shared" si="9"/>
        <v>5000000</v>
      </c>
      <c r="F92" s="135"/>
      <c r="G92" s="135">
        <f t="shared" si="7"/>
        <v>41666.666666666664</v>
      </c>
      <c r="H92" s="145">
        <f t="shared" si="6"/>
        <v>-3458333.3333333298</v>
      </c>
      <c r="I92" s="135">
        <f t="shared" si="8"/>
        <v>1541666.6666666702</v>
      </c>
      <c r="J92" s="98">
        <f t="shared" si="4"/>
        <v>1791666.6666666688</v>
      </c>
    </row>
    <row r="93" spans="2:11">
      <c r="B93" s="106">
        <v>42735</v>
      </c>
      <c r="C93" s="109"/>
      <c r="D93" s="109"/>
      <c r="E93" s="135">
        <f t="shared" si="9"/>
        <v>5000000</v>
      </c>
      <c r="F93" s="135"/>
      <c r="G93" s="135">
        <f t="shared" si="7"/>
        <v>41666.666666666664</v>
      </c>
      <c r="H93" s="145">
        <f t="shared" si="6"/>
        <v>-3499999.9999999963</v>
      </c>
      <c r="I93" s="135">
        <f t="shared" si="8"/>
        <v>1500000.0000000037</v>
      </c>
      <c r="J93" s="98">
        <f t="shared" si="4"/>
        <v>1750000.000000003</v>
      </c>
    </row>
    <row r="94" spans="2:11" outlineLevel="1">
      <c r="B94" s="97">
        <v>42766</v>
      </c>
      <c r="C94" s="109"/>
      <c r="D94" s="109"/>
      <c r="E94" s="135">
        <f t="shared" si="9"/>
        <v>5000000</v>
      </c>
      <c r="F94" s="135"/>
      <c r="G94" s="135">
        <f t="shared" si="7"/>
        <v>41666.666666666664</v>
      </c>
      <c r="H94" s="145">
        <f t="shared" si="6"/>
        <v>-3541666.6666666628</v>
      </c>
      <c r="I94" s="135">
        <f t="shared" si="8"/>
        <v>1458333.3333333372</v>
      </c>
      <c r="J94" s="98">
        <f t="shared" si="4"/>
        <v>1708333.3333333365</v>
      </c>
    </row>
    <row r="95" spans="2:11" outlineLevel="1">
      <c r="B95" s="97">
        <v>42794</v>
      </c>
      <c r="C95" s="109"/>
      <c r="D95" s="109"/>
      <c r="E95" s="135">
        <f t="shared" si="9"/>
        <v>5000000</v>
      </c>
      <c r="F95" s="135"/>
      <c r="G95" s="135">
        <f t="shared" si="7"/>
        <v>41666.666666666664</v>
      </c>
      <c r="H95" s="145">
        <f t="shared" si="6"/>
        <v>-3583333.3333333293</v>
      </c>
      <c r="I95" s="135">
        <f t="shared" si="8"/>
        <v>1416666.6666666707</v>
      </c>
      <c r="J95" s="98">
        <f t="shared" si="4"/>
        <v>1666666.6666666698</v>
      </c>
    </row>
    <row r="96" spans="2:11" outlineLevel="1">
      <c r="B96" s="97">
        <v>42825</v>
      </c>
      <c r="C96" s="109"/>
      <c r="D96" s="109"/>
      <c r="E96" s="135">
        <f t="shared" si="9"/>
        <v>5000000</v>
      </c>
      <c r="F96" s="135"/>
      <c r="G96" s="135">
        <f t="shared" si="7"/>
        <v>41666.666666666664</v>
      </c>
      <c r="H96" s="145">
        <f t="shared" si="6"/>
        <v>-3624999.9999999958</v>
      </c>
      <c r="I96" s="135">
        <f t="shared" si="8"/>
        <v>1375000.0000000042</v>
      </c>
      <c r="J96" s="98">
        <f t="shared" si="4"/>
        <v>1625000.0000000035</v>
      </c>
    </row>
    <row r="97" spans="2:10" outlineLevel="1">
      <c r="B97" s="97">
        <v>42855</v>
      </c>
      <c r="C97" s="109"/>
      <c r="D97" s="109"/>
      <c r="E97" s="135">
        <f t="shared" si="9"/>
        <v>5000000</v>
      </c>
      <c r="F97" s="135"/>
      <c r="G97" s="135">
        <f t="shared" si="7"/>
        <v>41666.666666666664</v>
      </c>
      <c r="H97" s="145">
        <f t="shared" si="6"/>
        <v>-3666666.6666666623</v>
      </c>
      <c r="I97" s="135">
        <f t="shared" si="8"/>
        <v>1333333.3333333377</v>
      </c>
      <c r="J97" s="98">
        <f t="shared" si="4"/>
        <v>1583333.3333333367</v>
      </c>
    </row>
    <row r="98" spans="2:10" outlineLevel="1">
      <c r="B98" s="97">
        <v>42886</v>
      </c>
      <c r="C98" s="109"/>
      <c r="D98" s="109"/>
      <c r="E98" s="135">
        <f t="shared" si="9"/>
        <v>5000000</v>
      </c>
      <c r="F98" s="135"/>
      <c r="G98" s="135">
        <f t="shared" si="7"/>
        <v>41666.666666666664</v>
      </c>
      <c r="H98" s="145">
        <f t="shared" si="6"/>
        <v>-3708333.3333333288</v>
      </c>
      <c r="I98" s="135">
        <f t="shared" si="8"/>
        <v>1291666.6666666712</v>
      </c>
      <c r="J98" s="98">
        <f t="shared" si="4"/>
        <v>1541666.6666666705</v>
      </c>
    </row>
    <row r="99" spans="2:10" outlineLevel="1">
      <c r="B99" s="97">
        <v>42916</v>
      </c>
      <c r="C99" s="109"/>
      <c r="D99" s="109"/>
      <c r="E99" s="135">
        <f t="shared" si="9"/>
        <v>5000000</v>
      </c>
      <c r="F99" s="135"/>
      <c r="G99" s="135">
        <f t="shared" si="7"/>
        <v>41666.666666666664</v>
      </c>
      <c r="H99" s="145">
        <f t="shared" si="6"/>
        <v>-3749999.9999999953</v>
      </c>
      <c r="I99" s="135">
        <f t="shared" si="8"/>
        <v>1250000.0000000047</v>
      </c>
      <c r="J99" s="98">
        <f t="shared" ref="J99:J141" si="10">(I87+I99+SUM(I88:I98)*2)/24</f>
        <v>1500000.0000000037</v>
      </c>
    </row>
    <row r="100" spans="2:10" outlineLevel="1">
      <c r="B100" s="97">
        <v>42947</v>
      </c>
      <c r="C100" s="109"/>
      <c r="D100" s="109"/>
      <c r="E100" s="135">
        <f t="shared" si="9"/>
        <v>5000000</v>
      </c>
      <c r="F100" s="135"/>
      <c r="G100" s="135">
        <f t="shared" si="7"/>
        <v>41666.666666666664</v>
      </c>
      <c r="H100" s="145">
        <f t="shared" si="6"/>
        <v>-3791666.6666666619</v>
      </c>
      <c r="I100" s="135">
        <f t="shared" si="8"/>
        <v>1208333.3333333381</v>
      </c>
      <c r="J100" s="98">
        <f t="shared" si="10"/>
        <v>1458333.333333337</v>
      </c>
    </row>
    <row r="101" spans="2:10" outlineLevel="1">
      <c r="B101" s="97">
        <v>42978</v>
      </c>
      <c r="C101" s="109"/>
      <c r="D101" s="109"/>
      <c r="E101" s="135">
        <f t="shared" si="9"/>
        <v>5000000</v>
      </c>
      <c r="F101" s="135"/>
      <c r="G101" s="135">
        <f t="shared" si="7"/>
        <v>41666.666666666664</v>
      </c>
      <c r="H101" s="145">
        <f t="shared" si="6"/>
        <v>-3833333.3333333284</v>
      </c>
      <c r="I101" s="135">
        <f t="shared" si="8"/>
        <v>1166666.6666666716</v>
      </c>
      <c r="J101" s="98">
        <f t="shared" si="10"/>
        <v>1416666.6666666707</v>
      </c>
    </row>
    <row r="102" spans="2:10" outlineLevel="1">
      <c r="B102" s="97">
        <v>43008</v>
      </c>
      <c r="C102" s="109"/>
      <c r="D102" s="109"/>
      <c r="E102" s="135">
        <f t="shared" si="9"/>
        <v>5000000</v>
      </c>
      <c r="F102" s="135"/>
      <c r="G102" s="135">
        <f t="shared" si="7"/>
        <v>41666.666666666664</v>
      </c>
      <c r="H102" s="145">
        <f t="shared" si="6"/>
        <v>-3874999.9999999949</v>
      </c>
      <c r="I102" s="135">
        <f t="shared" si="8"/>
        <v>1125000.0000000051</v>
      </c>
      <c r="J102" s="98">
        <f t="shared" si="10"/>
        <v>1375000.0000000042</v>
      </c>
    </row>
    <row r="103" spans="2:10" outlineLevel="1">
      <c r="B103" s="97">
        <v>43039</v>
      </c>
      <c r="C103" s="109"/>
      <c r="D103" s="109"/>
      <c r="E103" s="135">
        <f t="shared" si="9"/>
        <v>5000000</v>
      </c>
      <c r="F103" s="135"/>
      <c r="G103" s="135">
        <f t="shared" si="7"/>
        <v>41666.666666666664</v>
      </c>
      <c r="H103" s="145">
        <f t="shared" si="6"/>
        <v>-3916666.6666666614</v>
      </c>
      <c r="I103" s="135">
        <f t="shared" si="8"/>
        <v>1083333.3333333386</v>
      </c>
      <c r="J103" s="98">
        <f t="shared" si="10"/>
        <v>1333333.3333333379</v>
      </c>
    </row>
    <row r="104" spans="2:10" outlineLevel="1">
      <c r="B104" s="97">
        <v>43069</v>
      </c>
      <c r="C104" s="109"/>
      <c r="D104" s="109"/>
      <c r="E104" s="135">
        <f t="shared" si="9"/>
        <v>5000000</v>
      </c>
      <c r="F104" s="135"/>
      <c r="G104" s="135">
        <f t="shared" si="7"/>
        <v>41666.666666666664</v>
      </c>
      <c r="H104" s="145">
        <f t="shared" ref="H104:H128" si="11">H103-G104-F104</f>
        <v>-3958333.3333333279</v>
      </c>
      <c r="I104" s="135">
        <f t="shared" si="8"/>
        <v>1041666.6666666721</v>
      </c>
      <c r="J104" s="98">
        <f t="shared" si="10"/>
        <v>1291666.6666666714</v>
      </c>
    </row>
    <row r="105" spans="2:10" outlineLevel="1">
      <c r="B105" s="106">
        <v>43100</v>
      </c>
      <c r="C105" s="109"/>
      <c r="D105" s="109"/>
      <c r="E105" s="135">
        <f t="shared" si="9"/>
        <v>5000000</v>
      </c>
      <c r="F105" s="135"/>
      <c r="G105" s="135">
        <f t="shared" si="7"/>
        <v>41666.666666666664</v>
      </c>
      <c r="H105" s="145">
        <f t="shared" si="11"/>
        <v>-3999999.9999999944</v>
      </c>
      <c r="I105" s="135">
        <f t="shared" si="8"/>
        <v>1000000.0000000056</v>
      </c>
      <c r="J105" s="98">
        <f t="shared" si="10"/>
        <v>1250000.0000000047</v>
      </c>
    </row>
    <row r="106" spans="2:10" outlineLevel="1">
      <c r="B106" s="97">
        <v>43131</v>
      </c>
      <c r="C106" s="109"/>
      <c r="D106" s="109"/>
      <c r="E106" s="135">
        <f t="shared" si="9"/>
        <v>5000000</v>
      </c>
      <c r="F106" s="135"/>
      <c r="G106" s="135">
        <f t="shared" si="7"/>
        <v>41666.666666666664</v>
      </c>
      <c r="H106" s="145">
        <f t="shared" si="11"/>
        <v>-4041666.6666666609</v>
      </c>
      <c r="I106" s="135">
        <f t="shared" si="8"/>
        <v>958333.33333333908</v>
      </c>
      <c r="J106" s="98">
        <f t="shared" si="10"/>
        <v>1208333.3333333379</v>
      </c>
    </row>
    <row r="107" spans="2:10" outlineLevel="1">
      <c r="B107" s="97">
        <v>43159</v>
      </c>
      <c r="C107" s="109"/>
      <c r="D107" s="109"/>
      <c r="E107" s="135">
        <f t="shared" si="9"/>
        <v>5000000</v>
      </c>
      <c r="F107" s="135"/>
      <c r="G107" s="135">
        <f t="shared" si="7"/>
        <v>41666.666666666664</v>
      </c>
      <c r="H107" s="145">
        <f t="shared" si="11"/>
        <v>-4083333.3333333274</v>
      </c>
      <c r="I107" s="135">
        <f t="shared" si="8"/>
        <v>916666.66666667257</v>
      </c>
      <c r="J107" s="98">
        <f t="shared" si="10"/>
        <v>1166666.6666666719</v>
      </c>
    </row>
    <row r="108" spans="2:10" outlineLevel="1">
      <c r="B108" s="97">
        <v>43190</v>
      </c>
      <c r="C108" s="109"/>
      <c r="D108" s="109"/>
      <c r="E108" s="135">
        <f t="shared" si="9"/>
        <v>5000000</v>
      </c>
      <c r="F108" s="135"/>
      <c r="G108" s="135">
        <f t="shared" si="7"/>
        <v>41666.666666666664</v>
      </c>
      <c r="H108" s="145">
        <f t="shared" si="11"/>
        <v>-4124999.9999999939</v>
      </c>
      <c r="I108" s="135">
        <f t="shared" si="8"/>
        <v>875000.00000000605</v>
      </c>
      <c r="J108" s="98">
        <f t="shared" si="10"/>
        <v>1125000.0000000051</v>
      </c>
    </row>
    <row r="109" spans="2:10" outlineLevel="1">
      <c r="B109" s="97">
        <v>43220</v>
      </c>
      <c r="E109" s="135">
        <f t="shared" si="9"/>
        <v>5000000</v>
      </c>
      <c r="F109" s="135"/>
      <c r="G109" s="135">
        <f t="shared" si="7"/>
        <v>41666.666666666664</v>
      </c>
      <c r="H109" s="145">
        <f t="shared" si="11"/>
        <v>-4166666.6666666605</v>
      </c>
      <c r="I109" s="135">
        <f t="shared" si="8"/>
        <v>833333.33333333954</v>
      </c>
      <c r="J109" s="98">
        <f t="shared" si="10"/>
        <v>1083333.3333333386</v>
      </c>
    </row>
    <row r="110" spans="2:10" outlineLevel="1">
      <c r="B110" s="97">
        <v>43251</v>
      </c>
      <c r="E110" s="135">
        <f t="shared" si="9"/>
        <v>5000000</v>
      </c>
      <c r="F110" s="135"/>
      <c r="G110" s="135">
        <f t="shared" si="7"/>
        <v>41666.666666666664</v>
      </c>
      <c r="H110" s="145">
        <f t="shared" si="11"/>
        <v>-4208333.3333333274</v>
      </c>
      <c r="I110" s="135">
        <f t="shared" si="8"/>
        <v>791666.66666667257</v>
      </c>
      <c r="J110" s="98">
        <f t="shared" si="10"/>
        <v>1041666.6666666721</v>
      </c>
    </row>
    <row r="111" spans="2:10" outlineLevel="1">
      <c r="B111" s="1203">
        <v>43281</v>
      </c>
      <c r="C111" s="1212"/>
      <c r="D111" s="1212"/>
      <c r="E111" s="1211">
        <f t="shared" si="9"/>
        <v>5000000</v>
      </c>
      <c r="F111" s="1211"/>
      <c r="G111" s="1211">
        <f t="shared" si="7"/>
        <v>41666.666666666664</v>
      </c>
      <c r="H111" s="1213">
        <f t="shared" si="11"/>
        <v>-4249999.9999999944</v>
      </c>
      <c r="I111" s="1211">
        <f t="shared" si="8"/>
        <v>750000.00000000559</v>
      </c>
      <c r="J111" s="1185">
        <f t="shared" si="10"/>
        <v>1000000.0000000057</v>
      </c>
    </row>
    <row r="112" spans="2:10" outlineLevel="1">
      <c r="B112" s="97">
        <v>43312</v>
      </c>
      <c r="E112" s="135">
        <f t="shared" si="9"/>
        <v>5000000</v>
      </c>
      <c r="F112" s="135"/>
      <c r="G112" s="135">
        <f t="shared" si="7"/>
        <v>41666.666666666664</v>
      </c>
      <c r="H112" s="145">
        <f t="shared" si="11"/>
        <v>-4291666.6666666614</v>
      </c>
      <c r="I112" s="135">
        <f t="shared" si="8"/>
        <v>708333.33333333861</v>
      </c>
      <c r="J112" s="98">
        <f t="shared" si="10"/>
        <v>958333.33333333896</v>
      </c>
    </row>
    <row r="113" spans="2:10" outlineLevel="1">
      <c r="B113" s="97">
        <v>43343</v>
      </c>
      <c r="E113" s="135">
        <f t="shared" si="9"/>
        <v>5000000</v>
      </c>
      <c r="F113" s="135"/>
      <c r="G113" s="135">
        <f t="shared" si="7"/>
        <v>41666.666666666664</v>
      </c>
      <c r="H113" s="145">
        <f t="shared" si="11"/>
        <v>-4333333.3333333284</v>
      </c>
      <c r="I113" s="135">
        <f t="shared" si="8"/>
        <v>666666.66666667163</v>
      </c>
      <c r="J113" s="98">
        <f t="shared" si="10"/>
        <v>916666.66666667222</v>
      </c>
    </row>
    <row r="114" spans="2:10" outlineLevel="1">
      <c r="B114" s="97">
        <v>43373</v>
      </c>
      <c r="E114" s="135">
        <f t="shared" si="9"/>
        <v>5000000</v>
      </c>
      <c r="F114" s="135"/>
      <c r="G114" s="135">
        <f t="shared" si="7"/>
        <v>41666.666666666664</v>
      </c>
      <c r="H114" s="145">
        <f t="shared" si="11"/>
        <v>-4374999.9999999953</v>
      </c>
      <c r="I114" s="135">
        <f t="shared" si="8"/>
        <v>625000.00000000466</v>
      </c>
      <c r="J114" s="98">
        <f t="shared" si="10"/>
        <v>875000.00000000559</v>
      </c>
    </row>
    <row r="115" spans="2:10" outlineLevel="1">
      <c r="B115" s="97">
        <v>43404</v>
      </c>
      <c r="E115" s="135">
        <f t="shared" si="9"/>
        <v>5000000</v>
      </c>
      <c r="F115" s="135"/>
      <c r="G115" s="135">
        <f t="shared" si="7"/>
        <v>41666.666666666664</v>
      </c>
      <c r="H115" s="145">
        <f t="shared" si="11"/>
        <v>-4416666.6666666623</v>
      </c>
      <c r="I115" s="135">
        <f t="shared" si="8"/>
        <v>583333.33333333768</v>
      </c>
      <c r="J115" s="98">
        <f t="shared" si="10"/>
        <v>833333.33333333873</v>
      </c>
    </row>
    <row r="116" spans="2:10" outlineLevel="1">
      <c r="B116" s="97">
        <v>43434</v>
      </c>
      <c r="E116" s="135">
        <f t="shared" si="9"/>
        <v>5000000</v>
      </c>
      <c r="F116" s="135"/>
      <c r="G116" s="135">
        <f t="shared" si="7"/>
        <v>41666.666666666664</v>
      </c>
      <c r="H116" s="145">
        <f t="shared" si="11"/>
        <v>-4458333.3333333293</v>
      </c>
      <c r="I116" s="135">
        <f t="shared" si="8"/>
        <v>541666.6666666707</v>
      </c>
      <c r="J116" s="98">
        <f t="shared" si="10"/>
        <v>791666.6666666721</v>
      </c>
    </row>
    <row r="117" spans="2:10" outlineLevel="1">
      <c r="B117" s="1214">
        <v>43465</v>
      </c>
      <c r="C117" s="1212"/>
      <c r="D117" s="1212"/>
      <c r="E117" s="1211">
        <f t="shared" si="9"/>
        <v>5000000</v>
      </c>
      <c r="F117" s="1211"/>
      <c r="G117" s="1211">
        <f t="shared" si="7"/>
        <v>41666.666666666664</v>
      </c>
      <c r="H117" s="1213">
        <f t="shared" si="11"/>
        <v>-4499999.9999999963</v>
      </c>
      <c r="I117" s="1211">
        <f t="shared" si="8"/>
        <v>500000.00000000373</v>
      </c>
      <c r="J117" s="1185">
        <f t="shared" si="10"/>
        <v>750000.00000000524</v>
      </c>
    </row>
    <row r="118" spans="2:10" outlineLevel="1">
      <c r="B118" s="97">
        <v>43496</v>
      </c>
      <c r="E118" s="135">
        <f t="shared" si="9"/>
        <v>5000000</v>
      </c>
      <c r="F118" s="135"/>
      <c r="G118" s="135">
        <f t="shared" si="7"/>
        <v>41666.666666666664</v>
      </c>
      <c r="H118" s="145">
        <f t="shared" si="11"/>
        <v>-4541666.6666666633</v>
      </c>
      <c r="I118" s="135">
        <f t="shared" si="8"/>
        <v>458333.33333333675</v>
      </c>
      <c r="J118" s="98">
        <f t="shared" si="10"/>
        <v>708333.33333333849</v>
      </c>
    </row>
    <row r="119" spans="2:10" outlineLevel="1">
      <c r="B119" s="97">
        <v>43524</v>
      </c>
      <c r="E119" s="135">
        <f t="shared" si="9"/>
        <v>5000000</v>
      </c>
      <c r="F119" s="135"/>
      <c r="G119" s="135">
        <f t="shared" si="7"/>
        <v>41666.666666666664</v>
      </c>
      <c r="H119" s="145">
        <f t="shared" si="11"/>
        <v>-4583333.3333333302</v>
      </c>
      <c r="I119" s="135">
        <f t="shared" si="8"/>
        <v>416666.66666666977</v>
      </c>
      <c r="J119" s="98">
        <f t="shared" si="10"/>
        <v>666666.66666667152</v>
      </c>
    </row>
    <row r="120" spans="2:10" outlineLevel="1">
      <c r="B120" s="97">
        <v>43555</v>
      </c>
      <c r="E120" s="135">
        <f t="shared" si="9"/>
        <v>5000000</v>
      </c>
      <c r="F120" s="135"/>
      <c r="G120" s="135">
        <f t="shared" si="7"/>
        <v>41666.666666666664</v>
      </c>
      <c r="H120" s="145">
        <f t="shared" si="11"/>
        <v>-4624999.9999999972</v>
      </c>
      <c r="I120" s="135">
        <f t="shared" si="8"/>
        <v>375000.00000000279</v>
      </c>
      <c r="J120" s="98">
        <f t="shared" si="10"/>
        <v>625000.00000000466</v>
      </c>
    </row>
    <row r="121" spans="2:10" outlineLevel="1">
      <c r="B121" s="97">
        <v>43585</v>
      </c>
      <c r="E121" s="135">
        <f t="shared" si="9"/>
        <v>5000000</v>
      </c>
      <c r="F121" s="135"/>
      <c r="G121" s="135">
        <f t="shared" si="7"/>
        <v>41666.666666666664</v>
      </c>
      <c r="H121" s="145">
        <f t="shared" si="11"/>
        <v>-4666666.6666666642</v>
      </c>
      <c r="I121" s="135">
        <f t="shared" si="8"/>
        <v>333333.33333333582</v>
      </c>
      <c r="J121" s="98">
        <f t="shared" si="10"/>
        <v>583333.33333333768</v>
      </c>
    </row>
    <row r="122" spans="2:10" outlineLevel="1">
      <c r="B122" s="97">
        <v>43616</v>
      </c>
      <c r="E122" s="135">
        <f t="shared" si="9"/>
        <v>5000000</v>
      </c>
      <c r="F122" s="135"/>
      <c r="G122" s="135">
        <f t="shared" si="7"/>
        <v>41666.666666666664</v>
      </c>
      <c r="H122" s="145">
        <f t="shared" si="11"/>
        <v>-4708333.3333333312</v>
      </c>
      <c r="I122" s="135">
        <f t="shared" si="8"/>
        <v>291666.66666666884</v>
      </c>
      <c r="J122" s="98">
        <f t="shared" si="10"/>
        <v>541666.6666666707</v>
      </c>
    </row>
    <row r="123" spans="2:10" outlineLevel="1">
      <c r="B123" s="97">
        <v>43646</v>
      </c>
      <c r="E123" s="135">
        <f t="shared" si="9"/>
        <v>5000000</v>
      </c>
      <c r="F123" s="135"/>
      <c r="G123" s="135">
        <f t="shared" si="7"/>
        <v>41666.666666666664</v>
      </c>
      <c r="H123" s="145">
        <f t="shared" si="11"/>
        <v>-4749999.9999999981</v>
      </c>
      <c r="I123" s="135">
        <f t="shared" si="8"/>
        <v>250000.00000000186</v>
      </c>
      <c r="J123" s="98">
        <f t="shared" si="10"/>
        <v>500000.00000000373</v>
      </c>
    </row>
    <row r="124" spans="2:10" outlineLevel="1">
      <c r="B124" s="97">
        <v>43677</v>
      </c>
      <c r="E124" s="135">
        <f t="shared" si="9"/>
        <v>5000000</v>
      </c>
      <c r="F124" s="135"/>
      <c r="G124" s="135">
        <f t="shared" si="7"/>
        <v>41666.666666666664</v>
      </c>
      <c r="H124" s="145">
        <f t="shared" si="11"/>
        <v>-4791666.6666666651</v>
      </c>
      <c r="I124" s="135">
        <f t="shared" si="8"/>
        <v>208333.33333333489</v>
      </c>
      <c r="J124" s="98">
        <f t="shared" si="10"/>
        <v>458333.33333333675</v>
      </c>
    </row>
    <row r="125" spans="2:10" outlineLevel="1">
      <c r="B125" s="97">
        <v>43708</v>
      </c>
      <c r="E125" s="135">
        <f t="shared" si="9"/>
        <v>5000000</v>
      </c>
      <c r="F125" s="135"/>
      <c r="G125" s="135">
        <f t="shared" si="7"/>
        <v>41666.666666666664</v>
      </c>
      <c r="H125" s="145">
        <f t="shared" si="11"/>
        <v>-4833333.3333333321</v>
      </c>
      <c r="I125" s="135">
        <f t="shared" si="8"/>
        <v>166666.66666666791</v>
      </c>
      <c r="J125" s="98">
        <f t="shared" si="10"/>
        <v>416666.66666666977</v>
      </c>
    </row>
    <row r="126" spans="2:10" outlineLevel="1">
      <c r="B126" s="97">
        <v>43738</v>
      </c>
      <c r="E126" s="135">
        <f t="shared" si="9"/>
        <v>5000000</v>
      </c>
      <c r="F126" s="135"/>
      <c r="G126" s="135">
        <f t="shared" si="7"/>
        <v>41666.666666666664</v>
      </c>
      <c r="H126" s="145">
        <f t="shared" si="11"/>
        <v>-4874999.9999999991</v>
      </c>
      <c r="I126" s="135">
        <f t="shared" si="8"/>
        <v>125000.00000000093</v>
      </c>
      <c r="J126" s="98">
        <f t="shared" si="10"/>
        <v>375000.00000000279</v>
      </c>
    </row>
    <row r="127" spans="2:10" outlineLevel="1">
      <c r="B127" s="97">
        <v>43769</v>
      </c>
      <c r="E127" s="135">
        <f t="shared" si="9"/>
        <v>5000000</v>
      </c>
      <c r="F127" s="135"/>
      <c r="G127" s="135">
        <f t="shared" si="7"/>
        <v>41666.666666666664</v>
      </c>
      <c r="H127" s="145">
        <f t="shared" si="11"/>
        <v>-4916666.666666666</v>
      </c>
      <c r="I127" s="135">
        <f>E127+H127</f>
        <v>83333.333333333954</v>
      </c>
      <c r="J127" s="98">
        <f t="shared" si="10"/>
        <v>333333.33333333582</v>
      </c>
    </row>
    <row r="128" spans="2:10" outlineLevel="1">
      <c r="B128" s="97">
        <v>43799</v>
      </c>
      <c r="E128" s="135">
        <f t="shared" si="9"/>
        <v>5000000</v>
      </c>
      <c r="F128" s="135"/>
      <c r="G128" s="135">
        <f t="shared" si="7"/>
        <v>41666.666666666664</v>
      </c>
      <c r="H128" s="145">
        <f t="shared" si="11"/>
        <v>-4958333.333333333</v>
      </c>
      <c r="I128" s="135">
        <f>E128+H128</f>
        <v>41666.666666666977</v>
      </c>
      <c r="J128" s="98">
        <f t="shared" si="10"/>
        <v>291666.66666666884</v>
      </c>
    </row>
    <row r="129" spans="2:10" outlineLevel="1">
      <c r="B129" s="106">
        <v>43830</v>
      </c>
      <c r="E129" s="135">
        <f t="shared" si="9"/>
        <v>5000000</v>
      </c>
      <c r="F129" s="135"/>
      <c r="G129" s="135">
        <f>I128</f>
        <v>41666.666666666977</v>
      </c>
      <c r="H129" s="145">
        <f>H128-G129-F129</f>
        <v>-5000000</v>
      </c>
      <c r="I129" s="135">
        <f>E129+H129</f>
        <v>0</v>
      </c>
      <c r="J129" s="98">
        <f t="shared" si="10"/>
        <v>250000.00000000186</v>
      </c>
    </row>
    <row r="130" spans="2:10" outlineLevel="1">
      <c r="B130" s="97">
        <v>43861</v>
      </c>
      <c r="E130" s="135">
        <f t="shared" si="9"/>
        <v>5000000</v>
      </c>
      <c r="F130" s="135"/>
      <c r="G130" s="135"/>
      <c r="H130" s="102"/>
      <c r="I130" s="135"/>
      <c r="J130" s="98">
        <f t="shared" si="10"/>
        <v>210069.44444444601</v>
      </c>
    </row>
    <row r="131" spans="2:10" outlineLevel="1">
      <c r="B131" s="97">
        <v>43889</v>
      </c>
      <c r="E131" s="135">
        <f t="shared" si="9"/>
        <v>5000000</v>
      </c>
      <c r="F131" s="135"/>
      <c r="G131" s="135"/>
      <c r="H131" s="102"/>
      <c r="I131" s="135"/>
      <c r="J131" s="98">
        <f t="shared" si="10"/>
        <v>173611.1111111124</v>
      </c>
    </row>
    <row r="132" spans="2:10" outlineLevel="1">
      <c r="B132" s="97">
        <v>43921</v>
      </c>
      <c r="E132" s="135">
        <f t="shared" si="9"/>
        <v>5000000</v>
      </c>
      <c r="F132" s="135"/>
      <c r="G132" s="135"/>
      <c r="H132" s="102"/>
      <c r="I132" s="135"/>
      <c r="J132" s="98">
        <f t="shared" si="10"/>
        <v>140625.00000000105</v>
      </c>
    </row>
    <row r="133" spans="2:10" outlineLevel="1">
      <c r="B133" s="97">
        <v>43951</v>
      </c>
      <c r="E133" s="135">
        <f t="shared" si="9"/>
        <v>5000000</v>
      </c>
      <c r="F133" s="135"/>
      <c r="G133" s="135"/>
      <c r="H133" s="102"/>
      <c r="I133" s="102"/>
      <c r="J133" s="98">
        <f t="shared" si="10"/>
        <v>111111.11111111194</v>
      </c>
    </row>
    <row r="134" spans="2:10" outlineLevel="1">
      <c r="B134" s="97">
        <v>43982</v>
      </c>
      <c r="E134" s="135">
        <f t="shared" si="9"/>
        <v>5000000</v>
      </c>
      <c r="F134" s="135"/>
      <c r="G134" s="135"/>
      <c r="H134" s="102"/>
      <c r="I134" s="102"/>
      <c r="J134" s="98">
        <f t="shared" si="10"/>
        <v>85069.444444445078</v>
      </c>
    </row>
    <row r="135" spans="2:10" outlineLevel="1">
      <c r="B135" s="97">
        <v>44012</v>
      </c>
      <c r="E135" s="135">
        <f t="shared" si="9"/>
        <v>5000000</v>
      </c>
      <c r="F135" s="135"/>
      <c r="G135" s="135"/>
      <c r="H135" s="102"/>
      <c r="I135" s="102"/>
      <c r="J135" s="98">
        <f t="shared" si="10"/>
        <v>62500.000000000466</v>
      </c>
    </row>
    <row r="136" spans="2:10" outlineLevel="1">
      <c r="B136" s="97">
        <v>44043</v>
      </c>
      <c r="E136" s="135">
        <f t="shared" si="9"/>
        <v>5000000</v>
      </c>
      <c r="F136" s="135"/>
      <c r="G136" s="135"/>
      <c r="H136" s="102"/>
      <c r="I136" s="102"/>
      <c r="J136" s="98">
        <f t="shared" si="10"/>
        <v>43402.777777778101</v>
      </c>
    </row>
    <row r="137" spans="2:10" outlineLevel="1">
      <c r="B137" s="97">
        <v>44074</v>
      </c>
      <c r="E137" s="135">
        <f t="shared" si="9"/>
        <v>5000000</v>
      </c>
      <c r="F137" s="135"/>
      <c r="G137" s="135"/>
      <c r="H137" s="102"/>
      <c r="I137" s="102"/>
      <c r="J137" s="98">
        <f t="shared" si="10"/>
        <v>27777.777777777985</v>
      </c>
    </row>
    <row r="138" spans="2:10" outlineLevel="1">
      <c r="B138" s="97">
        <v>44104</v>
      </c>
      <c r="E138" s="135">
        <f t="shared" si="9"/>
        <v>5000000</v>
      </c>
      <c r="F138" s="135"/>
      <c r="G138" s="135"/>
      <c r="H138" s="102"/>
      <c r="I138" s="102"/>
      <c r="J138" s="98">
        <f t="shared" si="10"/>
        <v>15625.000000000116</v>
      </c>
    </row>
    <row r="139" spans="2:10" outlineLevel="1">
      <c r="B139" s="97">
        <v>44135</v>
      </c>
      <c r="E139" s="135">
        <f t="shared" si="9"/>
        <v>5000000</v>
      </c>
      <c r="F139" s="135"/>
      <c r="G139" s="135"/>
      <c r="H139" s="102"/>
      <c r="I139" s="102"/>
      <c r="J139" s="98">
        <f t="shared" si="10"/>
        <v>6944.4444444444962</v>
      </c>
    </row>
    <row r="140" spans="2:10" outlineLevel="1">
      <c r="B140" s="97">
        <v>44165</v>
      </c>
      <c r="E140" s="135">
        <f t="shared" si="9"/>
        <v>5000000</v>
      </c>
      <c r="F140" s="135"/>
      <c r="G140" s="135"/>
      <c r="H140" s="102"/>
      <c r="I140" s="102"/>
      <c r="J140" s="98">
        <f t="shared" si="10"/>
        <v>1736.111111111124</v>
      </c>
    </row>
    <row r="141" spans="2:10" outlineLevel="1">
      <c r="B141" s="106">
        <v>44196</v>
      </c>
      <c r="E141" s="135">
        <f t="shared" si="9"/>
        <v>5000000</v>
      </c>
      <c r="F141" s="135"/>
      <c r="G141" s="135"/>
      <c r="H141" s="102"/>
      <c r="I141" s="102"/>
      <c r="J141" s="98">
        <f t="shared" si="10"/>
        <v>0</v>
      </c>
    </row>
    <row r="142" spans="2:10">
      <c r="B142" s="97"/>
      <c r="E142" s="102"/>
      <c r="F142" s="102"/>
      <c r="G142" s="102"/>
      <c r="H142" s="102"/>
      <c r="I142" s="102"/>
      <c r="J142" s="98"/>
    </row>
    <row r="143" spans="2:10">
      <c r="B143" s="97"/>
      <c r="E143" s="102"/>
      <c r="F143" s="102"/>
      <c r="G143" s="102"/>
      <c r="H143" s="102"/>
      <c r="I143" s="102"/>
      <c r="J143" s="98"/>
    </row>
    <row r="144" spans="2:10">
      <c r="B144" s="97"/>
      <c r="E144" s="102"/>
      <c r="F144" s="102"/>
      <c r="G144" s="102"/>
      <c r="H144" s="102"/>
      <c r="I144" s="102"/>
      <c r="J144" s="98"/>
    </row>
    <row r="145" spans="2:10">
      <c r="B145" s="97"/>
      <c r="E145" s="102"/>
      <c r="F145" s="102"/>
      <c r="G145" s="102"/>
      <c r="H145" s="102"/>
      <c r="I145" s="102"/>
      <c r="J145" s="98"/>
    </row>
    <row r="146" spans="2:10">
      <c r="B146" s="97"/>
      <c r="E146" s="102"/>
      <c r="F146" s="102"/>
      <c r="G146" s="102"/>
      <c r="H146" s="102"/>
      <c r="I146" s="102"/>
      <c r="J146" s="98"/>
    </row>
    <row r="147" spans="2:10">
      <c r="B147" s="97"/>
      <c r="E147" s="102"/>
      <c r="F147" s="102"/>
      <c r="G147" s="102"/>
      <c r="H147" s="102"/>
      <c r="I147" s="102"/>
      <c r="J147" s="98"/>
    </row>
    <row r="148" spans="2:10">
      <c r="B148" s="97"/>
      <c r="E148" s="102"/>
      <c r="F148" s="102"/>
      <c r="G148" s="102"/>
      <c r="H148" s="102"/>
      <c r="I148" s="102"/>
      <c r="J148" s="98"/>
    </row>
    <row r="149" spans="2:10">
      <c r="B149" s="97"/>
      <c r="E149" s="102"/>
      <c r="F149" s="102"/>
      <c r="G149" s="102"/>
      <c r="H149" s="102"/>
      <c r="I149" s="102"/>
      <c r="J149" s="98"/>
    </row>
    <row r="150" spans="2:10">
      <c r="B150" s="97"/>
      <c r="E150" s="102"/>
      <c r="F150" s="102"/>
      <c r="G150" s="102"/>
      <c r="H150" s="102"/>
      <c r="I150" s="102"/>
      <c r="J150" s="98"/>
    </row>
    <row r="151" spans="2:10">
      <c r="B151" s="97"/>
      <c r="E151" s="102"/>
      <c r="F151" s="102"/>
      <c r="G151" s="102"/>
      <c r="H151" s="102"/>
      <c r="I151" s="102"/>
      <c r="J151" s="98"/>
    </row>
    <row r="152" spans="2:10">
      <c r="B152" s="97"/>
      <c r="E152" s="102"/>
      <c r="F152" s="102"/>
      <c r="G152" s="102"/>
      <c r="H152" s="102"/>
      <c r="I152" s="102"/>
      <c r="J152" s="98"/>
    </row>
    <row r="153" spans="2:10">
      <c r="B153" s="97"/>
      <c r="E153" s="102"/>
      <c r="F153" s="102"/>
      <c r="G153" s="102"/>
      <c r="H153" s="102"/>
      <c r="I153" s="102"/>
      <c r="J153" s="98"/>
    </row>
    <row r="154" spans="2:10">
      <c r="B154" s="97"/>
      <c r="E154" s="102"/>
      <c r="F154" s="102"/>
      <c r="G154" s="102"/>
      <c r="H154" s="102"/>
      <c r="I154" s="102"/>
      <c r="J154" s="98"/>
    </row>
    <row r="155" spans="2:10">
      <c r="B155" s="97"/>
      <c r="E155" s="102"/>
      <c r="F155" s="102"/>
      <c r="G155" s="102"/>
      <c r="H155" s="102"/>
      <c r="I155" s="102"/>
      <c r="J155" s="98"/>
    </row>
    <row r="156" spans="2:10">
      <c r="B156" s="97"/>
      <c r="E156" s="102"/>
      <c r="F156" s="102"/>
      <c r="G156" s="102"/>
      <c r="H156" s="102"/>
      <c r="I156" s="102"/>
      <c r="J156" s="98"/>
    </row>
    <row r="157" spans="2:10">
      <c r="B157" s="97"/>
      <c r="E157" s="102"/>
      <c r="F157" s="102"/>
      <c r="G157" s="102"/>
      <c r="H157" s="102"/>
      <c r="I157" s="102"/>
      <c r="J157" s="98"/>
    </row>
    <row r="158" spans="2:10">
      <c r="B158" s="97"/>
      <c r="E158" s="102"/>
      <c r="F158" s="102"/>
      <c r="G158" s="102"/>
      <c r="H158" s="102"/>
      <c r="I158" s="102"/>
      <c r="J158" s="98"/>
    </row>
    <row r="159" spans="2:10">
      <c r="B159" s="97"/>
      <c r="E159" s="102"/>
      <c r="F159" s="102"/>
      <c r="G159" s="102"/>
      <c r="H159" s="102"/>
      <c r="I159" s="102"/>
      <c r="J159" s="98"/>
    </row>
    <row r="160" spans="2:10">
      <c r="B160" s="97"/>
      <c r="E160" s="102"/>
      <c r="F160" s="102"/>
      <c r="G160" s="102"/>
      <c r="H160" s="102"/>
      <c r="I160" s="102"/>
      <c r="J160" s="98"/>
    </row>
    <row r="161" spans="2:10">
      <c r="B161" s="97"/>
      <c r="E161" s="102"/>
      <c r="F161" s="102"/>
      <c r="G161" s="102"/>
      <c r="H161" s="102"/>
      <c r="I161" s="102"/>
      <c r="J161" s="98"/>
    </row>
    <row r="162" spans="2:10">
      <c r="B162" s="97"/>
      <c r="E162" s="102"/>
      <c r="F162" s="102"/>
      <c r="G162" s="102"/>
      <c r="H162" s="102"/>
      <c r="I162" s="102"/>
      <c r="J162" s="98"/>
    </row>
    <row r="163" spans="2:10">
      <c r="B163" s="97"/>
      <c r="E163" s="102"/>
      <c r="F163" s="102"/>
      <c r="G163" s="102"/>
      <c r="H163" s="102"/>
      <c r="I163" s="102"/>
      <c r="J163" s="98"/>
    </row>
    <row r="164" spans="2:10">
      <c r="B164" s="97"/>
      <c r="E164" s="102"/>
      <c r="F164" s="102"/>
      <c r="G164" s="102"/>
      <c r="H164" s="102"/>
      <c r="I164" s="102"/>
      <c r="J164" s="98"/>
    </row>
    <row r="165" spans="2:10">
      <c r="B165" s="97"/>
      <c r="E165" s="102"/>
      <c r="F165" s="102"/>
      <c r="G165" s="102"/>
      <c r="H165" s="102"/>
      <c r="I165" s="102"/>
      <c r="J165" s="98"/>
    </row>
    <row r="166" spans="2:10">
      <c r="B166" s="97"/>
      <c r="E166" s="102"/>
      <c r="F166" s="102"/>
      <c r="G166" s="102"/>
      <c r="H166" s="102"/>
      <c r="I166" s="102"/>
      <c r="J166" s="98"/>
    </row>
    <row r="167" spans="2:10">
      <c r="B167" s="97"/>
      <c r="E167" s="102"/>
      <c r="F167" s="102"/>
      <c r="G167" s="102"/>
      <c r="H167" s="102"/>
      <c r="I167" s="102"/>
      <c r="J167" s="98"/>
    </row>
    <row r="168" spans="2:10">
      <c r="B168" s="97"/>
      <c r="E168" s="102"/>
      <c r="F168" s="102"/>
      <c r="G168" s="102"/>
      <c r="H168" s="102"/>
      <c r="I168" s="102"/>
      <c r="J168" s="98"/>
    </row>
    <row r="169" spans="2:10">
      <c r="B169" s="97"/>
      <c r="E169" s="102"/>
      <c r="F169" s="102"/>
      <c r="G169" s="102"/>
      <c r="H169" s="102"/>
      <c r="I169" s="102"/>
      <c r="J169" s="98"/>
    </row>
    <row r="170" spans="2:10">
      <c r="B170" s="97"/>
      <c r="E170" s="102"/>
      <c r="F170" s="102"/>
      <c r="G170" s="102"/>
      <c r="H170" s="102"/>
      <c r="I170" s="102"/>
      <c r="J170" s="98"/>
    </row>
    <row r="171" spans="2:10">
      <c r="B171" s="97"/>
      <c r="E171" s="102"/>
      <c r="F171" s="102"/>
      <c r="G171" s="102"/>
      <c r="H171" s="102"/>
      <c r="I171" s="102"/>
      <c r="J171" s="98"/>
    </row>
    <row r="172" spans="2:10">
      <c r="B172" s="97"/>
      <c r="E172" s="102"/>
      <c r="F172" s="102"/>
      <c r="G172" s="102"/>
      <c r="H172" s="102"/>
      <c r="I172" s="102"/>
      <c r="J172" s="98"/>
    </row>
    <row r="173" spans="2:10">
      <c r="B173" s="97"/>
      <c r="E173" s="102"/>
      <c r="F173" s="102"/>
      <c r="G173" s="102"/>
      <c r="H173" s="102"/>
      <c r="I173" s="102"/>
      <c r="J173" s="98"/>
    </row>
    <row r="174" spans="2:10">
      <c r="B174" s="97"/>
      <c r="E174" s="102"/>
      <c r="F174" s="102"/>
      <c r="G174" s="102"/>
      <c r="H174" s="102"/>
      <c r="I174" s="102"/>
      <c r="J174" s="98"/>
    </row>
    <row r="175" spans="2:10">
      <c r="B175" s="97"/>
      <c r="E175" s="102"/>
      <c r="F175" s="102"/>
      <c r="G175" s="102"/>
      <c r="H175" s="102"/>
      <c r="I175" s="102"/>
      <c r="J175" s="98"/>
    </row>
    <row r="176" spans="2:10">
      <c r="B176" s="97"/>
      <c r="E176" s="102"/>
      <c r="F176" s="102"/>
      <c r="G176" s="102"/>
      <c r="H176" s="102"/>
      <c r="I176" s="102"/>
      <c r="J176" s="98"/>
    </row>
    <row r="177" spans="2:10">
      <c r="B177" s="97"/>
      <c r="E177" s="102"/>
      <c r="F177" s="102"/>
      <c r="G177" s="102"/>
      <c r="H177" s="102"/>
      <c r="I177" s="102"/>
      <c r="J177" s="98"/>
    </row>
    <row r="178" spans="2:10">
      <c r="B178" s="97"/>
      <c r="E178" s="102"/>
      <c r="F178" s="102"/>
      <c r="G178" s="102"/>
      <c r="H178" s="102"/>
      <c r="I178" s="102"/>
      <c r="J178" s="98"/>
    </row>
    <row r="179" spans="2:10">
      <c r="B179" s="97"/>
      <c r="E179" s="102"/>
      <c r="F179" s="102"/>
      <c r="G179" s="102"/>
      <c r="H179" s="102"/>
      <c r="I179" s="102"/>
      <c r="J179" s="98"/>
    </row>
    <row r="180" spans="2:10">
      <c r="B180" s="97"/>
      <c r="E180" s="102"/>
      <c r="F180" s="102"/>
      <c r="G180" s="102"/>
      <c r="H180" s="102"/>
      <c r="I180" s="102"/>
      <c r="J180" s="98"/>
    </row>
    <row r="181" spans="2:10">
      <c r="B181" s="97"/>
      <c r="E181" s="102"/>
      <c r="F181" s="102"/>
      <c r="G181" s="102"/>
      <c r="H181" s="102"/>
      <c r="I181" s="102"/>
      <c r="J181" s="98"/>
    </row>
    <row r="182" spans="2:10">
      <c r="B182" s="97"/>
      <c r="E182" s="102"/>
      <c r="F182" s="102"/>
      <c r="G182" s="102"/>
      <c r="H182" s="102"/>
      <c r="I182" s="102"/>
      <c r="J182" s="98"/>
    </row>
    <row r="183" spans="2:10">
      <c r="B183" s="97"/>
      <c r="E183" s="102"/>
      <c r="F183" s="102"/>
      <c r="G183" s="102"/>
      <c r="H183" s="102"/>
      <c r="I183" s="102"/>
      <c r="J183" s="98"/>
    </row>
    <row r="184" spans="2:10">
      <c r="B184" s="97"/>
      <c r="E184" s="102"/>
      <c r="F184" s="102"/>
      <c r="G184" s="102"/>
      <c r="H184" s="102"/>
      <c r="I184" s="102"/>
      <c r="J184" s="98"/>
    </row>
    <row r="185" spans="2:10">
      <c r="B185" s="97"/>
      <c r="E185" s="102"/>
      <c r="F185" s="102"/>
      <c r="G185" s="102"/>
      <c r="H185" s="102"/>
      <c r="I185" s="102"/>
      <c r="J185" s="98"/>
    </row>
    <row r="186" spans="2:10">
      <c r="B186" s="97"/>
      <c r="E186" s="102"/>
      <c r="F186" s="102"/>
      <c r="G186" s="102"/>
      <c r="H186" s="102"/>
      <c r="I186" s="102"/>
      <c r="J186" s="98"/>
    </row>
    <row r="187" spans="2:10">
      <c r="B187" s="97"/>
      <c r="E187" s="102"/>
      <c r="F187" s="102"/>
      <c r="G187" s="102"/>
      <c r="H187" s="102"/>
      <c r="I187" s="102"/>
      <c r="J187" s="98"/>
    </row>
    <row r="188" spans="2:10">
      <c r="B188" s="97"/>
      <c r="E188" s="102"/>
      <c r="F188" s="102"/>
      <c r="G188" s="102"/>
      <c r="H188" s="102"/>
      <c r="I188" s="102"/>
      <c r="J188" s="98"/>
    </row>
    <row r="189" spans="2:10">
      <c r="B189" s="97"/>
      <c r="E189" s="102"/>
      <c r="F189" s="102"/>
      <c r="G189" s="102"/>
      <c r="H189" s="102"/>
      <c r="I189" s="102"/>
      <c r="J189" s="98"/>
    </row>
    <row r="190" spans="2:10">
      <c r="B190" s="97"/>
      <c r="E190" s="102"/>
      <c r="F190" s="102"/>
      <c r="G190" s="102"/>
      <c r="H190" s="102"/>
      <c r="I190" s="102"/>
      <c r="J190" s="98"/>
    </row>
    <row r="191" spans="2:10">
      <c r="B191" s="97"/>
      <c r="E191" s="102"/>
      <c r="F191" s="102"/>
      <c r="G191" s="102"/>
      <c r="H191" s="102"/>
      <c r="I191" s="102"/>
      <c r="J191" s="98"/>
    </row>
    <row r="192" spans="2:10">
      <c r="B192" s="97"/>
      <c r="E192" s="102"/>
      <c r="F192" s="102"/>
      <c r="G192" s="102"/>
      <c r="H192" s="102"/>
      <c r="I192" s="102"/>
      <c r="J192" s="98"/>
    </row>
    <row r="193" spans="2:10">
      <c r="B193" s="97"/>
      <c r="E193" s="102"/>
      <c r="F193" s="102"/>
      <c r="G193" s="102"/>
      <c r="H193" s="102"/>
      <c r="I193" s="102"/>
      <c r="J193" s="98"/>
    </row>
    <row r="194" spans="2:10">
      <c r="B194" s="97"/>
      <c r="E194" s="102"/>
      <c r="F194" s="102"/>
      <c r="G194" s="102"/>
      <c r="H194" s="102"/>
      <c r="I194" s="102"/>
      <c r="J194" s="98"/>
    </row>
    <row r="195" spans="2:10">
      <c r="B195" s="97"/>
      <c r="E195" s="102"/>
      <c r="F195" s="102"/>
      <c r="G195" s="102"/>
      <c r="H195" s="102"/>
      <c r="I195" s="102"/>
      <c r="J195" s="98"/>
    </row>
    <row r="196" spans="2:10">
      <c r="B196" s="97"/>
      <c r="E196" s="102"/>
      <c r="F196" s="102"/>
      <c r="G196" s="102"/>
      <c r="H196" s="102"/>
      <c r="I196" s="102"/>
      <c r="J196" s="98"/>
    </row>
    <row r="197" spans="2:10">
      <c r="B197" s="97"/>
      <c r="E197" s="102"/>
      <c r="F197" s="102"/>
      <c r="G197" s="102"/>
      <c r="H197" s="102"/>
      <c r="I197" s="102"/>
      <c r="J197" s="98"/>
    </row>
    <row r="198" spans="2:10">
      <c r="B198" s="97"/>
      <c r="E198" s="102"/>
      <c r="F198" s="102"/>
      <c r="G198" s="102"/>
      <c r="H198" s="102"/>
      <c r="I198" s="102"/>
      <c r="J198" s="98"/>
    </row>
    <row r="199" spans="2:10">
      <c r="B199" s="97"/>
      <c r="E199" s="102"/>
      <c r="F199" s="102"/>
      <c r="G199" s="102"/>
      <c r="H199" s="102"/>
      <c r="I199" s="102"/>
      <c r="J199" s="98"/>
    </row>
    <row r="200" spans="2:10">
      <c r="B200" s="97"/>
      <c r="E200" s="102"/>
      <c r="F200" s="102"/>
      <c r="G200" s="102"/>
      <c r="H200" s="102"/>
      <c r="I200" s="102"/>
      <c r="J200" s="98"/>
    </row>
    <row r="201" spans="2:10">
      <c r="B201" s="97"/>
      <c r="E201" s="102"/>
      <c r="F201" s="102"/>
      <c r="G201" s="102"/>
      <c r="H201" s="102"/>
      <c r="I201" s="102"/>
      <c r="J201" s="98"/>
    </row>
    <row r="202" spans="2:10">
      <c r="B202" s="97"/>
      <c r="E202" s="102"/>
      <c r="F202" s="102"/>
      <c r="G202" s="102"/>
      <c r="H202" s="102"/>
      <c r="I202" s="102"/>
      <c r="J202" s="98"/>
    </row>
    <row r="203" spans="2:10">
      <c r="B203" s="97"/>
      <c r="E203" s="102"/>
      <c r="F203" s="102"/>
      <c r="G203" s="102"/>
      <c r="H203" s="102"/>
      <c r="I203" s="102"/>
      <c r="J203" s="98"/>
    </row>
    <row r="204" spans="2:10">
      <c r="B204" s="97"/>
      <c r="E204" s="102"/>
      <c r="F204" s="102"/>
      <c r="G204" s="102"/>
      <c r="H204" s="102"/>
      <c r="I204" s="102"/>
      <c r="J204" s="98"/>
    </row>
    <row r="205" spans="2:10">
      <c r="B205" s="97"/>
      <c r="E205" s="102"/>
      <c r="F205" s="102"/>
      <c r="G205" s="102"/>
      <c r="H205" s="102"/>
      <c r="I205" s="102"/>
      <c r="J205" s="98"/>
    </row>
    <row r="206" spans="2:10">
      <c r="B206" s="97"/>
      <c r="E206" s="102"/>
      <c r="F206" s="102"/>
      <c r="G206" s="102"/>
      <c r="H206" s="102"/>
      <c r="I206" s="102"/>
      <c r="J206" s="98"/>
    </row>
    <row r="207" spans="2:10">
      <c r="B207" s="97"/>
      <c r="E207" s="102"/>
      <c r="F207" s="102"/>
      <c r="G207" s="102"/>
      <c r="H207" s="102"/>
      <c r="I207" s="102"/>
      <c r="J207" s="98"/>
    </row>
    <row r="208" spans="2:10">
      <c r="B208" s="97"/>
      <c r="E208" s="102"/>
      <c r="F208" s="102"/>
      <c r="G208" s="102"/>
      <c r="H208" s="102"/>
      <c r="I208" s="102"/>
      <c r="J208" s="98"/>
    </row>
    <row r="209" spans="2:10">
      <c r="B209" s="97"/>
      <c r="E209" s="102"/>
      <c r="F209" s="102"/>
      <c r="G209" s="102"/>
      <c r="H209" s="102"/>
      <c r="I209" s="102"/>
      <c r="J209" s="98"/>
    </row>
    <row r="210" spans="2:10">
      <c r="B210" s="97"/>
      <c r="E210" s="102"/>
      <c r="F210" s="102"/>
      <c r="G210" s="102"/>
      <c r="H210" s="102"/>
      <c r="I210" s="102"/>
      <c r="J210" s="98"/>
    </row>
    <row r="211" spans="2:10">
      <c r="B211" s="97"/>
      <c r="E211" s="102"/>
      <c r="F211" s="102"/>
      <c r="G211" s="102"/>
      <c r="H211" s="102"/>
      <c r="I211" s="102"/>
      <c r="J211" s="98"/>
    </row>
    <row r="212" spans="2:10">
      <c r="B212" s="97"/>
      <c r="E212" s="102"/>
      <c r="F212" s="102"/>
      <c r="G212" s="102"/>
      <c r="H212" s="102"/>
      <c r="I212" s="102"/>
      <c r="J212" s="98"/>
    </row>
    <row r="213" spans="2:10">
      <c r="B213" s="97"/>
      <c r="E213" s="102"/>
      <c r="F213" s="102"/>
      <c r="G213" s="102"/>
      <c r="H213" s="102"/>
      <c r="I213" s="102"/>
      <c r="J213" s="98"/>
    </row>
    <row r="214" spans="2:10">
      <c r="B214" s="97"/>
      <c r="E214" s="102"/>
      <c r="F214" s="102"/>
      <c r="G214" s="102"/>
      <c r="H214" s="102"/>
      <c r="I214" s="102"/>
      <c r="J214" s="98"/>
    </row>
    <row r="215" spans="2:10">
      <c r="B215" s="97"/>
      <c r="E215" s="102"/>
      <c r="F215" s="102"/>
      <c r="G215" s="102"/>
      <c r="H215" s="102"/>
      <c r="I215" s="102"/>
      <c r="J215" s="98"/>
    </row>
    <row r="216" spans="2:10">
      <c r="B216" s="97"/>
      <c r="E216" s="102"/>
      <c r="F216" s="102"/>
      <c r="G216" s="102"/>
      <c r="H216" s="102"/>
      <c r="I216" s="102"/>
      <c r="J216" s="98"/>
    </row>
    <row r="217" spans="2:10">
      <c r="B217" s="97"/>
      <c r="E217" s="102"/>
      <c r="F217" s="102"/>
      <c r="G217" s="102"/>
      <c r="H217" s="102"/>
      <c r="I217" s="102"/>
      <c r="J217" s="98"/>
    </row>
    <row r="218" spans="2:10">
      <c r="B218" s="97"/>
      <c r="E218" s="102"/>
      <c r="F218" s="102"/>
      <c r="G218" s="102"/>
      <c r="H218" s="102"/>
      <c r="I218" s="102"/>
      <c r="J218" s="98"/>
    </row>
    <row r="219" spans="2:10">
      <c r="B219" s="97"/>
      <c r="E219" s="102"/>
      <c r="F219" s="102"/>
      <c r="G219" s="102"/>
      <c r="H219" s="102"/>
      <c r="I219" s="102"/>
      <c r="J219" s="98"/>
    </row>
    <row r="220" spans="2:10">
      <c r="B220" s="97"/>
      <c r="E220" s="102"/>
      <c r="F220" s="102"/>
      <c r="G220" s="102"/>
      <c r="H220" s="102"/>
      <c r="I220" s="102"/>
      <c r="J220" s="98"/>
    </row>
    <row r="221" spans="2:10">
      <c r="B221" s="97"/>
      <c r="E221" s="102"/>
      <c r="F221" s="102"/>
      <c r="G221" s="102"/>
      <c r="H221" s="102"/>
      <c r="I221" s="102"/>
      <c r="J221" s="98"/>
    </row>
    <row r="222" spans="2:10">
      <c r="B222" s="97"/>
      <c r="E222" s="102"/>
      <c r="F222" s="102"/>
      <c r="G222" s="102"/>
      <c r="H222" s="102"/>
      <c r="I222" s="102"/>
      <c r="J222" s="98"/>
    </row>
    <row r="223" spans="2:10">
      <c r="B223" s="97"/>
      <c r="E223" s="102"/>
      <c r="F223" s="102"/>
      <c r="G223" s="102"/>
      <c r="H223" s="102"/>
      <c r="I223" s="102"/>
      <c r="J223" s="98"/>
    </row>
    <row r="224" spans="2:10">
      <c r="B224" s="97"/>
      <c r="E224" s="102"/>
      <c r="F224" s="102"/>
      <c r="G224" s="102"/>
      <c r="H224" s="102"/>
      <c r="I224" s="102"/>
      <c r="J224" s="98"/>
    </row>
    <row r="225" spans="2:10">
      <c r="B225" s="97"/>
      <c r="E225" s="102"/>
      <c r="F225" s="102"/>
      <c r="G225" s="102"/>
      <c r="H225" s="102"/>
      <c r="I225" s="102"/>
      <c r="J225" s="98"/>
    </row>
    <row r="226" spans="2:10">
      <c r="B226" s="97"/>
      <c r="E226" s="102"/>
      <c r="F226" s="102"/>
      <c r="G226" s="102"/>
      <c r="H226" s="102"/>
      <c r="I226" s="102"/>
      <c r="J226" s="98"/>
    </row>
    <row r="227" spans="2:10">
      <c r="B227" s="97"/>
      <c r="E227" s="102"/>
      <c r="F227" s="102"/>
      <c r="G227" s="102"/>
      <c r="H227" s="102"/>
      <c r="I227" s="102"/>
      <c r="J227" s="98"/>
    </row>
    <row r="228" spans="2:10">
      <c r="B228" s="97"/>
      <c r="E228" s="102"/>
      <c r="F228" s="102"/>
      <c r="G228" s="102"/>
      <c r="H228" s="102"/>
      <c r="I228" s="102"/>
      <c r="J228" s="98"/>
    </row>
    <row r="229" spans="2:10">
      <c r="B229" s="97"/>
      <c r="E229" s="102"/>
      <c r="F229" s="102"/>
      <c r="G229" s="102"/>
      <c r="H229" s="102"/>
      <c r="I229" s="102"/>
      <c r="J229" s="98"/>
    </row>
    <row r="230" spans="2:10">
      <c r="B230" s="97"/>
      <c r="E230" s="102"/>
      <c r="F230" s="102"/>
      <c r="G230" s="102"/>
      <c r="H230" s="102"/>
      <c r="I230" s="102"/>
      <c r="J230" s="98"/>
    </row>
    <row r="231" spans="2:10">
      <c r="B231" s="97"/>
      <c r="E231" s="102"/>
      <c r="F231" s="102"/>
      <c r="G231" s="102"/>
      <c r="H231" s="102"/>
      <c r="I231" s="102"/>
      <c r="J231" s="98"/>
    </row>
    <row r="232" spans="2:10">
      <c r="B232" s="97"/>
      <c r="E232" s="102"/>
      <c r="F232" s="102"/>
      <c r="G232" s="102"/>
      <c r="H232" s="102"/>
      <c r="I232" s="102"/>
      <c r="J232" s="98"/>
    </row>
    <row r="233" spans="2:10">
      <c r="B233" s="97"/>
      <c r="E233" s="102"/>
      <c r="F233" s="102"/>
      <c r="G233" s="102"/>
      <c r="H233" s="102"/>
      <c r="I233" s="102"/>
      <c r="J233" s="98"/>
    </row>
    <row r="234" spans="2:10">
      <c r="B234" s="97"/>
      <c r="E234" s="102"/>
      <c r="F234" s="102"/>
      <c r="G234" s="102"/>
      <c r="H234" s="102"/>
      <c r="I234" s="102"/>
      <c r="J234" s="98"/>
    </row>
    <row r="235" spans="2:10">
      <c r="B235" s="97"/>
      <c r="E235" s="102"/>
      <c r="F235" s="102"/>
      <c r="G235" s="102"/>
      <c r="H235" s="102"/>
      <c r="I235" s="102"/>
      <c r="J235" s="98"/>
    </row>
    <row r="236" spans="2:10">
      <c r="B236" s="97"/>
      <c r="E236" s="102"/>
      <c r="F236" s="102"/>
      <c r="G236" s="102"/>
      <c r="H236" s="102"/>
      <c r="I236" s="102"/>
      <c r="J236" s="98"/>
    </row>
    <row r="237" spans="2:10">
      <c r="B237" s="97"/>
      <c r="E237" s="102"/>
      <c r="F237" s="102"/>
      <c r="G237" s="102"/>
      <c r="H237" s="102"/>
      <c r="I237" s="102"/>
      <c r="J237" s="98"/>
    </row>
    <row r="238" spans="2:10">
      <c r="B238" s="97"/>
      <c r="E238" s="102"/>
      <c r="F238" s="102"/>
      <c r="G238" s="102"/>
      <c r="H238" s="102"/>
      <c r="I238" s="102"/>
      <c r="J238" s="98"/>
    </row>
    <row r="239" spans="2:10">
      <c r="B239" s="97"/>
      <c r="E239" s="102"/>
      <c r="F239" s="102"/>
      <c r="G239" s="102"/>
      <c r="H239" s="102"/>
      <c r="I239" s="102"/>
      <c r="J239" s="98"/>
    </row>
    <row r="240" spans="2:10">
      <c r="B240" s="97"/>
      <c r="E240" s="102"/>
      <c r="F240" s="102"/>
      <c r="G240" s="102"/>
      <c r="H240" s="102"/>
      <c r="I240" s="102"/>
      <c r="J240" s="98"/>
    </row>
    <row r="241" spans="2:10">
      <c r="B241" s="97"/>
      <c r="E241" s="102"/>
      <c r="F241" s="102"/>
      <c r="G241" s="102"/>
      <c r="H241" s="102"/>
      <c r="I241" s="102"/>
      <c r="J241" s="98"/>
    </row>
    <row r="242" spans="2:10">
      <c r="B242" s="97"/>
      <c r="E242" s="102"/>
      <c r="F242" s="102"/>
      <c r="G242" s="102"/>
      <c r="H242" s="102"/>
      <c r="I242" s="102"/>
      <c r="J242" s="98"/>
    </row>
    <row r="243" spans="2:10">
      <c r="B243" s="97"/>
      <c r="E243" s="102"/>
      <c r="F243" s="102"/>
      <c r="G243" s="102"/>
      <c r="H243" s="102"/>
      <c r="I243" s="102"/>
      <c r="J243" s="98"/>
    </row>
    <row r="244" spans="2:10">
      <c r="B244" s="97"/>
      <c r="E244" s="102"/>
      <c r="F244" s="102"/>
      <c r="G244" s="102"/>
      <c r="H244" s="102"/>
      <c r="I244" s="102"/>
      <c r="J244" s="98"/>
    </row>
    <row r="245" spans="2:10">
      <c r="B245" s="97"/>
      <c r="E245" s="102"/>
      <c r="F245" s="102"/>
      <c r="G245" s="102"/>
      <c r="H245" s="102"/>
      <c r="I245" s="102"/>
      <c r="J245" s="98"/>
    </row>
    <row r="246" spans="2:10">
      <c r="B246" s="97"/>
      <c r="E246" s="102"/>
      <c r="F246" s="102"/>
      <c r="G246" s="102"/>
      <c r="H246" s="102"/>
      <c r="I246" s="102"/>
      <c r="J246" s="98"/>
    </row>
    <row r="247" spans="2:10">
      <c r="B247" s="97"/>
      <c r="E247" s="102"/>
      <c r="F247" s="102"/>
      <c r="G247" s="102"/>
      <c r="H247" s="102"/>
      <c r="I247" s="102"/>
      <c r="J247" s="98"/>
    </row>
    <row r="248" spans="2:10">
      <c r="B248" s="97"/>
      <c r="E248" s="102"/>
      <c r="F248" s="102"/>
      <c r="G248" s="102"/>
      <c r="H248" s="102"/>
      <c r="I248" s="102"/>
      <c r="J248" s="98"/>
    </row>
    <row r="249" spans="2:10">
      <c r="B249" s="97"/>
      <c r="E249" s="102"/>
      <c r="F249" s="102"/>
      <c r="G249" s="102"/>
      <c r="H249" s="102"/>
      <c r="I249" s="102"/>
      <c r="J249" s="98"/>
    </row>
    <row r="250" spans="2:10">
      <c r="B250" s="97"/>
      <c r="E250" s="102"/>
      <c r="F250" s="102"/>
      <c r="G250" s="102"/>
      <c r="H250" s="102"/>
      <c r="I250" s="102"/>
      <c r="J250" s="98"/>
    </row>
    <row r="251" spans="2:10">
      <c r="B251" s="97"/>
      <c r="E251" s="102"/>
      <c r="F251" s="102"/>
      <c r="G251" s="102"/>
      <c r="H251" s="102"/>
      <c r="I251" s="102"/>
      <c r="J251" s="98"/>
    </row>
    <row r="252" spans="2:10">
      <c r="B252" s="97"/>
      <c r="E252" s="102"/>
      <c r="F252" s="102"/>
      <c r="G252" s="102"/>
      <c r="H252" s="102"/>
      <c r="I252" s="102"/>
      <c r="J252" s="98"/>
    </row>
    <row r="253" spans="2:10">
      <c r="B253" s="97"/>
      <c r="E253" s="102"/>
      <c r="F253" s="102"/>
      <c r="G253" s="102"/>
      <c r="H253" s="102"/>
      <c r="I253" s="102"/>
      <c r="J253" s="98"/>
    </row>
    <row r="254" spans="2:10">
      <c r="B254" s="97"/>
      <c r="E254" s="102"/>
      <c r="F254" s="102"/>
      <c r="G254" s="102"/>
      <c r="H254" s="102"/>
      <c r="I254" s="102"/>
      <c r="J254" s="98"/>
    </row>
    <row r="255" spans="2:10">
      <c r="B255" s="97"/>
      <c r="E255" s="102"/>
      <c r="F255" s="102"/>
      <c r="G255" s="102"/>
      <c r="H255" s="102"/>
      <c r="I255" s="102"/>
      <c r="J255" s="98"/>
    </row>
    <row r="256" spans="2:10">
      <c r="B256" s="97"/>
      <c r="E256" s="102"/>
      <c r="F256" s="102"/>
      <c r="G256" s="102"/>
      <c r="H256" s="102"/>
      <c r="I256" s="102"/>
      <c r="J256" s="98"/>
    </row>
    <row r="257" spans="2:10">
      <c r="B257" s="97"/>
      <c r="E257" s="102"/>
      <c r="F257" s="102"/>
      <c r="G257" s="102"/>
      <c r="H257" s="102"/>
      <c r="I257" s="102"/>
      <c r="J257" s="98"/>
    </row>
    <row r="258" spans="2:10">
      <c r="B258" s="97"/>
      <c r="E258" s="102"/>
      <c r="F258" s="102"/>
      <c r="G258" s="102"/>
      <c r="H258" s="102"/>
      <c r="I258" s="102"/>
      <c r="J258" s="98"/>
    </row>
    <row r="259" spans="2:10">
      <c r="B259" s="97"/>
      <c r="E259" s="102"/>
      <c r="F259" s="102"/>
      <c r="G259" s="102"/>
      <c r="H259" s="102"/>
      <c r="I259" s="102"/>
      <c r="J259" s="98"/>
    </row>
    <row r="260" spans="2:10">
      <c r="B260" s="97"/>
      <c r="E260" s="102"/>
      <c r="F260" s="102"/>
      <c r="G260" s="102"/>
      <c r="H260" s="102"/>
      <c r="I260" s="102"/>
      <c r="J260" s="98"/>
    </row>
    <row r="261" spans="2:10">
      <c r="B261" s="97"/>
      <c r="E261" s="102"/>
      <c r="F261" s="102"/>
      <c r="G261" s="102"/>
      <c r="H261" s="102"/>
      <c r="I261" s="102"/>
      <c r="J261" s="98"/>
    </row>
    <row r="262" spans="2:10">
      <c r="B262" s="97"/>
      <c r="E262" s="102"/>
      <c r="F262" s="102"/>
      <c r="G262" s="102"/>
      <c r="H262" s="102"/>
      <c r="I262" s="102"/>
      <c r="J262" s="98"/>
    </row>
    <row r="263" spans="2:10">
      <c r="B263" s="97"/>
      <c r="E263" s="102"/>
      <c r="F263" s="102"/>
      <c r="G263" s="102"/>
      <c r="H263" s="102"/>
      <c r="I263" s="102"/>
      <c r="J263" s="98"/>
    </row>
    <row r="264" spans="2:10">
      <c r="B264" s="97"/>
      <c r="E264" s="102"/>
      <c r="F264" s="102"/>
      <c r="G264" s="102"/>
      <c r="H264" s="102"/>
      <c r="I264" s="102"/>
      <c r="J264" s="98"/>
    </row>
    <row r="265" spans="2:10">
      <c r="B265" s="97"/>
      <c r="E265" s="102"/>
      <c r="F265" s="102"/>
      <c r="G265" s="102"/>
      <c r="H265" s="102"/>
      <c r="I265" s="102"/>
      <c r="J265" s="98"/>
    </row>
    <row r="266" spans="2:10">
      <c r="B266" s="97"/>
      <c r="E266" s="102"/>
      <c r="F266" s="102"/>
      <c r="G266" s="102"/>
      <c r="H266" s="102"/>
      <c r="I266" s="102"/>
      <c r="J266" s="98"/>
    </row>
    <row r="267" spans="2:10">
      <c r="B267" s="97"/>
      <c r="E267" s="102"/>
      <c r="F267" s="102"/>
      <c r="G267" s="102"/>
      <c r="H267" s="102"/>
      <c r="I267" s="102"/>
      <c r="J267" s="98"/>
    </row>
    <row r="268" spans="2:10">
      <c r="B268" s="97"/>
      <c r="E268" s="102"/>
      <c r="F268" s="102"/>
      <c r="G268" s="102"/>
      <c r="H268" s="102"/>
      <c r="I268" s="102"/>
      <c r="J268" s="98"/>
    </row>
    <row r="269" spans="2:10">
      <c r="B269" s="97"/>
      <c r="E269" s="102"/>
      <c r="F269" s="102"/>
      <c r="G269" s="102"/>
      <c r="H269" s="102"/>
      <c r="I269" s="102"/>
      <c r="J269" s="98"/>
    </row>
    <row r="270" spans="2:10">
      <c r="B270" s="97"/>
      <c r="E270" s="102"/>
      <c r="F270" s="102"/>
      <c r="G270" s="102"/>
      <c r="H270" s="102"/>
      <c r="I270" s="102"/>
      <c r="J270" s="98"/>
    </row>
    <row r="271" spans="2:10">
      <c r="B271" s="97"/>
      <c r="E271" s="102"/>
      <c r="F271" s="102"/>
      <c r="G271" s="102"/>
      <c r="H271" s="102"/>
      <c r="I271" s="102"/>
      <c r="J271" s="98"/>
    </row>
    <row r="272" spans="2:10">
      <c r="B272" s="97"/>
      <c r="E272" s="102"/>
      <c r="F272" s="102"/>
      <c r="G272" s="102"/>
      <c r="H272" s="102"/>
      <c r="I272" s="102"/>
      <c r="J272" s="98"/>
    </row>
  </sheetData>
  <phoneticPr fontId="0" type="noConversion"/>
  <printOptions horizontalCentered="1"/>
  <pageMargins left="0.7" right="0.7" top="0.75" bottom="0.75" header="0.3" footer="0.3"/>
  <pageSetup scale="6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E362"/>
  <sheetViews>
    <sheetView zoomScaleNormal="100" workbookViewId="0">
      <pane xSplit="2" ySplit="11" topLeftCell="F147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2.75" outlineLevelRow="1"/>
  <cols>
    <col min="1" max="1" width="2.140625" style="62" customWidth="1"/>
    <col min="2" max="2" width="10.85546875" style="62" customWidth="1"/>
    <col min="3" max="3" width="3.140625" style="62" customWidth="1"/>
    <col min="4" max="5" width="15.7109375" style="62" bestFit="1" customWidth="1"/>
    <col min="6" max="6" width="15.42578125" style="62" customWidth="1"/>
    <col min="7" max="7" width="16.140625" style="62" bestFit="1" customWidth="1"/>
    <col min="8" max="8" width="15.85546875" style="62" bestFit="1" customWidth="1"/>
    <col min="9" max="9" width="17.28515625" style="64" bestFit="1" customWidth="1"/>
    <col min="10" max="10" width="18.28515625" style="64" bestFit="1" customWidth="1"/>
    <col min="11" max="11" width="16.140625" style="64" bestFit="1" customWidth="1"/>
    <col min="12" max="12" width="16.42578125" style="64" bestFit="1" customWidth="1"/>
    <col min="13" max="13" width="19.42578125" style="65" bestFit="1" customWidth="1"/>
    <col min="14" max="14" width="16.42578125" style="65" bestFit="1" customWidth="1"/>
    <col min="15" max="15" width="15.7109375" style="65" bestFit="1" customWidth="1"/>
    <col min="16" max="16" width="16.140625" style="65" bestFit="1" customWidth="1"/>
    <col min="17" max="17" width="1.85546875" style="65" customWidth="1"/>
    <col min="18" max="18" width="19.42578125" style="66" bestFit="1" customWidth="1"/>
    <col min="19" max="19" width="19.7109375" style="65" bestFit="1" customWidth="1"/>
    <col min="20" max="20" width="2" style="65" customWidth="1"/>
    <col min="21" max="21" width="15.28515625" style="65" bestFit="1" customWidth="1"/>
    <col min="22" max="22" width="47.42578125" style="65" bestFit="1" customWidth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>
        <f>D5*0.069</f>
        <v>6141000.0000000009</v>
      </c>
      <c r="J2" s="150">
        <f>I2/0.65</f>
        <v>9447692.307692308</v>
      </c>
      <c r="K2" s="64" t="s">
        <v>185</v>
      </c>
      <c r="M2" s="121">
        <f>J2/12*8</f>
        <v>6298461.538461539</v>
      </c>
      <c r="N2" s="65" t="s">
        <v>186</v>
      </c>
    </row>
    <row r="3" spans="1:19" ht="12.75" customHeight="1">
      <c r="B3" s="63" t="s">
        <v>161</v>
      </c>
      <c r="M3" s="152">
        <f>J5/12*4</f>
        <v>4284267.7375943335</v>
      </c>
      <c r="N3" s="65" t="s">
        <v>187</v>
      </c>
    </row>
    <row r="4" spans="1:19" ht="12.75" customHeight="1">
      <c r="B4" s="68" t="s">
        <v>157</v>
      </c>
      <c r="M4" s="121">
        <f>SUM(M2:M3)</f>
        <v>10582729.276055872</v>
      </c>
      <c r="N4" s="156">
        <v>2011</v>
      </c>
    </row>
    <row r="5" spans="1:19">
      <c r="B5" s="63" t="s">
        <v>184</v>
      </c>
      <c r="C5" s="123"/>
      <c r="D5" s="124">
        <v>89000000</v>
      </c>
      <c r="I5" s="150">
        <f>I2/12*8</f>
        <v>4094000.0000000005</v>
      </c>
      <c r="J5" s="151">
        <f>P80*0.069/0.65</f>
        <v>12852803.212783001</v>
      </c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54" t="s">
        <v>159</v>
      </c>
      <c r="N7" s="79"/>
      <c r="O7" s="79"/>
      <c r="P7" s="79"/>
      <c r="Q7" s="80"/>
      <c r="R7" s="81"/>
      <c r="S7" s="82"/>
    </row>
    <row r="8" spans="1:19" ht="16.5" customHeight="1">
      <c r="B8" s="62" t="s">
        <v>22</v>
      </c>
      <c r="D8" s="127" t="s">
        <v>160</v>
      </c>
      <c r="E8" s="127" t="s">
        <v>20</v>
      </c>
      <c r="F8" s="127" t="s">
        <v>2</v>
      </c>
      <c r="G8" s="85" t="s">
        <v>115</v>
      </c>
      <c r="H8" s="71" t="s">
        <v>19</v>
      </c>
      <c r="I8" s="72" t="s">
        <v>20</v>
      </c>
      <c r="J8" s="72" t="s">
        <v>116</v>
      </c>
      <c r="K8" s="72" t="s">
        <v>18</v>
      </c>
      <c r="L8" s="72" t="s">
        <v>21</v>
      </c>
      <c r="M8" s="83" t="s">
        <v>19</v>
      </c>
      <c r="N8" s="83" t="s">
        <v>20</v>
      </c>
      <c r="O8" s="85" t="s">
        <v>117</v>
      </c>
      <c r="P8" s="83" t="s">
        <v>118</v>
      </c>
      <c r="Q8" s="83"/>
      <c r="R8" s="85"/>
      <c r="S8" s="85"/>
    </row>
    <row r="9" spans="1:19">
      <c r="A9" s="65"/>
      <c r="B9" s="86"/>
      <c r="C9" s="86"/>
      <c r="D9" s="83"/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83" t="s">
        <v>117</v>
      </c>
      <c r="Q9" s="83"/>
      <c r="R9" s="85"/>
      <c r="S9" s="85"/>
    </row>
    <row r="10" spans="1:19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165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169</v>
      </c>
      <c r="N10" s="85" t="s">
        <v>171</v>
      </c>
      <c r="O10" s="87" t="s">
        <v>145</v>
      </c>
      <c r="P10" s="87" t="s">
        <v>172</v>
      </c>
      <c r="Q10" s="83"/>
      <c r="R10" s="85"/>
      <c r="S10" s="85"/>
    </row>
    <row r="11" spans="1:19" ht="13.5" customHeight="1">
      <c r="A11" s="75"/>
      <c r="B11" s="88"/>
      <c r="C11" s="88"/>
      <c r="D11" s="1399" t="s">
        <v>164</v>
      </c>
      <c r="E11" s="1399"/>
      <c r="F11" s="1399"/>
      <c r="G11" s="1104"/>
      <c r="H11" s="1054" t="s">
        <v>646</v>
      </c>
      <c r="I11" s="89"/>
      <c r="J11" s="79"/>
      <c r="K11" s="79"/>
      <c r="L11" s="79"/>
      <c r="M11" s="79" t="s">
        <v>170</v>
      </c>
      <c r="N11" s="89"/>
      <c r="O11" s="79"/>
      <c r="P11" s="79"/>
      <c r="Q11" s="83"/>
      <c r="R11" s="85"/>
      <c r="S11" s="85"/>
    </row>
    <row r="12" spans="1:19" ht="14.25" hidden="1" customHeight="1" outlineLevel="1">
      <c r="B12" s="97">
        <v>38837</v>
      </c>
      <c r="C12" s="63"/>
      <c r="D12" s="146">
        <v>105187</v>
      </c>
      <c r="E12" s="91">
        <f>D12</f>
        <v>105187</v>
      </c>
      <c r="F12" s="124">
        <f>D5+E12</f>
        <v>89105187</v>
      </c>
      <c r="G12" s="92"/>
      <c r="H12" s="71"/>
      <c r="I12" s="72"/>
      <c r="J12" s="93"/>
      <c r="K12" s="93"/>
      <c r="L12" s="93">
        <f>F12+I12</f>
        <v>89105187</v>
      </c>
      <c r="M12" s="94"/>
      <c r="N12" s="94"/>
      <c r="O12" s="94"/>
      <c r="P12" s="94"/>
      <c r="Q12" s="94"/>
      <c r="R12" s="95"/>
      <c r="S12" s="96"/>
    </row>
    <row r="13" spans="1:19" ht="14.25" hidden="1" customHeight="1" outlineLevel="1">
      <c r="B13" s="97">
        <v>38868</v>
      </c>
      <c r="D13" s="125">
        <v>799858.97</v>
      </c>
      <c r="E13" s="91">
        <f>D13+E12</f>
        <v>905045.97</v>
      </c>
      <c r="F13" s="126">
        <f>F12+D13</f>
        <v>89905045.969999999</v>
      </c>
      <c r="G13" s="92"/>
      <c r="H13" s="71"/>
      <c r="I13" s="72"/>
      <c r="J13" s="93"/>
      <c r="K13" s="93"/>
      <c r="L13" s="93">
        <f t="shared" ref="L13:L76" si="0">F13+I13</f>
        <v>89905045.969999999</v>
      </c>
      <c r="M13" s="94"/>
      <c r="N13" s="94"/>
      <c r="O13" s="94"/>
      <c r="P13" s="94"/>
      <c r="Q13" s="94"/>
      <c r="R13" s="95"/>
      <c r="S13" s="96"/>
    </row>
    <row r="14" spans="1:19" ht="14.25" hidden="1" customHeight="1" outlineLevel="1">
      <c r="B14" s="97">
        <v>38898</v>
      </c>
      <c r="D14" s="125">
        <v>799858.97</v>
      </c>
      <c r="E14" s="91">
        <f t="shared" ref="E14:E77" si="1">D14+E13</f>
        <v>1704904.94</v>
      </c>
      <c r="F14" s="126">
        <f>F13+D14</f>
        <v>90704904.939999998</v>
      </c>
      <c r="G14" s="92"/>
      <c r="H14" s="71"/>
      <c r="I14" s="72"/>
      <c r="J14" s="93"/>
      <c r="K14" s="93"/>
      <c r="L14" s="93">
        <f t="shared" si="0"/>
        <v>90704904.939999998</v>
      </c>
      <c r="M14" s="94"/>
      <c r="N14" s="94"/>
      <c r="O14" s="94"/>
      <c r="P14" s="94"/>
      <c r="Q14" s="94"/>
      <c r="R14" s="95"/>
      <c r="S14" s="96"/>
    </row>
    <row r="15" spans="1:19" ht="14.25" hidden="1" customHeight="1" outlineLevel="1">
      <c r="B15" s="97">
        <v>38929</v>
      </c>
      <c r="D15" s="125">
        <v>799858.97</v>
      </c>
      <c r="E15" s="91">
        <f t="shared" si="1"/>
        <v>2504763.91</v>
      </c>
      <c r="F15" s="126">
        <f t="shared" ref="F15:F77" si="2">F14+D15</f>
        <v>91504763.909999996</v>
      </c>
      <c r="G15" s="92"/>
      <c r="H15" s="71"/>
      <c r="I15" s="72"/>
      <c r="J15" s="93"/>
      <c r="K15" s="93"/>
      <c r="L15" s="93">
        <f t="shared" si="0"/>
        <v>91504763.909999996</v>
      </c>
      <c r="M15" s="94"/>
      <c r="N15" s="94"/>
      <c r="O15" s="94"/>
      <c r="P15" s="94"/>
      <c r="Q15" s="94"/>
      <c r="R15" s="95"/>
      <c r="S15" s="96"/>
    </row>
    <row r="16" spans="1:19" ht="14.25" hidden="1" customHeight="1" outlineLevel="1">
      <c r="B16" s="97">
        <v>38960</v>
      </c>
      <c r="D16" s="125">
        <v>799858.97</v>
      </c>
      <c r="E16" s="91">
        <f t="shared" si="1"/>
        <v>3304622.88</v>
      </c>
      <c r="F16" s="126">
        <f t="shared" si="2"/>
        <v>92304622.879999995</v>
      </c>
      <c r="G16" s="92"/>
      <c r="H16" s="71"/>
      <c r="I16" s="72"/>
      <c r="J16" s="93"/>
      <c r="K16" s="93"/>
      <c r="L16" s="93">
        <f t="shared" si="0"/>
        <v>92304622.879999995</v>
      </c>
      <c r="M16" s="94"/>
      <c r="N16" s="94"/>
      <c r="O16" s="94"/>
      <c r="P16" s="94"/>
      <c r="Q16" s="94"/>
      <c r="R16" s="95"/>
      <c r="S16" s="96"/>
    </row>
    <row r="17" spans="2:19" ht="14.25" hidden="1" customHeight="1" outlineLevel="1">
      <c r="B17" s="97">
        <v>38990</v>
      </c>
      <c r="D17" s="125">
        <v>799858.97</v>
      </c>
      <c r="E17" s="91">
        <f t="shared" si="1"/>
        <v>4104481.8499999996</v>
      </c>
      <c r="F17" s="126">
        <f t="shared" si="2"/>
        <v>93104481.849999994</v>
      </c>
      <c r="G17" s="92"/>
      <c r="H17" s="71"/>
      <c r="I17" s="72"/>
      <c r="J17" s="93"/>
      <c r="K17" s="93"/>
      <c r="L17" s="93">
        <f t="shared" si="0"/>
        <v>93104481.849999994</v>
      </c>
      <c r="M17" s="94"/>
      <c r="N17" s="94"/>
      <c r="O17" s="94"/>
      <c r="P17" s="94"/>
      <c r="Q17" s="94"/>
      <c r="R17" s="95"/>
      <c r="S17" s="96"/>
    </row>
    <row r="18" spans="2:19" ht="14.25" hidden="1" customHeight="1" outlineLevel="1">
      <c r="B18" s="97">
        <v>39021</v>
      </c>
      <c r="D18" s="125">
        <v>799858.97</v>
      </c>
      <c r="E18" s="91">
        <f t="shared" si="1"/>
        <v>4904340.8199999994</v>
      </c>
      <c r="F18" s="126">
        <f t="shared" si="2"/>
        <v>93904340.819999993</v>
      </c>
      <c r="G18" s="92"/>
      <c r="H18" s="71"/>
      <c r="I18" s="72"/>
      <c r="J18" s="93"/>
      <c r="K18" s="93"/>
      <c r="L18" s="93">
        <f t="shared" si="0"/>
        <v>93904340.819999993</v>
      </c>
      <c r="M18" s="94"/>
      <c r="N18" s="94"/>
      <c r="O18" s="94"/>
      <c r="P18" s="94"/>
      <c r="Q18" s="94"/>
      <c r="R18" s="95"/>
      <c r="S18" s="96"/>
    </row>
    <row r="19" spans="2:19" ht="14.25" hidden="1" customHeight="1" outlineLevel="1">
      <c r="B19" s="97">
        <v>39051</v>
      </c>
      <c r="D19" s="125">
        <v>799858.97</v>
      </c>
      <c r="E19" s="91">
        <f t="shared" si="1"/>
        <v>5704199.7899999991</v>
      </c>
      <c r="F19" s="126">
        <f t="shared" si="2"/>
        <v>94704199.789999992</v>
      </c>
      <c r="G19" s="92"/>
      <c r="H19" s="71"/>
      <c r="I19" s="72"/>
      <c r="J19" s="93"/>
      <c r="K19" s="93"/>
      <c r="L19" s="93">
        <f t="shared" si="0"/>
        <v>94704199.789999992</v>
      </c>
      <c r="M19" s="94"/>
      <c r="N19" s="94"/>
      <c r="O19" s="94"/>
      <c r="P19" s="94"/>
      <c r="Q19" s="94"/>
      <c r="R19" s="95"/>
      <c r="S19" s="96"/>
    </row>
    <row r="20" spans="2:19" ht="14.25" hidden="1" customHeight="1" outlineLevel="1">
      <c r="B20" s="97">
        <v>39082</v>
      </c>
      <c r="D20" s="125">
        <v>799858.97</v>
      </c>
      <c r="E20" s="91">
        <f t="shared" si="1"/>
        <v>6504058.7599999988</v>
      </c>
      <c r="F20" s="126">
        <f t="shared" si="2"/>
        <v>95504058.75999999</v>
      </c>
      <c r="G20" s="92"/>
      <c r="H20" s="71"/>
      <c r="I20" s="72"/>
      <c r="J20" s="93"/>
      <c r="K20" s="93"/>
      <c r="L20" s="93">
        <f t="shared" si="0"/>
        <v>95504058.75999999</v>
      </c>
      <c r="M20" s="94"/>
      <c r="N20" s="94"/>
      <c r="O20" s="94"/>
      <c r="P20" s="94"/>
      <c r="Q20" s="94"/>
      <c r="R20" s="95"/>
      <c r="S20" s="96"/>
    </row>
    <row r="21" spans="2:19" ht="14.25" hidden="1" customHeight="1" outlineLevel="1">
      <c r="B21" s="97">
        <v>39113</v>
      </c>
      <c r="D21" s="125">
        <v>803355.67</v>
      </c>
      <c r="E21" s="91">
        <f t="shared" si="1"/>
        <v>7307414.4299999988</v>
      </c>
      <c r="F21" s="126">
        <f>F20+D21</f>
        <v>96307414.429999992</v>
      </c>
      <c r="G21" s="92"/>
      <c r="H21" s="71"/>
      <c r="I21" s="72"/>
      <c r="J21" s="93"/>
      <c r="K21" s="93"/>
      <c r="L21" s="93">
        <f t="shared" si="0"/>
        <v>96307414.429999992</v>
      </c>
      <c r="M21" s="94"/>
      <c r="N21" s="94"/>
      <c r="O21" s="94"/>
      <c r="P21" s="94"/>
      <c r="Q21" s="94"/>
      <c r="R21" s="95"/>
      <c r="S21" s="96"/>
    </row>
    <row r="22" spans="2:19" ht="14.25" hidden="1" customHeight="1" outlineLevel="1">
      <c r="B22" s="97">
        <v>39141</v>
      </c>
      <c r="D22" s="125">
        <v>805564.1</v>
      </c>
      <c r="E22" s="91">
        <f t="shared" si="1"/>
        <v>8112978.5299999984</v>
      </c>
      <c r="F22" s="126">
        <f t="shared" si="2"/>
        <v>97112978.529999986</v>
      </c>
      <c r="G22" s="92"/>
      <c r="H22" s="71"/>
      <c r="I22" s="72"/>
      <c r="J22" s="93"/>
      <c r="K22" s="93"/>
      <c r="L22" s="93">
        <f t="shared" si="0"/>
        <v>97112978.529999986</v>
      </c>
      <c r="M22" s="94"/>
      <c r="N22" s="94"/>
      <c r="O22" s="94"/>
      <c r="P22" s="94"/>
      <c r="Q22" s="94"/>
      <c r="R22" s="95"/>
      <c r="S22" s="96"/>
    </row>
    <row r="23" spans="2:19" ht="14.25" hidden="1" customHeight="1" outlineLevel="1">
      <c r="B23" s="97">
        <v>39172</v>
      </c>
      <c r="D23" s="125">
        <v>805564.1</v>
      </c>
      <c r="E23" s="91">
        <f t="shared" si="1"/>
        <v>8918542.629999999</v>
      </c>
      <c r="F23" s="126">
        <f t="shared" si="2"/>
        <v>97918542.62999998</v>
      </c>
      <c r="G23" s="92"/>
      <c r="H23" s="71"/>
      <c r="I23" s="72"/>
      <c r="J23" s="93"/>
      <c r="K23" s="93"/>
      <c r="L23" s="93">
        <f t="shared" si="0"/>
        <v>97918542.62999998</v>
      </c>
      <c r="M23" s="94"/>
      <c r="N23" s="94"/>
      <c r="O23" s="94"/>
      <c r="P23" s="94"/>
      <c r="Q23" s="94"/>
      <c r="R23" s="95"/>
      <c r="S23" s="96"/>
    </row>
    <row r="24" spans="2:19" ht="14.25" hidden="1" customHeight="1" outlineLevel="1">
      <c r="B24" s="97">
        <v>39202</v>
      </c>
      <c r="D24" s="125">
        <v>805564.1</v>
      </c>
      <c r="E24" s="91">
        <f t="shared" si="1"/>
        <v>9724106.7299999986</v>
      </c>
      <c r="F24" s="126">
        <f t="shared" si="2"/>
        <v>98724106.729999974</v>
      </c>
      <c r="G24" s="98">
        <f>(F12+F24+SUM(F13:F23)*2)/24</f>
        <v>93907500.114583313</v>
      </c>
      <c r="H24" s="71"/>
      <c r="I24" s="72"/>
      <c r="J24" s="93"/>
      <c r="K24" s="93"/>
      <c r="L24" s="93">
        <f t="shared" si="0"/>
        <v>98724106.729999974</v>
      </c>
      <c r="M24" s="94"/>
      <c r="N24" s="94"/>
      <c r="O24" s="94"/>
      <c r="P24" s="94"/>
      <c r="Q24" s="94"/>
      <c r="R24" s="95"/>
      <c r="S24" s="96"/>
    </row>
    <row r="25" spans="2:19" ht="14.25" hidden="1" customHeight="1" outlineLevel="1">
      <c r="B25" s="97">
        <v>39233</v>
      </c>
      <c r="D25" s="125">
        <v>805564.1</v>
      </c>
      <c r="E25" s="91">
        <f t="shared" si="1"/>
        <v>10529670.829999998</v>
      </c>
      <c r="F25" s="126">
        <f>F24+D25</f>
        <v>99529670.829999968</v>
      </c>
      <c r="G25" s="98">
        <f>(F13+F25+SUM(F14:F24)*2)/24</f>
        <v>94709314.472500011</v>
      </c>
      <c r="H25" s="71"/>
      <c r="I25" s="72"/>
      <c r="J25" s="93"/>
      <c r="K25" s="93"/>
      <c r="L25" s="93">
        <f t="shared" si="0"/>
        <v>99529670.829999968</v>
      </c>
      <c r="M25" s="94"/>
      <c r="N25" s="94"/>
      <c r="O25" s="94"/>
      <c r="P25" s="94"/>
      <c r="Q25" s="94"/>
      <c r="R25" s="95"/>
      <c r="S25" s="96"/>
    </row>
    <row r="26" spans="2:19" ht="14.25" hidden="1" customHeight="1" outlineLevel="1">
      <c r="B26" s="97">
        <v>39263</v>
      </c>
      <c r="D26" s="125">
        <v>805564.1</v>
      </c>
      <c r="E26" s="91">
        <f t="shared" si="1"/>
        <v>11335234.929999998</v>
      </c>
      <c r="F26" s="126">
        <f t="shared" si="2"/>
        <v>100335234.92999996</v>
      </c>
      <c r="G26" s="98">
        <f t="shared" ref="G26:G89" si="3">(F14+F26+SUM(F15:F25)*2)/24</f>
        <v>95511604.257916644</v>
      </c>
      <c r="H26" s="71"/>
      <c r="I26" s="72"/>
      <c r="J26" s="93"/>
      <c r="K26" s="93"/>
      <c r="L26" s="93">
        <f t="shared" si="0"/>
        <v>100335234.92999996</v>
      </c>
      <c r="M26" s="94"/>
      <c r="N26" s="94"/>
      <c r="O26" s="94"/>
      <c r="P26" s="94"/>
      <c r="Q26" s="94"/>
      <c r="R26" s="95"/>
      <c r="S26" s="96"/>
    </row>
    <row r="27" spans="2:19" ht="14.25" hidden="1" customHeight="1" outlineLevel="1">
      <c r="B27" s="97">
        <v>39294</v>
      </c>
      <c r="D27" s="125">
        <v>805564.1</v>
      </c>
      <c r="E27" s="91">
        <f t="shared" si="1"/>
        <v>12140799.029999997</v>
      </c>
      <c r="F27" s="126">
        <f t="shared" si="2"/>
        <v>101140799.02999996</v>
      </c>
      <c r="G27" s="98">
        <f t="shared" si="3"/>
        <v>96314369.470833302</v>
      </c>
      <c r="H27" s="71"/>
      <c r="I27" s="72"/>
      <c r="J27" s="93"/>
      <c r="K27" s="93"/>
      <c r="L27" s="93">
        <f t="shared" si="0"/>
        <v>101140799.02999996</v>
      </c>
      <c r="M27" s="94"/>
      <c r="N27" s="94"/>
      <c r="O27" s="94"/>
      <c r="P27" s="94"/>
      <c r="Q27" s="94"/>
      <c r="R27" s="95"/>
      <c r="S27" s="96"/>
    </row>
    <row r="28" spans="2:19" ht="14.25" hidden="1" customHeight="1" outlineLevel="1">
      <c r="B28" s="97">
        <v>39325</v>
      </c>
      <c r="D28" s="125">
        <v>805564.1</v>
      </c>
      <c r="E28" s="91">
        <f t="shared" si="1"/>
        <v>12946363.129999997</v>
      </c>
      <c r="F28" s="126">
        <f t="shared" si="2"/>
        <v>101946363.12999995</v>
      </c>
      <c r="G28" s="98">
        <f t="shared" si="3"/>
        <v>97117610.111249983</v>
      </c>
      <c r="H28" s="71"/>
      <c r="I28" s="72"/>
      <c r="J28" s="93"/>
      <c r="K28" s="93"/>
      <c r="L28" s="93">
        <f>F28+I28</f>
        <v>101946363.12999995</v>
      </c>
      <c r="M28" s="94"/>
      <c r="N28" s="94"/>
      <c r="O28" s="94"/>
      <c r="P28" s="94"/>
      <c r="Q28" s="94"/>
      <c r="R28" s="95"/>
      <c r="S28" s="96"/>
    </row>
    <row r="29" spans="2:19" ht="14.25" hidden="1" customHeight="1" outlineLevel="1">
      <c r="B29" s="97">
        <v>39355</v>
      </c>
      <c r="D29" s="125">
        <v>805564.1</v>
      </c>
      <c r="E29" s="91">
        <f t="shared" si="1"/>
        <v>13751927.229999997</v>
      </c>
      <c r="F29" s="126">
        <f t="shared" si="2"/>
        <v>102751927.22999994</v>
      </c>
      <c r="G29" s="98">
        <f t="shared" si="3"/>
        <v>97921326.17916663</v>
      </c>
      <c r="H29" s="71"/>
      <c r="I29" s="72"/>
      <c r="J29" s="93"/>
      <c r="K29" s="93"/>
      <c r="L29" s="93">
        <f t="shared" si="0"/>
        <v>102751927.22999994</v>
      </c>
      <c r="M29" s="94"/>
      <c r="N29" s="94"/>
      <c r="O29" s="94"/>
      <c r="P29" s="94"/>
      <c r="Q29" s="94"/>
      <c r="R29" s="95"/>
      <c r="S29" s="96"/>
    </row>
    <row r="30" spans="2:19" ht="14.25" hidden="1" customHeight="1" outlineLevel="1">
      <c r="B30" s="97">
        <v>39386</v>
      </c>
      <c r="D30" s="125">
        <v>805564.1</v>
      </c>
      <c r="E30" s="91">
        <f t="shared" si="1"/>
        <v>14557491.329999996</v>
      </c>
      <c r="F30" s="126">
        <f t="shared" si="2"/>
        <v>103557491.32999994</v>
      </c>
      <c r="G30" s="98">
        <f t="shared" si="3"/>
        <v>98725517.674583316</v>
      </c>
      <c r="H30" s="71"/>
      <c r="I30" s="72"/>
      <c r="J30" s="93"/>
      <c r="K30" s="93"/>
      <c r="L30" s="93">
        <f t="shared" si="0"/>
        <v>103557491.32999994</v>
      </c>
      <c r="M30" s="94"/>
      <c r="N30" s="94"/>
      <c r="O30" s="94"/>
      <c r="P30" s="94"/>
      <c r="Q30" s="94"/>
      <c r="R30" s="95"/>
      <c r="S30" s="96"/>
    </row>
    <row r="31" spans="2:19" ht="14.25" hidden="1" customHeight="1" outlineLevel="1">
      <c r="B31" s="97">
        <v>39416</v>
      </c>
      <c r="D31" s="125">
        <v>805564.1</v>
      </c>
      <c r="E31" s="91">
        <f t="shared" si="1"/>
        <v>15363055.429999996</v>
      </c>
      <c r="F31" s="126">
        <f t="shared" si="2"/>
        <v>104363055.42999993</v>
      </c>
      <c r="G31" s="98">
        <f t="shared" si="3"/>
        <v>99530184.597499967</v>
      </c>
      <c r="H31" s="71"/>
      <c r="I31" s="72"/>
      <c r="J31" s="93"/>
      <c r="K31" s="93"/>
      <c r="L31" s="93">
        <f t="shared" si="0"/>
        <v>104363055.42999993</v>
      </c>
      <c r="M31" s="94"/>
      <c r="N31" s="94"/>
      <c r="O31" s="94"/>
      <c r="P31" s="94"/>
      <c r="Q31" s="94"/>
      <c r="R31" s="95"/>
      <c r="S31" s="96"/>
    </row>
    <row r="32" spans="2:19" ht="14.25" hidden="1" customHeight="1" outlineLevel="1">
      <c r="B32" s="97">
        <v>39447</v>
      </c>
      <c r="D32" s="125">
        <v>805564.1</v>
      </c>
      <c r="E32" s="91">
        <f t="shared" si="1"/>
        <v>16168619.529999996</v>
      </c>
      <c r="F32" s="126">
        <f t="shared" si="2"/>
        <v>105168619.52999993</v>
      </c>
      <c r="G32" s="98">
        <f t="shared" si="3"/>
        <v>100335326.94791663</v>
      </c>
      <c r="H32" s="71"/>
      <c r="I32" s="72"/>
      <c r="J32" s="93"/>
      <c r="K32" s="93"/>
      <c r="L32" s="93">
        <f t="shared" si="0"/>
        <v>105168619.52999993</v>
      </c>
      <c r="M32" s="94"/>
      <c r="N32" s="94"/>
      <c r="O32" s="94"/>
      <c r="P32" s="94"/>
      <c r="Q32" s="94"/>
      <c r="R32" s="95"/>
      <c r="S32" s="96"/>
    </row>
    <row r="33" spans="2:19" ht="14.25" hidden="1" customHeight="1" outlineLevel="1">
      <c r="B33" s="97">
        <v>39478</v>
      </c>
      <c r="D33" s="125">
        <v>805564.1</v>
      </c>
      <c r="E33" s="91">
        <f t="shared" si="1"/>
        <v>16974183.629999995</v>
      </c>
      <c r="F33" s="126">
        <f t="shared" si="2"/>
        <v>105974183.62999992</v>
      </c>
      <c r="G33" s="98">
        <f t="shared" si="3"/>
        <v>101140799.02999996</v>
      </c>
      <c r="H33" s="71"/>
      <c r="I33" s="72"/>
      <c r="J33" s="93"/>
      <c r="K33" s="93"/>
      <c r="L33" s="93">
        <f t="shared" si="0"/>
        <v>105974183.62999992</v>
      </c>
      <c r="M33" s="94"/>
      <c r="N33" s="94"/>
      <c r="O33" s="94"/>
      <c r="P33" s="94"/>
      <c r="Q33" s="94"/>
      <c r="R33" s="95"/>
      <c r="S33" s="96"/>
    </row>
    <row r="34" spans="2:19" ht="14.25" hidden="1" customHeight="1" outlineLevel="1">
      <c r="B34" s="97">
        <v>39506</v>
      </c>
      <c r="D34" s="125">
        <v>805564.1</v>
      </c>
      <c r="E34" s="91">
        <f t="shared" si="1"/>
        <v>17779747.729999997</v>
      </c>
      <c r="F34" s="126">
        <f>F33+D34</f>
        <v>106779747.72999991</v>
      </c>
      <c r="G34" s="98">
        <f t="shared" si="3"/>
        <v>101946363.12999995</v>
      </c>
      <c r="H34" s="71"/>
      <c r="I34" s="72"/>
      <c r="J34" s="93"/>
      <c r="K34" s="93"/>
      <c r="L34" s="93">
        <f t="shared" si="0"/>
        <v>106779747.72999991</v>
      </c>
      <c r="M34" s="94"/>
      <c r="N34" s="94"/>
      <c r="O34" s="94"/>
      <c r="P34" s="94"/>
      <c r="Q34" s="94"/>
      <c r="R34" s="95"/>
      <c r="S34" s="96"/>
    </row>
    <row r="35" spans="2:19" ht="14.25" hidden="1" customHeight="1" outlineLevel="1">
      <c r="B35" s="97">
        <v>39538</v>
      </c>
      <c r="D35" s="125">
        <v>805564.1</v>
      </c>
      <c r="E35" s="91">
        <f t="shared" si="1"/>
        <v>18585311.829999998</v>
      </c>
      <c r="F35" s="126">
        <f t="shared" si="2"/>
        <v>107585311.82999991</v>
      </c>
      <c r="G35" s="98">
        <f t="shared" si="3"/>
        <v>102751927.22999996</v>
      </c>
      <c r="H35" s="71"/>
      <c r="I35" s="72"/>
      <c r="J35" s="93"/>
      <c r="K35" s="93"/>
      <c r="L35" s="93">
        <f t="shared" si="0"/>
        <v>107585311.82999991</v>
      </c>
      <c r="M35" s="94"/>
      <c r="N35" s="94"/>
      <c r="O35" s="94"/>
      <c r="P35" s="94"/>
      <c r="Q35" s="94"/>
      <c r="R35" s="95"/>
      <c r="S35" s="96"/>
    </row>
    <row r="36" spans="2:19" ht="14.25" hidden="1" customHeight="1" outlineLevel="1">
      <c r="B36" s="97">
        <v>39568</v>
      </c>
      <c r="D36" s="125">
        <v>805564.1</v>
      </c>
      <c r="E36" s="91">
        <f t="shared" si="1"/>
        <v>19390875.93</v>
      </c>
      <c r="F36" s="126">
        <f t="shared" si="2"/>
        <v>108390875.9299999</v>
      </c>
      <c r="G36" s="98">
        <f t="shared" si="3"/>
        <v>103557491.32999994</v>
      </c>
      <c r="H36" s="71"/>
      <c r="I36" s="72"/>
      <c r="J36" s="93"/>
      <c r="K36" s="93"/>
      <c r="L36" s="93">
        <f t="shared" si="0"/>
        <v>108390875.9299999</v>
      </c>
      <c r="M36" s="94"/>
      <c r="N36" s="94"/>
      <c r="O36" s="94"/>
      <c r="P36" s="94"/>
      <c r="Q36" s="94"/>
      <c r="R36" s="95"/>
      <c r="S36" s="96"/>
    </row>
    <row r="37" spans="2:19" ht="14.25" hidden="1" customHeight="1" outlineLevel="1">
      <c r="B37" s="97">
        <v>39599</v>
      </c>
      <c r="D37" s="125">
        <v>805564.1</v>
      </c>
      <c r="E37" s="91">
        <f t="shared" si="1"/>
        <v>20196440.030000001</v>
      </c>
      <c r="F37" s="126">
        <f t="shared" si="2"/>
        <v>109196440.0299999</v>
      </c>
      <c r="G37" s="98">
        <f t="shared" si="3"/>
        <v>104363055.42999993</v>
      </c>
      <c r="H37" s="71"/>
      <c r="I37" s="72"/>
      <c r="J37" s="93"/>
      <c r="K37" s="93"/>
      <c r="L37" s="93">
        <f t="shared" si="0"/>
        <v>109196440.0299999</v>
      </c>
      <c r="M37" s="94"/>
      <c r="N37" s="94"/>
      <c r="O37" s="94"/>
      <c r="P37" s="94"/>
      <c r="Q37" s="94"/>
      <c r="R37" s="95"/>
      <c r="S37" s="96"/>
    </row>
    <row r="38" spans="2:19" ht="14.25" hidden="1" customHeight="1" outlineLevel="1">
      <c r="B38" s="97">
        <v>39629</v>
      </c>
      <c r="D38" s="125">
        <v>805564.1</v>
      </c>
      <c r="E38" s="91">
        <f t="shared" si="1"/>
        <v>21002004.130000003</v>
      </c>
      <c r="F38" s="126">
        <f t="shared" si="2"/>
        <v>110002004.12999989</v>
      </c>
      <c r="G38" s="98">
        <f t="shared" si="3"/>
        <v>105168619.52999993</v>
      </c>
      <c r="H38" s="71"/>
      <c r="I38" s="72"/>
      <c r="J38" s="93"/>
      <c r="K38" s="93"/>
      <c r="L38" s="93">
        <f t="shared" si="0"/>
        <v>110002004.12999989</v>
      </c>
      <c r="M38" s="94"/>
      <c r="N38" s="94"/>
      <c r="O38" s="94"/>
      <c r="P38" s="94"/>
      <c r="Q38" s="94"/>
      <c r="R38" s="95"/>
      <c r="S38" s="96"/>
    </row>
    <row r="39" spans="2:19" ht="14.25" hidden="1" customHeight="1" outlineLevel="1">
      <c r="B39" s="97">
        <v>39660</v>
      </c>
      <c r="D39" s="125">
        <v>805564.1</v>
      </c>
      <c r="E39" s="91">
        <f t="shared" si="1"/>
        <v>21807568.230000004</v>
      </c>
      <c r="F39" s="126">
        <f t="shared" si="2"/>
        <v>110807568.22999988</v>
      </c>
      <c r="G39" s="98">
        <f t="shared" si="3"/>
        <v>105974183.62999992</v>
      </c>
      <c r="H39" s="71"/>
      <c r="I39" s="72"/>
      <c r="J39" s="93"/>
      <c r="K39" s="93"/>
      <c r="L39" s="93">
        <f t="shared" si="0"/>
        <v>110807568.22999988</v>
      </c>
      <c r="M39" s="94"/>
      <c r="N39" s="94"/>
      <c r="O39" s="94"/>
      <c r="P39" s="94"/>
      <c r="Q39" s="94"/>
      <c r="R39" s="95"/>
      <c r="S39" s="96"/>
    </row>
    <row r="40" spans="2:19" ht="14.25" hidden="1" customHeight="1" outlineLevel="1">
      <c r="B40" s="97">
        <v>39691</v>
      </c>
      <c r="D40" s="125">
        <v>805564.1</v>
      </c>
      <c r="E40" s="91">
        <f t="shared" si="1"/>
        <v>22613132.330000006</v>
      </c>
      <c r="F40" s="126">
        <f t="shared" si="2"/>
        <v>111613132.32999988</v>
      </c>
      <c r="G40" s="98">
        <f t="shared" si="3"/>
        <v>106779747.72999991</v>
      </c>
      <c r="H40" s="71"/>
      <c r="I40" s="72"/>
      <c r="J40" s="93"/>
      <c r="K40" s="93"/>
      <c r="L40" s="93">
        <f t="shared" si="0"/>
        <v>111613132.32999988</v>
      </c>
      <c r="M40" s="94">
        <v>-2256000</v>
      </c>
      <c r="N40" s="100">
        <f>N39+M40</f>
        <v>-2256000</v>
      </c>
      <c r="O40" s="94"/>
      <c r="P40" s="94"/>
      <c r="Q40" s="94"/>
      <c r="R40" s="95"/>
      <c r="S40" s="96"/>
    </row>
    <row r="41" spans="2:19" ht="14.25" hidden="1" customHeight="1" outlineLevel="1">
      <c r="B41" s="97">
        <v>39721</v>
      </c>
      <c r="D41" s="125">
        <v>805564.1</v>
      </c>
      <c r="E41" s="91">
        <f t="shared" si="1"/>
        <v>23418696.430000007</v>
      </c>
      <c r="F41" s="126">
        <f t="shared" si="2"/>
        <v>112418696.42999987</v>
      </c>
      <c r="G41" s="98">
        <f t="shared" si="3"/>
        <v>107585311.82999991</v>
      </c>
      <c r="H41" s="71"/>
      <c r="I41" s="72"/>
      <c r="J41" s="93"/>
      <c r="K41" s="93"/>
      <c r="L41" s="93">
        <f t="shared" si="0"/>
        <v>112418696.42999987</v>
      </c>
      <c r="M41" s="94">
        <v>-5941017</v>
      </c>
      <c r="N41" s="100">
        <f>N40+M41</f>
        <v>-8197017</v>
      </c>
      <c r="O41" s="94"/>
      <c r="P41" s="94"/>
      <c r="Q41" s="94"/>
      <c r="R41" s="95"/>
      <c r="S41" s="96"/>
    </row>
    <row r="42" spans="2:19" ht="14.25" hidden="1" customHeight="1" outlineLevel="1">
      <c r="B42" s="97">
        <v>39752</v>
      </c>
      <c r="D42" s="125">
        <v>805564.1</v>
      </c>
      <c r="E42" s="91">
        <f t="shared" si="1"/>
        <v>24224260.530000009</v>
      </c>
      <c r="F42" s="126">
        <f t="shared" si="2"/>
        <v>113224260.52999987</v>
      </c>
      <c r="G42" s="98">
        <f t="shared" si="3"/>
        <v>108390875.92999989</v>
      </c>
      <c r="H42" s="71"/>
      <c r="I42" s="72"/>
      <c r="J42" s="93"/>
      <c r="K42" s="93"/>
      <c r="L42" s="93">
        <f t="shared" si="0"/>
        <v>113224260.52999987</v>
      </c>
      <c r="M42" s="94">
        <v>-282000</v>
      </c>
      <c r="N42" s="100">
        <f>N41+M42</f>
        <v>-8479017</v>
      </c>
      <c r="O42" s="94"/>
      <c r="P42" s="94"/>
      <c r="Q42" s="94"/>
      <c r="R42" s="95"/>
      <c r="S42" s="96"/>
    </row>
    <row r="43" spans="2:19" ht="14.25" hidden="1" customHeight="1" outlineLevel="1">
      <c r="B43" s="97">
        <v>39782</v>
      </c>
      <c r="D43" s="125">
        <v>805564.1</v>
      </c>
      <c r="E43" s="91">
        <f t="shared" si="1"/>
        <v>25029824.63000001</v>
      </c>
      <c r="F43" s="126">
        <f t="shared" si="2"/>
        <v>114029824.62999986</v>
      </c>
      <c r="G43" s="98">
        <f t="shared" si="3"/>
        <v>109196440.02999991</v>
      </c>
      <c r="H43" s="71"/>
      <c r="I43" s="72"/>
      <c r="J43" s="93"/>
      <c r="K43" s="93"/>
      <c r="L43" s="93">
        <f t="shared" si="0"/>
        <v>114029824.62999986</v>
      </c>
      <c r="M43" s="94">
        <v>-282000</v>
      </c>
      <c r="N43" s="100">
        <f t="shared" ref="N43:N106" si="4">N42+M43</f>
        <v>-8761017</v>
      </c>
      <c r="O43" s="94"/>
      <c r="P43" s="94"/>
      <c r="Q43" s="94"/>
      <c r="R43" s="95"/>
      <c r="S43" s="96"/>
    </row>
    <row r="44" spans="2:19" ht="14.25" hidden="1" customHeight="1" outlineLevel="1">
      <c r="B44" s="97">
        <v>39813</v>
      </c>
      <c r="D44" s="125">
        <v>791871.8</v>
      </c>
      <c r="E44" s="91">
        <f t="shared" si="1"/>
        <v>25821696.430000011</v>
      </c>
      <c r="F44" s="126">
        <f t="shared" si="2"/>
        <v>114821696.42999986</v>
      </c>
      <c r="G44" s="98">
        <f t="shared" si="3"/>
        <v>110001433.6174999</v>
      </c>
      <c r="H44" s="71"/>
      <c r="I44" s="72"/>
      <c r="J44" s="93"/>
      <c r="K44" s="93"/>
      <c r="L44" s="93">
        <f t="shared" si="0"/>
        <v>114821696.42999986</v>
      </c>
      <c r="M44" s="94">
        <v>-281000</v>
      </c>
      <c r="N44" s="100">
        <f t="shared" si="4"/>
        <v>-9042017</v>
      </c>
      <c r="O44" s="94"/>
      <c r="P44" s="94"/>
      <c r="Q44" s="94"/>
      <c r="R44" s="95"/>
      <c r="S44" s="96"/>
    </row>
    <row r="45" spans="2:19" ht="14.25" hidden="1" customHeight="1" outlineLevel="1">
      <c r="B45" s="97">
        <v>39844</v>
      </c>
      <c r="D45" s="125">
        <v>798717.95</v>
      </c>
      <c r="E45" s="91">
        <f>D45+E44</f>
        <v>26620414.38000001</v>
      </c>
      <c r="F45" s="126">
        <f t="shared" si="2"/>
        <v>115620414.37999986</v>
      </c>
      <c r="G45" s="98">
        <f t="shared" si="3"/>
        <v>110805571.43624987</v>
      </c>
      <c r="H45" s="71"/>
      <c r="I45" s="72"/>
      <c r="J45" s="93"/>
      <c r="K45" s="93"/>
      <c r="L45" s="93">
        <f t="shared" si="0"/>
        <v>115620414.37999986</v>
      </c>
      <c r="M45" s="94">
        <v>-282000</v>
      </c>
      <c r="N45" s="100">
        <f>N44+M45</f>
        <v>-9324017</v>
      </c>
      <c r="O45" s="94"/>
      <c r="P45" s="94"/>
      <c r="Q45" s="94"/>
      <c r="R45" s="95"/>
      <c r="S45" s="96"/>
    </row>
    <row r="46" spans="2:19" ht="14.25" hidden="1" customHeight="1" outlineLevel="1">
      <c r="B46" s="97">
        <v>39872</v>
      </c>
      <c r="D46" s="125">
        <v>798717.95</v>
      </c>
      <c r="E46" s="91">
        <f t="shared" si="1"/>
        <v>27419132.330000009</v>
      </c>
      <c r="F46" s="126">
        <f t="shared" si="2"/>
        <v>116419132.32999986</v>
      </c>
      <c r="G46" s="98">
        <f t="shared" si="3"/>
        <v>111609138.74249989</v>
      </c>
      <c r="H46" s="71"/>
      <c r="I46" s="72"/>
      <c r="J46" s="93"/>
      <c r="K46" s="93"/>
      <c r="L46" s="93">
        <f t="shared" si="0"/>
        <v>116419132.32999986</v>
      </c>
      <c r="M46" s="94">
        <v>-277000</v>
      </c>
      <c r="N46" s="100">
        <f t="shared" si="4"/>
        <v>-9601017</v>
      </c>
      <c r="O46" s="94"/>
      <c r="P46" s="94"/>
      <c r="Q46" s="94"/>
      <c r="R46" s="95"/>
      <c r="S46" s="96"/>
    </row>
    <row r="47" spans="2:19" ht="14.25" hidden="1" customHeight="1" outlineLevel="1">
      <c r="B47" s="97">
        <v>39903</v>
      </c>
      <c r="D47" s="125">
        <v>798717.95</v>
      </c>
      <c r="E47" s="91">
        <f t="shared" si="1"/>
        <v>28217850.280000009</v>
      </c>
      <c r="F47" s="126">
        <f t="shared" si="2"/>
        <v>117217850.27999987</v>
      </c>
      <c r="G47" s="98">
        <f t="shared" si="3"/>
        <v>112412135.53624988</v>
      </c>
      <c r="H47" s="71"/>
      <c r="I47" s="72"/>
      <c r="J47" s="93"/>
      <c r="K47" s="93"/>
      <c r="L47" s="93">
        <f t="shared" si="0"/>
        <v>117217850.27999987</v>
      </c>
      <c r="M47" s="94">
        <v>-280000</v>
      </c>
      <c r="N47" s="100">
        <f t="shared" si="4"/>
        <v>-9881017</v>
      </c>
      <c r="O47" s="94"/>
      <c r="P47" s="94"/>
      <c r="Q47" s="94"/>
      <c r="R47" s="95"/>
      <c r="S47" s="96"/>
    </row>
    <row r="48" spans="2:19" ht="14.25" hidden="1" customHeight="1" outlineLevel="1">
      <c r="B48" s="97">
        <v>39933</v>
      </c>
      <c r="D48" s="125">
        <v>798717.95</v>
      </c>
      <c r="E48" s="91">
        <f t="shared" si="1"/>
        <v>29016568.230000008</v>
      </c>
      <c r="F48" s="126">
        <f t="shared" si="2"/>
        <v>118016568.22999987</v>
      </c>
      <c r="G48" s="98">
        <f t="shared" si="3"/>
        <v>113214561.81749988</v>
      </c>
      <c r="H48" s="71"/>
      <c r="I48" s="72"/>
      <c r="J48" s="93"/>
      <c r="K48" s="93"/>
      <c r="L48" s="93">
        <f t="shared" si="0"/>
        <v>118016568.22999987</v>
      </c>
      <c r="M48" s="94">
        <v>-280000</v>
      </c>
      <c r="N48" s="100">
        <f>N47+M48</f>
        <v>-10161017</v>
      </c>
      <c r="O48" s="94"/>
      <c r="P48" s="94"/>
      <c r="Q48" s="94"/>
      <c r="R48" s="95"/>
      <c r="S48" s="96"/>
    </row>
    <row r="49" spans="2:19" ht="14.25" hidden="1" customHeight="1" outlineLevel="1">
      <c r="B49" s="97">
        <v>39964</v>
      </c>
      <c r="D49" s="125">
        <v>798717.95</v>
      </c>
      <c r="E49" s="91">
        <f t="shared" si="1"/>
        <v>29815286.180000007</v>
      </c>
      <c r="F49" s="126">
        <f t="shared" si="2"/>
        <v>118815286.17999987</v>
      </c>
      <c r="G49" s="98">
        <f>(F37+F49+SUM(F38:F48)*2)/24</f>
        <v>114016417.58624987</v>
      </c>
      <c r="H49" s="71"/>
      <c r="I49" s="72"/>
      <c r="J49" s="93"/>
      <c r="K49" s="93"/>
      <c r="L49" s="93">
        <f t="shared" si="0"/>
        <v>118815286.17999987</v>
      </c>
      <c r="M49" s="94">
        <v>-280000</v>
      </c>
      <c r="N49" s="100">
        <f t="shared" si="4"/>
        <v>-10441017</v>
      </c>
      <c r="O49" s="94"/>
      <c r="P49" s="94"/>
      <c r="Q49" s="94"/>
      <c r="R49" s="95"/>
      <c r="S49" s="96"/>
    </row>
    <row r="50" spans="2:19" ht="14.25" hidden="1" customHeight="1" outlineLevel="1">
      <c r="B50" s="97">
        <v>39994</v>
      </c>
      <c r="D50" s="125">
        <v>798717.95</v>
      </c>
      <c r="E50" s="91">
        <f t="shared" si="1"/>
        <v>30614004.130000006</v>
      </c>
      <c r="F50" s="126">
        <f t="shared" si="2"/>
        <v>119614004.12999988</v>
      </c>
      <c r="G50" s="98">
        <f t="shared" si="3"/>
        <v>114817702.84249987</v>
      </c>
      <c r="H50" s="71"/>
      <c r="I50" s="72"/>
      <c r="J50" s="93"/>
      <c r="K50" s="93"/>
      <c r="L50" s="93">
        <f t="shared" si="0"/>
        <v>119614004.12999988</v>
      </c>
      <c r="M50" s="94">
        <v>-280000</v>
      </c>
      <c r="N50" s="100">
        <f t="shared" si="4"/>
        <v>-10721017</v>
      </c>
      <c r="O50" s="94"/>
      <c r="P50" s="94"/>
      <c r="Q50" s="94"/>
      <c r="R50" s="95"/>
      <c r="S50" s="96"/>
    </row>
    <row r="51" spans="2:19" ht="14.25" hidden="1" customHeight="1" outlineLevel="1">
      <c r="B51" s="97">
        <v>40025</v>
      </c>
      <c r="D51" s="125">
        <v>798717.95</v>
      </c>
      <c r="E51" s="91">
        <f t="shared" si="1"/>
        <v>31412722.080000006</v>
      </c>
      <c r="F51" s="126">
        <f t="shared" si="2"/>
        <v>120412722.07999988</v>
      </c>
      <c r="G51" s="98">
        <f t="shared" si="3"/>
        <v>115618417.58624987</v>
      </c>
      <c r="H51" s="71"/>
      <c r="I51" s="72"/>
      <c r="J51" s="93"/>
      <c r="K51" s="93"/>
      <c r="L51" s="93">
        <f t="shared" si="0"/>
        <v>120412722.07999988</v>
      </c>
      <c r="M51" s="94">
        <v>-280000</v>
      </c>
      <c r="N51" s="100">
        <f t="shared" si="4"/>
        <v>-11001017</v>
      </c>
      <c r="O51" s="94"/>
      <c r="P51" s="94"/>
      <c r="Q51" s="94"/>
      <c r="R51" s="95"/>
      <c r="S51" s="96"/>
    </row>
    <row r="52" spans="2:19" ht="14.25" hidden="1" customHeight="1" outlineLevel="1">
      <c r="B52" s="97">
        <v>40056</v>
      </c>
      <c r="D52" s="125">
        <v>798717.95</v>
      </c>
      <c r="E52" s="91">
        <f t="shared" si="1"/>
        <v>32211440.030000005</v>
      </c>
      <c r="F52" s="126">
        <f t="shared" si="2"/>
        <v>121211440.02999988</v>
      </c>
      <c r="G52" s="98">
        <f t="shared" si="3"/>
        <v>116418561.81749988</v>
      </c>
      <c r="H52" s="71"/>
      <c r="I52" s="72"/>
      <c r="J52" s="93"/>
      <c r="K52" s="93"/>
      <c r="L52" s="93">
        <f t="shared" si="0"/>
        <v>121211440.02999988</v>
      </c>
      <c r="M52" s="94">
        <v>-280000</v>
      </c>
      <c r="N52" s="100">
        <f t="shared" si="4"/>
        <v>-11281017</v>
      </c>
      <c r="O52" s="94"/>
      <c r="P52" s="94"/>
      <c r="Q52" s="94"/>
      <c r="R52" s="95"/>
      <c r="S52" s="96"/>
    </row>
    <row r="53" spans="2:19" ht="14.25" hidden="1" customHeight="1" outlineLevel="1">
      <c r="B53" s="97">
        <v>40086</v>
      </c>
      <c r="D53" s="125">
        <v>798717.95</v>
      </c>
      <c r="E53" s="91">
        <f t="shared" si="1"/>
        <v>33010157.980000004</v>
      </c>
      <c r="F53" s="126">
        <f t="shared" si="2"/>
        <v>122010157.97999988</v>
      </c>
      <c r="G53" s="98">
        <f t="shared" si="3"/>
        <v>117218135.53624988</v>
      </c>
      <c r="H53" s="71"/>
      <c r="I53" s="72"/>
      <c r="J53" s="93"/>
      <c r="K53" s="93"/>
      <c r="L53" s="93">
        <f t="shared" si="0"/>
        <v>122010157.97999988</v>
      </c>
      <c r="M53" s="94">
        <v>-275000</v>
      </c>
      <c r="N53" s="100">
        <f t="shared" si="4"/>
        <v>-11556017</v>
      </c>
      <c r="O53" s="94"/>
      <c r="P53" s="94"/>
      <c r="Q53" s="94"/>
      <c r="R53" s="95"/>
      <c r="S53" s="96"/>
    </row>
    <row r="54" spans="2:19" ht="14.25" hidden="1" customHeight="1" outlineLevel="1">
      <c r="B54" s="97">
        <v>40117</v>
      </c>
      <c r="D54" s="125">
        <v>798717.95</v>
      </c>
      <c r="E54" s="91">
        <f t="shared" si="1"/>
        <v>33808875.930000007</v>
      </c>
      <c r="F54" s="126">
        <f t="shared" si="2"/>
        <v>122808875.92999989</v>
      </c>
      <c r="G54" s="98">
        <f t="shared" si="3"/>
        <v>118017138.74249987</v>
      </c>
      <c r="H54" s="71"/>
      <c r="I54" s="72"/>
      <c r="J54" s="93"/>
      <c r="K54" s="93"/>
      <c r="L54" s="93">
        <f t="shared" si="0"/>
        <v>122808875.92999989</v>
      </c>
      <c r="M54" s="94">
        <v>-280000</v>
      </c>
      <c r="N54" s="100">
        <f>N53+M54</f>
        <v>-11836017</v>
      </c>
      <c r="O54" s="94"/>
      <c r="P54" s="94"/>
      <c r="Q54" s="94"/>
      <c r="R54" s="95"/>
      <c r="S54" s="96"/>
    </row>
    <row r="55" spans="2:19" ht="14.25" hidden="1" customHeight="1" outlineLevel="1">
      <c r="B55" s="97">
        <v>40147</v>
      </c>
      <c r="D55" s="125">
        <v>798717.95</v>
      </c>
      <c r="E55" s="91">
        <f t="shared" si="1"/>
        <v>34607593.88000001</v>
      </c>
      <c r="F55" s="126">
        <f t="shared" si="2"/>
        <v>123607593.87999989</v>
      </c>
      <c r="G55" s="98">
        <f t="shared" si="3"/>
        <v>118815571.43624985</v>
      </c>
      <c r="H55" s="71"/>
      <c r="I55" s="72"/>
      <c r="J55" s="93"/>
      <c r="K55" s="93"/>
      <c r="L55" s="93">
        <f t="shared" si="0"/>
        <v>123607593.87999989</v>
      </c>
      <c r="M55" s="94">
        <v>-280000</v>
      </c>
      <c r="N55" s="100">
        <f t="shared" si="4"/>
        <v>-12116017</v>
      </c>
      <c r="O55" s="94"/>
      <c r="P55" s="94"/>
      <c r="Q55" s="94"/>
      <c r="R55" s="95"/>
      <c r="S55" s="96"/>
    </row>
    <row r="56" spans="2:19" ht="14.25" hidden="1" customHeight="1" outlineLevel="1">
      <c r="B56" s="97">
        <v>40178</v>
      </c>
      <c r="D56" s="125">
        <v>798717.95</v>
      </c>
      <c r="E56" s="91">
        <f t="shared" si="1"/>
        <v>35406311.830000013</v>
      </c>
      <c r="F56" s="126">
        <f t="shared" si="2"/>
        <v>124406311.82999989</v>
      </c>
      <c r="G56" s="98">
        <f t="shared" si="3"/>
        <v>119614004.12999988</v>
      </c>
      <c r="H56" s="71"/>
      <c r="I56" s="72"/>
      <c r="J56" s="93"/>
      <c r="K56" s="93"/>
      <c r="L56" s="93">
        <f t="shared" si="0"/>
        <v>124406311.82999989</v>
      </c>
      <c r="M56" s="94">
        <v>-276000</v>
      </c>
      <c r="N56" s="100">
        <f t="shared" si="4"/>
        <v>-12392017</v>
      </c>
      <c r="O56" s="94"/>
      <c r="P56" s="94"/>
      <c r="Q56" s="94"/>
      <c r="R56" s="95"/>
      <c r="S56" s="96"/>
    </row>
    <row r="57" spans="2:19" ht="14.25" hidden="1" customHeight="1" outlineLevel="1">
      <c r="B57" s="97">
        <v>40209</v>
      </c>
      <c r="D57" s="125">
        <v>798717.95</v>
      </c>
      <c r="E57" s="91">
        <f t="shared" si="1"/>
        <v>36205029.780000016</v>
      </c>
      <c r="F57" s="126">
        <f t="shared" si="2"/>
        <v>125205029.7799999</v>
      </c>
      <c r="G57" s="98">
        <f t="shared" si="3"/>
        <v>120412722.07999988</v>
      </c>
      <c r="H57" s="71"/>
      <c r="I57" s="72"/>
      <c r="J57" s="93"/>
      <c r="K57" s="93"/>
      <c r="L57" s="93">
        <f t="shared" si="0"/>
        <v>125205029.7799999</v>
      </c>
      <c r="M57" s="94">
        <v>-280000</v>
      </c>
      <c r="N57" s="100">
        <f t="shared" si="4"/>
        <v>-12672017</v>
      </c>
      <c r="O57" s="94"/>
      <c r="P57" s="94"/>
      <c r="Q57" s="94"/>
      <c r="R57" s="95"/>
      <c r="S57" s="96"/>
    </row>
    <row r="58" spans="2:19" ht="14.25" hidden="1" customHeight="1" outlineLevel="1">
      <c r="B58" s="97">
        <v>40237</v>
      </c>
      <c r="D58" s="125">
        <v>798717.95</v>
      </c>
      <c r="E58" s="91">
        <f t="shared" si="1"/>
        <v>37003747.730000019</v>
      </c>
      <c r="F58" s="126">
        <f t="shared" si="2"/>
        <v>126003747.7299999</v>
      </c>
      <c r="G58" s="98">
        <f t="shared" si="3"/>
        <v>121211440.0299999</v>
      </c>
      <c r="H58" s="71"/>
      <c r="I58" s="72"/>
      <c r="J58" s="93"/>
      <c r="K58" s="93"/>
      <c r="L58" s="93">
        <f t="shared" si="0"/>
        <v>126003747.7299999</v>
      </c>
      <c r="M58" s="94">
        <v>-280000</v>
      </c>
      <c r="N58" s="100">
        <f t="shared" si="4"/>
        <v>-12952017</v>
      </c>
      <c r="O58" s="94"/>
      <c r="P58" s="94"/>
      <c r="Q58" s="94"/>
      <c r="R58" s="95"/>
      <c r="S58" s="96"/>
    </row>
    <row r="59" spans="2:19" ht="14.25" hidden="1" customHeight="1" outlineLevel="1">
      <c r="B59" s="97">
        <v>40268</v>
      </c>
      <c r="D59" s="125">
        <v>798717.95</v>
      </c>
      <c r="E59" s="91">
        <f t="shared" si="1"/>
        <v>37802465.680000022</v>
      </c>
      <c r="F59" s="126">
        <f t="shared" si="2"/>
        <v>126802465.6799999</v>
      </c>
      <c r="G59" s="98">
        <f t="shared" si="3"/>
        <v>122010157.97999988</v>
      </c>
      <c r="H59" s="71"/>
      <c r="I59" s="72"/>
      <c r="J59" s="93"/>
      <c r="K59" s="93"/>
      <c r="L59" s="93">
        <f t="shared" si="0"/>
        <v>126802465.6799999</v>
      </c>
      <c r="M59" s="94">
        <v>-280000</v>
      </c>
      <c r="N59" s="100">
        <f>N58+M59</f>
        <v>-13232017</v>
      </c>
      <c r="O59" s="94"/>
      <c r="P59" s="94"/>
      <c r="Q59" s="94"/>
      <c r="R59" s="95"/>
      <c r="S59" s="96"/>
    </row>
    <row r="60" spans="2:19" ht="14.25" hidden="1" customHeight="1" outlineLevel="1">
      <c r="B60" s="97">
        <v>40298</v>
      </c>
      <c r="D60" s="125">
        <v>787307.69</v>
      </c>
      <c r="E60" s="91">
        <f t="shared" si="1"/>
        <v>38589773.37000002</v>
      </c>
      <c r="F60" s="126">
        <f>F59+D60</f>
        <v>127589773.3699999</v>
      </c>
      <c r="G60" s="98">
        <f t="shared" si="3"/>
        <v>122808400.50249988</v>
      </c>
      <c r="H60" s="71"/>
      <c r="I60" s="72"/>
      <c r="J60" s="93"/>
      <c r="K60" s="93"/>
      <c r="L60" s="93">
        <f t="shared" si="0"/>
        <v>127589773.3699999</v>
      </c>
      <c r="M60" s="94">
        <v>-276000</v>
      </c>
      <c r="N60" s="100">
        <f>N59+M60</f>
        <v>-13508017</v>
      </c>
      <c r="O60" s="94"/>
      <c r="P60" s="94"/>
      <c r="Q60" s="94"/>
      <c r="R60" s="95"/>
      <c r="S60" s="96"/>
    </row>
    <row r="61" spans="2:19" ht="14.25" hidden="1" customHeight="1" outlineLevel="1">
      <c r="B61" s="97">
        <v>40329</v>
      </c>
      <c r="D61" s="125">
        <v>787307.69</v>
      </c>
      <c r="E61" s="91">
        <f t="shared" si="1"/>
        <v>39377081.060000017</v>
      </c>
      <c r="F61" s="126">
        <f t="shared" si="2"/>
        <v>128377081.0599999</v>
      </c>
      <c r="G61" s="98">
        <f t="shared" si="3"/>
        <v>123605692.16999988</v>
      </c>
      <c r="H61" s="71"/>
      <c r="I61" s="72"/>
      <c r="J61" s="93"/>
      <c r="K61" s="93"/>
      <c r="L61" s="93">
        <f t="shared" si="0"/>
        <v>128377081.0599999</v>
      </c>
      <c r="M61" s="94">
        <v>-276000</v>
      </c>
      <c r="N61" s="100">
        <f t="shared" si="4"/>
        <v>-13784017</v>
      </c>
      <c r="O61" s="94"/>
      <c r="P61" s="94"/>
      <c r="Q61" s="94"/>
      <c r="R61" s="95"/>
      <c r="S61" s="96"/>
    </row>
    <row r="62" spans="2:19" ht="14.25" hidden="1" customHeight="1" outlineLevel="1">
      <c r="B62" s="97">
        <v>40359</v>
      </c>
      <c r="D62" s="125">
        <v>787307.69</v>
      </c>
      <c r="E62" s="91">
        <f t="shared" si="1"/>
        <v>40164388.750000015</v>
      </c>
      <c r="F62" s="126">
        <f t="shared" si="2"/>
        <v>129164388.7499999</v>
      </c>
      <c r="G62" s="98">
        <f t="shared" si="3"/>
        <v>124402032.9824999</v>
      </c>
      <c r="H62" s="71"/>
      <c r="I62" s="72"/>
      <c r="J62" s="93"/>
      <c r="K62" s="93"/>
      <c r="L62" s="93">
        <f t="shared" si="0"/>
        <v>129164388.7499999</v>
      </c>
      <c r="M62" s="94">
        <v>-276000</v>
      </c>
      <c r="N62" s="100">
        <f t="shared" si="4"/>
        <v>-14060017</v>
      </c>
      <c r="O62" s="94"/>
      <c r="P62" s="94"/>
      <c r="Q62" s="94"/>
      <c r="R62" s="95"/>
      <c r="S62" s="96"/>
    </row>
    <row r="63" spans="2:19" ht="14.25" hidden="1" customHeight="1" outlineLevel="1">
      <c r="B63" s="97">
        <v>40390</v>
      </c>
      <c r="D63" s="125">
        <v>787307.69</v>
      </c>
      <c r="E63" s="91">
        <f t="shared" si="1"/>
        <v>40951696.440000013</v>
      </c>
      <c r="F63" s="126">
        <f t="shared" si="2"/>
        <v>129951696.43999989</v>
      </c>
      <c r="G63" s="98">
        <f t="shared" si="3"/>
        <v>125197422.93999992</v>
      </c>
      <c r="H63" s="71"/>
      <c r="I63" s="72"/>
      <c r="J63" s="93"/>
      <c r="K63" s="93"/>
      <c r="L63" s="93">
        <f t="shared" si="0"/>
        <v>129951696.43999989</v>
      </c>
      <c r="M63" s="94">
        <v>-276000</v>
      </c>
      <c r="N63" s="100">
        <f t="shared" si="4"/>
        <v>-14336017</v>
      </c>
      <c r="O63" s="94"/>
      <c r="P63" s="94"/>
      <c r="Q63" s="94"/>
      <c r="R63" s="95"/>
      <c r="S63" s="96"/>
    </row>
    <row r="64" spans="2:19" ht="14.25" hidden="1" customHeight="1" outlineLevel="1">
      <c r="B64" s="97">
        <v>40421</v>
      </c>
      <c r="D64" s="125">
        <v>787307.69</v>
      </c>
      <c r="E64" s="91">
        <f t="shared" si="1"/>
        <v>41739004.13000001</v>
      </c>
      <c r="F64" s="126">
        <f t="shared" si="2"/>
        <v>130739004.12999989</v>
      </c>
      <c r="G64" s="98">
        <f t="shared" si="3"/>
        <v>125991862.0424999</v>
      </c>
      <c r="H64" s="71"/>
      <c r="I64" s="72"/>
      <c r="J64" s="93"/>
      <c r="K64" s="93"/>
      <c r="L64" s="93">
        <f t="shared" si="0"/>
        <v>130739004.12999989</v>
      </c>
      <c r="M64" s="94">
        <v>-276000</v>
      </c>
      <c r="N64" s="100">
        <f t="shared" si="4"/>
        <v>-14612017</v>
      </c>
      <c r="O64" s="94"/>
      <c r="P64" s="94"/>
      <c r="Q64" s="94"/>
      <c r="R64" s="95"/>
      <c r="S64" s="96"/>
    </row>
    <row r="65" spans="2:19" ht="14.25" hidden="1" customHeight="1" outlineLevel="1">
      <c r="B65" s="97">
        <v>40451</v>
      </c>
      <c r="D65" s="125">
        <v>787307.69</v>
      </c>
      <c r="E65" s="91">
        <f>D65+E64</f>
        <v>42526311.820000008</v>
      </c>
      <c r="F65" s="126">
        <f t="shared" si="2"/>
        <v>131526311.81999989</v>
      </c>
      <c r="G65" s="98">
        <f t="shared" si="3"/>
        <v>126785350.28999989</v>
      </c>
      <c r="H65" s="71"/>
      <c r="I65" s="72"/>
      <c r="J65" s="93"/>
      <c r="K65" s="93"/>
      <c r="L65" s="93">
        <f t="shared" si="0"/>
        <v>131526311.81999989</v>
      </c>
      <c r="M65" s="94">
        <v>-272000</v>
      </c>
      <c r="N65" s="100">
        <f t="shared" si="4"/>
        <v>-14884017</v>
      </c>
      <c r="O65" s="94"/>
      <c r="P65" s="94"/>
      <c r="Q65" s="94"/>
      <c r="R65" s="95"/>
      <c r="S65" s="96"/>
    </row>
    <row r="66" spans="2:19" ht="14.25" hidden="1" customHeight="1" outlineLevel="1">
      <c r="B66" s="97">
        <v>40482</v>
      </c>
      <c r="D66" s="125">
        <v>787307.69</v>
      </c>
      <c r="E66" s="91">
        <f t="shared" si="1"/>
        <v>43313619.510000005</v>
      </c>
      <c r="F66" s="126">
        <f t="shared" si="2"/>
        <v>132313619.50999989</v>
      </c>
      <c r="G66" s="98">
        <f t="shared" si="3"/>
        <v>127577887.68249989</v>
      </c>
      <c r="H66" s="71"/>
      <c r="I66" s="72"/>
      <c r="J66" s="93"/>
      <c r="K66" s="93"/>
      <c r="L66" s="93">
        <f>F66+I66</f>
        <v>132313619.50999989</v>
      </c>
      <c r="M66" s="94">
        <f t="shared" ref="M66:M78" si="5">-D66*0.35</f>
        <v>-275557.69149999996</v>
      </c>
      <c r="N66" s="100">
        <f t="shared" si="4"/>
        <v>-15159574.691500001</v>
      </c>
      <c r="O66" s="94"/>
      <c r="P66" s="94"/>
      <c r="Q66" s="94"/>
      <c r="R66" s="95"/>
      <c r="S66" s="96"/>
    </row>
    <row r="67" spans="2:19" ht="14.25" hidden="1" customHeight="1" outlineLevel="1">
      <c r="B67" s="97">
        <v>40512</v>
      </c>
      <c r="D67" s="125">
        <v>787307.69</v>
      </c>
      <c r="E67" s="91">
        <f t="shared" si="1"/>
        <v>44100927.200000003</v>
      </c>
      <c r="F67" s="126">
        <f t="shared" si="2"/>
        <v>133100927.19999988</v>
      </c>
      <c r="G67" s="98">
        <f t="shared" si="3"/>
        <v>128369474.21999992</v>
      </c>
      <c r="H67" s="71"/>
      <c r="I67" s="72"/>
      <c r="J67" s="93"/>
      <c r="K67" s="93"/>
      <c r="L67" s="93">
        <f t="shared" si="0"/>
        <v>133100927.19999988</v>
      </c>
      <c r="M67" s="94">
        <f t="shared" si="5"/>
        <v>-275557.69149999996</v>
      </c>
      <c r="N67" s="100">
        <f t="shared" si="4"/>
        <v>-15435132.383000001</v>
      </c>
      <c r="O67" s="94"/>
      <c r="P67" s="94"/>
      <c r="Q67" s="94"/>
      <c r="R67" s="95"/>
      <c r="S67" s="96"/>
    </row>
    <row r="68" spans="2:19" ht="14.25" hidden="1" customHeight="1" outlineLevel="1">
      <c r="B68" s="97">
        <v>40543</v>
      </c>
      <c r="D68" s="125">
        <v>787307.69</v>
      </c>
      <c r="E68" s="91">
        <f t="shared" si="1"/>
        <v>44888234.890000001</v>
      </c>
      <c r="F68" s="126">
        <f>F67+D68</f>
        <v>133888234.88999988</v>
      </c>
      <c r="G68" s="98">
        <f t="shared" si="3"/>
        <v>129160109.9024999</v>
      </c>
      <c r="H68" s="71"/>
      <c r="I68" s="72"/>
      <c r="J68" s="93"/>
      <c r="K68" s="93"/>
      <c r="L68" s="93">
        <f t="shared" si="0"/>
        <v>133888234.88999988</v>
      </c>
      <c r="M68" s="94">
        <f t="shared" si="5"/>
        <v>-275557.69149999996</v>
      </c>
      <c r="N68" s="100">
        <f t="shared" si="4"/>
        <v>-15710690.074500002</v>
      </c>
      <c r="O68" s="94"/>
      <c r="P68" s="94"/>
      <c r="Q68" s="94"/>
      <c r="R68" s="559">
        <f>F68+I68+N68</f>
        <v>118177544.81549987</v>
      </c>
      <c r="S68" s="149"/>
    </row>
    <row r="69" spans="2:19" ht="14.25" hidden="1" customHeight="1" outlineLevel="1">
      <c r="B69" s="97">
        <v>40574</v>
      </c>
      <c r="D69" s="125">
        <v>787307.69</v>
      </c>
      <c r="E69" s="91">
        <f t="shared" si="1"/>
        <v>45675542.579999998</v>
      </c>
      <c r="F69" s="126">
        <f t="shared" si="2"/>
        <v>134675542.57999989</v>
      </c>
      <c r="G69" s="98">
        <f t="shared" si="3"/>
        <v>129949794.72999988</v>
      </c>
      <c r="H69" s="71"/>
      <c r="I69" s="72"/>
      <c r="J69" s="93"/>
      <c r="K69" s="93"/>
      <c r="L69" s="93">
        <f t="shared" si="0"/>
        <v>134675542.57999989</v>
      </c>
      <c r="M69" s="94">
        <f t="shared" si="5"/>
        <v>-275557.69149999996</v>
      </c>
      <c r="N69" s="100">
        <f t="shared" si="4"/>
        <v>-15986247.766000003</v>
      </c>
      <c r="O69" s="94"/>
      <c r="P69" s="94"/>
      <c r="Q69" s="94"/>
      <c r="R69" s="95">
        <f t="shared" ref="R69:R78" si="6">F69+I69+N69</f>
        <v>118689294.81399989</v>
      </c>
      <c r="S69" s="149"/>
    </row>
    <row r="70" spans="2:19" ht="14.25" hidden="1" customHeight="1" outlineLevel="1">
      <c r="B70" s="97">
        <v>40602</v>
      </c>
      <c r="D70" s="125">
        <v>787307.69</v>
      </c>
      <c r="E70" s="91">
        <f t="shared" si="1"/>
        <v>46462850.269999996</v>
      </c>
      <c r="F70" s="126">
        <f t="shared" si="2"/>
        <v>135462850.26999989</v>
      </c>
      <c r="G70" s="98">
        <f t="shared" si="3"/>
        <v>130738528.70249991</v>
      </c>
      <c r="H70" s="71"/>
      <c r="I70" s="72"/>
      <c r="J70" s="93"/>
      <c r="K70" s="93"/>
      <c r="L70" s="93">
        <f t="shared" si="0"/>
        <v>135462850.26999989</v>
      </c>
      <c r="M70" s="94">
        <f t="shared" si="5"/>
        <v>-275557.69149999996</v>
      </c>
      <c r="N70" s="100">
        <f t="shared" si="4"/>
        <v>-16261805.457500003</v>
      </c>
      <c r="O70" s="94"/>
      <c r="P70" s="94"/>
      <c r="Q70" s="94"/>
      <c r="R70" s="95">
        <f t="shared" si="6"/>
        <v>119201044.81249988</v>
      </c>
      <c r="S70" s="149"/>
    </row>
    <row r="71" spans="2:19" ht="14.25" hidden="1" customHeight="1" outlineLevel="1">
      <c r="B71" s="97">
        <v>40633</v>
      </c>
      <c r="D71" s="125">
        <v>787307.69</v>
      </c>
      <c r="E71" s="91">
        <f t="shared" si="1"/>
        <v>47250157.959999993</v>
      </c>
      <c r="F71" s="126">
        <f t="shared" si="2"/>
        <v>136250157.95999989</v>
      </c>
      <c r="G71" s="98">
        <f t="shared" si="3"/>
        <v>131526311.81999992</v>
      </c>
      <c r="H71" s="71"/>
      <c r="I71" s="72"/>
      <c r="J71" s="93"/>
      <c r="K71" s="93"/>
      <c r="L71" s="93">
        <f t="shared" si="0"/>
        <v>136250157.95999989</v>
      </c>
      <c r="M71" s="94">
        <f t="shared" si="5"/>
        <v>-275557.69149999996</v>
      </c>
      <c r="N71" s="100">
        <f t="shared" si="4"/>
        <v>-16537363.149000004</v>
      </c>
      <c r="O71" s="94"/>
      <c r="P71" s="94"/>
      <c r="Q71" s="94"/>
      <c r="R71" s="95">
        <f t="shared" si="6"/>
        <v>119712794.81099989</v>
      </c>
      <c r="S71" s="149"/>
    </row>
    <row r="72" spans="2:19" ht="14.25" hidden="1" customHeight="1" outlineLevel="1">
      <c r="B72" s="97">
        <v>40663</v>
      </c>
      <c r="D72" s="125">
        <v>787307.69</v>
      </c>
      <c r="E72" s="91">
        <f t="shared" si="1"/>
        <v>48037465.649999991</v>
      </c>
      <c r="F72" s="126">
        <f t="shared" si="2"/>
        <v>137037465.64999989</v>
      </c>
      <c r="G72" s="98">
        <f t="shared" si="3"/>
        <v>132313619.50999989</v>
      </c>
      <c r="H72" s="71"/>
      <c r="I72" s="72"/>
      <c r="J72" s="93"/>
      <c r="K72" s="93"/>
      <c r="L72" s="93">
        <f t="shared" si="0"/>
        <v>137037465.64999989</v>
      </c>
      <c r="M72" s="94">
        <f t="shared" si="5"/>
        <v>-275557.69149999996</v>
      </c>
      <c r="N72" s="100">
        <f t="shared" si="4"/>
        <v>-16812920.840500005</v>
      </c>
      <c r="O72" s="94"/>
      <c r="P72" s="94"/>
      <c r="Q72" s="94"/>
      <c r="R72" s="95">
        <f t="shared" si="6"/>
        <v>120224544.80949989</v>
      </c>
      <c r="S72" s="149"/>
    </row>
    <row r="73" spans="2:19" hidden="1" outlineLevel="1">
      <c r="B73" s="97">
        <v>40694</v>
      </c>
      <c r="C73" s="97"/>
      <c r="D73" s="125">
        <v>787307.69</v>
      </c>
      <c r="E73" s="91">
        <f t="shared" si="1"/>
        <v>48824773.339999989</v>
      </c>
      <c r="F73" s="126">
        <f t="shared" si="2"/>
        <v>137824773.33999988</v>
      </c>
      <c r="G73" s="98">
        <f t="shared" si="3"/>
        <v>133100927.19999988</v>
      </c>
      <c r="H73" s="91"/>
      <c r="I73" s="99"/>
      <c r="J73" s="93"/>
      <c r="K73" s="93"/>
      <c r="L73" s="93">
        <f t="shared" si="0"/>
        <v>137824773.33999988</v>
      </c>
      <c r="M73" s="94">
        <f t="shared" si="5"/>
        <v>-275557.69149999996</v>
      </c>
      <c r="N73" s="100">
        <f>N72+M73</f>
        <v>-17088478.532000005</v>
      </c>
      <c r="O73" s="100"/>
      <c r="P73" s="94"/>
      <c r="Q73" s="94"/>
      <c r="R73" s="95">
        <f t="shared" si="6"/>
        <v>120736294.80799988</v>
      </c>
      <c r="S73" s="101"/>
    </row>
    <row r="74" spans="2:19" hidden="1" outlineLevel="1">
      <c r="B74" s="97">
        <v>40724</v>
      </c>
      <c r="C74" s="97"/>
      <c r="D74" s="125">
        <v>787307.69</v>
      </c>
      <c r="E74" s="91">
        <f t="shared" si="1"/>
        <v>49612081.029999986</v>
      </c>
      <c r="F74" s="126">
        <f t="shared" si="2"/>
        <v>138612081.02999988</v>
      </c>
      <c r="G74" s="98">
        <f t="shared" si="3"/>
        <v>133888234.88999988</v>
      </c>
      <c r="H74" s="102"/>
      <c r="I74" s="100"/>
      <c r="J74" s="93"/>
      <c r="K74" s="93"/>
      <c r="L74" s="93">
        <f t="shared" si="0"/>
        <v>138612081.02999988</v>
      </c>
      <c r="M74" s="94">
        <f t="shared" si="5"/>
        <v>-275557.69149999996</v>
      </c>
      <c r="N74" s="100">
        <f>N73+M74</f>
        <v>-17364036.223500006</v>
      </c>
      <c r="O74" s="100"/>
      <c r="P74" s="94"/>
      <c r="Q74" s="94"/>
      <c r="R74" s="95">
        <f t="shared" si="6"/>
        <v>121248044.80649987</v>
      </c>
      <c r="S74" s="101"/>
    </row>
    <row r="75" spans="2:19" hidden="1" outlineLevel="1">
      <c r="B75" s="97">
        <v>40755</v>
      </c>
      <c r="C75" s="97"/>
      <c r="D75" s="125">
        <v>787307.69</v>
      </c>
      <c r="E75" s="91">
        <f t="shared" si="1"/>
        <v>50399388.719999984</v>
      </c>
      <c r="F75" s="126">
        <f t="shared" si="2"/>
        <v>139399388.71999988</v>
      </c>
      <c r="G75" s="98">
        <f t="shared" si="3"/>
        <v>134675542.57999989</v>
      </c>
      <c r="H75" s="102"/>
      <c r="I75" s="100"/>
      <c r="J75" s="93"/>
      <c r="K75" s="93"/>
      <c r="L75" s="93">
        <f t="shared" si="0"/>
        <v>139399388.71999988</v>
      </c>
      <c r="M75" s="94">
        <f t="shared" si="5"/>
        <v>-275557.69149999996</v>
      </c>
      <c r="N75" s="100">
        <f t="shared" si="4"/>
        <v>-17639593.915000007</v>
      </c>
      <c r="O75" s="100"/>
      <c r="P75" s="94"/>
      <c r="Q75" s="94"/>
      <c r="R75" s="95">
        <f t="shared" si="6"/>
        <v>121759794.80499987</v>
      </c>
      <c r="S75" s="101"/>
    </row>
    <row r="76" spans="2:19" hidden="1" outlineLevel="1">
      <c r="B76" s="97">
        <v>40786</v>
      </c>
      <c r="C76" s="97"/>
      <c r="D76" s="125">
        <v>787307.69</v>
      </c>
      <c r="E76" s="91">
        <f t="shared" si="1"/>
        <v>51186696.409999982</v>
      </c>
      <c r="F76" s="126">
        <f t="shared" si="2"/>
        <v>140186696.40999988</v>
      </c>
      <c r="G76" s="98">
        <f t="shared" si="3"/>
        <v>135462850.26999989</v>
      </c>
      <c r="H76" s="102"/>
      <c r="I76" s="100"/>
      <c r="J76" s="93"/>
      <c r="K76" s="93"/>
      <c r="L76" s="93">
        <f t="shared" si="0"/>
        <v>140186696.40999988</v>
      </c>
      <c r="M76" s="94">
        <f t="shared" si="5"/>
        <v>-275557.69149999996</v>
      </c>
      <c r="N76" s="100">
        <f t="shared" si="4"/>
        <v>-17915151.606500007</v>
      </c>
      <c r="O76" s="100"/>
      <c r="P76" s="94"/>
      <c r="Q76" s="94"/>
      <c r="R76" s="95">
        <f>F76+I76+N76</f>
        <v>122271544.80349988</v>
      </c>
      <c r="S76" s="101"/>
    </row>
    <row r="77" spans="2:19" s="65" customFormat="1" hidden="1" outlineLevel="1">
      <c r="B77" s="97">
        <v>40816</v>
      </c>
      <c r="C77" s="103"/>
      <c r="D77" s="125">
        <v>787307.69</v>
      </c>
      <c r="E77" s="91">
        <f t="shared" si="1"/>
        <v>51974004.099999979</v>
      </c>
      <c r="F77" s="126">
        <f t="shared" si="2"/>
        <v>140974004.09999987</v>
      </c>
      <c r="G77" s="98">
        <f t="shared" si="3"/>
        <v>136250157.95999989</v>
      </c>
      <c r="H77" s="102"/>
      <c r="I77" s="100"/>
      <c r="J77" s="93"/>
      <c r="K77" s="93"/>
      <c r="L77" s="93">
        <f t="shared" ref="L77:L140" si="7">F77+I77</f>
        <v>140974004.09999987</v>
      </c>
      <c r="M77" s="94">
        <f t="shared" si="5"/>
        <v>-275557.69149999996</v>
      </c>
      <c r="N77" s="100">
        <f t="shared" si="4"/>
        <v>-18190709.298000008</v>
      </c>
      <c r="O77" s="102"/>
      <c r="P77" s="94"/>
      <c r="Q77" s="94"/>
      <c r="R77" s="95">
        <f t="shared" si="6"/>
        <v>122783294.80199987</v>
      </c>
      <c r="S77" s="101"/>
    </row>
    <row r="78" spans="2:19" s="65" customFormat="1" hidden="1" outlineLevel="1">
      <c r="B78" s="97">
        <v>40847</v>
      </c>
      <c r="C78" s="97"/>
      <c r="D78" s="125">
        <v>787307.69</v>
      </c>
      <c r="E78" s="91">
        <f t="shared" ref="E78:E141" si="8">D78+E77</f>
        <v>52761311.789999977</v>
      </c>
      <c r="F78" s="126">
        <f>F77+D78</f>
        <v>141761311.78999987</v>
      </c>
      <c r="G78" s="98">
        <f>(F66+F78+SUM(F67:F77)*2)/24</f>
        <v>137037465.64999989</v>
      </c>
      <c r="H78" s="102"/>
      <c r="I78" s="100"/>
      <c r="J78" s="93"/>
      <c r="K78" s="93"/>
      <c r="L78" s="93">
        <f t="shared" si="7"/>
        <v>141761311.78999987</v>
      </c>
      <c r="M78" s="94">
        <f t="shared" si="5"/>
        <v>-275557.69149999996</v>
      </c>
      <c r="N78" s="100">
        <f t="shared" si="4"/>
        <v>-18466266.989500009</v>
      </c>
      <c r="O78" s="102"/>
      <c r="P78" s="94"/>
      <c r="Q78" s="94"/>
      <c r="R78" s="95">
        <f t="shared" si="6"/>
        <v>123295044.80049986</v>
      </c>
      <c r="S78" s="101"/>
    </row>
    <row r="79" spans="2:19" s="66" customFormat="1" hidden="1" outlineLevel="1">
      <c r="B79" s="105">
        <v>40877</v>
      </c>
      <c r="C79" s="105"/>
      <c r="D79" s="125"/>
      <c r="E79" s="91">
        <f t="shared" si="8"/>
        <v>52761311.789999977</v>
      </c>
      <c r="F79" s="126">
        <f t="shared" ref="F79:F142" si="9">F78+D79</f>
        <v>141761311.78999987</v>
      </c>
      <c r="G79" s="98">
        <f t="shared" si="3"/>
        <v>137791968.85291657</v>
      </c>
      <c r="H79" s="100">
        <f>F78/240</f>
        <v>590672.13245833281</v>
      </c>
      <c r="I79" s="100">
        <f>I78-H79</f>
        <v>-590672.13245833281</v>
      </c>
      <c r="J79" s="98">
        <f>(I67+I79+SUM(I68:I78)*2)/24</f>
        <v>-24611.338852430534</v>
      </c>
      <c r="K79" s="98">
        <f t="shared" ref="K79:K142" si="10">G79+J79</f>
        <v>137767357.51406413</v>
      </c>
      <c r="L79" s="93">
        <f>F79+I79</f>
        <v>141170639.65754154</v>
      </c>
      <c r="M79" s="94">
        <f>(E79/240*0.35)</f>
        <v>76943.579693749954</v>
      </c>
      <c r="N79" s="100">
        <f>N78+M79</f>
        <v>-18389323.409806259</v>
      </c>
      <c r="O79" s="98">
        <f t="shared" ref="O79:O86" si="11">(N67+N79+SUM(N68:N78)*2)/24</f>
        <v>-17073790.979033601</v>
      </c>
      <c r="P79" s="95">
        <f t="shared" ref="P79:P142" si="12">O79+K79</f>
        <v>120693566.53503053</v>
      </c>
      <c r="Q79" s="94"/>
      <c r="R79" s="95">
        <f>F79+I79+N79</f>
        <v>122781316.24773529</v>
      </c>
      <c r="S79" s="95"/>
    </row>
    <row r="80" spans="2:19" s="65" customFormat="1" hidden="1" outlineLevel="1">
      <c r="B80" s="97">
        <v>40908</v>
      </c>
      <c r="C80" s="97"/>
      <c r="D80" s="125"/>
      <c r="E80" s="91">
        <f>D80+E79</f>
        <v>52761311.789999977</v>
      </c>
      <c r="F80" s="126">
        <f>F79+D80</f>
        <v>141761311.78999987</v>
      </c>
      <c r="G80" s="98">
        <f>(F68+F80+SUM(F69:F79)*2)/24</f>
        <v>138480863.08166656</v>
      </c>
      <c r="H80" s="100">
        <f t="shared" ref="H80:H143" si="13">F79/240</f>
        <v>590672.13245833281</v>
      </c>
      <c r="I80" s="100">
        <f>I79-H80</f>
        <v>-1181344.2649166656</v>
      </c>
      <c r="J80" s="98">
        <f>(I68+I80+SUM(I69:I79)*2)/24</f>
        <v>-98445.355409722135</v>
      </c>
      <c r="K80" s="98">
        <f t="shared" si="10"/>
        <v>138382417.72625685</v>
      </c>
      <c r="L80" s="93">
        <f t="shared" si="7"/>
        <v>140579967.52508321</v>
      </c>
      <c r="M80" s="94">
        <f>(E80/240*0.35)</f>
        <v>76943.579693749954</v>
      </c>
      <c r="N80" s="100">
        <f>N79+M80</f>
        <v>-18312379.830112509</v>
      </c>
      <c r="O80" s="98">
        <f t="shared" si="11"/>
        <v>-17305286.01163438</v>
      </c>
      <c r="P80" s="95">
        <f t="shared" si="12"/>
        <v>121077131.71462247</v>
      </c>
      <c r="Q80" s="94"/>
      <c r="R80" s="95">
        <f>F80+I80+N80</f>
        <v>122267587.6949707</v>
      </c>
      <c r="S80" s="101"/>
    </row>
    <row r="81" spans="2:22" s="65" customFormat="1" hidden="1" outlineLevel="1">
      <c r="B81" s="97">
        <v>40939</v>
      </c>
      <c r="C81" s="97"/>
      <c r="D81" s="125"/>
      <c r="E81" s="91">
        <f t="shared" si="8"/>
        <v>52761311.789999977</v>
      </c>
      <c r="F81" s="126">
        <f t="shared" si="9"/>
        <v>141761311.78999987</v>
      </c>
      <c r="G81" s="98">
        <f t="shared" si="3"/>
        <v>139104148.33624992</v>
      </c>
      <c r="H81" s="100">
        <f t="shared" si="13"/>
        <v>590672.13245833281</v>
      </c>
      <c r="I81" s="100">
        <f>I80-H81</f>
        <v>-1772016.3973749983</v>
      </c>
      <c r="J81" s="98">
        <f t="shared" ref="J81:J144" si="14">(I69+I81+SUM(I70:I80)*2)/24</f>
        <v>-221502.04967187476</v>
      </c>
      <c r="K81" s="98">
        <f t="shared" si="10"/>
        <v>138882646.28657803</v>
      </c>
      <c r="L81" s="93">
        <f t="shared" si="7"/>
        <v>139989295.39262488</v>
      </c>
      <c r="M81" s="94">
        <f t="shared" ref="M81:M144" si="15">(E81/240*0.35)</f>
        <v>76943.579693749954</v>
      </c>
      <c r="N81" s="100">
        <f t="shared" si="4"/>
        <v>-18235436.25041876</v>
      </c>
      <c r="O81" s="98">
        <f t="shared" si="11"/>
        <v>-17507405.938302349</v>
      </c>
      <c r="P81" s="95">
        <f t="shared" si="12"/>
        <v>121375240.34827568</v>
      </c>
      <c r="Q81" s="94"/>
      <c r="R81" s="95">
        <f t="shared" ref="R81:R144" si="16">F81+I81+N81</f>
        <v>121753859.14220613</v>
      </c>
      <c r="S81" s="101"/>
    </row>
    <row r="82" spans="2:22" s="65" customFormat="1" hidden="1" outlineLevel="1">
      <c r="B82" s="97">
        <v>40967</v>
      </c>
      <c r="C82" s="97"/>
      <c r="D82" s="125"/>
      <c r="E82" s="91">
        <f t="shared" si="8"/>
        <v>52761311.789999977</v>
      </c>
      <c r="F82" s="126">
        <f t="shared" si="9"/>
        <v>141761311.78999987</v>
      </c>
      <c r="G82" s="98">
        <f t="shared" si="3"/>
        <v>139661824.61666659</v>
      </c>
      <c r="H82" s="100">
        <f t="shared" si="13"/>
        <v>590672.13245833281</v>
      </c>
      <c r="I82" s="100">
        <f t="shared" ref="I82:I145" si="17">I81-H82</f>
        <v>-2362688.5298333312</v>
      </c>
      <c r="J82" s="98">
        <f>(I70+I82+SUM(I71:I81)*2)/24</f>
        <v>-393781.42163888854</v>
      </c>
      <c r="K82" s="98">
        <f t="shared" si="10"/>
        <v>139268043.19502771</v>
      </c>
      <c r="L82" s="93">
        <f t="shared" si="7"/>
        <v>139398623.26016656</v>
      </c>
      <c r="M82" s="94">
        <f t="shared" si="15"/>
        <v>76943.579693749954</v>
      </c>
      <c r="N82" s="100">
        <f>N81+M82</f>
        <v>-18158492.67072501</v>
      </c>
      <c r="O82" s="98">
        <f t="shared" si="11"/>
        <v>-17680150.759037506</v>
      </c>
      <c r="P82" s="95">
        <f t="shared" si="12"/>
        <v>121587892.4359902</v>
      </c>
      <c r="Q82" s="94"/>
      <c r="R82" s="95">
        <f t="shared" si="16"/>
        <v>121240130.58944154</v>
      </c>
      <c r="S82" s="101"/>
    </row>
    <row r="83" spans="2:22" s="65" customFormat="1" ht="12.75" hidden="1" customHeight="1" outlineLevel="1">
      <c r="B83" s="97">
        <v>40999</v>
      </c>
      <c r="C83" s="97"/>
      <c r="D83" s="125"/>
      <c r="E83" s="91">
        <f t="shared" si="8"/>
        <v>52761311.789999977</v>
      </c>
      <c r="F83" s="126">
        <f t="shared" si="9"/>
        <v>141761311.78999987</v>
      </c>
      <c r="G83" s="98">
        <f t="shared" si="3"/>
        <v>140153891.92291656</v>
      </c>
      <c r="H83" s="100">
        <f t="shared" si="13"/>
        <v>590672.13245833281</v>
      </c>
      <c r="I83" s="100">
        <f t="shared" si="17"/>
        <v>-2953360.6622916642</v>
      </c>
      <c r="J83" s="98">
        <f t="shared" si="14"/>
        <v>-615283.47131076327</v>
      </c>
      <c r="K83" s="98">
        <f t="shared" si="10"/>
        <v>139538608.4516058</v>
      </c>
      <c r="L83" s="93">
        <f>F83+I83</f>
        <v>138807951.1277082</v>
      </c>
      <c r="M83" s="94">
        <f t="shared" si="15"/>
        <v>76943.579693749954</v>
      </c>
      <c r="N83" s="100">
        <f>N82+M83</f>
        <v>-18081549.091031261</v>
      </c>
      <c r="O83" s="98">
        <f t="shared" si="11"/>
        <v>-17823520.473839853</v>
      </c>
      <c r="P83" s="95">
        <f t="shared" si="12"/>
        <v>121715087.97776595</v>
      </c>
      <c r="Q83" s="94"/>
      <c r="R83" s="95">
        <f t="shared" si="16"/>
        <v>120726402.03667694</v>
      </c>
      <c r="S83" s="101"/>
    </row>
    <row r="84" spans="2:22" s="65" customFormat="1" ht="12.75" hidden="1" customHeight="1" outlineLevel="1">
      <c r="B84" s="97">
        <v>41029</v>
      </c>
      <c r="C84" s="97"/>
      <c r="D84" s="125"/>
      <c r="E84" s="91">
        <f t="shared" si="8"/>
        <v>52761311.789999977</v>
      </c>
      <c r="F84" s="126">
        <f t="shared" si="9"/>
        <v>141761311.78999987</v>
      </c>
      <c r="G84" s="98">
        <f t="shared" si="3"/>
        <v>140580350.25499991</v>
      </c>
      <c r="H84" s="100">
        <f t="shared" si="13"/>
        <v>590672.13245833281</v>
      </c>
      <c r="I84" s="100">
        <f t="shared" si="17"/>
        <v>-3544032.7947499971</v>
      </c>
      <c r="J84" s="98">
        <f t="shared" si="14"/>
        <v>-886008.19868749927</v>
      </c>
      <c r="K84" s="98">
        <f t="shared" si="10"/>
        <v>139694342.05631241</v>
      </c>
      <c r="L84" s="93">
        <f t="shared" si="7"/>
        <v>138217278.99524987</v>
      </c>
      <c r="M84" s="94">
        <f t="shared" si="15"/>
        <v>76943.579693749954</v>
      </c>
      <c r="N84" s="100">
        <f>N83+M84</f>
        <v>-18004605.511337511</v>
      </c>
      <c r="O84" s="98">
        <f t="shared" si="11"/>
        <v>-17937515.082709383</v>
      </c>
      <c r="P84" s="95">
        <f t="shared" si="12"/>
        <v>121756826.97360303</v>
      </c>
      <c r="Q84" s="93"/>
      <c r="R84" s="95">
        <f t="shared" si="16"/>
        <v>120212673.48391235</v>
      </c>
      <c r="S84" s="101"/>
    </row>
    <row r="85" spans="2:22" s="65" customFormat="1" hidden="1" outlineLevel="1">
      <c r="B85" s="105">
        <v>41060</v>
      </c>
      <c r="C85" s="97"/>
      <c r="D85" s="125"/>
      <c r="E85" s="91">
        <f t="shared" si="8"/>
        <v>52761311.789999977</v>
      </c>
      <c r="F85" s="126">
        <f t="shared" si="9"/>
        <v>141761311.78999987</v>
      </c>
      <c r="G85" s="98">
        <f t="shared" si="3"/>
        <v>140941199.61291656</v>
      </c>
      <c r="H85" s="100">
        <f t="shared" si="13"/>
        <v>590672.13245833281</v>
      </c>
      <c r="I85" s="100">
        <f t="shared" si="17"/>
        <v>-4134704.92720833</v>
      </c>
      <c r="J85" s="98">
        <f>(I73+I85+SUM(I74:I84)*2)/24</f>
        <v>-1205955.6037690963</v>
      </c>
      <c r="K85" s="98">
        <f t="shared" si="10"/>
        <v>139735244.00914747</v>
      </c>
      <c r="L85" s="93">
        <f t="shared" si="7"/>
        <v>137626606.86279154</v>
      </c>
      <c r="M85" s="94">
        <f>(E85/240*0.35)</f>
        <v>76943.579693749954</v>
      </c>
      <c r="N85" s="100">
        <f t="shared" si="4"/>
        <v>-17927661.931643762</v>
      </c>
      <c r="O85" s="98">
        <f t="shared" si="11"/>
        <v>-18022134.585646104</v>
      </c>
      <c r="P85" s="95">
        <f t="shared" si="12"/>
        <v>121713109.42350136</v>
      </c>
      <c r="Q85" s="93"/>
      <c r="R85" s="95">
        <f t="shared" si="16"/>
        <v>119698944.93114778</v>
      </c>
      <c r="S85" s="101"/>
    </row>
    <row r="86" spans="2:22" s="65" customFormat="1" hidden="1" outlineLevel="1">
      <c r="B86" s="97">
        <v>41090</v>
      </c>
      <c r="C86" s="97"/>
      <c r="D86" s="125"/>
      <c r="E86" s="91">
        <f t="shared" si="8"/>
        <v>52761311.789999977</v>
      </c>
      <c r="F86" s="126">
        <f t="shared" si="9"/>
        <v>141761311.78999987</v>
      </c>
      <c r="G86" s="98">
        <f t="shared" si="3"/>
        <v>141236439.99666655</v>
      </c>
      <c r="H86" s="102">
        <f t="shared" si="13"/>
        <v>590672.13245833281</v>
      </c>
      <c r="I86" s="100">
        <f t="shared" si="17"/>
        <v>-4725377.0596666625</v>
      </c>
      <c r="J86" s="98">
        <f t="shared" si="14"/>
        <v>-1575125.6865555542</v>
      </c>
      <c r="K86" s="98">
        <f t="shared" si="10"/>
        <v>139661314.31011099</v>
      </c>
      <c r="L86" s="93">
        <f t="shared" si="7"/>
        <v>137035934.73033321</v>
      </c>
      <c r="M86" s="94">
        <f t="shared" si="15"/>
        <v>76943.579693749954</v>
      </c>
      <c r="N86" s="100">
        <f t="shared" si="4"/>
        <v>-17850718.351950012</v>
      </c>
      <c r="O86" s="98">
        <f t="shared" si="11"/>
        <v>-18077378.982650008</v>
      </c>
      <c r="P86" s="95">
        <f t="shared" si="12"/>
        <v>121583935.32746097</v>
      </c>
      <c r="Q86" s="93"/>
      <c r="R86" s="95">
        <f t="shared" si="16"/>
        <v>119185216.37838319</v>
      </c>
      <c r="S86" s="101"/>
      <c r="U86" s="104"/>
      <c r="V86" s="104"/>
    </row>
    <row r="87" spans="2:22" s="65" customFormat="1" hidden="1" outlineLevel="1">
      <c r="B87" s="97">
        <v>41121</v>
      </c>
      <c r="C87" s="97"/>
      <c r="D87" s="125"/>
      <c r="E87" s="91">
        <f t="shared" si="8"/>
        <v>52761311.789999977</v>
      </c>
      <c r="F87" s="126">
        <f t="shared" si="9"/>
        <v>141761311.78999987</v>
      </c>
      <c r="G87" s="98">
        <f t="shared" si="3"/>
        <v>141466071.40624988</v>
      </c>
      <c r="H87" s="102">
        <f t="shared" si="13"/>
        <v>590672.13245833281</v>
      </c>
      <c r="I87" s="100">
        <f t="shared" si="17"/>
        <v>-5316049.1921249954</v>
      </c>
      <c r="J87" s="98">
        <f t="shared" si="14"/>
        <v>-1993518.4470468732</v>
      </c>
      <c r="K87" s="98">
        <f>G87+J87</f>
        <v>139472552.959203</v>
      </c>
      <c r="L87" s="93">
        <f t="shared" si="7"/>
        <v>136445262.59787488</v>
      </c>
      <c r="M87" s="94">
        <f t="shared" si="15"/>
        <v>76943.579693749954</v>
      </c>
      <c r="N87" s="100">
        <f t="shared" si="4"/>
        <v>-17773774.772256263</v>
      </c>
      <c r="O87" s="98">
        <f>(N75+N87+SUM(N76:N86)*2)/24</f>
        <v>-18103248.273721103</v>
      </c>
      <c r="P87" s="95">
        <f t="shared" si="12"/>
        <v>121369304.68548191</v>
      </c>
      <c r="Q87" s="93"/>
      <c r="R87" s="95">
        <f t="shared" si="16"/>
        <v>118671487.82561862</v>
      </c>
      <c r="S87" s="101"/>
      <c r="U87" s="104"/>
      <c r="V87" s="104"/>
    </row>
    <row r="88" spans="2:22" s="65" customFormat="1" hidden="1" outlineLevel="1">
      <c r="B88" s="97">
        <v>41152</v>
      </c>
      <c r="C88" s="97"/>
      <c r="D88" s="125"/>
      <c r="E88" s="91">
        <f t="shared" si="8"/>
        <v>52761311.789999977</v>
      </c>
      <c r="F88" s="126">
        <f t="shared" si="9"/>
        <v>141761311.78999987</v>
      </c>
      <c r="G88" s="98">
        <f t="shared" si="3"/>
        <v>141630093.84166655</v>
      </c>
      <c r="H88" s="102">
        <f t="shared" si="13"/>
        <v>590672.13245833281</v>
      </c>
      <c r="I88" s="100">
        <f t="shared" si="17"/>
        <v>-5906721.3245833283</v>
      </c>
      <c r="J88" s="98">
        <f t="shared" si="14"/>
        <v>-2461133.8852430535</v>
      </c>
      <c r="K88" s="98">
        <f>G88+J88</f>
        <v>139168959.95642349</v>
      </c>
      <c r="L88" s="93">
        <f t="shared" si="7"/>
        <v>135854590.46541655</v>
      </c>
      <c r="M88" s="94">
        <f t="shared" si="15"/>
        <v>76943.579693749954</v>
      </c>
      <c r="N88" s="100">
        <f t="shared" si="4"/>
        <v>-17696831.192562513</v>
      </c>
      <c r="O88" s="98">
        <f t="shared" ref="O88:O150" si="18">(N76+N88+SUM(N77:N87)*2)/24</f>
        <v>-18099742.458859384</v>
      </c>
      <c r="P88" s="95">
        <f t="shared" si="12"/>
        <v>121069217.49756411</v>
      </c>
      <c r="Q88" s="93"/>
      <c r="R88" s="95">
        <f t="shared" si="16"/>
        <v>118157759.27285403</v>
      </c>
      <c r="S88" s="101"/>
      <c r="U88" s="104"/>
      <c r="V88" s="104"/>
    </row>
    <row r="89" spans="2:22" s="65" customFormat="1" hidden="1" outlineLevel="1">
      <c r="B89" s="97">
        <v>41182</v>
      </c>
      <c r="C89" s="97"/>
      <c r="D89" s="125"/>
      <c r="E89" s="91">
        <f t="shared" si="8"/>
        <v>52761311.789999977</v>
      </c>
      <c r="F89" s="126">
        <f t="shared" si="9"/>
        <v>141761311.78999987</v>
      </c>
      <c r="G89" s="98">
        <f t="shared" si="3"/>
        <v>141728507.30291656</v>
      </c>
      <c r="H89" s="102">
        <f t="shared" si="13"/>
        <v>590672.13245833281</v>
      </c>
      <c r="I89" s="100">
        <f t="shared" si="17"/>
        <v>-6497393.4570416613</v>
      </c>
      <c r="J89" s="98">
        <f t="shared" si="14"/>
        <v>-2977972.0011440949</v>
      </c>
      <c r="K89" s="98">
        <f>G89+J89</f>
        <v>138750535.30177248</v>
      </c>
      <c r="L89" s="93">
        <f t="shared" si="7"/>
        <v>135263918.33295822</v>
      </c>
      <c r="M89" s="94">
        <f t="shared" si="15"/>
        <v>76943.579693749954</v>
      </c>
      <c r="N89" s="100">
        <f t="shared" si="4"/>
        <v>-17619887.612868764</v>
      </c>
      <c r="O89" s="98">
        <f t="shared" si="18"/>
        <v>-18066861.538064856</v>
      </c>
      <c r="P89" s="95">
        <f t="shared" si="12"/>
        <v>120683673.76370762</v>
      </c>
      <c r="Q89" s="93"/>
      <c r="R89" s="95">
        <f t="shared" si="16"/>
        <v>117644030.72008947</v>
      </c>
      <c r="S89" s="101"/>
      <c r="U89" s="104"/>
      <c r="V89" s="104"/>
    </row>
    <row r="90" spans="2:22" s="65" customFormat="1" hidden="1" outlineLevel="1">
      <c r="B90" s="97">
        <v>41213</v>
      </c>
      <c r="C90" s="97"/>
      <c r="D90" s="125"/>
      <c r="E90" s="91">
        <f t="shared" si="8"/>
        <v>52761311.789999977</v>
      </c>
      <c r="F90" s="126">
        <f t="shared" si="9"/>
        <v>141761311.78999987</v>
      </c>
      <c r="G90" s="98">
        <f t="shared" ref="G90:G153" si="19">(F78+F90+SUM(F79:F89)*2)/24</f>
        <v>141761311.7899999</v>
      </c>
      <c r="H90" s="102">
        <f t="shared" si="13"/>
        <v>590672.13245833281</v>
      </c>
      <c r="I90" s="100">
        <f t="shared" si="17"/>
        <v>-7088065.5894999942</v>
      </c>
      <c r="J90" s="98">
        <f t="shared" si="14"/>
        <v>-3544032.7947499971</v>
      </c>
      <c r="K90" s="98">
        <f t="shared" si="10"/>
        <v>138217278.9952499</v>
      </c>
      <c r="L90" s="93">
        <f>F90+I90</f>
        <v>134673246.20049989</v>
      </c>
      <c r="M90" s="94">
        <f t="shared" si="15"/>
        <v>76943.579693749954</v>
      </c>
      <c r="N90" s="100">
        <f t="shared" si="4"/>
        <v>-17542944.033175014</v>
      </c>
      <c r="O90" s="98">
        <f t="shared" si="18"/>
        <v>-18004605.511337511</v>
      </c>
      <c r="P90" s="95">
        <f>O90+K90</f>
        <v>120212673.48391238</v>
      </c>
      <c r="Q90" s="93"/>
      <c r="R90" s="95">
        <f t="shared" si="16"/>
        <v>117130302.16732487</v>
      </c>
      <c r="S90" s="101"/>
      <c r="U90" s="104"/>
      <c r="V90" s="104"/>
    </row>
    <row r="91" spans="2:22" s="65" customFormat="1" hidden="1" outlineLevel="1">
      <c r="B91" s="97">
        <v>41243</v>
      </c>
      <c r="C91" s="97"/>
      <c r="D91" s="125"/>
      <c r="E91" s="91">
        <f t="shared" si="8"/>
        <v>52761311.789999977</v>
      </c>
      <c r="F91" s="126">
        <f t="shared" si="9"/>
        <v>141761311.78999987</v>
      </c>
      <c r="G91" s="98">
        <f t="shared" si="19"/>
        <v>141761311.7899999</v>
      </c>
      <c r="H91" s="102">
        <f t="shared" si="13"/>
        <v>590672.13245833281</v>
      </c>
      <c r="I91" s="100">
        <f t="shared" si="17"/>
        <v>-7678737.7219583271</v>
      </c>
      <c r="J91" s="98">
        <f t="shared" si="14"/>
        <v>-4134704.92720833</v>
      </c>
      <c r="K91" s="98">
        <f t="shared" si="10"/>
        <v>137626606.86279157</v>
      </c>
      <c r="L91" s="93">
        <f t="shared" si="7"/>
        <v>134082574.06804155</v>
      </c>
      <c r="M91" s="94">
        <f t="shared" si="15"/>
        <v>76943.579693749954</v>
      </c>
      <c r="N91" s="100">
        <f t="shared" si="4"/>
        <v>-17466000.453481264</v>
      </c>
      <c r="O91" s="98">
        <f t="shared" si="18"/>
        <v>-17927661.931643762</v>
      </c>
      <c r="P91" s="95">
        <f t="shared" si="12"/>
        <v>119698944.93114781</v>
      </c>
      <c r="Q91" s="93"/>
      <c r="R91" s="95">
        <f t="shared" si="16"/>
        <v>116616573.61456028</v>
      </c>
      <c r="S91" s="104"/>
      <c r="U91" s="104"/>
      <c r="V91" s="104"/>
    </row>
    <row r="92" spans="2:22" s="65" customFormat="1" hidden="1" outlineLevel="1">
      <c r="B92" s="97">
        <v>41274</v>
      </c>
      <c r="C92" s="97"/>
      <c r="D92" s="125"/>
      <c r="E92" s="91">
        <f t="shared" si="8"/>
        <v>52761311.789999977</v>
      </c>
      <c r="F92" s="126">
        <f t="shared" si="9"/>
        <v>141761311.78999987</v>
      </c>
      <c r="G92" s="98">
        <f t="shared" si="19"/>
        <v>141761311.7899999</v>
      </c>
      <c r="H92" s="102">
        <f t="shared" si="13"/>
        <v>590672.13245833281</v>
      </c>
      <c r="I92" s="100">
        <f>I91-H92</f>
        <v>-8269409.85441666</v>
      </c>
      <c r="J92" s="98">
        <f t="shared" si="14"/>
        <v>-4725377.0596666625</v>
      </c>
      <c r="K92" s="98">
        <f t="shared" si="10"/>
        <v>137035934.73033324</v>
      </c>
      <c r="L92" s="93">
        <f>F92+I92</f>
        <v>133491901.93558322</v>
      </c>
      <c r="M92" s="94">
        <f t="shared" si="15"/>
        <v>76943.579693749954</v>
      </c>
      <c r="N92" s="100">
        <f t="shared" si="4"/>
        <v>-17389056.873787515</v>
      </c>
      <c r="O92" s="98">
        <f t="shared" si="18"/>
        <v>-17850718.351950012</v>
      </c>
      <c r="P92" s="95">
        <f>O92+K92</f>
        <v>119185216.37838322</v>
      </c>
      <c r="Q92" s="93"/>
      <c r="R92" s="95">
        <f>F92+I92+N92</f>
        <v>116102845.06179571</v>
      </c>
      <c r="S92" s="104"/>
      <c r="U92" s="104"/>
      <c r="V92" s="104"/>
    </row>
    <row r="93" spans="2:22" hidden="1" outlineLevel="1">
      <c r="B93" s="97">
        <v>41305</v>
      </c>
      <c r="C93" s="97"/>
      <c r="D93" s="125"/>
      <c r="E93" s="91">
        <f t="shared" si="8"/>
        <v>52761311.789999977</v>
      </c>
      <c r="F93" s="126">
        <f t="shared" si="9"/>
        <v>141761311.78999987</v>
      </c>
      <c r="G93" s="98">
        <f t="shared" si="19"/>
        <v>141761311.7899999</v>
      </c>
      <c r="H93" s="102">
        <f t="shared" si="13"/>
        <v>590672.13245833281</v>
      </c>
      <c r="I93" s="100">
        <f t="shared" si="17"/>
        <v>-8860081.986874992</v>
      </c>
      <c r="J93" s="98">
        <f t="shared" si="14"/>
        <v>-5316049.1921249954</v>
      </c>
      <c r="K93" s="98">
        <f t="shared" si="10"/>
        <v>136445262.59787491</v>
      </c>
      <c r="L93" s="93">
        <f t="shared" si="7"/>
        <v>132901229.80312487</v>
      </c>
      <c r="M93" s="94">
        <f t="shared" si="15"/>
        <v>76943.579693749954</v>
      </c>
      <c r="N93" s="100">
        <f t="shared" si="4"/>
        <v>-17312113.294093765</v>
      </c>
      <c r="O93" s="98">
        <f t="shared" si="18"/>
        <v>-17773774.772256263</v>
      </c>
      <c r="P93" s="95">
        <f t="shared" si="12"/>
        <v>118671487.82561865</v>
      </c>
      <c r="Q93" s="93"/>
      <c r="R93" s="95">
        <f t="shared" si="16"/>
        <v>115589116.50903112</v>
      </c>
      <c r="S93" s="104"/>
      <c r="U93" s="104"/>
      <c r="V93" s="104"/>
    </row>
    <row r="94" spans="2:22" hidden="1" outlineLevel="1">
      <c r="B94" s="97">
        <v>41333</v>
      </c>
      <c r="C94" s="97"/>
      <c r="D94" s="125"/>
      <c r="E94" s="91">
        <f t="shared" si="8"/>
        <v>52761311.789999977</v>
      </c>
      <c r="F94" s="126">
        <f t="shared" si="9"/>
        <v>141761311.78999987</v>
      </c>
      <c r="G94" s="98">
        <f t="shared" si="19"/>
        <v>141761311.7899999</v>
      </c>
      <c r="H94" s="102">
        <f t="shared" si="13"/>
        <v>590672.13245833281</v>
      </c>
      <c r="I94" s="100">
        <f t="shared" si="17"/>
        <v>-9450754.119333325</v>
      </c>
      <c r="J94" s="98">
        <f t="shared" si="14"/>
        <v>-5906721.3245833283</v>
      </c>
      <c r="K94" s="98">
        <f t="shared" si="10"/>
        <v>135854590.46541658</v>
      </c>
      <c r="L94" s="93">
        <f t="shared" si="7"/>
        <v>132310557.67066655</v>
      </c>
      <c r="M94" s="94">
        <f>(E94/240*0.35)</f>
        <v>76943.579693749954</v>
      </c>
      <c r="N94" s="100">
        <f>N93+M94</f>
        <v>-17235169.714400016</v>
      </c>
      <c r="O94" s="98">
        <f t="shared" si="18"/>
        <v>-17696831.192562513</v>
      </c>
      <c r="P94" s="95">
        <f>O94+K94</f>
        <v>118157759.27285406</v>
      </c>
      <c r="Q94" s="93"/>
      <c r="R94" s="95">
        <f t="shared" si="16"/>
        <v>115075387.95626652</v>
      </c>
      <c r="S94" s="104"/>
      <c r="U94" s="104"/>
      <c r="V94" s="104"/>
    </row>
    <row r="95" spans="2:22" hidden="1" outlineLevel="1">
      <c r="B95" s="97">
        <v>41364</v>
      </c>
      <c r="C95" s="97"/>
      <c r="D95" s="125"/>
      <c r="E95" s="91">
        <f t="shared" si="8"/>
        <v>52761311.789999977</v>
      </c>
      <c r="F95" s="126">
        <f t="shared" si="9"/>
        <v>141761311.78999987</v>
      </c>
      <c r="G95" s="98">
        <f t="shared" si="19"/>
        <v>141761311.7899999</v>
      </c>
      <c r="H95" s="102">
        <f t="shared" si="13"/>
        <v>590672.13245833281</v>
      </c>
      <c r="I95" s="100">
        <f t="shared" si="17"/>
        <v>-10041426.251791658</v>
      </c>
      <c r="J95" s="98">
        <f t="shared" si="14"/>
        <v>-6497393.4570416613</v>
      </c>
      <c r="K95" s="98">
        <f t="shared" si="10"/>
        <v>135263918.33295825</v>
      </c>
      <c r="L95" s="93">
        <f t="shared" si="7"/>
        <v>131719885.53820822</v>
      </c>
      <c r="M95" s="94">
        <f t="shared" si="15"/>
        <v>76943.579693749954</v>
      </c>
      <c r="N95" s="100">
        <f t="shared" si="4"/>
        <v>-17158226.134706266</v>
      </c>
      <c r="O95" s="98">
        <f t="shared" si="18"/>
        <v>-17619887.612868764</v>
      </c>
      <c r="P95" s="95">
        <f t="shared" si="12"/>
        <v>117644030.7200895</v>
      </c>
      <c r="Q95" s="93"/>
      <c r="R95" s="95">
        <f>F95+I95+N95</f>
        <v>114561659.40350196</v>
      </c>
      <c r="S95" s="104"/>
      <c r="U95" s="104"/>
      <c r="V95" s="104"/>
    </row>
    <row r="96" spans="2:22" ht="12.75" hidden="1" customHeight="1" outlineLevel="1">
      <c r="B96" s="97">
        <v>41394</v>
      </c>
      <c r="C96" s="97"/>
      <c r="D96" s="125"/>
      <c r="E96" s="91">
        <f t="shared" si="8"/>
        <v>52761311.789999977</v>
      </c>
      <c r="F96" s="126">
        <f t="shared" si="9"/>
        <v>141761311.78999987</v>
      </c>
      <c r="G96" s="98">
        <f t="shared" si="19"/>
        <v>141761311.7899999</v>
      </c>
      <c r="H96" s="102">
        <f t="shared" si="13"/>
        <v>590672.13245833281</v>
      </c>
      <c r="I96" s="100">
        <f t="shared" si="17"/>
        <v>-10632098.384249991</v>
      </c>
      <c r="J96" s="98">
        <f t="shared" si="14"/>
        <v>-7088065.5894999942</v>
      </c>
      <c r="K96" s="98">
        <f t="shared" si="10"/>
        <v>134673246.20049992</v>
      </c>
      <c r="L96" s="93">
        <f t="shared" si="7"/>
        <v>131129213.40574989</v>
      </c>
      <c r="M96" s="94">
        <f t="shared" si="15"/>
        <v>76943.579693749954</v>
      </c>
      <c r="N96" s="100">
        <f t="shared" si="4"/>
        <v>-17081282.555012517</v>
      </c>
      <c r="O96" s="98">
        <f t="shared" si="18"/>
        <v>-17542944.033175014</v>
      </c>
      <c r="P96" s="95">
        <f t="shared" si="12"/>
        <v>117130302.1673249</v>
      </c>
      <c r="Q96" s="93"/>
      <c r="R96" s="95">
        <f t="shared" si="16"/>
        <v>114047930.85073736</v>
      </c>
      <c r="S96" s="104"/>
      <c r="U96" s="104"/>
      <c r="V96" s="104"/>
    </row>
    <row r="97" spans="2:31" hidden="1" outlineLevel="1">
      <c r="B97" s="97">
        <v>41425</v>
      </c>
      <c r="C97" s="97"/>
      <c r="D97" s="125"/>
      <c r="E97" s="91">
        <f t="shared" si="8"/>
        <v>52761311.789999977</v>
      </c>
      <c r="F97" s="126">
        <f t="shared" si="9"/>
        <v>141761311.78999987</v>
      </c>
      <c r="G97" s="98">
        <f t="shared" si="19"/>
        <v>141761311.7899999</v>
      </c>
      <c r="H97" s="102">
        <f t="shared" si="13"/>
        <v>590672.13245833281</v>
      </c>
      <c r="I97" s="100">
        <f t="shared" si="17"/>
        <v>-11222770.516708324</v>
      </c>
      <c r="J97" s="98">
        <f t="shared" si="14"/>
        <v>-7678737.7219583271</v>
      </c>
      <c r="K97" s="98">
        <f t="shared" si="10"/>
        <v>134082574.06804158</v>
      </c>
      <c r="L97" s="93">
        <f t="shared" si="7"/>
        <v>130538541.27329154</v>
      </c>
      <c r="M97" s="94">
        <f t="shared" si="15"/>
        <v>76943.579693749954</v>
      </c>
      <c r="N97" s="100">
        <f t="shared" si="4"/>
        <v>-17004338.975318767</v>
      </c>
      <c r="O97" s="98">
        <f t="shared" si="18"/>
        <v>-17466000.453481264</v>
      </c>
      <c r="P97" s="95">
        <f t="shared" si="12"/>
        <v>116616573.61456031</v>
      </c>
      <c r="Q97" s="93"/>
      <c r="R97" s="95">
        <f t="shared" si="16"/>
        <v>113534202.29797277</v>
      </c>
      <c r="S97" s="104"/>
      <c r="U97" s="104"/>
      <c r="V97" s="104"/>
    </row>
    <row r="98" spans="2:31" hidden="1" outlineLevel="1">
      <c r="B98" s="97">
        <v>41455</v>
      </c>
      <c r="C98" s="97"/>
      <c r="D98" s="125"/>
      <c r="E98" s="91">
        <f t="shared" si="8"/>
        <v>52761311.789999977</v>
      </c>
      <c r="F98" s="126">
        <f t="shared" si="9"/>
        <v>141761311.78999987</v>
      </c>
      <c r="G98" s="98">
        <f t="shared" si="19"/>
        <v>141761311.7899999</v>
      </c>
      <c r="H98" s="102">
        <f t="shared" si="13"/>
        <v>590672.13245833281</v>
      </c>
      <c r="I98" s="100">
        <f t="shared" si="17"/>
        <v>-11813442.649166657</v>
      </c>
      <c r="J98" s="98">
        <f t="shared" si="14"/>
        <v>-8269409.85441666</v>
      </c>
      <c r="K98" s="98">
        <f t="shared" si="10"/>
        <v>133491901.93558325</v>
      </c>
      <c r="L98" s="93">
        <f t="shared" si="7"/>
        <v>129947869.14083321</v>
      </c>
      <c r="M98" s="94">
        <f t="shared" si="15"/>
        <v>76943.579693749954</v>
      </c>
      <c r="N98" s="100">
        <f t="shared" si="4"/>
        <v>-16927395.395625018</v>
      </c>
      <c r="O98" s="98">
        <f t="shared" si="18"/>
        <v>-17389056.873787515</v>
      </c>
      <c r="P98" s="95">
        <f t="shared" si="12"/>
        <v>116102845.06179574</v>
      </c>
      <c r="Q98" s="93"/>
      <c r="R98" s="95">
        <f t="shared" si="16"/>
        <v>113020473.7452082</v>
      </c>
      <c r="S98" s="104"/>
      <c r="U98" s="104"/>
      <c r="V98" s="104"/>
    </row>
    <row r="99" spans="2:31" s="64" customFormat="1" hidden="1" outlineLevel="1">
      <c r="B99" s="97">
        <v>41486</v>
      </c>
      <c r="C99" s="105"/>
      <c r="D99" s="125"/>
      <c r="E99" s="91">
        <f t="shared" si="8"/>
        <v>52761311.789999977</v>
      </c>
      <c r="F99" s="126">
        <f t="shared" si="9"/>
        <v>141761311.78999987</v>
      </c>
      <c r="G99" s="98">
        <f t="shared" si="19"/>
        <v>141761311.7899999</v>
      </c>
      <c r="H99" s="102">
        <f t="shared" si="13"/>
        <v>590672.13245833281</v>
      </c>
      <c r="I99" s="100">
        <f t="shared" si="17"/>
        <v>-12404114.78162499</v>
      </c>
      <c r="J99" s="98">
        <f t="shared" si="14"/>
        <v>-8860081.986874992</v>
      </c>
      <c r="K99" s="98">
        <f t="shared" si="10"/>
        <v>132901229.8031249</v>
      </c>
      <c r="L99" s="93">
        <f t="shared" si="7"/>
        <v>129357197.00837488</v>
      </c>
      <c r="M99" s="94">
        <f t="shared" si="15"/>
        <v>76943.579693749954</v>
      </c>
      <c r="N99" s="100">
        <f t="shared" si="4"/>
        <v>-16850451.815931268</v>
      </c>
      <c r="O99" s="98">
        <f t="shared" si="18"/>
        <v>-17312113.294093765</v>
      </c>
      <c r="P99" s="95">
        <f t="shared" si="12"/>
        <v>115589116.50903115</v>
      </c>
      <c r="Q99" s="93"/>
      <c r="R99" s="95">
        <f t="shared" si="16"/>
        <v>112506745.19244361</v>
      </c>
      <c r="S99" s="93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2:31" hidden="1" outlineLevel="1">
      <c r="B100" s="97">
        <v>41517</v>
      </c>
      <c r="C100" s="97"/>
      <c r="D100" s="125"/>
      <c r="E100" s="91">
        <f t="shared" si="8"/>
        <v>52761311.789999977</v>
      </c>
      <c r="F100" s="126">
        <f t="shared" si="9"/>
        <v>141761311.78999987</v>
      </c>
      <c r="G100" s="98">
        <f t="shared" si="19"/>
        <v>141761311.7899999</v>
      </c>
      <c r="H100" s="102">
        <f t="shared" si="13"/>
        <v>590672.13245833281</v>
      </c>
      <c r="I100" s="100">
        <f t="shared" si="17"/>
        <v>-12994786.914083323</v>
      </c>
      <c r="J100" s="98">
        <f t="shared" si="14"/>
        <v>-9450754.119333325</v>
      </c>
      <c r="K100" s="98">
        <f t="shared" si="10"/>
        <v>132310557.67066658</v>
      </c>
      <c r="L100" s="93">
        <f t="shared" si="7"/>
        <v>128766524.87591656</v>
      </c>
      <c r="M100" s="94">
        <f t="shared" si="15"/>
        <v>76943.579693749954</v>
      </c>
      <c r="N100" s="100">
        <f t="shared" si="4"/>
        <v>-16773508.236237518</v>
      </c>
      <c r="O100" s="98">
        <f t="shared" si="18"/>
        <v>-17235169.714400016</v>
      </c>
      <c r="P100" s="95">
        <f t="shared" si="12"/>
        <v>115075387.95626655</v>
      </c>
      <c r="Q100" s="93"/>
      <c r="R100" s="95">
        <f t="shared" si="16"/>
        <v>111993016.63967904</v>
      </c>
      <c r="S100" s="104"/>
    </row>
    <row r="101" spans="2:31" hidden="1" outlineLevel="1">
      <c r="B101" s="97">
        <v>41547</v>
      </c>
      <c r="C101" s="97"/>
      <c r="D101" s="125"/>
      <c r="E101" s="91">
        <f t="shared" si="8"/>
        <v>52761311.789999977</v>
      </c>
      <c r="F101" s="126">
        <f t="shared" si="9"/>
        <v>141761311.78999987</v>
      </c>
      <c r="G101" s="98">
        <f t="shared" si="19"/>
        <v>141761311.7899999</v>
      </c>
      <c r="H101" s="102">
        <f t="shared" si="13"/>
        <v>590672.13245833281</v>
      </c>
      <c r="I101" s="100">
        <f t="shared" si="17"/>
        <v>-13585459.046541655</v>
      </c>
      <c r="J101" s="98">
        <f t="shared" si="14"/>
        <v>-10041426.251791658</v>
      </c>
      <c r="K101" s="98">
        <f t="shared" si="10"/>
        <v>131719885.53820825</v>
      </c>
      <c r="L101" s="93">
        <f>F101+I101</f>
        <v>128175852.74345821</v>
      </c>
      <c r="M101" s="94">
        <f t="shared" si="15"/>
        <v>76943.579693749954</v>
      </c>
      <c r="N101" s="100">
        <f t="shared" si="4"/>
        <v>-16696564.656543769</v>
      </c>
      <c r="O101" s="98">
        <f t="shared" si="18"/>
        <v>-17158226.134706266</v>
      </c>
      <c r="P101" s="95">
        <f t="shared" si="12"/>
        <v>114561659.40350199</v>
      </c>
      <c r="Q101" s="93"/>
      <c r="R101" s="95">
        <f t="shared" si="16"/>
        <v>111479288.08691445</v>
      </c>
      <c r="S101" s="104"/>
    </row>
    <row r="102" spans="2:31" ht="14.25" hidden="1" customHeight="1" outlineLevel="1">
      <c r="B102" s="97">
        <v>41578</v>
      </c>
      <c r="C102" s="97"/>
      <c r="D102" s="125"/>
      <c r="E102" s="91">
        <f t="shared" si="8"/>
        <v>52761311.789999977</v>
      </c>
      <c r="F102" s="126">
        <f t="shared" si="9"/>
        <v>141761311.78999987</v>
      </c>
      <c r="G102" s="98">
        <f t="shared" si="19"/>
        <v>141761311.7899999</v>
      </c>
      <c r="H102" s="102">
        <f t="shared" si="13"/>
        <v>590672.13245833281</v>
      </c>
      <c r="I102" s="100">
        <f t="shared" si="17"/>
        <v>-14176131.178999988</v>
      </c>
      <c r="J102" s="98">
        <f t="shared" si="14"/>
        <v>-10632098.384249991</v>
      </c>
      <c r="K102" s="98">
        <f t="shared" si="10"/>
        <v>131129213.40574992</v>
      </c>
      <c r="L102" s="93">
        <f t="shared" si="7"/>
        <v>127585180.61099988</v>
      </c>
      <c r="M102" s="94">
        <f t="shared" si="15"/>
        <v>76943.579693749954</v>
      </c>
      <c r="N102" s="100">
        <f t="shared" si="4"/>
        <v>-16619621.076850019</v>
      </c>
      <c r="O102" s="98">
        <f t="shared" si="18"/>
        <v>-17081282.555012517</v>
      </c>
      <c r="P102" s="95">
        <f t="shared" si="12"/>
        <v>114047930.85073739</v>
      </c>
      <c r="Q102" s="107"/>
      <c r="R102" s="95">
        <f t="shared" si="16"/>
        <v>110965559.53414986</v>
      </c>
      <c r="S102" s="107"/>
    </row>
    <row r="103" spans="2:31" hidden="1" outlineLevel="1">
      <c r="B103" s="97">
        <v>41608</v>
      </c>
      <c r="C103" s="97"/>
      <c r="D103" s="125"/>
      <c r="E103" s="91">
        <f t="shared" si="8"/>
        <v>52761311.789999977</v>
      </c>
      <c r="F103" s="126">
        <f t="shared" si="9"/>
        <v>141761311.78999987</v>
      </c>
      <c r="G103" s="98">
        <f t="shared" si="19"/>
        <v>141761311.7899999</v>
      </c>
      <c r="H103" s="102">
        <f t="shared" si="13"/>
        <v>590672.13245833281</v>
      </c>
      <c r="I103" s="100">
        <f t="shared" si="17"/>
        <v>-14766803.311458321</v>
      </c>
      <c r="J103" s="98">
        <f t="shared" si="14"/>
        <v>-11222770.516708324</v>
      </c>
      <c r="K103" s="98">
        <f t="shared" si="10"/>
        <v>130538541.27329157</v>
      </c>
      <c r="L103" s="93">
        <f t="shared" si="7"/>
        <v>126994508.47854155</v>
      </c>
      <c r="M103" s="94">
        <f t="shared" si="15"/>
        <v>76943.579693749954</v>
      </c>
      <c r="N103" s="100">
        <f t="shared" si="4"/>
        <v>-16542677.49715627</v>
      </c>
      <c r="O103" s="98">
        <f t="shared" si="18"/>
        <v>-17004338.975318767</v>
      </c>
      <c r="P103" s="95">
        <f t="shared" si="12"/>
        <v>113534202.2979728</v>
      </c>
      <c r="Q103" s="93"/>
      <c r="R103" s="95">
        <f t="shared" si="16"/>
        <v>110451830.98138529</v>
      </c>
      <c r="S103" s="104"/>
    </row>
    <row r="104" spans="2:31" hidden="1" outlineLevel="1">
      <c r="B104" s="97">
        <v>41639</v>
      </c>
      <c r="C104" s="97"/>
      <c r="D104" s="125"/>
      <c r="E104" s="91">
        <f t="shared" si="8"/>
        <v>52761311.789999977</v>
      </c>
      <c r="F104" s="126">
        <f t="shared" si="9"/>
        <v>141761311.78999987</v>
      </c>
      <c r="G104" s="98">
        <f t="shared" si="19"/>
        <v>141761311.7899999</v>
      </c>
      <c r="H104" s="102">
        <f t="shared" si="13"/>
        <v>590672.13245833281</v>
      </c>
      <c r="I104" s="100">
        <f t="shared" si="17"/>
        <v>-15357475.443916654</v>
      </c>
      <c r="J104" s="98">
        <f t="shared" si="14"/>
        <v>-11813442.649166657</v>
      </c>
      <c r="K104" s="98">
        <f t="shared" si="10"/>
        <v>129947869.14083324</v>
      </c>
      <c r="L104" s="93">
        <f t="shared" si="7"/>
        <v>126403836.34608322</v>
      </c>
      <c r="M104" s="94">
        <f t="shared" si="15"/>
        <v>76943.579693749954</v>
      </c>
      <c r="N104" s="100">
        <f t="shared" si="4"/>
        <v>-16465733.91746252</v>
      </c>
      <c r="O104" s="98">
        <f t="shared" si="18"/>
        <v>-16927395.395625018</v>
      </c>
      <c r="P104" s="95">
        <f t="shared" si="12"/>
        <v>113020473.74520823</v>
      </c>
      <c r="Q104" s="93"/>
      <c r="R104" s="95">
        <f t="shared" si="16"/>
        <v>109938102.4286207</v>
      </c>
      <c r="S104" s="104"/>
    </row>
    <row r="105" spans="2:31" ht="12.75" hidden="1" customHeight="1" outlineLevel="1">
      <c r="B105" s="97">
        <v>41670</v>
      </c>
      <c r="C105" s="108"/>
      <c r="D105" s="125"/>
      <c r="E105" s="91">
        <f t="shared" si="8"/>
        <v>52761311.789999977</v>
      </c>
      <c r="F105" s="126">
        <f t="shared" si="9"/>
        <v>141761311.78999987</v>
      </c>
      <c r="G105" s="98">
        <f t="shared" si="19"/>
        <v>141761311.7899999</v>
      </c>
      <c r="H105" s="102">
        <f t="shared" si="13"/>
        <v>590672.13245833281</v>
      </c>
      <c r="I105" s="100">
        <f t="shared" si="17"/>
        <v>-15948147.576374987</v>
      </c>
      <c r="J105" s="98">
        <f t="shared" si="14"/>
        <v>-12404114.78162499</v>
      </c>
      <c r="K105" s="98">
        <f t="shared" si="10"/>
        <v>129357197.00837491</v>
      </c>
      <c r="L105" s="93">
        <f t="shared" si="7"/>
        <v>125813164.21362488</v>
      </c>
      <c r="M105" s="94">
        <f t="shared" si="15"/>
        <v>76943.579693749954</v>
      </c>
      <c r="N105" s="100">
        <f t="shared" si="4"/>
        <v>-16388790.337768771</v>
      </c>
      <c r="O105" s="98">
        <f t="shared" si="18"/>
        <v>-16850451.815931268</v>
      </c>
      <c r="P105" s="95">
        <f t="shared" si="12"/>
        <v>112506745.19244364</v>
      </c>
      <c r="Q105" s="93"/>
      <c r="R105" s="95">
        <f t="shared" si="16"/>
        <v>109424373.8758561</v>
      </c>
      <c r="S105" s="104"/>
    </row>
    <row r="106" spans="2:31" hidden="1" outlineLevel="1">
      <c r="B106" s="97">
        <v>41698</v>
      </c>
      <c r="C106" s="108"/>
      <c r="D106" s="125"/>
      <c r="E106" s="91">
        <f t="shared" si="8"/>
        <v>52761311.789999977</v>
      </c>
      <c r="F106" s="126">
        <f t="shared" si="9"/>
        <v>141761311.78999987</v>
      </c>
      <c r="G106" s="98">
        <f t="shared" si="19"/>
        <v>141761311.7899999</v>
      </c>
      <c r="H106" s="102">
        <f t="shared" si="13"/>
        <v>590672.13245833281</v>
      </c>
      <c r="I106" s="100">
        <f t="shared" si="17"/>
        <v>-16538819.70883332</v>
      </c>
      <c r="J106" s="98">
        <f t="shared" si="14"/>
        <v>-12994786.914083323</v>
      </c>
      <c r="K106" s="98">
        <f t="shared" si="10"/>
        <v>128766524.87591659</v>
      </c>
      <c r="L106" s="93">
        <f t="shared" si="7"/>
        <v>125222492.08116655</v>
      </c>
      <c r="M106" s="94">
        <f t="shared" si="15"/>
        <v>76943.579693749954</v>
      </c>
      <c r="N106" s="100">
        <f t="shared" si="4"/>
        <v>-16311846.758075021</v>
      </c>
      <c r="O106" s="98">
        <f t="shared" si="18"/>
        <v>-16773508.236237518</v>
      </c>
      <c r="P106" s="95">
        <f t="shared" si="12"/>
        <v>111993016.63967907</v>
      </c>
      <c r="Q106" s="93"/>
      <c r="R106" s="95">
        <f t="shared" si="16"/>
        <v>108910645.32309154</v>
      </c>
      <c r="S106" s="104"/>
    </row>
    <row r="107" spans="2:31" hidden="1" outlineLevel="1">
      <c r="B107" s="97">
        <v>41729</v>
      </c>
      <c r="C107" s="108"/>
      <c r="D107" s="125"/>
      <c r="E107" s="91">
        <f t="shared" si="8"/>
        <v>52761311.789999977</v>
      </c>
      <c r="F107" s="126">
        <f t="shared" si="9"/>
        <v>141761311.78999987</v>
      </c>
      <c r="G107" s="98">
        <f t="shared" si="19"/>
        <v>141761311.7899999</v>
      </c>
      <c r="H107" s="102">
        <f t="shared" si="13"/>
        <v>590672.13245833281</v>
      </c>
      <c r="I107" s="100">
        <f t="shared" si="17"/>
        <v>-17129491.841291651</v>
      </c>
      <c r="J107" s="98">
        <f t="shared" si="14"/>
        <v>-13585459.046541655</v>
      </c>
      <c r="K107" s="98">
        <f t="shared" si="10"/>
        <v>128175852.74345824</v>
      </c>
      <c r="L107" s="93">
        <f t="shared" si="7"/>
        <v>124631819.94870822</v>
      </c>
      <c r="M107" s="94">
        <f t="shared" si="15"/>
        <v>76943.579693749954</v>
      </c>
      <c r="N107" s="100">
        <f t="shared" ref="N107:N167" si="20">N106+M107</f>
        <v>-16234903.178381272</v>
      </c>
      <c r="O107" s="98">
        <f t="shared" si="18"/>
        <v>-16696564.656543769</v>
      </c>
      <c r="P107" s="95">
        <f t="shared" si="12"/>
        <v>111479288.08691448</v>
      </c>
      <c r="Q107" s="93"/>
      <c r="R107" s="95">
        <f t="shared" si="16"/>
        <v>108396916.77032694</v>
      </c>
      <c r="S107" s="104"/>
    </row>
    <row r="108" spans="2:31" ht="12.75" hidden="1" customHeight="1" outlineLevel="1">
      <c r="B108" s="97">
        <v>41759</v>
      </c>
      <c r="C108" s="108"/>
      <c r="D108" s="125"/>
      <c r="E108" s="91">
        <f t="shared" si="8"/>
        <v>52761311.789999977</v>
      </c>
      <c r="F108" s="126">
        <f t="shared" si="9"/>
        <v>141761311.78999987</v>
      </c>
      <c r="G108" s="98">
        <f t="shared" si="19"/>
        <v>141761311.7899999</v>
      </c>
      <c r="H108" s="102">
        <f t="shared" si="13"/>
        <v>590672.13245833281</v>
      </c>
      <c r="I108" s="100">
        <f t="shared" si="17"/>
        <v>-17720163.973749984</v>
      </c>
      <c r="J108" s="98">
        <f t="shared" si="14"/>
        <v>-14176131.178999988</v>
      </c>
      <c r="K108" s="98">
        <f t="shared" si="10"/>
        <v>127585180.61099991</v>
      </c>
      <c r="L108" s="93">
        <f t="shared" si="7"/>
        <v>124041147.81624989</v>
      </c>
      <c r="M108" s="94">
        <f t="shared" si="15"/>
        <v>76943.579693749954</v>
      </c>
      <c r="N108" s="100">
        <f t="shared" si="20"/>
        <v>-16157959.598687522</v>
      </c>
      <c r="O108" s="98">
        <f t="shared" si="18"/>
        <v>-16619621.076850019</v>
      </c>
      <c r="P108" s="95">
        <f t="shared" si="12"/>
        <v>110965559.53414989</v>
      </c>
      <c r="Q108" s="93"/>
      <c r="R108" s="95">
        <f t="shared" si="16"/>
        <v>107883188.21756238</v>
      </c>
      <c r="S108" s="104"/>
    </row>
    <row r="109" spans="2:31" s="65" customFormat="1" hidden="1" outlineLevel="1">
      <c r="B109" s="97">
        <v>41790</v>
      </c>
      <c r="C109" s="108"/>
      <c r="D109" s="125"/>
      <c r="E109" s="91">
        <f t="shared" si="8"/>
        <v>52761311.789999977</v>
      </c>
      <c r="F109" s="126">
        <f t="shared" si="9"/>
        <v>141761311.78999987</v>
      </c>
      <c r="G109" s="98">
        <f t="shared" si="19"/>
        <v>141761311.7899999</v>
      </c>
      <c r="H109" s="102">
        <f t="shared" si="13"/>
        <v>590672.13245833281</v>
      </c>
      <c r="I109" s="100">
        <f t="shared" si="17"/>
        <v>-18310836.106208317</v>
      </c>
      <c r="J109" s="98">
        <f t="shared" si="14"/>
        <v>-14766803.311458321</v>
      </c>
      <c r="K109" s="98">
        <f t="shared" si="10"/>
        <v>126994508.47854158</v>
      </c>
      <c r="L109" s="93">
        <f t="shared" si="7"/>
        <v>123450475.68379155</v>
      </c>
      <c r="M109" s="94">
        <f t="shared" si="15"/>
        <v>76943.579693749954</v>
      </c>
      <c r="N109" s="100">
        <f t="shared" si="20"/>
        <v>-16081016.018993773</v>
      </c>
      <c r="O109" s="98">
        <f t="shared" si="18"/>
        <v>-16542677.49715627</v>
      </c>
      <c r="P109" s="95">
        <f t="shared" si="12"/>
        <v>110451830.98138532</v>
      </c>
      <c r="Q109" s="93"/>
      <c r="R109" s="95">
        <f t="shared" si="16"/>
        <v>107369459.66479778</v>
      </c>
      <c r="S109" s="104"/>
    </row>
    <row r="110" spans="2:31" s="65" customFormat="1" hidden="1" outlineLevel="1">
      <c r="B110" s="97">
        <v>41820</v>
      </c>
      <c r="C110" s="108"/>
      <c r="D110" s="125"/>
      <c r="E110" s="91">
        <f t="shared" si="8"/>
        <v>52761311.789999977</v>
      </c>
      <c r="F110" s="126">
        <f t="shared" si="9"/>
        <v>141761311.78999987</v>
      </c>
      <c r="G110" s="98">
        <f t="shared" si="19"/>
        <v>141761311.7899999</v>
      </c>
      <c r="H110" s="102">
        <f t="shared" si="13"/>
        <v>590672.13245833281</v>
      </c>
      <c r="I110" s="100">
        <f t="shared" si="17"/>
        <v>-18901508.23866665</v>
      </c>
      <c r="J110" s="98">
        <f t="shared" si="14"/>
        <v>-15357475.443916654</v>
      </c>
      <c r="K110" s="98">
        <f t="shared" si="10"/>
        <v>126403836.34608325</v>
      </c>
      <c r="L110" s="93">
        <f t="shared" si="7"/>
        <v>122859803.55133322</v>
      </c>
      <c r="M110" s="94">
        <f t="shared" si="15"/>
        <v>76943.579693749954</v>
      </c>
      <c r="N110" s="100">
        <f t="shared" si="20"/>
        <v>-16004072.439300023</v>
      </c>
      <c r="O110" s="98">
        <f t="shared" si="18"/>
        <v>-16465733.91746252</v>
      </c>
      <c r="P110" s="95">
        <f t="shared" si="12"/>
        <v>109938102.42862073</v>
      </c>
      <c r="Q110" s="93"/>
      <c r="R110" s="95">
        <f t="shared" si="16"/>
        <v>106855731.11203319</v>
      </c>
      <c r="S110" s="104"/>
    </row>
    <row r="111" spans="2:31" s="65" customFormat="1" hidden="1" outlineLevel="1">
      <c r="B111" s="97">
        <v>41851</v>
      </c>
      <c r="C111" s="108"/>
      <c r="D111" s="125"/>
      <c r="E111" s="91">
        <f t="shared" si="8"/>
        <v>52761311.789999977</v>
      </c>
      <c r="F111" s="126">
        <f t="shared" si="9"/>
        <v>141761311.78999987</v>
      </c>
      <c r="G111" s="98">
        <f t="shared" si="19"/>
        <v>141761311.7899999</v>
      </c>
      <c r="H111" s="102">
        <f t="shared" si="13"/>
        <v>590672.13245833281</v>
      </c>
      <c r="I111" s="100">
        <f t="shared" si="17"/>
        <v>-19492180.371124983</v>
      </c>
      <c r="J111" s="98">
        <f t="shared" si="14"/>
        <v>-15948147.576374987</v>
      </c>
      <c r="K111" s="98">
        <f t="shared" si="10"/>
        <v>125813164.21362491</v>
      </c>
      <c r="L111" s="93">
        <f t="shared" si="7"/>
        <v>122269131.41887489</v>
      </c>
      <c r="M111" s="94">
        <f t="shared" si="15"/>
        <v>76943.579693749954</v>
      </c>
      <c r="N111" s="100">
        <f t="shared" si="20"/>
        <v>-15927128.859606273</v>
      </c>
      <c r="O111" s="98">
        <f t="shared" si="18"/>
        <v>-16388790.337768771</v>
      </c>
      <c r="P111" s="95">
        <f t="shared" si="12"/>
        <v>109424373.87585613</v>
      </c>
      <c r="Q111" s="93"/>
      <c r="R111" s="95">
        <f t="shared" si="16"/>
        <v>106342002.55926862</v>
      </c>
      <c r="S111" s="104"/>
    </row>
    <row r="112" spans="2:31" s="65" customFormat="1" hidden="1" outlineLevel="1">
      <c r="B112" s="97">
        <v>41882</v>
      </c>
      <c r="C112" s="108"/>
      <c r="D112" s="125"/>
      <c r="E112" s="91">
        <f t="shared" si="8"/>
        <v>52761311.789999977</v>
      </c>
      <c r="F112" s="126">
        <f t="shared" si="9"/>
        <v>141761311.78999987</v>
      </c>
      <c r="G112" s="98">
        <f t="shared" si="19"/>
        <v>141761311.7899999</v>
      </c>
      <c r="H112" s="102">
        <f t="shared" si="13"/>
        <v>590672.13245833281</v>
      </c>
      <c r="I112" s="100">
        <f t="shared" si="17"/>
        <v>-20082852.503583316</v>
      </c>
      <c r="J112" s="98">
        <f t="shared" si="14"/>
        <v>-16538819.70883332</v>
      </c>
      <c r="K112" s="98">
        <f t="shared" si="10"/>
        <v>125222492.08116658</v>
      </c>
      <c r="L112" s="93">
        <f t="shared" si="7"/>
        <v>121678459.28641656</v>
      </c>
      <c r="M112" s="94">
        <f t="shared" si="15"/>
        <v>76943.579693749954</v>
      </c>
      <c r="N112" s="100">
        <f t="shared" si="20"/>
        <v>-15850185.279912524</v>
      </c>
      <c r="O112" s="98">
        <f t="shared" si="18"/>
        <v>-16311846.758075021</v>
      </c>
      <c r="P112" s="95">
        <f>O112+K112</f>
        <v>108910645.32309157</v>
      </c>
      <c r="Q112" s="93"/>
      <c r="R112" s="95">
        <f t="shared" si="16"/>
        <v>105828274.00650403</v>
      </c>
      <c r="S112" s="104"/>
    </row>
    <row r="113" spans="2:21" s="65" customFormat="1" ht="12" hidden="1" customHeight="1" outlineLevel="1">
      <c r="B113" s="97">
        <v>41912</v>
      </c>
      <c r="C113" s="108"/>
      <c r="D113" s="125"/>
      <c r="E113" s="91">
        <f t="shared" si="8"/>
        <v>52761311.789999977</v>
      </c>
      <c r="F113" s="126">
        <f t="shared" si="9"/>
        <v>141761311.78999987</v>
      </c>
      <c r="G113" s="98">
        <f t="shared" si="19"/>
        <v>141761311.7899999</v>
      </c>
      <c r="H113" s="102">
        <f t="shared" si="13"/>
        <v>590672.13245833281</v>
      </c>
      <c r="I113" s="100">
        <f t="shared" si="17"/>
        <v>-20673524.636041649</v>
      </c>
      <c r="J113" s="98">
        <f t="shared" si="14"/>
        <v>-17129491.841291651</v>
      </c>
      <c r="K113" s="98">
        <f t="shared" si="10"/>
        <v>124631819.94870825</v>
      </c>
      <c r="L113" s="93">
        <f t="shared" si="7"/>
        <v>121087787.15395823</v>
      </c>
      <c r="M113" s="94">
        <f t="shared" si="15"/>
        <v>76943.579693749954</v>
      </c>
      <c r="N113" s="100">
        <f t="shared" si="20"/>
        <v>-15773241.700218774</v>
      </c>
      <c r="O113" s="98">
        <f t="shared" si="18"/>
        <v>-16234903.178381272</v>
      </c>
      <c r="P113" s="95">
        <f t="shared" si="12"/>
        <v>108396916.77032697</v>
      </c>
      <c r="Q113" s="93"/>
      <c r="R113" s="95">
        <f t="shared" si="16"/>
        <v>105314545.45373946</v>
      </c>
      <c r="S113" s="104"/>
    </row>
    <row r="114" spans="2:21" s="65" customFormat="1" hidden="1" outlineLevel="1">
      <c r="B114" s="97">
        <v>41943</v>
      </c>
      <c r="C114" s="108"/>
      <c r="D114" s="125"/>
      <c r="E114" s="91">
        <f t="shared" si="8"/>
        <v>52761311.789999977</v>
      </c>
      <c r="F114" s="126">
        <f t="shared" si="9"/>
        <v>141761311.78999987</v>
      </c>
      <c r="G114" s="98">
        <f t="shared" si="19"/>
        <v>141761311.7899999</v>
      </c>
      <c r="H114" s="102">
        <f t="shared" si="13"/>
        <v>590672.13245833281</v>
      </c>
      <c r="I114" s="100">
        <f t="shared" si="17"/>
        <v>-21264196.768499982</v>
      </c>
      <c r="J114" s="98">
        <f t="shared" si="14"/>
        <v>-17720163.973749984</v>
      </c>
      <c r="K114" s="98">
        <f t="shared" si="10"/>
        <v>124041147.81624992</v>
      </c>
      <c r="L114" s="93">
        <f t="shared" si="7"/>
        <v>120497115.02149989</v>
      </c>
      <c r="M114" s="94">
        <f t="shared" si="15"/>
        <v>76943.579693749954</v>
      </c>
      <c r="N114" s="100">
        <f t="shared" si="20"/>
        <v>-15696298.120525025</v>
      </c>
      <c r="O114" s="98">
        <f t="shared" si="18"/>
        <v>-16157959.598687522</v>
      </c>
      <c r="P114" s="95">
        <f t="shared" si="12"/>
        <v>107883188.21756241</v>
      </c>
      <c r="Q114" s="93"/>
      <c r="R114" s="95">
        <f t="shared" si="16"/>
        <v>104800816.90097487</v>
      </c>
      <c r="S114" s="104"/>
    </row>
    <row r="115" spans="2:21" s="65" customFormat="1" hidden="1" outlineLevel="1">
      <c r="B115" s="97">
        <v>41973</v>
      </c>
      <c r="C115" s="108"/>
      <c r="D115" s="125"/>
      <c r="E115" s="91">
        <f t="shared" si="8"/>
        <v>52761311.789999977</v>
      </c>
      <c r="F115" s="126">
        <f t="shared" si="9"/>
        <v>141761311.78999987</v>
      </c>
      <c r="G115" s="98">
        <f t="shared" si="19"/>
        <v>141761311.7899999</v>
      </c>
      <c r="H115" s="102">
        <f t="shared" si="13"/>
        <v>590672.13245833281</v>
      </c>
      <c r="I115" s="100">
        <f t="shared" si="17"/>
        <v>-21854868.900958315</v>
      </c>
      <c r="J115" s="98">
        <f t="shared" si="14"/>
        <v>-18310836.106208317</v>
      </c>
      <c r="K115" s="98">
        <f t="shared" si="10"/>
        <v>123450475.68379158</v>
      </c>
      <c r="L115" s="93">
        <f t="shared" si="7"/>
        <v>119906442.88904156</v>
      </c>
      <c r="M115" s="94">
        <f t="shared" si="15"/>
        <v>76943.579693749954</v>
      </c>
      <c r="N115" s="100">
        <f t="shared" si="20"/>
        <v>-15619354.540831275</v>
      </c>
      <c r="O115" s="98">
        <f t="shared" si="18"/>
        <v>-16081016.018993773</v>
      </c>
      <c r="P115" s="95">
        <f t="shared" si="12"/>
        <v>107369459.66479781</v>
      </c>
      <c r="Q115" s="93"/>
      <c r="R115" s="95">
        <f t="shared" si="16"/>
        <v>104287088.34821028</v>
      </c>
      <c r="S115" s="104"/>
    </row>
    <row r="116" spans="2:21" s="65" customFormat="1" ht="12.75" hidden="1" customHeight="1" outlineLevel="1">
      <c r="B116" s="97">
        <v>42004</v>
      </c>
      <c r="C116" s="108"/>
      <c r="D116" s="125"/>
      <c r="E116" s="91">
        <f t="shared" si="8"/>
        <v>52761311.789999977</v>
      </c>
      <c r="F116" s="126">
        <f t="shared" si="9"/>
        <v>141761311.78999987</v>
      </c>
      <c r="G116" s="98">
        <f t="shared" si="19"/>
        <v>141761311.7899999</v>
      </c>
      <c r="H116" s="102">
        <f t="shared" si="13"/>
        <v>590672.13245833281</v>
      </c>
      <c r="I116" s="100">
        <f t="shared" si="17"/>
        <v>-22445541.033416647</v>
      </c>
      <c r="J116" s="98">
        <f t="shared" si="14"/>
        <v>-18901508.23866665</v>
      </c>
      <c r="K116" s="98">
        <f t="shared" si="10"/>
        <v>122859803.55133325</v>
      </c>
      <c r="L116" s="93">
        <f t="shared" si="7"/>
        <v>119315770.75658323</v>
      </c>
      <c r="M116" s="94">
        <f t="shared" si="15"/>
        <v>76943.579693749954</v>
      </c>
      <c r="N116" s="100">
        <f t="shared" si="20"/>
        <v>-15542410.961137526</v>
      </c>
      <c r="O116" s="98">
        <f t="shared" si="18"/>
        <v>-16004072.439300023</v>
      </c>
      <c r="P116" s="95">
        <f t="shared" si="12"/>
        <v>106855731.11203322</v>
      </c>
      <c r="Q116" s="93"/>
      <c r="R116" s="95">
        <f t="shared" si="16"/>
        <v>103773359.79544571</v>
      </c>
      <c r="S116" s="104"/>
    </row>
    <row r="117" spans="2:21" s="65" customFormat="1" ht="12.75" customHeight="1" collapsed="1">
      <c r="B117" s="97">
        <v>42035</v>
      </c>
      <c r="C117" s="108"/>
      <c r="D117" s="125"/>
      <c r="E117" s="91">
        <f t="shared" si="8"/>
        <v>52761311.789999977</v>
      </c>
      <c r="F117" s="126">
        <f t="shared" si="9"/>
        <v>141761311.78999987</v>
      </c>
      <c r="G117" s="98">
        <f t="shared" si="19"/>
        <v>141761311.7899999</v>
      </c>
      <c r="H117" s="102">
        <f t="shared" si="13"/>
        <v>590672.13245833281</v>
      </c>
      <c r="I117" s="100">
        <f>I116-H117</f>
        <v>-23036213.16587498</v>
      </c>
      <c r="J117" s="98">
        <f t="shared" si="14"/>
        <v>-19492180.371124979</v>
      </c>
      <c r="K117" s="98">
        <f t="shared" si="10"/>
        <v>122269131.41887492</v>
      </c>
      <c r="L117" s="93">
        <f t="shared" si="7"/>
        <v>118725098.62412488</v>
      </c>
      <c r="M117" s="94">
        <f t="shared" si="15"/>
        <v>76943.579693749954</v>
      </c>
      <c r="N117" s="100">
        <f t="shared" si="20"/>
        <v>-15465467.381443776</v>
      </c>
      <c r="O117" s="98">
        <f t="shared" si="18"/>
        <v>-15927128.859606273</v>
      </c>
      <c r="P117" s="95">
        <f t="shared" si="12"/>
        <v>106342002.55926865</v>
      </c>
      <c r="Q117" s="93"/>
      <c r="R117" s="95">
        <f t="shared" si="16"/>
        <v>103259631.24268112</v>
      </c>
      <c r="S117" s="104"/>
    </row>
    <row r="118" spans="2:21" s="65" customFormat="1">
      <c r="B118" s="97">
        <v>42063</v>
      </c>
      <c r="C118" s="108"/>
      <c r="D118" s="125"/>
      <c r="E118" s="91">
        <f t="shared" si="8"/>
        <v>52761311.789999977</v>
      </c>
      <c r="F118" s="126">
        <f t="shared" si="9"/>
        <v>141761311.78999987</v>
      </c>
      <c r="G118" s="98">
        <f t="shared" si="19"/>
        <v>141761311.7899999</v>
      </c>
      <c r="H118" s="102">
        <f t="shared" si="13"/>
        <v>590672.13245833281</v>
      </c>
      <c r="I118" s="100">
        <f t="shared" si="17"/>
        <v>-23626885.298333313</v>
      </c>
      <c r="J118" s="98">
        <f t="shared" si="14"/>
        <v>-20082852.503583316</v>
      </c>
      <c r="K118" s="98">
        <f t="shared" si="10"/>
        <v>121678459.28641659</v>
      </c>
      <c r="L118" s="93">
        <f t="shared" si="7"/>
        <v>118134426.49166656</v>
      </c>
      <c r="M118" s="94">
        <f t="shared" si="15"/>
        <v>76943.579693749954</v>
      </c>
      <c r="N118" s="100">
        <f t="shared" si="20"/>
        <v>-15388523.801750027</v>
      </c>
      <c r="O118" s="98">
        <f t="shared" si="18"/>
        <v>-15850185.279912524</v>
      </c>
      <c r="P118" s="95">
        <f t="shared" si="12"/>
        <v>105828274.00650406</v>
      </c>
      <c r="Q118" s="93"/>
      <c r="R118" s="95">
        <f t="shared" si="16"/>
        <v>102745902.68991652</v>
      </c>
      <c r="S118" s="104"/>
    </row>
    <row r="119" spans="2:21" s="65" customFormat="1">
      <c r="B119" s="97">
        <v>42094</v>
      </c>
      <c r="C119" s="108"/>
      <c r="D119" s="125"/>
      <c r="E119" s="91">
        <f t="shared" si="8"/>
        <v>52761311.789999977</v>
      </c>
      <c r="F119" s="126">
        <f t="shared" si="9"/>
        <v>141761311.78999987</v>
      </c>
      <c r="G119" s="98">
        <f t="shared" si="19"/>
        <v>141761311.7899999</v>
      </c>
      <c r="H119" s="102">
        <f t="shared" si="13"/>
        <v>590672.13245833281</v>
      </c>
      <c r="I119" s="100">
        <f t="shared" si="17"/>
        <v>-24217557.430791646</v>
      </c>
      <c r="J119" s="98">
        <f t="shared" si="14"/>
        <v>-20673524.636041649</v>
      </c>
      <c r="K119" s="98">
        <f t="shared" si="10"/>
        <v>121087787.15395826</v>
      </c>
      <c r="L119" s="93">
        <f t="shared" si="7"/>
        <v>117543754.35920823</v>
      </c>
      <c r="M119" s="94">
        <f t="shared" si="15"/>
        <v>76943.579693749954</v>
      </c>
      <c r="N119" s="100">
        <f t="shared" si="20"/>
        <v>-15311580.222056277</v>
      </c>
      <c r="O119" s="98">
        <f t="shared" si="18"/>
        <v>-15773241.700218774</v>
      </c>
      <c r="P119" s="95">
        <f t="shared" si="12"/>
        <v>105314545.45373949</v>
      </c>
      <c r="Q119" s="93"/>
      <c r="R119" s="95">
        <f t="shared" si="16"/>
        <v>102232174.13715196</v>
      </c>
      <c r="S119" s="104"/>
    </row>
    <row r="120" spans="2:21" s="65" customFormat="1" ht="12.75" customHeight="1">
      <c r="B120" s="97">
        <v>42124</v>
      </c>
      <c r="C120" s="108"/>
      <c r="D120" s="125"/>
      <c r="E120" s="91">
        <f t="shared" si="8"/>
        <v>52761311.789999977</v>
      </c>
      <c r="F120" s="126">
        <f t="shared" si="9"/>
        <v>141761311.78999987</v>
      </c>
      <c r="G120" s="98">
        <f t="shared" si="19"/>
        <v>141761311.7899999</v>
      </c>
      <c r="H120" s="102">
        <f t="shared" si="13"/>
        <v>590672.13245833281</v>
      </c>
      <c r="I120" s="100">
        <f t="shared" si="17"/>
        <v>-24808229.563249979</v>
      </c>
      <c r="J120" s="98">
        <f t="shared" si="14"/>
        <v>-21264196.768499982</v>
      </c>
      <c r="K120" s="98">
        <f t="shared" si="10"/>
        <v>120497115.02149992</v>
      </c>
      <c r="L120" s="93">
        <f t="shared" si="7"/>
        <v>116953082.2267499</v>
      </c>
      <c r="M120" s="94">
        <f t="shared" si="15"/>
        <v>76943.579693749954</v>
      </c>
      <c r="N120" s="100">
        <f t="shared" si="20"/>
        <v>-15234636.642362528</v>
      </c>
      <c r="O120" s="98">
        <f t="shared" si="18"/>
        <v>-15696298.120525025</v>
      </c>
      <c r="P120" s="95">
        <f t="shared" si="12"/>
        <v>104800816.9009749</v>
      </c>
      <c r="Q120" s="93"/>
      <c r="R120" s="95">
        <f t="shared" si="16"/>
        <v>101718445.58438736</v>
      </c>
      <c r="S120" s="104"/>
    </row>
    <row r="121" spans="2:21" s="65" customFormat="1">
      <c r="B121" s="97">
        <v>42155</v>
      </c>
      <c r="C121" s="108"/>
      <c r="D121" s="125"/>
      <c r="E121" s="91">
        <f t="shared" si="8"/>
        <v>52761311.789999977</v>
      </c>
      <c r="F121" s="126">
        <f t="shared" si="9"/>
        <v>141761311.78999987</v>
      </c>
      <c r="G121" s="98">
        <f t="shared" si="19"/>
        <v>141761311.7899999</v>
      </c>
      <c r="H121" s="102">
        <f t="shared" si="13"/>
        <v>590672.13245833281</v>
      </c>
      <c r="I121" s="100">
        <f t="shared" si="17"/>
        <v>-25398901.695708312</v>
      </c>
      <c r="J121" s="98">
        <f t="shared" si="14"/>
        <v>-21854868.900958315</v>
      </c>
      <c r="K121" s="98">
        <f t="shared" si="10"/>
        <v>119906442.88904159</v>
      </c>
      <c r="L121" s="93">
        <f t="shared" si="7"/>
        <v>116362410.09429157</v>
      </c>
      <c r="M121" s="94">
        <f t="shared" si="15"/>
        <v>76943.579693749954</v>
      </c>
      <c r="N121" s="100">
        <f t="shared" si="20"/>
        <v>-15157693.062668778</v>
      </c>
      <c r="O121" s="98">
        <f t="shared" si="18"/>
        <v>-15619354.540831275</v>
      </c>
      <c r="P121" s="95">
        <f>O121+K121</f>
        <v>104287088.3482103</v>
      </c>
      <c r="Q121" s="93"/>
      <c r="R121" s="95">
        <f t="shared" si="16"/>
        <v>101204717.0316228</v>
      </c>
      <c r="S121" s="104"/>
    </row>
    <row r="122" spans="2:21" s="65" customFormat="1">
      <c r="B122" s="97">
        <v>42185</v>
      </c>
      <c r="C122" s="108"/>
      <c r="D122" s="125"/>
      <c r="E122" s="91">
        <f t="shared" si="8"/>
        <v>52761311.789999977</v>
      </c>
      <c r="F122" s="126">
        <f t="shared" si="9"/>
        <v>141761311.78999987</v>
      </c>
      <c r="G122" s="98">
        <f t="shared" si="19"/>
        <v>141761311.7899999</v>
      </c>
      <c r="H122" s="102">
        <f t="shared" si="13"/>
        <v>590672.13245833281</v>
      </c>
      <c r="I122" s="100">
        <f t="shared" si="17"/>
        <v>-25989573.828166645</v>
      </c>
      <c r="J122" s="98">
        <f t="shared" si="14"/>
        <v>-22445541.033416644</v>
      </c>
      <c r="K122" s="98">
        <f t="shared" si="10"/>
        <v>119315770.75658326</v>
      </c>
      <c r="L122" s="93">
        <f t="shared" si="7"/>
        <v>115771737.96183322</v>
      </c>
      <c r="M122" s="94">
        <f t="shared" si="15"/>
        <v>76943.579693749954</v>
      </c>
      <c r="N122" s="100">
        <f t="shared" si="20"/>
        <v>-15080749.482975028</v>
      </c>
      <c r="O122" s="98">
        <f t="shared" si="18"/>
        <v>-15542410.961137526</v>
      </c>
      <c r="P122" s="95">
        <f t="shared" si="12"/>
        <v>103773359.79544574</v>
      </c>
      <c r="Q122" s="93"/>
      <c r="R122" s="95">
        <f t="shared" si="16"/>
        <v>100690988.4788582</v>
      </c>
      <c r="S122" s="104"/>
      <c r="U122" s="104"/>
    </row>
    <row r="123" spans="2:21" s="65" customFormat="1">
      <c r="B123" s="97">
        <v>42216</v>
      </c>
      <c r="C123" s="108"/>
      <c r="D123" s="125"/>
      <c r="E123" s="91">
        <f t="shared" si="8"/>
        <v>52761311.789999977</v>
      </c>
      <c r="F123" s="126">
        <f t="shared" si="9"/>
        <v>141761311.78999987</v>
      </c>
      <c r="G123" s="98">
        <f t="shared" si="19"/>
        <v>141761311.7899999</v>
      </c>
      <c r="H123" s="102">
        <f t="shared" si="13"/>
        <v>590672.13245833281</v>
      </c>
      <c r="I123" s="100">
        <f t="shared" si="17"/>
        <v>-26580245.960624978</v>
      </c>
      <c r="J123" s="98">
        <f t="shared" si="14"/>
        <v>-23036213.165874977</v>
      </c>
      <c r="K123" s="98">
        <f t="shared" si="10"/>
        <v>118725098.62412493</v>
      </c>
      <c r="L123" s="93">
        <f t="shared" si="7"/>
        <v>115181065.82937489</v>
      </c>
      <c r="M123" s="94">
        <f t="shared" si="15"/>
        <v>76943.579693749954</v>
      </c>
      <c r="N123" s="100">
        <f t="shared" si="20"/>
        <v>-15003805.903281279</v>
      </c>
      <c r="O123" s="98">
        <f t="shared" si="18"/>
        <v>-15465467.381443776</v>
      </c>
      <c r="P123" s="95">
        <f t="shared" si="12"/>
        <v>103259631.24268115</v>
      </c>
      <c r="Q123" s="93"/>
      <c r="R123" s="95">
        <f t="shared" si="16"/>
        <v>100177259.92609361</v>
      </c>
      <c r="S123" s="104"/>
    </row>
    <row r="124" spans="2:21" s="65" customFormat="1">
      <c r="B124" s="97">
        <v>42247</v>
      </c>
      <c r="C124" s="108"/>
      <c r="D124" s="125"/>
      <c r="E124" s="91">
        <f t="shared" si="8"/>
        <v>52761311.789999977</v>
      </c>
      <c r="F124" s="126">
        <f t="shared" si="9"/>
        <v>141761311.78999987</v>
      </c>
      <c r="G124" s="98">
        <f t="shared" si="19"/>
        <v>141761311.7899999</v>
      </c>
      <c r="H124" s="102">
        <f t="shared" si="13"/>
        <v>590672.13245833281</v>
      </c>
      <c r="I124" s="100">
        <f t="shared" si="17"/>
        <v>-27170918.093083311</v>
      </c>
      <c r="J124" s="98">
        <f t="shared" si="14"/>
        <v>-23626885.298333306</v>
      </c>
      <c r="K124" s="98">
        <f t="shared" si="10"/>
        <v>118134426.4916666</v>
      </c>
      <c r="L124" s="93">
        <f t="shared" si="7"/>
        <v>114590393.69691657</v>
      </c>
      <c r="M124" s="94">
        <f t="shared" si="15"/>
        <v>76943.579693749954</v>
      </c>
      <c r="N124" s="100">
        <f t="shared" si="20"/>
        <v>-14926862.323587529</v>
      </c>
      <c r="O124" s="98">
        <f t="shared" si="18"/>
        <v>-15388523.801750027</v>
      </c>
      <c r="P124" s="95">
        <f t="shared" si="12"/>
        <v>102745902.68991658</v>
      </c>
      <c r="Q124" s="93"/>
      <c r="R124" s="95">
        <f t="shared" si="16"/>
        <v>99663531.373329043</v>
      </c>
      <c r="S124" s="104"/>
    </row>
    <row r="125" spans="2:21" s="65" customFormat="1">
      <c r="B125" s="97">
        <v>42277</v>
      </c>
      <c r="C125" s="108"/>
      <c r="D125" s="125"/>
      <c r="E125" s="91">
        <f t="shared" si="8"/>
        <v>52761311.789999977</v>
      </c>
      <c r="F125" s="126">
        <f t="shared" si="9"/>
        <v>141761311.78999987</v>
      </c>
      <c r="G125" s="98">
        <f t="shared" si="19"/>
        <v>141761311.7899999</v>
      </c>
      <c r="H125" s="102">
        <f t="shared" si="13"/>
        <v>590672.13245833281</v>
      </c>
      <c r="I125" s="100">
        <f t="shared" si="17"/>
        <v>-27761590.225541644</v>
      </c>
      <c r="J125" s="98">
        <f t="shared" si="14"/>
        <v>-24217557.430791646</v>
      </c>
      <c r="K125" s="98">
        <f t="shared" si="10"/>
        <v>117543754.35920826</v>
      </c>
      <c r="L125" s="93">
        <f t="shared" si="7"/>
        <v>113999721.56445822</v>
      </c>
      <c r="M125" s="94">
        <f>(E125/240*0.35)</f>
        <v>76943.579693749954</v>
      </c>
      <c r="N125" s="100">
        <f t="shared" si="20"/>
        <v>-14849918.74389378</v>
      </c>
      <c r="O125" s="98">
        <f t="shared" si="18"/>
        <v>-15311580.222056277</v>
      </c>
      <c r="P125" s="95">
        <f t="shared" si="12"/>
        <v>102232174.13715199</v>
      </c>
      <c r="Q125" s="93"/>
      <c r="R125" s="95">
        <f t="shared" si="16"/>
        <v>99149802.820564449</v>
      </c>
      <c r="S125" s="104"/>
    </row>
    <row r="126" spans="2:21" s="65" customFormat="1">
      <c r="B126" s="97">
        <v>42308</v>
      </c>
      <c r="C126" s="108"/>
      <c r="D126" s="125"/>
      <c r="E126" s="91">
        <f t="shared" si="8"/>
        <v>52761311.789999977</v>
      </c>
      <c r="F126" s="126">
        <f t="shared" si="9"/>
        <v>141761311.78999987</v>
      </c>
      <c r="G126" s="98">
        <f t="shared" si="19"/>
        <v>141761311.7899999</v>
      </c>
      <c r="H126" s="102">
        <f t="shared" si="13"/>
        <v>590672.13245833281</v>
      </c>
      <c r="I126" s="100">
        <f t="shared" si="17"/>
        <v>-28352262.357999977</v>
      </c>
      <c r="J126" s="98">
        <f t="shared" si="14"/>
        <v>-24808229.563249979</v>
      </c>
      <c r="K126" s="98">
        <f t="shared" si="10"/>
        <v>116953082.22674993</v>
      </c>
      <c r="L126" s="93">
        <f t="shared" si="7"/>
        <v>113409049.43199989</v>
      </c>
      <c r="M126" s="94">
        <f t="shared" si="15"/>
        <v>76943.579693749954</v>
      </c>
      <c r="N126" s="100">
        <f t="shared" si="20"/>
        <v>-14772975.16420003</v>
      </c>
      <c r="O126" s="98">
        <f t="shared" si="18"/>
        <v>-15234636.642362528</v>
      </c>
      <c r="P126" s="95">
        <f t="shared" si="12"/>
        <v>101718445.58438739</v>
      </c>
      <c r="Q126" s="93"/>
      <c r="R126" s="95">
        <f t="shared" si="16"/>
        <v>98636074.267799854</v>
      </c>
      <c r="S126" s="104"/>
    </row>
    <row r="127" spans="2:21" s="65" customFormat="1">
      <c r="B127" s="97">
        <v>42338</v>
      </c>
      <c r="C127" s="108"/>
      <c r="D127" s="125"/>
      <c r="E127" s="91">
        <f t="shared" si="8"/>
        <v>52761311.789999977</v>
      </c>
      <c r="F127" s="126">
        <f t="shared" si="9"/>
        <v>141761311.78999987</v>
      </c>
      <c r="G127" s="98">
        <f t="shared" si="19"/>
        <v>141761311.7899999</v>
      </c>
      <c r="H127" s="102">
        <f t="shared" si="13"/>
        <v>590672.13245833281</v>
      </c>
      <c r="I127" s="100">
        <f t="shared" si="17"/>
        <v>-28942934.49045831</v>
      </c>
      <c r="J127" s="98">
        <f t="shared" si="14"/>
        <v>-25398901.695708316</v>
      </c>
      <c r="K127" s="98">
        <f t="shared" si="10"/>
        <v>116362410.09429158</v>
      </c>
      <c r="L127" s="93">
        <f t="shared" si="7"/>
        <v>112818377.29954156</v>
      </c>
      <c r="M127" s="94">
        <f t="shared" si="15"/>
        <v>76943.579693749954</v>
      </c>
      <c r="N127" s="100">
        <f t="shared" si="20"/>
        <v>-14696031.584506281</v>
      </c>
      <c r="O127" s="98">
        <f t="shared" si="18"/>
        <v>-15157693.062668778</v>
      </c>
      <c r="P127" s="95">
        <f t="shared" si="12"/>
        <v>101204717.0316228</v>
      </c>
      <c r="Q127" s="93"/>
      <c r="R127" s="95">
        <f t="shared" si="16"/>
        <v>98122345.71503529</v>
      </c>
      <c r="S127" s="104"/>
    </row>
    <row r="128" spans="2:21" s="65" customFormat="1">
      <c r="B128" s="97">
        <v>42369</v>
      </c>
      <c r="C128" s="108"/>
      <c r="D128" s="125"/>
      <c r="E128" s="91">
        <f t="shared" si="8"/>
        <v>52761311.789999977</v>
      </c>
      <c r="F128" s="126">
        <f t="shared" si="9"/>
        <v>141761311.78999987</v>
      </c>
      <c r="G128" s="98">
        <f t="shared" si="19"/>
        <v>141761311.7899999</v>
      </c>
      <c r="H128" s="102">
        <f t="shared" si="13"/>
        <v>590672.13245833281</v>
      </c>
      <c r="I128" s="100">
        <f t="shared" si="17"/>
        <v>-29533606.622916643</v>
      </c>
      <c r="J128" s="98">
        <f t="shared" si="14"/>
        <v>-25989573.828166649</v>
      </c>
      <c r="K128" s="98">
        <f t="shared" si="10"/>
        <v>115771737.96183325</v>
      </c>
      <c r="L128" s="93">
        <f t="shared" si="7"/>
        <v>112227705.16708323</v>
      </c>
      <c r="M128" s="94">
        <f t="shared" si="15"/>
        <v>76943.579693749954</v>
      </c>
      <c r="N128" s="100">
        <f t="shared" si="20"/>
        <v>-14619088.004812531</v>
      </c>
      <c r="O128" s="98">
        <f t="shared" si="18"/>
        <v>-15080749.482975028</v>
      </c>
      <c r="P128" s="95">
        <f t="shared" si="12"/>
        <v>100690988.47885823</v>
      </c>
      <c r="Q128" s="93"/>
      <c r="R128" s="95">
        <f t="shared" si="16"/>
        <v>97608617.162270695</v>
      </c>
      <c r="S128" s="104"/>
    </row>
    <row r="129" spans="2:19" s="65" customFormat="1">
      <c r="B129" s="97">
        <v>42400</v>
      </c>
      <c r="C129" s="108"/>
      <c r="D129" s="125"/>
      <c r="E129" s="91">
        <f t="shared" si="8"/>
        <v>52761311.789999977</v>
      </c>
      <c r="F129" s="126">
        <f t="shared" si="9"/>
        <v>141761311.78999987</v>
      </c>
      <c r="G129" s="98">
        <f t="shared" si="19"/>
        <v>141761311.7899999</v>
      </c>
      <c r="H129" s="102">
        <f t="shared" si="13"/>
        <v>590672.13245833281</v>
      </c>
      <c r="I129" s="100">
        <f t="shared" si="17"/>
        <v>-30124278.755374976</v>
      </c>
      <c r="J129" s="98">
        <f t="shared" si="14"/>
        <v>-26580245.960624982</v>
      </c>
      <c r="K129" s="98">
        <f t="shared" si="10"/>
        <v>115181065.82937492</v>
      </c>
      <c r="L129" s="93">
        <f t="shared" si="7"/>
        <v>111637033.0346249</v>
      </c>
      <c r="M129" s="94">
        <f t="shared" si="15"/>
        <v>76943.579693749954</v>
      </c>
      <c r="N129" s="100">
        <f t="shared" si="20"/>
        <v>-14542144.425118782</v>
      </c>
      <c r="O129" s="98">
        <f t="shared" si="18"/>
        <v>-15003805.903281279</v>
      </c>
      <c r="P129" s="95">
        <f t="shared" si="12"/>
        <v>100177259.92609364</v>
      </c>
      <c r="Q129" s="93"/>
      <c r="R129" s="95">
        <f t="shared" si="16"/>
        <v>97094888.60950613</v>
      </c>
      <c r="S129" s="104"/>
    </row>
    <row r="130" spans="2:19" s="65" customFormat="1">
      <c r="B130" s="97">
        <v>42428</v>
      </c>
      <c r="C130" s="108"/>
      <c r="D130" s="125"/>
      <c r="E130" s="91">
        <f t="shared" si="8"/>
        <v>52761311.789999977</v>
      </c>
      <c r="F130" s="126">
        <f t="shared" si="9"/>
        <v>141761311.78999987</v>
      </c>
      <c r="G130" s="98">
        <f t="shared" si="19"/>
        <v>141761311.7899999</v>
      </c>
      <c r="H130" s="102">
        <f t="shared" si="13"/>
        <v>590672.13245833281</v>
      </c>
      <c r="I130" s="100">
        <f t="shared" si="17"/>
        <v>-30714950.887833308</v>
      </c>
      <c r="J130" s="98">
        <f t="shared" si="14"/>
        <v>-27170918.093083311</v>
      </c>
      <c r="K130" s="98">
        <f t="shared" si="10"/>
        <v>114590393.6969166</v>
      </c>
      <c r="L130" s="93">
        <f t="shared" si="7"/>
        <v>111046360.90216656</v>
      </c>
      <c r="M130" s="94">
        <f t="shared" si="15"/>
        <v>76943.579693749954</v>
      </c>
      <c r="N130" s="100">
        <f t="shared" si="20"/>
        <v>-14465200.845425032</v>
      </c>
      <c r="O130" s="98">
        <f t="shared" si="18"/>
        <v>-14926862.323587529</v>
      </c>
      <c r="P130" s="95">
        <f t="shared" si="12"/>
        <v>99663531.373329073</v>
      </c>
      <c r="Q130" s="93"/>
      <c r="R130" s="95">
        <f t="shared" si="16"/>
        <v>96581160.056741536</v>
      </c>
      <c r="S130" s="104"/>
    </row>
    <row r="131" spans="2:19" s="65" customFormat="1">
      <c r="B131" s="97">
        <v>42460</v>
      </c>
      <c r="C131" s="108"/>
      <c r="D131" s="125"/>
      <c r="E131" s="91">
        <f t="shared" si="8"/>
        <v>52761311.789999977</v>
      </c>
      <c r="F131" s="126">
        <f t="shared" si="9"/>
        <v>141761311.78999987</v>
      </c>
      <c r="G131" s="98">
        <f t="shared" si="19"/>
        <v>141761311.7899999</v>
      </c>
      <c r="H131" s="102">
        <f t="shared" si="13"/>
        <v>590672.13245833281</v>
      </c>
      <c r="I131" s="100">
        <f t="shared" si="17"/>
        <v>-31305623.020291641</v>
      </c>
      <c r="J131" s="98">
        <f t="shared" si="14"/>
        <v>-27761590.225541648</v>
      </c>
      <c r="K131" s="98">
        <f t="shared" si="10"/>
        <v>113999721.56445825</v>
      </c>
      <c r="L131" s="93">
        <f t="shared" si="7"/>
        <v>110455688.76970823</v>
      </c>
      <c r="M131" s="94">
        <f t="shared" si="15"/>
        <v>76943.579693749954</v>
      </c>
      <c r="N131" s="100">
        <f t="shared" si="20"/>
        <v>-14388257.265731283</v>
      </c>
      <c r="O131" s="98">
        <f t="shared" si="18"/>
        <v>-14849918.74389378</v>
      </c>
      <c r="P131" s="95">
        <f t="shared" si="12"/>
        <v>99149802.820564479</v>
      </c>
      <c r="Q131" s="93"/>
      <c r="R131" s="95">
        <f t="shared" si="16"/>
        <v>96067431.503976941</v>
      </c>
      <c r="S131" s="104"/>
    </row>
    <row r="132" spans="2:19" s="65" customFormat="1">
      <c r="B132" s="97">
        <v>42490</v>
      </c>
      <c r="C132" s="108"/>
      <c r="D132" s="125"/>
      <c r="E132" s="91">
        <f t="shared" si="8"/>
        <v>52761311.789999977</v>
      </c>
      <c r="F132" s="126">
        <f t="shared" si="9"/>
        <v>141761311.78999987</v>
      </c>
      <c r="G132" s="98">
        <f t="shared" si="19"/>
        <v>141761311.7899999</v>
      </c>
      <c r="H132" s="102">
        <f t="shared" si="13"/>
        <v>590672.13245833281</v>
      </c>
      <c r="I132" s="100">
        <f t="shared" si="17"/>
        <v>-31896295.152749974</v>
      </c>
      <c r="J132" s="98">
        <f t="shared" si="14"/>
        <v>-28352262.357999977</v>
      </c>
      <c r="K132" s="98">
        <f t="shared" si="10"/>
        <v>113409049.43199992</v>
      </c>
      <c r="L132" s="93">
        <f t="shared" si="7"/>
        <v>109865016.6372499</v>
      </c>
      <c r="M132" s="94">
        <f t="shared" si="15"/>
        <v>76943.579693749954</v>
      </c>
      <c r="N132" s="100">
        <f t="shared" si="20"/>
        <v>-14311313.686037533</v>
      </c>
      <c r="O132" s="98">
        <f t="shared" si="18"/>
        <v>-14772975.16420003</v>
      </c>
      <c r="P132" s="95">
        <f t="shared" si="12"/>
        <v>98636074.267799884</v>
      </c>
      <c r="Q132" s="93"/>
      <c r="R132" s="95">
        <f t="shared" si="16"/>
        <v>95553702.951212376</v>
      </c>
      <c r="S132" s="104"/>
    </row>
    <row r="133" spans="2:19" s="65" customFormat="1">
      <c r="B133" s="97">
        <v>42521</v>
      </c>
      <c r="C133" s="108"/>
      <c r="D133" s="125"/>
      <c r="E133" s="91">
        <f t="shared" si="8"/>
        <v>52761311.789999977</v>
      </c>
      <c r="F133" s="126">
        <f t="shared" si="9"/>
        <v>141761311.78999987</v>
      </c>
      <c r="G133" s="98">
        <f t="shared" si="19"/>
        <v>141761311.7899999</v>
      </c>
      <c r="H133" s="102">
        <f t="shared" si="13"/>
        <v>590672.13245833281</v>
      </c>
      <c r="I133" s="100">
        <f t="shared" si="17"/>
        <v>-32486967.285208307</v>
      </c>
      <c r="J133" s="98">
        <f t="shared" si="14"/>
        <v>-28942934.490458306</v>
      </c>
      <c r="K133" s="98">
        <f t="shared" si="10"/>
        <v>112818377.29954159</v>
      </c>
      <c r="L133" s="93">
        <f t="shared" si="7"/>
        <v>109274344.50479156</v>
      </c>
      <c r="M133" s="94">
        <f t="shared" si="15"/>
        <v>76943.579693749954</v>
      </c>
      <c r="N133" s="100">
        <f t="shared" si="20"/>
        <v>-14234370.106343783</v>
      </c>
      <c r="O133" s="98">
        <f t="shared" si="18"/>
        <v>-14696031.584506281</v>
      </c>
      <c r="P133" s="95">
        <f t="shared" si="12"/>
        <v>98122345.715035319</v>
      </c>
      <c r="Q133" s="93"/>
      <c r="R133" s="95">
        <f t="shared" si="16"/>
        <v>95039974.398447782</v>
      </c>
      <c r="S133" s="104"/>
    </row>
    <row r="134" spans="2:19" s="65" customFormat="1">
      <c r="B134" s="97">
        <v>42551</v>
      </c>
      <c r="C134" s="108"/>
      <c r="D134" s="125"/>
      <c r="E134" s="91">
        <f t="shared" si="8"/>
        <v>52761311.789999977</v>
      </c>
      <c r="F134" s="126">
        <f t="shared" si="9"/>
        <v>141761311.78999987</v>
      </c>
      <c r="G134" s="98">
        <f t="shared" si="19"/>
        <v>141761311.7899999</v>
      </c>
      <c r="H134" s="102">
        <f t="shared" si="13"/>
        <v>590672.13245833281</v>
      </c>
      <c r="I134" s="100">
        <f t="shared" si="17"/>
        <v>-33077639.41766664</v>
      </c>
      <c r="J134" s="98">
        <f t="shared" si="14"/>
        <v>-29533606.622916639</v>
      </c>
      <c r="K134" s="98">
        <f t="shared" si="10"/>
        <v>112227705.16708326</v>
      </c>
      <c r="L134" s="93">
        <f t="shared" si="7"/>
        <v>108683672.37233323</v>
      </c>
      <c r="M134" s="94">
        <f t="shared" si="15"/>
        <v>76943.579693749954</v>
      </c>
      <c r="N134" s="100">
        <f t="shared" si="20"/>
        <v>-14157426.526650034</v>
      </c>
      <c r="O134" s="98">
        <f t="shared" si="18"/>
        <v>-14619088.004812531</v>
      </c>
      <c r="P134" s="95">
        <f t="shared" si="12"/>
        <v>97608617.162270725</v>
      </c>
      <c r="Q134" s="93"/>
      <c r="R134" s="95">
        <f t="shared" si="16"/>
        <v>94526245.845683187</v>
      </c>
      <c r="S134" s="104"/>
    </row>
    <row r="135" spans="2:19" s="65" customFormat="1">
      <c r="B135" s="97">
        <v>42582</v>
      </c>
      <c r="C135" s="108"/>
      <c r="D135" s="125"/>
      <c r="E135" s="91">
        <f t="shared" si="8"/>
        <v>52761311.789999977</v>
      </c>
      <c r="F135" s="126">
        <f t="shared" si="9"/>
        <v>141761311.78999987</v>
      </c>
      <c r="G135" s="98">
        <f t="shared" si="19"/>
        <v>141761311.7899999</v>
      </c>
      <c r="H135" s="102">
        <f t="shared" si="13"/>
        <v>590672.13245833281</v>
      </c>
      <c r="I135" s="100">
        <f t="shared" si="17"/>
        <v>-33668311.550124973</v>
      </c>
      <c r="J135" s="98">
        <f t="shared" si="14"/>
        <v>-30124278.755374972</v>
      </c>
      <c r="K135" s="98">
        <f t="shared" si="10"/>
        <v>111637033.03462493</v>
      </c>
      <c r="L135" s="93">
        <f t="shared" si="7"/>
        <v>108093000.2398749</v>
      </c>
      <c r="M135" s="94">
        <f t="shared" si="15"/>
        <v>76943.579693749954</v>
      </c>
      <c r="N135" s="100">
        <f t="shared" si="20"/>
        <v>-14080482.946956284</v>
      </c>
      <c r="O135" s="98">
        <f t="shared" si="18"/>
        <v>-14542144.425118782</v>
      </c>
      <c r="P135" s="95">
        <f t="shared" si="12"/>
        <v>97094888.60950616</v>
      </c>
      <c r="Q135" s="93"/>
      <c r="R135" s="95">
        <f t="shared" si="16"/>
        <v>94012517.292918622</v>
      </c>
      <c r="S135" s="104"/>
    </row>
    <row r="136" spans="2:19" s="65" customFormat="1">
      <c r="B136" s="97">
        <v>42613</v>
      </c>
      <c r="C136" s="108"/>
      <c r="D136" s="125"/>
      <c r="E136" s="91">
        <f t="shared" si="8"/>
        <v>52761311.789999977</v>
      </c>
      <c r="F136" s="126">
        <f t="shared" si="9"/>
        <v>141761311.78999987</v>
      </c>
      <c r="G136" s="98">
        <f t="shared" si="19"/>
        <v>141761311.7899999</v>
      </c>
      <c r="H136" s="102">
        <f t="shared" si="13"/>
        <v>590672.13245833281</v>
      </c>
      <c r="I136" s="100">
        <f t="shared" si="17"/>
        <v>-34258983.682583302</v>
      </c>
      <c r="J136" s="98">
        <f t="shared" si="14"/>
        <v>-30714950.887833301</v>
      </c>
      <c r="K136" s="98">
        <f t="shared" si="10"/>
        <v>111046360.9021666</v>
      </c>
      <c r="L136" s="93">
        <f t="shared" si="7"/>
        <v>107502328.10741657</v>
      </c>
      <c r="M136" s="94">
        <f t="shared" si="15"/>
        <v>76943.579693749954</v>
      </c>
      <c r="N136" s="100">
        <f t="shared" si="20"/>
        <v>-14003539.367262535</v>
      </c>
      <c r="O136" s="98">
        <f t="shared" si="18"/>
        <v>-14465200.845425032</v>
      </c>
      <c r="P136" s="95">
        <f t="shared" si="12"/>
        <v>96581160.056741565</v>
      </c>
      <c r="Q136" s="104"/>
      <c r="R136" s="95">
        <f t="shared" si="16"/>
        <v>93498788.740154028</v>
      </c>
      <c r="S136" s="104"/>
    </row>
    <row r="137" spans="2:19" s="65" customFormat="1">
      <c r="B137" s="97">
        <v>42643</v>
      </c>
      <c r="C137" s="108"/>
      <c r="D137" s="125"/>
      <c r="E137" s="91">
        <f t="shared" si="8"/>
        <v>52761311.789999977</v>
      </c>
      <c r="F137" s="126">
        <f t="shared" si="9"/>
        <v>141761311.78999987</v>
      </c>
      <c r="G137" s="98">
        <f t="shared" si="19"/>
        <v>141761311.7899999</v>
      </c>
      <c r="H137" s="102">
        <f t="shared" si="13"/>
        <v>590672.13245833281</v>
      </c>
      <c r="I137" s="100">
        <f t="shared" si="17"/>
        <v>-34849655.815041631</v>
      </c>
      <c r="J137" s="98">
        <f t="shared" si="14"/>
        <v>-31305623.020291641</v>
      </c>
      <c r="K137" s="98">
        <f t="shared" si="10"/>
        <v>110455688.76970826</v>
      </c>
      <c r="L137" s="93">
        <f t="shared" si="7"/>
        <v>106911655.97495824</v>
      </c>
      <c r="M137" s="94">
        <f t="shared" si="15"/>
        <v>76943.579693749954</v>
      </c>
      <c r="N137" s="100">
        <f t="shared" si="20"/>
        <v>-13926595.787568785</v>
      </c>
      <c r="O137" s="98">
        <f t="shared" si="18"/>
        <v>-14388257.265731283</v>
      </c>
      <c r="P137" s="95">
        <f t="shared" si="12"/>
        <v>96067431.503976971</v>
      </c>
      <c r="Q137" s="104"/>
      <c r="R137" s="95">
        <f t="shared" si="16"/>
        <v>92985060.187389463</v>
      </c>
      <c r="S137" s="104"/>
    </row>
    <row r="138" spans="2:19" s="65" customFormat="1">
      <c r="B138" s="97">
        <v>42674</v>
      </c>
      <c r="C138" s="108"/>
      <c r="D138" s="125"/>
      <c r="E138" s="91">
        <f t="shared" si="8"/>
        <v>52761311.789999977</v>
      </c>
      <c r="F138" s="126">
        <f t="shared" si="9"/>
        <v>141761311.78999987</v>
      </c>
      <c r="G138" s="98">
        <f t="shared" si="19"/>
        <v>141761311.7899999</v>
      </c>
      <c r="H138" s="102">
        <f t="shared" si="13"/>
        <v>590672.13245833281</v>
      </c>
      <c r="I138" s="100">
        <f t="shared" si="17"/>
        <v>-35440327.947499961</v>
      </c>
      <c r="J138" s="98">
        <f t="shared" si="14"/>
        <v>-31896295.152749982</v>
      </c>
      <c r="K138" s="98">
        <f t="shared" si="10"/>
        <v>109865016.63724992</v>
      </c>
      <c r="L138" s="93">
        <f t="shared" si="7"/>
        <v>106320983.84249991</v>
      </c>
      <c r="M138" s="94">
        <f t="shared" si="15"/>
        <v>76943.579693749954</v>
      </c>
      <c r="N138" s="100">
        <f t="shared" si="20"/>
        <v>-13849652.207875036</v>
      </c>
      <c r="O138" s="98">
        <f t="shared" si="18"/>
        <v>-14311313.686037533</v>
      </c>
      <c r="P138" s="95">
        <f t="shared" si="12"/>
        <v>95553702.951212376</v>
      </c>
      <c r="Q138" s="104"/>
      <c r="R138" s="95">
        <f t="shared" si="16"/>
        <v>92471331.634624869</v>
      </c>
      <c r="S138" s="104"/>
    </row>
    <row r="139" spans="2:19" s="65" customFormat="1">
      <c r="B139" s="97">
        <v>42704</v>
      </c>
      <c r="C139" s="108"/>
      <c r="D139" s="125"/>
      <c r="E139" s="91">
        <f t="shared" si="8"/>
        <v>52761311.789999977</v>
      </c>
      <c r="F139" s="126">
        <f t="shared" si="9"/>
        <v>141761311.78999987</v>
      </c>
      <c r="G139" s="98">
        <f t="shared" si="19"/>
        <v>141761311.7899999</v>
      </c>
      <c r="H139" s="102">
        <f t="shared" si="13"/>
        <v>590672.13245833281</v>
      </c>
      <c r="I139" s="100">
        <f t="shared" si="17"/>
        <v>-36031000.07995829</v>
      </c>
      <c r="J139" s="98">
        <f t="shared" si="14"/>
        <v>-32486967.285208311</v>
      </c>
      <c r="K139" s="98">
        <f t="shared" si="10"/>
        <v>109274344.50479159</v>
      </c>
      <c r="L139" s="93">
        <f t="shared" si="7"/>
        <v>105730311.71004158</v>
      </c>
      <c r="M139" s="94">
        <f t="shared" si="15"/>
        <v>76943.579693749954</v>
      </c>
      <c r="N139" s="100">
        <f t="shared" si="20"/>
        <v>-13772708.628181286</v>
      </c>
      <c r="O139" s="98">
        <f t="shared" si="18"/>
        <v>-14234370.106343783</v>
      </c>
      <c r="P139" s="95">
        <f t="shared" si="12"/>
        <v>95039974.398447812</v>
      </c>
      <c r="Q139" s="104"/>
      <c r="R139" s="95">
        <f t="shared" si="16"/>
        <v>91957603.081860304</v>
      </c>
      <c r="S139" s="104"/>
    </row>
    <row r="140" spans="2:19" s="65" customFormat="1">
      <c r="B140" s="97">
        <v>42735</v>
      </c>
      <c r="C140" s="108"/>
      <c r="D140" s="125"/>
      <c r="E140" s="91">
        <f t="shared" si="8"/>
        <v>52761311.789999977</v>
      </c>
      <c r="F140" s="126">
        <f t="shared" si="9"/>
        <v>141761311.78999987</v>
      </c>
      <c r="G140" s="98">
        <f t="shared" si="19"/>
        <v>141761311.7899999</v>
      </c>
      <c r="H140" s="102">
        <f t="shared" si="13"/>
        <v>590672.13245833281</v>
      </c>
      <c r="I140" s="100">
        <f t="shared" si="17"/>
        <v>-36621672.212416619</v>
      </c>
      <c r="J140" s="98">
        <f t="shared" si="14"/>
        <v>-33077639.41766664</v>
      </c>
      <c r="K140" s="98">
        <f t="shared" si="10"/>
        <v>108683672.37233326</v>
      </c>
      <c r="L140" s="93">
        <f t="shared" si="7"/>
        <v>105139639.57758325</v>
      </c>
      <c r="M140" s="94">
        <f t="shared" si="15"/>
        <v>76943.579693749954</v>
      </c>
      <c r="N140" s="100">
        <f t="shared" si="20"/>
        <v>-13695765.048487537</v>
      </c>
      <c r="O140" s="98">
        <f t="shared" si="18"/>
        <v>-14157426.526650034</v>
      </c>
      <c r="P140" s="95">
        <f t="shared" si="12"/>
        <v>94526245.845683217</v>
      </c>
      <c r="Q140" s="104"/>
      <c r="R140" s="95">
        <f t="shared" si="16"/>
        <v>91443874.529095709</v>
      </c>
      <c r="S140" s="104"/>
    </row>
    <row r="141" spans="2:19" s="65" customFormat="1">
      <c r="B141" s="97">
        <v>42766</v>
      </c>
      <c r="C141" s="108"/>
      <c r="D141" s="125"/>
      <c r="E141" s="91">
        <f t="shared" si="8"/>
        <v>52761311.789999977</v>
      </c>
      <c r="F141" s="126">
        <f t="shared" si="9"/>
        <v>141761311.78999987</v>
      </c>
      <c r="G141" s="98">
        <f t="shared" si="19"/>
        <v>141761311.7899999</v>
      </c>
      <c r="H141" s="102">
        <f t="shared" si="13"/>
        <v>590672.13245833281</v>
      </c>
      <c r="I141" s="100">
        <f t="shared" si="17"/>
        <v>-37212344.344874948</v>
      </c>
      <c r="J141" s="98">
        <f t="shared" si="14"/>
        <v>-33668311.550124966</v>
      </c>
      <c r="K141" s="98">
        <f t="shared" si="10"/>
        <v>108093000.23987493</v>
      </c>
      <c r="L141" s="93">
        <f t="shared" ref="L141:L204" si="21">F141+I141</f>
        <v>104548967.44512492</v>
      </c>
      <c r="M141" s="94">
        <f t="shared" si="15"/>
        <v>76943.579693749954</v>
      </c>
      <c r="N141" s="100">
        <f t="shared" si="20"/>
        <v>-13618821.468793787</v>
      </c>
      <c r="O141" s="98">
        <f t="shared" si="18"/>
        <v>-14080482.946956284</v>
      </c>
      <c r="P141" s="95">
        <f t="shared" si="12"/>
        <v>94012517.292918652</v>
      </c>
      <c r="Q141" s="104"/>
      <c r="R141" s="95">
        <f t="shared" si="16"/>
        <v>90930145.976331145</v>
      </c>
      <c r="S141" s="104"/>
    </row>
    <row r="142" spans="2:19" s="65" customFormat="1" ht="12.75" customHeight="1">
      <c r="B142" s="97">
        <v>42794</v>
      </c>
      <c r="C142" s="108"/>
      <c r="D142" s="125"/>
      <c r="E142" s="91">
        <f t="shared" ref="E142:E205" si="22">D142+E141</f>
        <v>52761311.789999977</v>
      </c>
      <c r="F142" s="126">
        <f t="shared" si="9"/>
        <v>141761311.78999987</v>
      </c>
      <c r="G142" s="98">
        <f t="shared" si="19"/>
        <v>141761311.7899999</v>
      </c>
      <c r="H142" s="102">
        <f t="shared" si="13"/>
        <v>590672.13245833281</v>
      </c>
      <c r="I142" s="100">
        <f t="shared" si="17"/>
        <v>-37803016.477333277</v>
      </c>
      <c r="J142" s="98">
        <f t="shared" si="14"/>
        <v>-34258983.682583295</v>
      </c>
      <c r="K142" s="98">
        <f t="shared" si="10"/>
        <v>107502328.1074166</v>
      </c>
      <c r="L142" s="93">
        <f t="shared" si="21"/>
        <v>103958295.31266659</v>
      </c>
      <c r="M142" s="94">
        <f t="shared" si="15"/>
        <v>76943.579693749954</v>
      </c>
      <c r="N142" s="100">
        <f t="shared" si="20"/>
        <v>-13541877.889100038</v>
      </c>
      <c r="O142" s="98">
        <f t="shared" si="18"/>
        <v>-14003539.367262535</v>
      </c>
      <c r="P142" s="95">
        <f t="shared" si="12"/>
        <v>93498788.740154058</v>
      </c>
      <c r="Q142" s="104"/>
      <c r="R142" s="95">
        <f t="shared" si="16"/>
        <v>90416417.42356655</v>
      </c>
      <c r="S142" s="104"/>
    </row>
    <row r="143" spans="2:19" s="65" customFormat="1" ht="12.75" customHeight="1">
      <c r="B143" s="97">
        <v>42825</v>
      </c>
      <c r="C143" s="108"/>
      <c r="D143" s="125"/>
      <c r="E143" s="91">
        <f t="shared" si="22"/>
        <v>52761311.789999977</v>
      </c>
      <c r="F143" s="126">
        <f t="shared" ref="F143:F206" si="23">F142+D143</f>
        <v>141761311.78999987</v>
      </c>
      <c r="G143" s="98">
        <f t="shared" si="19"/>
        <v>141761311.7899999</v>
      </c>
      <c r="H143" s="102">
        <f t="shared" si="13"/>
        <v>590672.13245833281</v>
      </c>
      <c r="I143" s="100">
        <f t="shared" si="17"/>
        <v>-38393688.609791607</v>
      </c>
      <c r="J143" s="98">
        <f t="shared" si="14"/>
        <v>-34849655.815041639</v>
      </c>
      <c r="K143" s="98">
        <f t="shared" ref="K143:K206" si="24">G143+J143</f>
        <v>106911655.97495827</v>
      </c>
      <c r="L143" s="93">
        <f t="shared" si="21"/>
        <v>103367623.18020827</v>
      </c>
      <c r="M143" s="94">
        <f t="shared" si="15"/>
        <v>76943.579693749954</v>
      </c>
      <c r="N143" s="100">
        <f t="shared" si="20"/>
        <v>-13464934.309406288</v>
      </c>
      <c r="O143" s="98">
        <f t="shared" si="18"/>
        <v>-13926595.787568785</v>
      </c>
      <c r="P143" s="95">
        <f t="shared" ref="P143:P206" si="25">O143+K143</f>
        <v>92985060.187389493</v>
      </c>
      <c r="Q143" s="104"/>
      <c r="R143" s="95">
        <f t="shared" si="16"/>
        <v>89902688.870801985</v>
      </c>
      <c r="S143" s="104"/>
    </row>
    <row r="144" spans="2:19" s="65" customFormat="1">
      <c r="B144" s="97">
        <v>42855</v>
      </c>
      <c r="C144" s="108"/>
      <c r="D144" s="125"/>
      <c r="E144" s="91">
        <f t="shared" si="22"/>
        <v>52761311.789999977</v>
      </c>
      <c r="F144" s="126">
        <f t="shared" si="23"/>
        <v>141761311.78999987</v>
      </c>
      <c r="G144" s="98">
        <f t="shared" si="19"/>
        <v>141761311.7899999</v>
      </c>
      <c r="H144" s="102">
        <f t="shared" ref="H144:H207" si="26">F143/240</f>
        <v>590672.13245833281</v>
      </c>
      <c r="I144" s="100">
        <f t="shared" si="17"/>
        <v>-38984360.742249936</v>
      </c>
      <c r="J144" s="98">
        <f t="shared" si="14"/>
        <v>-35440327.947499968</v>
      </c>
      <c r="K144" s="98">
        <f t="shared" si="24"/>
        <v>106320983.84249994</v>
      </c>
      <c r="L144" s="93">
        <f t="shared" si="21"/>
        <v>102776951.04774994</v>
      </c>
      <c r="M144" s="94">
        <f t="shared" si="15"/>
        <v>76943.579693749954</v>
      </c>
      <c r="N144" s="100">
        <f t="shared" si="20"/>
        <v>-13387990.729712538</v>
      </c>
      <c r="O144" s="98">
        <f t="shared" si="18"/>
        <v>-13849652.207875036</v>
      </c>
      <c r="P144" s="95">
        <f t="shared" si="25"/>
        <v>92471331.634624898</v>
      </c>
      <c r="Q144" s="104"/>
      <c r="R144" s="95">
        <f t="shared" si="16"/>
        <v>89388960.318037391</v>
      </c>
      <c r="S144" s="104"/>
    </row>
    <row r="145" spans="2:19" s="65" customFormat="1">
      <c r="B145" s="97">
        <v>42886</v>
      </c>
      <c r="C145" s="108"/>
      <c r="D145" s="125"/>
      <c r="E145" s="91">
        <f t="shared" si="22"/>
        <v>52761311.789999977</v>
      </c>
      <c r="F145" s="126">
        <f t="shared" si="23"/>
        <v>141761311.78999987</v>
      </c>
      <c r="G145" s="98">
        <f t="shared" si="19"/>
        <v>141761311.7899999</v>
      </c>
      <c r="H145" s="102">
        <f t="shared" si="26"/>
        <v>590672.13245833281</v>
      </c>
      <c r="I145" s="100">
        <f t="shared" si="17"/>
        <v>-39575032.874708265</v>
      </c>
      <c r="J145" s="98">
        <f t="shared" ref="J145:J208" si="27">(I133+I145+SUM(I134:I144)*2)/24</f>
        <v>-36031000.079958297</v>
      </c>
      <c r="K145" s="98">
        <f t="shared" si="24"/>
        <v>105730311.71004161</v>
      </c>
      <c r="L145" s="93">
        <f t="shared" si="21"/>
        <v>102186278.91529161</v>
      </c>
      <c r="M145" s="94">
        <f t="shared" ref="M145:M152" si="28">(E145/240*0.35)</f>
        <v>76943.579693749954</v>
      </c>
      <c r="N145" s="100">
        <f>N144+M145</f>
        <v>-13311047.150018789</v>
      </c>
      <c r="O145" s="98">
        <f t="shared" si="18"/>
        <v>-13772708.628181286</v>
      </c>
      <c r="P145" s="95">
        <f t="shared" si="25"/>
        <v>91957603.081860334</v>
      </c>
      <c r="Q145" s="104"/>
      <c r="R145" s="95">
        <f t="shared" ref="R145:R149" si="29">F145+I145+N145</f>
        <v>88875231.765272826</v>
      </c>
      <c r="S145" s="104"/>
    </row>
    <row r="146" spans="2:19" s="65" customFormat="1" ht="12.75" customHeight="1">
      <c r="B146" s="97">
        <v>42916</v>
      </c>
      <c r="C146" s="108"/>
      <c r="D146" s="125"/>
      <c r="E146" s="91">
        <f t="shared" si="22"/>
        <v>52761311.789999977</v>
      </c>
      <c r="F146" s="126">
        <f t="shared" si="23"/>
        <v>141761311.78999987</v>
      </c>
      <c r="G146" s="98">
        <f t="shared" si="19"/>
        <v>141761311.7899999</v>
      </c>
      <c r="H146" s="102">
        <f t="shared" si="26"/>
        <v>590672.13245833281</v>
      </c>
      <c r="I146" s="100">
        <f t="shared" ref="I146:I209" si="30">I145-H146</f>
        <v>-40165705.007166594</v>
      </c>
      <c r="J146" s="98">
        <f t="shared" si="27"/>
        <v>-36621672.212416627</v>
      </c>
      <c r="K146" s="98">
        <f t="shared" si="24"/>
        <v>105139639.57758328</v>
      </c>
      <c r="L146" s="93">
        <f t="shared" si="21"/>
        <v>101595606.78283328</v>
      </c>
      <c r="M146" s="94">
        <f t="shared" si="28"/>
        <v>76943.579693749954</v>
      </c>
      <c r="N146" s="100">
        <f t="shared" si="20"/>
        <v>-13234103.570325039</v>
      </c>
      <c r="O146" s="98">
        <f t="shared" si="18"/>
        <v>-13695765.048487537</v>
      </c>
      <c r="P146" s="95">
        <f t="shared" si="25"/>
        <v>91443874.529095739</v>
      </c>
      <c r="Q146" s="104"/>
      <c r="R146" s="95">
        <f t="shared" si="29"/>
        <v>88361503.212508231</v>
      </c>
      <c r="S146" s="104"/>
    </row>
    <row r="147" spans="2:19" s="65" customFormat="1">
      <c r="B147" s="97">
        <v>42947</v>
      </c>
      <c r="C147" s="108"/>
      <c r="D147" s="125"/>
      <c r="E147" s="91">
        <f t="shared" si="22"/>
        <v>52761311.789999977</v>
      </c>
      <c r="F147" s="126">
        <f t="shared" si="23"/>
        <v>141761311.78999987</v>
      </c>
      <c r="G147" s="98">
        <f t="shared" si="19"/>
        <v>141761311.7899999</v>
      </c>
      <c r="H147" s="102">
        <f t="shared" si="26"/>
        <v>590672.13245833281</v>
      </c>
      <c r="I147" s="100">
        <f t="shared" si="30"/>
        <v>-40756377.139624923</v>
      </c>
      <c r="J147" s="98">
        <f t="shared" si="27"/>
        <v>-37212344.344874956</v>
      </c>
      <c r="K147" s="98">
        <f t="shared" si="24"/>
        <v>104548967.44512495</v>
      </c>
      <c r="L147" s="93">
        <f t="shared" si="21"/>
        <v>101004934.65037495</v>
      </c>
      <c r="M147" s="94">
        <f t="shared" si="28"/>
        <v>76943.579693749954</v>
      </c>
      <c r="N147" s="100">
        <f t="shared" si="20"/>
        <v>-13157159.99063129</v>
      </c>
      <c r="O147" s="98">
        <f t="shared" si="18"/>
        <v>-13618821.468793787</v>
      </c>
      <c r="P147" s="95">
        <f t="shared" si="25"/>
        <v>90930145.976331174</v>
      </c>
      <c r="Q147" s="104"/>
      <c r="R147" s="95">
        <f t="shared" si="29"/>
        <v>87847774.659743667</v>
      </c>
      <c r="S147" s="104"/>
    </row>
    <row r="148" spans="2:19" s="65" customFormat="1">
      <c r="B148" s="97">
        <v>42978</v>
      </c>
      <c r="C148" s="108"/>
      <c r="D148" s="125"/>
      <c r="E148" s="91">
        <f t="shared" si="22"/>
        <v>52761311.789999977</v>
      </c>
      <c r="F148" s="126">
        <f t="shared" si="23"/>
        <v>141761311.78999987</v>
      </c>
      <c r="G148" s="98">
        <f t="shared" si="19"/>
        <v>141761311.7899999</v>
      </c>
      <c r="H148" s="102">
        <f t="shared" si="26"/>
        <v>590672.13245833281</v>
      </c>
      <c r="I148" s="100">
        <f t="shared" si="30"/>
        <v>-41347049.272083253</v>
      </c>
      <c r="J148" s="98">
        <f t="shared" si="27"/>
        <v>-37803016.477333285</v>
      </c>
      <c r="K148" s="98">
        <f t="shared" si="24"/>
        <v>103958295.31266662</v>
      </c>
      <c r="L148" s="93">
        <f t="shared" si="21"/>
        <v>100414262.51791662</v>
      </c>
      <c r="M148" s="94">
        <f t="shared" si="28"/>
        <v>76943.579693749954</v>
      </c>
      <c r="N148" s="100">
        <f t="shared" si="20"/>
        <v>-13080216.41093754</v>
      </c>
      <c r="O148" s="98">
        <f t="shared" si="18"/>
        <v>-13541877.889100038</v>
      </c>
      <c r="P148" s="95">
        <f t="shared" si="25"/>
        <v>90416417.42356658</v>
      </c>
      <c r="Q148" s="104"/>
      <c r="R148" s="95">
        <f t="shared" si="29"/>
        <v>87334046.106979072</v>
      </c>
      <c r="S148" s="104"/>
    </row>
    <row r="149" spans="2:19" s="65" customFormat="1">
      <c r="B149" s="97">
        <v>43008</v>
      </c>
      <c r="C149" s="108"/>
      <c r="D149" s="125"/>
      <c r="E149" s="91">
        <f t="shared" si="22"/>
        <v>52761311.789999977</v>
      </c>
      <c r="F149" s="126">
        <f t="shared" si="23"/>
        <v>141761311.78999987</v>
      </c>
      <c r="G149" s="98">
        <f t="shared" si="19"/>
        <v>141761311.7899999</v>
      </c>
      <c r="H149" s="102">
        <f t="shared" si="26"/>
        <v>590672.13245833281</v>
      </c>
      <c r="I149" s="100">
        <f t="shared" si="30"/>
        <v>-41937721.404541582</v>
      </c>
      <c r="J149" s="98">
        <f t="shared" si="27"/>
        <v>-38393688.609791614</v>
      </c>
      <c r="K149" s="98">
        <f t="shared" si="24"/>
        <v>103367623.1802083</v>
      </c>
      <c r="L149" s="93">
        <f t="shared" si="21"/>
        <v>99823590.385458291</v>
      </c>
      <c r="M149" s="94">
        <f t="shared" si="28"/>
        <v>76943.579693749954</v>
      </c>
      <c r="N149" s="100">
        <f t="shared" si="20"/>
        <v>-13003272.831243791</v>
      </c>
      <c r="O149" s="98">
        <f t="shared" si="18"/>
        <v>-13464934.309406288</v>
      </c>
      <c r="P149" s="95">
        <f t="shared" si="25"/>
        <v>89902688.870802015</v>
      </c>
      <c r="Q149" s="104"/>
      <c r="R149" s="95">
        <f t="shared" si="29"/>
        <v>86820317.554214507</v>
      </c>
      <c r="S149" s="104"/>
    </row>
    <row r="150" spans="2:19" s="65" customFormat="1">
      <c r="B150" s="97">
        <v>43039</v>
      </c>
      <c r="C150" s="108"/>
      <c r="D150" s="125"/>
      <c r="E150" s="91">
        <f t="shared" si="22"/>
        <v>52761311.789999977</v>
      </c>
      <c r="F150" s="126">
        <f t="shared" si="23"/>
        <v>141761311.78999987</v>
      </c>
      <c r="G150" s="98">
        <f t="shared" si="19"/>
        <v>141761311.7899999</v>
      </c>
      <c r="H150" s="102">
        <f t="shared" si="26"/>
        <v>590672.13245833281</v>
      </c>
      <c r="I150" s="100">
        <f t="shared" si="30"/>
        <v>-42528393.536999911</v>
      </c>
      <c r="J150" s="98">
        <f t="shared" si="27"/>
        <v>-38984360.742249943</v>
      </c>
      <c r="K150" s="98">
        <f t="shared" si="24"/>
        <v>102776951.04774997</v>
      </c>
      <c r="L150" s="93">
        <f t="shared" si="21"/>
        <v>99232918.252999961</v>
      </c>
      <c r="M150" s="94">
        <f t="shared" si="28"/>
        <v>76943.579693749954</v>
      </c>
      <c r="N150" s="100">
        <f t="shared" si="20"/>
        <v>-12926329.251550041</v>
      </c>
      <c r="O150" s="98">
        <f t="shared" si="18"/>
        <v>-13387990.729712538</v>
      </c>
      <c r="P150" s="95">
        <f t="shared" si="25"/>
        <v>89388960.318037421</v>
      </c>
      <c r="Q150" s="104"/>
      <c r="R150" s="93"/>
      <c r="S150" s="104"/>
    </row>
    <row r="151" spans="2:19" s="65" customFormat="1">
      <c r="B151" s="97">
        <v>43069</v>
      </c>
      <c r="C151" s="108"/>
      <c r="D151" s="125"/>
      <c r="E151" s="91">
        <f t="shared" si="22"/>
        <v>52761311.789999977</v>
      </c>
      <c r="F151" s="126">
        <f t="shared" si="23"/>
        <v>141761311.78999987</v>
      </c>
      <c r="G151" s="98">
        <f t="shared" si="19"/>
        <v>141761311.7899999</v>
      </c>
      <c r="H151" s="102">
        <f t="shared" si="26"/>
        <v>590672.13245833281</v>
      </c>
      <c r="I151" s="100">
        <f t="shared" si="30"/>
        <v>-43119065.66945824</v>
      </c>
      <c r="J151" s="98">
        <f t="shared" si="27"/>
        <v>-39575032.874708273</v>
      </c>
      <c r="K151" s="98">
        <f t="shared" si="24"/>
        <v>102186278.91529164</v>
      </c>
      <c r="L151" s="93">
        <f t="shared" si="21"/>
        <v>98642246.120541632</v>
      </c>
      <c r="M151" s="94">
        <f t="shared" si="28"/>
        <v>76943.579693749954</v>
      </c>
      <c r="N151" s="100">
        <f t="shared" si="20"/>
        <v>-12849385.671856292</v>
      </c>
      <c r="O151" s="98">
        <f t="shared" ref="O151:O214" si="31">(N139+N151+SUM(N140:N150)*2)/24</f>
        <v>-13311047.150018789</v>
      </c>
      <c r="P151" s="95">
        <f t="shared" si="25"/>
        <v>88875231.765272856</v>
      </c>
      <c r="Q151" s="104"/>
      <c r="R151" s="93"/>
      <c r="S151" s="104"/>
    </row>
    <row r="152" spans="2:19" s="65" customFormat="1">
      <c r="B152" s="97">
        <v>43100</v>
      </c>
      <c r="C152" s="108"/>
      <c r="D152" s="125"/>
      <c r="E152" s="91">
        <f t="shared" si="22"/>
        <v>52761311.789999977</v>
      </c>
      <c r="F152" s="126">
        <f t="shared" si="23"/>
        <v>141761311.78999987</v>
      </c>
      <c r="G152" s="98">
        <f t="shared" si="19"/>
        <v>141761311.7899999</v>
      </c>
      <c r="H152" s="102">
        <f t="shared" si="26"/>
        <v>590672.13245833281</v>
      </c>
      <c r="I152" s="100">
        <f t="shared" si="30"/>
        <v>-43709737.801916569</v>
      </c>
      <c r="J152" s="98">
        <f t="shared" si="27"/>
        <v>-40165705.007166602</v>
      </c>
      <c r="K152" s="98">
        <f t="shared" si="24"/>
        <v>101595606.78283331</v>
      </c>
      <c r="L152" s="93">
        <f t="shared" si="21"/>
        <v>98051573.988083303</v>
      </c>
      <c r="M152" s="94">
        <f t="shared" si="28"/>
        <v>76943.579693749954</v>
      </c>
      <c r="N152" s="100">
        <f t="shared" si="20"/>
        <v>-12772442.092162542</v>
      </c>
      <c r="O152" s="98">
        <f t="shared" si="31"/>
        <v>-13234103.570325039</v>
      </c>
      <c r="P152" s="95">
        <f t="shared" si="25"/>
        <v>88361503.212508261</v>
      </c>
      <c r="Q152" s="104"/>
      <c r="R152" s="93"/>
      <c r="S152" s="104"/>
    </row>
    <row r="153" spans="2:19" s="65" customFormat="1">
      <c r="B153" s="97">
        <v>43131</v>
      </c>
      <c r="C153" s="108"/>
      <c r="D153" s="125"/>
      <c r="E153" s="91">
        <f t="shared" si="22"/>
        <v>52761311.789999977</v>
      </c>
      <c r="F153" s="126">
        <f t="shared" si="23"/>
        <v>141761311.78999987</v>
      </c>
      <c r="G153" s="98">
        <f t="shared" si="19"/>
        <v>141761311.7899999</v>
      </c>
      <c r="H153" s="102">
        <f t="shared" si="26"/>
        <v>590672.13245833281</v>
      </c>
      <c r="I153" s="100">
        <f t="shared" si="30"/>
        <v>-44300409.934374899</v>
      </c>
      <c r="J153" s="98">
        <f t="shared" si="27"/>
        <v>-40756377.139624931</v>
      </c>
      <c r="K153" s="98">
        <f t="shared" si="24"/>
        <v>101004934.65037498</v>
      </c>
      <c r="L153" s="93">
        <f t="shared" si="21"/>
        <v>97460901.855624974</v>
      </c>
      <c r="M153" s="94">
        <f t="shared" ref="M153:M184" si="32">(E153/240*0.21)</f>
        <v>46166.147816249977</v>
      </c>
      <c r="N153" s="100">
        <f t="shared" si="20"/>
        <v>-12726275.944346292</v>
      </c>
      <c r="O153" s="98">
        <f t="shared" si="31"/>
        <v>-13158442.383626185</v>
      </c>
      <c r="P153" s="95">
        <f t="shared" si="25"/>
        <v>87846492.266748786</v>
      </c>
      <c r="Q153" s="104"/>
      <c r="R153" s="93"/>
      <c r="S153" s="104"/>
    </row>
    <row r="154" spans="2:19" s="65" customFormat="1" ht="12.75" customHeight="1">
      <c r="B154" s="97">
        <v>43159</v>
      </c>
      <c r="C154" s="108"/>
      <c r="D154" s="125"/>
      <c r="E154" s="91">
        <f t="shared" si="22"/>
        <v>52761311.789999977</v>
      </c>
      <c r="F154" s="126">
        <f t="shared" si="23"/>
        <v>141761311.78999987</v>
      </c>
      <c r="G154" s="98">
        <f t="shared" ref="G154:G217" si="33">(F142+F154+SUM(F143:F153)*2)/24</f>
        <v>141761311.7899999</v>
      </c>
      <c r="H154" s="102">
        <f t="shared" si="26"/>
        <v>590672.13245833281</v>
      </c>
      <c r="I154" s="100">
        <f t="shared" si="30"/>
        <v>-44891082.066833228</v>
      </c>
      <c r="J154" s="98">
        <f t="shared" si="27"/>
        <v>-41347049.27208326</v>
      </c>
      <c r="K154" s="98">
        <f t="shared" si="24"/>
        <v>100414262.51791665</v>
      </c>
      <c r="L154" s="93">
        <f t="shared" si="21"/>
        <v>96870229.723166645</v>
      </c>
      <c r="M154" s="94">
        <f t="shared" si="32"/>
        <v>46166.147816249977</v>
      </c>
      <c r="N154" s="100">
        <f t="shared" si="20"/>
        <v>-12680109.796530042</v>
      </c>
      <c r="O154" s="98">
        <f t="shared" si="31"/>
        <v>-13085345.982917123</v>
      </c>
      <c r="P154" s="95">
        <f t="shared" si="25"/>
        <v>87328916.53499952</v>
      </c>
      <c r="Q154" s="104"/>
      <c r="R154" s="93"/>
      <c r="S154" s="104"/>
    </row>
    <row r="155" spans="2:19" s="65" customFormat="1" ht="12.75" customHeight="1">
      <c r="B155" s="97">
        <v>43190</v>
      </c>
      <c r="C155" s="108"/>
      <c r="D155" s="125"/>
      <c r="E155" s="91">
        <f t="shared" si="22"/>
        <v>52761311.789999977</v>
      </c>
      <c r="F155" s="126">
        <f t="shared" si="23"/>
        <v>141761311.78999987</v>
      </c>
      <c r="G155" s="98">
        <f t="shared" si="33"/>
        <v>141761311.7899999</v>
      </c>
      <c r="H155" s="102">
        <f t="shared" si="26"/>
        <v>590672.13245833281</v>
      </c>
      <c r="I155" s="100">
        <f t="shared" si="30"/>
        <v>-45481754.199291557</v>
      </c>
      <c r="J155" s="98">
        <f t="shared" si="27"/>
        <v>-41937721.404541589</v>
      </c>
      <c r="K155" s="98">
        <f t="shared" si="24"/>
        <v>99823590.38545832</v>
      </c>
      <c r="L155" s="93">
        <f t="shared" si="21"/>
        <v>96279557.590708315</v>
      </c>
      <c r="M155" s="94">
        <f t="shared" si="32"/>
        <v>46166.147816249977</v>
      </c>
      <c r="N155" s="100">
        <f t="shared" si="20"/>
        <v>-12633943.648713792</v>
      </c>
      <c r="O155" s="98">
        <f t="shared" si="31"/>
        <v>-13014814.368197853</v>
      </c>
      <c r="P155" s="95">
        <f t="shared" si="25"/>
        <v>86808776.017260462</v>
      </c>
      <c r="Q155" s="104"/>
      <c r="R155" s="93"/>
      <c r="S155" s="104"/>
    </row>
    <row r="156" spans="2:19" s="65" customFormat="1">
      <c r="B156" s="97">
        <v>43220</v>
      </c>
      <c r="C156" s="108"/>
      <c r="D156" s="125"/>
      <c r="E156" s="91">
        <f t="shared" si="22"/>
        <v>52761311.789999977</v>
      </c>
      <c r="F156" s="126">
        <f t="shared" si="23"/>
        <v>141761311.78999987</v>
      </c>
      <c r="G156" s="98">
        <f t="shared" si="33"/>
        <v>141761311.7899999</v>
      </c>
      <c r="H156" s="102">
        <f t="shared" si="26"/>
        <v>590672.13245833281</v>
      </c>
      <c r="I156" s="100">
        <f t="shared" si="30"/>
        <v>-46072426.331749886</v>
      </c>
      <c r="J156" s="98">
        <f t="shared" si="27"/>
        <v>-42528393.536999919</v>
      </c>
      <c r="K156" s="98">
        <f t="shared" si="24"/>
        <v>99232918.252999991</v>
      </c>
      <c r="L156" s="93">
        <f t="shared" si="21"/>
        <v>95688885.458249986</v>
      </c>
      <c r="M156" s="94">
        <f t="shared" si="32"/>
        <v>46166.147816249977</v>
      </c>
      <c r="N156" s="100">
        <f t="shared" si="20"/>
        <v>-12587777.500897542</v>
      </c>
      <c r="O156" s="98">
        <f t="shared" si="31"/>
        <v>-12946847.539468372</v>
      </c>
      <c r="P156" s="95">
        <f t="shared" si="25"/>
        <v>86286070.713531613</v>
      </c>
      <c r="Q156" s="104"/>
      <c r="R156" s="93"/>
      <c r="S156" s="104"/>
    </row>
    <row r="157" spans="2:19" s="65" customFormat="1">
      <c r="B157" s="97">
        <v>43251</v>
      </c>
      <c r="C157" s="108"/>
      <c r="D157" s="125"/>
      <c r="E157" s="91">
        <f t="shared" si="22"/>
        <v>52761311.789999977</v>
      </c>
      <c r="F157" s="126">
        <f t="shared" si="23"/>
        <v>141761311.78999987</v>
      </c>
      <c r="G157" s="98">
        <f t="shared" si="33"/>
        <v>141761311.7899999</v>
      </c>
      <c r="H157" s="102">
        <f t="shared" si="26"/>
        <v>590672.13245833281</v>
      </c>
      <c r="I157" s="100">
        <f t="shared" si="30"/>
        <v>-46663098.464208215</v>
      </c>
      <c r="J157" s="98">
        <f t="shared" si="27"/>
        <v>-43119065.669458248</v>
      </c>
      <c r="K157" s="98">
        <f t="shared" si="24"/>
        <v>98642246.120541662</v>
      </c>
      <c r="L157" s="93">
        <f t="shared" si="21"/>
        <v>95098213.325791657</v>
      </c>
      <c r="M157" s="94">
        <f t="shared" si="32"/>
        <v>46166.147816249977</v>
      </c>
      <c r="N157" s="100">
        <f t="shared" si="20"/>
        <v>-12541611.353081292</v>
      </c>
      <c r="O157" s="98">
        <f t="shared" si="31"/>
        <v>-12881445.496728688</v>
      </c>
      <c r="P157" s="95">
        <f t="shared" si="25"/>
        <v>85760800.623812973</v>
      </c>
      <c r="Q157" s="104"/>
      <c r="R157" s="93"/>
      <c r="S157" s="104"/>
    </row>
    <row r="158" spans="2:19" s="65" customFormat="1" ht="12.75" customHeight="1">
      <c r="B158" s="97">
        <v>43281</v>
      </c>
      <c r="C158" s="108"/>
      <c r="D158" s="125"/>
      <c r="E158" s="91">
        <f t="shared" si="22"/>
        <v>52761311.789999977</v>
      </c>
      <c r="F158" s="126">
        <f t="shared" si="23"/>
        <v>141761311.78999987</v>
      </c>
      <c r="G158" s="98">
        <f t="shared" si="33"/>
        <v>141761311.7899999</v>
      </c>
      <c r="H158" s="102">
        <f t="shared" si="26"/>
        <v>590672.13245833281</v>
      </c>
      <c r="I158" s="100">
        <f t="shared" si="30"/>
        <v>-47253770.596666545</v>
      </c>
      <c r="J158" s="98">
        <f t="shared" si="27"/>
        <v>-43709737.801916577</v>
      </c>
      <c r="K158" s="98">
        <f t="shared" si="24"/>
        <v>98051573.988083333</v>
      </c>
      <c r="L158" s="93">
        <f t="shared" si="21"/>
        <v>94507541.193333328</v>
      </c>
      <c r="M158" s="94">
        <f t="shared" si="32"/>
        <v>46166.147816249977</v>
      </c>
      <c r="N158" s="100">
        <f t="shared" si="20"/>
        <v>-12495445.205265041</v>
      </c>
      <c r="O158" s="98">
        <f t="shared" si="31"/>
        <v>-12818608.23997879</v>
      </c>
      <c r="P158" s="95">
        <f t="shared" si="25"/>
        <v>85232965.748104542</v>
      </c>
      <c r="Q158" s="104"/>
      <c r="R158" s="93"/>
      <c r="S158" s="104"/>
    </row>
    <row r="159" spans="2:19" s="65" customFormat="1">
      <c r="B159" s="97">
        <v>43312</v>
      </c>
      <c r="C159" s="108"/>
      <c r="D159" s="125"/>
      <c r="E159" s="91">
        <f t="shared" si="22"/>
        <v>52761311.789999977</v>
      </c>
      <c r="F159" s="126">
        <f t="shared" si="23"/>
        <v>141761311.78999987</v>
      </c>
      <c r="G159" s="98">
        <f t="shared" si="33"/>
        <v>141761311.7899999</v>
      </c>
      <c r="H159" s="102">
        <f t="shared" si="26"/>
        <v>590672.13245833281</v>
      </c>
      <c r="I159" s="100">
        <f t="shared" si="30"/>
        <v>-47844442.729124874</v>
      </c>
      <c r="J159" s="98">
        <f t="shared" si="27"/>
        <v>-44300409.934374906</v>
      </c>
      <c r="K159" s="98">
        <f t="shared" si="24"/>
        <v>97460901.855625004</v>
      </c>
      <c r="L159" s="93">
        <f t="shared" si="21"/>
        <v>93916869.060874999</v>
      </c>
      <c r="M159" s="94">
        <f t="shared" si="32"/>
        <v>46166.147816249977</v>
      </c>
      <c r="N159" s="100">
        <f>N158+M159</f>
        <v>-12449279.057448791</v>
      </c>
      <c r="O159" s="98">
        <f t="shared" si="31"/>
        <v>-12758335.769218685</v>
      </c>
      <c r="P159" s="95">
        <f t="shared" si="25"/>
        <v>84702566.08640632</v>
      </c>
      <c r="Q159" s="104"/>
      <c r="R159" s="93"/>
      <c r="S159" s="104"/>
    </row>
    <row r="160" spans="2:19" s="65" customFormat="1">
      <c r="B160" s="97">
        <v>43343</v>
      </c>
      <c r="C160" s="108"/>
      <c r="D160" s="125"/>
      <c r="E160" s="91">
        <f t="shared" si="22"/>
        <v>52761311.789999977</v>
      </c>
      <c r="F160" s="126">
        <f t="shared" si="23"/>
        <v>141761311.78999987</v>
      </c>
      <c r="G160" s="98">
        <f t="shared" si="33"/>
        <v>141761311.7899999</v>
      </c>
      <c r="H160" s="102">
        <f t="shared" si="26"/>
        <v>590672.13245833281</v>
      </c>
      <c r="I160" s="100">
        <f t="shared" si="30"/>
        <v>-48435114.861583203</v>
      </c>
      <c r="J160" s="98">
        <f t="shared" si="27"/>
        <v>-44891082.066833235</v>
      </c>
      <c r="K160" s="98">
        <f t="shared" si="24"/>
        <v>96870229.723166674</v>
      </c>
      <c r="L160" s="93">
        <f t="shared" si="21"/>
        <v>93326196.928416669</v>
      </c>
      <c r="M160" s="94">
        <f t="shared" si="32"/>
        <v>46166.147816249977</v>
      </c>
      <c r="N160" s="100">
        <f t="shared" si="20"/>
        <v>-12403112.909632541</v>
      </c>
      <c r="O160" s="98">
        <f>(N148+N160+SUM(N149:N159)*2)/24</f>
        <v>-12700628.084448377</v>
      </c>
      <c r="P160" s="95">
        <f t="shared" si="25"/>
        <v>84169601.638718292</v>
      </c>
      <c r="Q160" s="104"/>
      <c r="R160" s="93"/>
      <c r="S160" s="104"/>
    </row>
    <row r="161" spans="2:19" s="65" customFormat="1">
      <c r="B161" s="97">
        <v>43373</v>
      </c>
      <c r="C161" s="108"/>
      <c r="D161" s="125"/>
      <c r="E161" s="91">
        <f t="shared" si="22"/>
        <v>52761311.789999977</v>
      </c>
      <c r="F161" s="126">
        <f t="shared" si="23"/>
        <v>141761311.78999987</v>
      </c>
      <c r="G161" s="98">
        <f t="shared" si="33"/>
        <v>141761311.7899999</v>
      </c>
      <c r="H161" s="102">
        <f t="shared" si="26"/>
        <v>590672.13245833281</v>
      </c>
      <c r="I161" s="100">
        <f t="shared" si="30"/>
        <v>-49025786.994041532</v>
      </c>
      <c r="J161" s="98">
        <f t="shared" si="27"/>
        <v>-45481754.199291565</v>
      </c>
      <c r="K161" s="98">
        <f t="shared" si="24"/>
        <v>96279557.590708345</v>
      </c>
      <c r="L161" s="93">
        <f t="shared" si="21"/>
        <v>92735524.79595834</v>
      </c>
      <c r="M161" s="94">
        <f t="shared" si="32"/>
        <v>46166.147816249977</v>
      </c>
      <c r="N161" s="100">
        <f t="shared" si="20"/>
        <v>-12356946.761816291</v>
      </c>
      <c r="O161" s="98">
        <f t="shared" si="31"/>
        <v>-12645485.185667856</v>
      </c>
      <c r="P161" s="95">
        <f t="shared" si="25"/>
        <v>83634072.405040488</v>
      </c>
      <c r="Q161" s="104"/>
      <c r="R161" s="93"/>
      <c r="S161" s="104"/>
    </row>
    <row r="162" spans="2:19" s="65" customFormat="1">
      <c r="B162" s="97">
        <v>43404</v>
      </c>
      <c r="C162" s="108"/>
      <c r="D162" s="125"/>
      <c r="E162" s="91">
        <f t="shared" si="22"/>
        <v>52761311.789999977</v>
      </c>
      <c r="F162" s="126">
        <f t="shared" si="23"/>
        <v>141761311.78999987</v>
      </c>
      <c r="G162" s="98">
        <f t="shared" si="33"/>
        <v>141761311.7899999</v>
      </c>
      <c r="H162" s="102">
        <f t="shared" si="26"/>
        <v>590672.13245833281</v>
      </c>
      <c r="I162" s="100">
        <f t="shared" si="30"/>
        <v>-49616459.126499861</v>
      </c>
      <c r="J162" s="98">
        <f t="shared" si="27"/>
        <v>-46072426.331749894</v>
      </c>
      <c r="K162" s="98">
        <f t="shared" si="24"/>
        <v>95688885.458250016</v>
      </c>
      <c r="L162" s="93">
        <f t="shared" si="21"/>
        <v>92144852.663500011</v>
      </c>
      <c r="M162" s="94">
        <f t="shared" si="32"/>
        <v>46166.147816249977</v>
      </c>
      <c r="N162" s="100">
        <f>N161+M162</f>
        <v>-12310780.614000041</v>
      </c>
      <c r="O162" s="98">
        <f t="shared" si="31"/>
        <v>-12592907.072877126</v>
      </c>
      <c r="P162" s="95">
        <f t="shared" si="25"/>
        <v>83095978.385372892</v>
      </c>
      <c r="Q162" s="104"/>
      <c r="R162" s="93"/>
      <c r="S162" s="104"/>
    </row>
    <row r="163" spans="2:19" s="65" customFormat="1">
      <c r="B163" s="97">
        <v>43434</v>
      </c>
      <c r="C163" s="108"/>
      <c r="D163" s="125"/>
      <c r="E163" s="91">
        <f t="shared" si="22"/>
        <v>52761311.789999977</v>
      </c>
      <c r="F163" s="126">
        <f t="shared" si="23"/>
        <v>141761311.78999987</v>
      </c>
      <c r="G163" s="98">
        <f t="shared" si="33"/>
        <v>141761311.7899999</v>
      </c>
      <c r="H163" s="102">
        <f t="shared" si="26"/>
        <v>590672.13245833281</v>
      </c>
      <c r="I163" s="100">
        <f t="shared" si="30"/>
        <v>-50207131.258958191</v>
      </c>
      <c r="J163" s="98">
        <f t="shared" si="27"/>
        <v>-46663098.464208223</v>
      </c>
      <c r="K163" s="98">
        <f t="shared" si="24"/>
        <v>95098213.325791687</v>
      </c>
      <c r="L163" s="93">
        <f t="shared" si="21"/>
        <v>91554180.531041682</v>
      </c>
      <c r="M163" s="94">
        <f t="shared" si="32"/>
        <v>46166.147816249977</v>
      </c>
      <c r="N163" s="100">
        <f>N162+M163</f>
        <v>-12264614.466183791</v>
      </c>
      <c r="O163" s="98">
        <f t="shared" si="31"/>
        <v>-12542893.746076189</v>
      </c>
      <c r="P163" s="95">
        <f t="shared" si="25"/>
        <v>82555319.57971549</v>
      </c>
      <c r="Q163" s="104"/>
      <c r="R163" s="93"/>
      <c r="S163" s="104"/>
    </row>
    <row r="164" spans="2:19" s="1386" customFormat="1">
      <c r="B164" s="1374">
        <v>43465</v>
      </c>
      <c r="C164" s="1375"/>
      <c r="D164" s="1376"/>
      <c r="E164" s="1377">
        <f t="shared" si="22"/>
        <v>52761311.789999977</v>
      </c>
      <c r="F164" s="1378">
        <f t="shared" si="23"/>
        <v>141761311.78999987</v>
      </c>
      <c r="G164" s="1379">
        <f t="shared" si="33"/>
        <v>141761311.7899999</v>
      </c>
      <c r="H164" s="1380">
        <f t="shared" si="26"/>
        <v>590672.13245833281</v>
      </c>
      <c r="I164" s="1381">
        <f t="shared" si="30"/>
        <v>-50797803.39141652</v>
      </c>
      <c r="J164" s="1379">
        <f t="shared" si="27"/>
        <v>-47253770.596666552</v>
      </c>
      <c r="K164" s="1379">
        <f t="shared" si="24"/>
        <v>94507541.193333358</v>
      </c>
      <c r="L164" s="1382">
        <f t="shared" si="21"/>
        <v>90963508.398583353</v>
      </c>
      <c r="M164" s="1383">
        <f t="shared" si="32"/>
        <v>46166.147816249977</v>
      </c>
      <c r="N164" s="1381">
        <f t="shared" si="20"/>
        <v>-12218448.318367541</v>
      </c>
      <c r="O164" s="1379">
        <f t="shared" si="31"/>
        <v>-12495445.205265043</v>
      </c>
      <c r="P164" s="1384">
        <f t="shared" si="25"/>
        <v>82012095.988068312</v>
      </c>
      <c r="Q164" s="1385"/>
      <c r="R164" s="1382"/>
      <c r="S164" s="1385"/>
    </row>
    <row r="165" spans="2:19" s="65" customFormat="1" hidden="1" outlineLevel="1">
      <c r="B165" s="97">
        <v>43496</v>
      </c>
      <c r="C165" s="108"/>
      <c r="D165" s="125"/>
      <c r="E165" s="91">
        <f t="shared" si="22"/>
        <v>52761311.789999977</v>
      </c>
      <c r="F165" s="126">
        <f t="shared" si="23"/>
        <v>141761311.78999987</v>
      </c>
      <c r="G165" s="98">
        <f t="shared" si="33"/>
        <v>141761311.7899999</v>
      </c>
      <c r="H165" s="102">
        <f t="shared" si="26"/>
        <v>590672.13245833281</v>
      </c>
      <c r="I165" s="100">
        <f t="shared" si="30"/>
        <v>-51388475.523874849</v>
      </c>
      <c r="J165" s="98">
        <f t="shared" si="27"/>
        <v>-47844442.729124881</v>
      </c>
      <c r="K165" s="98">
        <f t="shared" si="24"/>
        <v>93916869.060875028</v>
      </c>
      <c r="L165" s="93">
        <f t="shared" si="21"/>
        <v>90372836.266125023</v>
      </c>
      <c r="M165" s="94">
        <f t="shared" si="32"/>
        <v>46166.147816249977</v>
      </c>
      <c r="N165" s="100">
        <f>N164+M165</f>
        <v>-12172282.170551291</v>
      </c>
      <c r="O165" s="98">
        <f t="shared" si="31"/>
        <v>-12449279.057448791</v>
      </c>
      <c r="P165" s="95">
        <f t="shared" si="25"/>
        <v>81467590.003426239</v>
      </c>
      <c r="Q165" s="104"/>
      <c r="R165" s="93"/>
      <c r="S165" s="104"/>
    </row>
    <row r="166" spans="2:19" s="65" customFormat="1" ht="12.75" hidden="1" customHeight="1" outlineLevel="1">
      <c r="B166" s="97">
        <v>43524</v>
      </c>
      <c r="C166" s="108"/>
      <c r="D166" s="125"/>
      <c r="E166" s="91">
        <f t="shared" si="22"/>
        <v>52761311.789999977</v>
      </c>
      <c r="F166" s="126">
        <f t="shared" si="23"/>
        <v>141761311.78999987</v>
      </c>
      <c r="G166" s="98">
        <f t="shared" si="33"/>
        <v>141761311.7899999</v>
      </c>
      <c r="H166" s="102">
        <f t="shared" si="26"/>
        <v>590672.13245833281</v>
      </c>
      <c r="I166" s="100">
        <f t="shared" si="30"/>
        <v>-51979147.656333178</v>
      </c>
      <c r="J166" s="98">
        <f t="shared" si="27"/>
        <v>-48435114.861583211</v>
      </c>
      <c r="K166" s="98">
        <f t="shared" si="24"/>
        <v>93326196.928416699</v>
      </c>
      <c r="L166" s="93">
        <f t="shared" si="21"/>
        <v>89782164.133666694</v>
      </c>
      <c r="M166" s="94">
        <f t="shared" si="32"/>
        <v>46166.147816249977</v>
      </c>
      <c r="N166" s="100">
        <f t="shared" si="20"/>
        <v>-12126116.022735041</v>
      </c>
      <c r="O166" s="98">
        <f t="shared" si="31"/>
        <v>-12403112.909632541</v>
      </c>
      <c r="P166" s="95">
        <f t="shared" si="25"/>
        <v>80923084.018784165</v>
      </c>
      <c r="Q166" s="104"/>
      <c r="R166" s="93"/>
      <c r="S166" s="104"/>
    </row>
    <row r="167" spans="2:19" s="65" customFormat="1" ht="12.75" hidden="1" customHeight="1" outlineLevel="1">
      <c r="B167" s="97">
        <v>43555</v>
      </c>
      <c r="C167" s="108"/>
      <c r="D167" s="125"/>
      <c r="E167" s="91">
        <f t="shared" si="22"/>
        <v>52761311.789999977</v>
      </c>
      <c r="F167" s="126">
        <f t="shared" si="23"/>
        <v>141761311.78999987</v>
      </c>
      <c r="G167" s="98">
        <f t="shared" si="33"/>
        <v>141761311.7899999</v>
      </c>
      <c r="H167" s="102">
        <f t="shared" si="26"/>
        <v>590672.13245833281</v>
      </c>
      <c r="I167" s="100">
        <f t="shared" si="30"/>
        <v>-52569819.788791507</v>
      </c>
      <c r="J167" s="98">
        <f t="shared" si="27"/>
        <v>-49025786.99404154</v>
      </c>
      <c r="K167" s="98">
        <f t="shared" si="24"/>
        <v>92735524.79595837</v>
      </c>
      <c r="L167" s="93">
        <f t="shared" si="21"/>
        <v>89191492.001208365</v>
      </c>
      <c r="M167" s="94">
        <f t="shared" si="32"/>
        <v>46166.147816249977</v>
      </c>
      <c r="N167" s="100">
        <f t="shared" si="20"/>
        <v>-12079949.874918791</v>
      </c>
      <c r="O167" s="98">
        <f t="shared" si="31"/>
        <v>-12356946.761816291</v>
      </c>
      <c r="P167" s="95">
        <f t="shared" si="25"/>
        <v>80378578.034142077</v>
      </c>
      <c r="Q167" s="104"/>
      <c r="R167" s="93"/>
      <c r="S167" s="104"/>
    </row>
    <row r="168" spans="2:19" s="65" customFormat="1" hidden="1" outlineLevel="1">
      <c r="B168" s="97">
        <v>43585</v>
      </c>
      <c r="C168" s="108"/>
      <c r="D168" s="125"/>
      <c r="E168" s="91">
        <f t="shared" si="22"/>
        <v>52761311.789999977</v>
      </c>
      <c r="F168" s="126">
        <f t="shared" si="23"/>
        <v>141761311.78999987</v>
      </c>
      <c r="G168" s="98">
        <f t="shared" si="33"/>
        <v>141761311.7899999</v>
      </c>
      <c r="H168" s="102">
        <f t="shared" si="26"/>
        <v>590672.13245833281</v>
      </c>
      <c r="I168" s="100">
        <f t="shared" si="30"/>
        <v>-53160491.921249837</v>
      </c>
      <c r="J168" s="98">
        <f t="shared" si="27"/>
        <v>-49616459.126499869</v>
      </c>
      <c r="K168" s="98">
        <f t="shared" si="24"/>
        <v>92144852.663500041</v>
      </c>
      <c r="L168" s="93">
        <f t="shared" si="21"/>
        <v>88600819.868750036</v>
      </c>
      <c r="M168" s="94">
        <f t="shared" si="32"/>
        <v>46166.147816249977</v>
      </c>
      <c r="N168" s="100">
        <f>N167+M168</f>
        <v>-12033783.72710254</v>
      </c>
      <c r="O168" s="98">
        <f t="shared" si="31"/>
        <v>-12310780.614000043</v>
      </c>
      <c r="P168" s="95">
        <f t="shared" si="25"/>
        <v>79834072.049500003</v>
      </c>
      <c r="Q168" s="104"/>
      <c r="R168" s="93"/>
      <c r="S168" s="104"/>
    </row>
    <row r="169" spans="2:19" s="65" customFormat="1" hidden="1" outlineLevel="1">
      <c r="B169" s="97">
        <v>43616</v>
      </c>
      <c r="C169" s="108"/>
      <c r="D169" s="125"/>
      <c r="E169" s="91">
        <f t="shared" si="22"/>
        <v>52761311.789999977</v>
      </c>
      <c r="F169" s="126">
        <f t="shared" si="23"/>
        <v>141761311.78999987</v>
      </c>
      <c r="G169" s="98">
        <f t="shared" si="33"/>
        <v>141761311.7899999</v>
      </c>
      <c r="H169" s="102">
        <f t="shared" si="26"/>
        <v>590672.13245833281</v>
      </c>
      <c r="I169" s="100">
        <f t="shared" si="30"/>
        <v>-53751164.053708166</v>
      </c>
      <c r="J169" s="98">
        <f t="shared" si="27"/>
        <v>-50207131.258958198</v>
      </c>
      <c r="K169" s="98">
        <f t="shared" si="24"/>
        <v>91554180.531041712</v>
      </c>
      <c r="L169" s="93">
        <f t="shared" si="21"/>
        <v>88010147.736291707</v>
      </c>
      <c r="M169" s="94">
        <f t="shared" si="32"/>
        <v>46166.147816249977</v>
      </c>
      <c r="N169" s="100">
        <f>N168+M169</f>
        <v>-11987617.57928629</v>
      </c>
      <c r="O169" s="98">
        <f t="shared" si="31"/>
        <v>-12264614.466183791</v>
      </c>
      <c r="P169" s="95">
        <f t="shared" si="25"/>
        <v>79289566.064857915</v>
      </c>
      <c r="Q169" s="104"/>
      <c r="R169" s="93"/>
      <c r="S169" s="104"/>
    </row>
    <row r="170" spans="2:19" s="65" customFormat="1" ht="12.75" hidden="1" customHeight="1" outlineLevel="1">
      <c r="B170" s="97">
        <v>43646</v>
      </c>
      <c r="C170" s="108"/>
      <c r="D170" s="125"/>
      <c r="E170" s="91">
        <f t="shared" si="22"/>
        <v>52761311.789999977</v>
      </c>
      <c r="F170" s="126">
        <f t="shared" si="23"/>
        <v>141761311.78999987</v>
      </c>
      <c r="G170" s="98">
        <f t="shared" si="33"/>
        <v>141761311.7899999</v>
      </c>
      <c r="H170" s="102">
        <f t="shared" si="26"/>
        <v>590672.13245833281</v>
      </c>
      <c r="I170" s="100">
        <f t="shared" si="30"/>
        <v>-54341836.186166495</v>
      </c>
      <c r="J170" s="98">
        <f t="shared" si="27"/>
        <v>-50797803.391416527</v>
      </c>
      <c r="K170" s="98">
        <f t="shared" si="24"/>
        <v>90963508.398583382</v>
      </c>
      <c r="L170" s="93">
        <f t="shared" si="21"/>
        <v>87419475.603833377</v>
      </c>
      <c r="M170" s="94">
        <f t="shared" si="32"/>
        <v>46166.147816249977</v>
      </c>
      <c r="N170" s="100">
        <f t="shared" ref="N170:N233" si="34">N169+M170</f>
        <v>-11941451.43147004</v>
      </c>
      <c r="O170" s="98">
        <f t="shared" si="31"/>
        <v>-12218448.318367541</v>
      </c>
      <c r="P170" s="95">
        <f t="shared" si="25"/>
        <v>78745060.080215842</v>
      </c>
      <c r="Q170" s="104"/>
      <c r="R170" s="93"/>
      <c r="S170" s="104"/>
    </row>
    <row r="171" spans="2:19" s="65" customFormat="1" hidden="1" outlineLevel="1">
      <c r="B171" s="97">
        <v>43677</v>
      </c>
      <c r="C171" s="108"/>
      <c r="D171" s="125"/>
      <c r="E171" s="91">
        <f t="shared" si="22"/>
        <v>52761311.789999977</v>
      </c>
      <c r="F171" s="126">
        <f t="shared" si="23"/>
        <v>141761311.78999987</v>
      </c>
      <c r="G171" s="98">
        <f t="shared" si="33"/>
        <v>141761311.7899999</v>
      </c>
      <c r="H171" s="102">
        <f t="shared" si="26"/>
        <v>590672.13245833281</v>
      </c>
      <c r="I171" s="100">
        <f t="shared" si="30"/>
        <v>-54932508.318624824</v>
      </c>
      <c r="J171" s="98">
        <f t="shared" si="27"/>
        <v>-51388475.523874857</v>
      </c>
      <c r="K171" s="98">
        <f t="shared" si="24"/>
        <v>90372836.266125053</v>
      </c>
      <c r="L171" s="93">
        <f t="shared" si="21"/>
        <v>86828803.471375048</v>
      </c>
      <c r="M171" s="94">
        <f t="shared" si="32"/>
        <v>46166.147816249977</v>
      </c>
      <c r="N171" s="100">
        <f t="shared" si="34"/>
        <v>-11895285.28365379</v>
      </c>
      <c r="O171" s="98">
        <f t="shared" si="31"/>
        <v>-12172282.170551291</v>
      </c>
      <c r="P171" s="95">
        <f t="shared" si="25"/>
        <v>78200554.095573768</v>
      </c>
      <c r="Q171" s="104"/>
      <c r="R171" s="93"/>
      <c r="S171" s="104"/>
    </row>
    <row r="172" spans="2:19" s="65" customFormat="1" hidden="1" outlineLevel="1">
      <c r="B172" s="97">
        <v>43708</v>
      </c>
      <c r="C172" s="108"/>
      <c r="D172" s="125"/>
      <c r="E172" s="91">
        <f t="shared" si="22"/>
        <v>52761311.789999977</v>
      </c>
      <c r="F172" s="126">
        <f t="shared" si="23"/>
        <v>141761311.78999987</v>
      </c>
      <c r="G172" s="98">
        <f t="shared" si="33"/>
        <v>141761311.7899999</v>
      </c>
      <c r="H172" s="102">
        <f t="shared" si="26"/>
        <v>590672.13245833281</v>
      </c>
      <c r="I172" s="100">
        <f t="shared" si="30"/>
        <v>-55523180.451083153</v>
      </c>
      <c r="J172" s="98">
        <f t="shared" si="27"/>
        <v>-51979147.656333186</v>
      </c>
      <c r="K172" s="98">
        <f t="shared" si="24"/>
        <v>89782164.133666724</v>
      </c>
      <c r="L172" s="93">
        <f t="shared" si="21"/>
        <v>86238131.338916719</v>
      </c>
      <c r="M172" s="94">
        <f t="shared" si="32"/>
        <v>46166.147816249977</v>
      </c>
      <c r="N172" s="100">
        <f t="shared" si="34"/>
        <v>-11849119.13583754</v>
      </c>
      <c r="O172" s="98">
        <f t="shared" si="31"/>
        <v>-12126116.022735042</v>
      </c>
      <c r="P172" s="95">
        <f t="shared" si="25"/>
        <v>77656048.11093168</v>
      </c>
      <c r="Q172" s="104"/>
      <c r="R172" s="93"/>
      <c r="S172" s="104"/>
    </row>
    <row r="173" spans="2:19" hidden="1" outlineLevel="1">
      <c r="B173" s="97">
        <v>43738</v>
      </c>
      <c r="C173" s="108"/>
      <c r="D173" s="125"/>
      <c r="E173" s="91">
        <f t="shared" si="22"/>
        <v>52761311.789999977</v>
      </c>
      <c r="F173" s="126">
        <f t="shared" si="23"/>
        <v>141761311.78999987</v>
      </c>
      <c r="G173" s="98">
        <f t="shared" si="33"/>
        <v>141761311.7899999</v>
      </c>
      <c r="H173" s="102">
        <f t="shared" si="26"/>
        <v>590672.13245833281</v>
      </c>
      <c r="I173" s="100">
        <f t="shared" si="30"/>
        <v>-56113852.583541483</v>
      </c>
      <c r="J173" s="98">
        <f t="shared" si="27"/>
        <v>-52569819.788791515</v>
      </c>
      <c r="K173" s="98">
        <f t="shared" si="24"/>
        <v>89191492.001208395</v>
      </c>
      <c r="L173" s="93">
        <f t="shared" si="21"/>
        <v>85647459.20645839</v>
      </c>
      <c r="M173" s="94">
        <f t="shared" si="32"/>
        <v>46166.147816249977</v>
      </c>
      <c r="N173" s="100">
        <f t="shared" si="34"/>
        <v>-11802952.98802129</v>
      </c>
      <c r="O173" s="98">
        <f t="shared" si="31"/>
        <v>-12079949.874918791</v>
      </c>
      <c r="P173" s="95">
        <f t="shared" si="25"/>
        <v>77111542.126289606</v>
      </c>
      <c r="Q173" s="104"/>
      <c r="R173" s="93"/>
      <c r="S173" s="104"/>
    </row>
    <row r="174" spans="2:19" hidden="1" outlineLevel="1">
      <c r="B174" s="97">
        <v>43769</v>
      </c>
      <c r="C174" s="108"/>
      <c r="D174" s="125"/>
      <c r="E174" s="91">
        <f t="shared" si="22"/>
        <v>52761311.789999977</v>
      </c>
      <c r="F174" s="126">
        <f t="shared" si="23"/>
        <v>141761311.78999987</v>
      </c>
      <c r="G174" s="98">
        <f t="shared" si="33"/>
        <v>141761311.7899999</v>
      </c>
      <c r="H174" s="102">
        <f t="shared" si="26"/>
        <v>590672.13245833281</v>
      </c>
      <c r="I174" s="100">
        <f t="shared" si="30"/>
        <v>-56704524.715999812</v>
      </c>
      <c r="J174" s="98">
        <f t="shared" si="27"/>
        <v>-53160491.921249844</v>
      </c>
      <c r="K174" s="98">
        <f t="shared" si="24"/>
        <v>88600819.868750066</v>
      </c>
      <c r="L174" s="93">
        <f t="shared" si="21"/>
        <v>85056787.074000061</v>
      </c>
      <c r="M174" s="94">
        <f t="shared" si="32"/>
        <v>46166.147816249977</v>
      </c>
      <c r="N174" s="100">
        <f t="shared" si="34"/>
        <v>-11756786.84020504</v>
      </c>
      <c r="O174" s="98">
        <f t="shared" si="31"/>
        <v>-12033783.72710254</v>
      </c>
      <c r="P174" s="95">
        <f t="shared" si="25"/>
        <v>76567036.141647518</v>
      </c>
      <c r="Q174" s="104"/>
      <c r="R174" s="93"/>
      <c r="S174" s="104"/>
    </row>
    <row r="175" spans="2:19" hidden="1" outlineLevel="1">
      <c r="B175" s="97">
        <v>43799</v>
      </c>
      <c r="C175" s="108"/>
      <c r="D175" s="125"/>
      <c r="E175" s="91">
        <f t="shared" si="22"/>
        <v>52761311.789999977</v>
      </c>
      <c r="F175" s="126">
        <f t="shared" si="23"/>
        <v>141761311.78999987</v>
      </c>
      <c r="G175" s="98">
        <f t="shared" si="33"/>
        <v>141761311.7899999</v>
      </c>
      <c r="H175" s="102">
        <f t="shared" si="26"/>
        <v>590672.13245833281</v>
      </c>
      <c r="I175" s="100">
        <f t="shared" si="30"/>
        <v>-57295196.848458141</v>
      </c>
      <c r="J175" s="98">
        <f t="shared" si="27"/>
        <v>-53751164.053708173</v>
      </c>
      <c r="K175" s="98">
        <f t="shared" si="24"/>
        <v>88010147.736291736</v>
      </c>
      <c r="L175" s="93">
        <f t="shared" si="21"/>
        <v>84466114.941541731</v>
      </c>
      <c r="M175" s="94">
        <f t="shared" si="32"/>
        <v>46166.147816249977</v>
      </c>
      <c r="N175" s="100">
        <f t="shared" si="34"/>
        <v>-11710620.69238879</v>
      </c>
      <c r="O175" s="98">
        <f t="shared" si="31"/>
        <v>-11987617.57928629</v>
      </c>
      <c r="P175" s="95">
        <f t="shared" si="25"/>
        <v>76022530.157005444</v>
      </c>
      <c r="Q175" s="104"/>
      <c r="R175" s="93"/>
      <c r="S175" s="104"/>
    </row>
    <row r="176" spans="2:19" hidden="1" outlineLevel="1">
      <c r="B176" s="97">
        <v>43830</v>
      </c>
      <c r="C176" s="108"/>
      <c r="D176" s="125"/>
      <c r="E176" s="91">
        <f t="shared" si="22"/>
        <v>52761311.789999977</v>
      </c>
      <c r="F176" s="126">
        <f t="shared" si="23"/>
        <v>141761311.78999987</v>
      </c>
      <c r="G176" s="98">
        <f t="shared" si="33"/>
        <v>141761311.7899999</v>
      </c>
      <c r="H176" s="102">
        <f t="shared" si="26"/>
        <v>590672.13245833281</v>
      </c>
      <c r="I176" s="100">
        <f t="shared" si="30"/>
        <v>-57885868.98091647</v>
      </c>
      <c r="J176" s="98">
        <f t="shared" si="27"/>
        <v>-54341836.186166503</v>
      </c>
      <c r="K176" s="98">
        <f t="shared" si="24"/>
        <v>87419475.603833407</v>
      </c>
      <c r="L176" s="93">
        <f>F176+I176</f>
        <v>83875442.809083402</v>
      </c>
      <c r="M176" s="94">
        <f t="shared" si="32"/>
        <v>46166.147816249977</v>
      </c>
      <c r="N176" s="100">
        <f t="shared" si="34"/>
        <v>-11664454.54457254</v>
      </c>
      <c r="O176" s="98">
        <f t="shared" si="31"/>
        <v>-11941451.431470042</v>
      </c>
      <c r="P176" s="95">
        <f t="shared" si="25"/>
        <v>75478024.172363371</v>
      </c>
      <c r="Q176" s="104"/>
      <c r="R176" s="93"/>
      <c r="S176" s="104"/>
    </row>
    <row r="177" spans="1:19" hidden="1" outlineLevel="1">
      <c r="B177" s="97">
        <v>43861</v>
      </c>
      <c r="C177" s="108"/>
      <c r="D177" s="125"/>
      <c r="E177" s="91">
        <f t="shared" si="22"/>
        <v>52761311.789999977</v>
      </c>
      <c r="F177" s="126">
        <f t="shared" si="23"/>
        <v>141761311.78999987</v>
      </c>
      <c r="G177" s="98">
        <f t="shared" si="33"/>
        <v>141761311.7899999</v>
      </c>
      <c r="H177" s="102">
        <f t="shared" si="26"/>
        <v>590672.13245833281</v>
      </c>
      <c r="I177" s="100">
        <f t="shared" si="30"/>
        <v>-58476541.113374799</v>
      </c>
      <c r="J177" s="98">
        <f t="shared" si="27"/>
        <v>-54932508.318624832</v>
      </c>
      <c r="K177" s="98">
        <f t="shared" si="24"/>
        <v>86828803.471375078</v>
      </c>
      <c r="L177" s="93">
        <f t="shared" si="21"/>
        <v>83284770.676625073</v>
      </c>
      <c r="M177" s="94">
        <f t="shared" si="32"/>
        <v>46166.147816249977</v>
      </c>
      <c r="N177" s="100">
        <f t="shared" si="34"/>
        <v>-11618288.39675629</v>
      </c>
      <c r="O177" s="98">
        <f t="shared" si="31"/>
        <v>-11895285.28365379</v>
      </c>
      <c r="P177" s="95">
        <f t="shared" si="25"/>
        <v>74933518.187721282</v>
      </c>
      <c r="Q177" s="104"/>
      <c r="R177" s="93"/>
      <c r="S177" s="104"/>
    </row>
    <row r="178" spans="1:19" ht="12.75" hidden="1" customHeight="1" outlineLevel="1">
      <c r="A178" s="65"/>
      <c r="B178" s="97">
        <v>43889</v>
      </c>
      <c r="C178" s="108"/>
      <c r="D178" s="125"/>
      <c r="E178" s="91">
        <f t="shared" si="22"/>
        <v>52761311.789999977</v>
      </c>
      <c r="F178" s="126">
        <f t="shared" si="23"/>
        <v>141761311.78999987</v>
      </c>
      <c r="G178" s="98">
        <f t="shared" si="33"/>
        <v>141761311.7899999</v>
      </c>
      <c r="H178" s="102">
        <f t="shared" si="26"/>
        <v>590672.13245833281</v>
      </c>
      <c r="I178" s="100">
        <f t="shared" si="30"/>
        <v>-59067213.245833129</v>
      </c>
      <c r="J178" s="98">
        <f t="shared" si="27"/>
        <v>-55523180.451083176</v>
      </c>
      <c r="K178" s="98">
        <f t="shared" si="24"/>
        <v>86238131.338916719</v>
      </c>
      <c r="L178" s="93">
        <f t="shared" si="21"/>
        <v>82694098.544166744</v>
      </c>
      <c r="M178" s="94">
        <f t="shared" si="32"/>
        <v>46166.147816249977</v>
      </c>
      <c r="N178" s="100">
        <f t="shared" si="34"/>
        <v>-11572122.248940039</v>
      </c>
      <c r="O178" s="98">
        <f t="shared" si="31"/>
        <v>-11849119.13583754</v>
      </c>
      <c r="P178" s="95">
        <f t="shared" si="25"/>
        <v>74389012.203079179</v>
      </c>
      <c r="Q178" s="104"/>
      <c r="R178" s="93"/>
      <c r="S178" s="104"/>
    </row>
    <row r="179" spans="1:19" ht="12.75" hidden="1" customHeight="1" outlineLevel="1">
      <c r="A179" s="65"/>
      <c r="B179" s="97">
        <v>43921</v>
      </c>
      <c r="C179" s="108"/>
      <c r="D179" s="125"/>
      <c r="E179" s="91">
        <f t="shared" si="22"/>
        <v>52761311.789999977</v>
      </c>
      <c r="F179" s="126">
        <f t="shared" si="23"/>
        <v>141761311.78999987</v>
      </c>
      <c r="G179" s="98">
        <f t="shared" si="33"/>
        <v>141761311.7899999</v>
      </c>
      <c r="H179" s="102">
        <f t="shared" si="26"/>
        <v>590672.13245833281</v>
      </c>
      <c r="I179" s="100">
        <f t="shared" si="30"/>
        <v>-59657885.378291458</v>
      </c>
      <c r="J179" s="98">
        <f t="shared" si="27"/>
        <v>-56113852.583541505</v>
      </c>
      <c r="K179" s="98">
        <f t="shared" si="24"/>
        <v>85647459.20645839</v>
      </c>
      <c r="L179" s="93">
        <f t="shared" si="21"/>
        <v>82103426.411708415</v>
      </c>
      <c r="M179" s="94">
        <f t="shared" si="32"/>
        <v>46166.147816249977</v>
      </c>
      <c r="N179" s="100">
        <f t="shared" si="34"/>
        <v>-11525956.101123789</v>
      </c>
      <c r="O179" s="98">
        <f t="shared" si="31"/>
        <v>-11802952.988021292</v>
      </c>
      <c r="P179" s="95">
        <f t="shared" si="25"/>
        <v>73844506.218437105</v>
      </c>
      <c r="Q179" s="104"/>
      <c r="R179" s="93"/>
      <c r="S179" s="104"/>
    </row>
    <row r="180" spans="1:19" hidden="1" outlineLevel="1">
      <c r="A180" s="65"/>
      <c r="B180" s="97">
        <v>43951</v>
      </c>
      <c r="C180" s="108"/>
      <c r="D180" s="125"/>
      <c r="E180" s="91">
        <f t="shared" si="22"/>
        <v>52761311.789999977</v>
      </c>
      <c r="F180" s="126">
        <f t="shared" si="23"/>
        <v>141761311.78999987</v>
      </c>
      <c r="G180" s="98">
        <f t="shared" si="33"/>
        <v>141761311.7899999</v>
      </c>
      <c r="H180" s="102">
        <f t="shared" si="26"/>
        <v>590672.13245833281</v>
      </c>
      <c r="I180" s="100">
        <f t="shared" si="30"/>
        <v>-60248557.510749787</v>
      </c>
      <c r="J180" s="98">
        <f t="shared" si="27"/>
        <v>-56704524.715999834</v>
      </c>
      <c r="K180" s="98">
        <f t="shared" si="24"/>
        <v>85056787.074000061</v>
      </c>
      <c r="L180" s="93">
        <f t="shared" si="21"/>
        <v>81512754.279250085</v>
      </c>
      <c r="M180" s="94">
        <f t="shared" si="32"/>
        <v>46166.147816249977</v>
      </c>
      <c r="N180" s="100">
        <f t="shared" si="34"/>
        <v>-11479789.953307539</v>
      </c>
      <c r="O180" s="98">
        <f t="shared" si="31"/>
        <v>-11756786.840205042</v>
      </c>
      <c r="P180" s="95">
        <f t="shared" si="25"/>
        <v>73300000.233795017</v>
      </c>
      <c r="Q180" s="104"/>
      <c r="R180" s="93"/>
      <c r="S180" s="104"/>
    </row>
    <row r="181" spans="1:19" hidden="1" outlineLevel="1">
      <c r="A181" s="65"/>
      <c r="B181" s="97">
        <v>43982</v>
      </c>
      <c r="C181" s="108"/>
      <c r="D181" s="125"/>
      <c r="E181" s="91">
        <f t="shared" si="22"/>
        <v>52761311.789999977</v>
      </c>
      <c r="F181" s="126">
        <f t="shared" si="23"/>
        <v>141761311.78999987</v>
      </c>
      <c r="G181" s="98">
        <f t="shared" si="33"/>
        <v>141761311.7899999</v>
      </c>
      <c r="H181" s="102">
        <f t="shared" si="26"/>
        <v>590672.13245833281</v>
      </c>
      <c r="I181" s="100">
        <f t="shared" si="30"/>
        <v>-60839229.643208116</v>
      </c>
      <c r="J181" s="98">
        <f t="shared" si="27"/>
        <v>-57295196.848458163</v>
      </c>
      <c r="K181" s="98">
        <f t="shared" si="24"/>
        <v>84466114.941541731</v>
      </c>
      <c r="L181" s="93">
        <f t="shared" si="21"/>
        <v>80922082.146791756</v>
      </c>
      <c r="M181" s="94">
        <f t="shared" si="32"/>
        <v>46166.147816249977</v>
      </c>
      <c r="N181" s="100">
        <f t="shared" si="34"/>
        <v>-11433623.805491289</v>
      </c>
      <c r="O181" s="98">
        <f>(N169+N181+SUM(N170:N180)*2)/24</f>
        <v>-11710620.69238879</v>
      </c>
      <c r="P181" s="95">
        <f t="shared" si="25"/>
        <v>72755494.249152943</v>
      </c>
      <c r="Q181" s="104"/>
      <c r="R181" s="93"/>
      <c r="S181" s="104"/>
    </row>
    <row r="182" spans="1:19" ht="12.75" hidden="1" customHeight="1" outlineLevel="1">
      <c r="A182" s="65"/>
      <c r="B182" s="97">
        <v>44012</v>
      </c>
      <c r="C182" s="108"/>
      <c r="D182" s="125"/>
      <c r="E182" s="91">
        <f t="shared" si="22"/>
        <v>52761311.789999977</v>
      </c>
      <c r="F182" s="126">
        <f t="shared" si="23"/>
        <v>141761311.78999987</v>
      </c>
      <c r="G182" s="98">
        <f t="shared" si="33"/>
        <v>141761311.7899999</v>
      </c>
      <c r="H182" s="102">
        <f t="shared" si="26"/>
        <v>590672.13245833281</v>
      </c>
      <c r="I182" s="100">
        <f t="shared" si="30"/>
        <v>-61429901.775666445</v>
      </c>
      <c r="J182" s="98">
        <f t="shared" si="27"/>
        <v>-57885868.980916493</v>
      </c>
      <c r="K182" s="98">
        <f t="shared" si="24"/>
        <v>83875442.809083402</v>
      </c>
      <c r="L182" s="93">
        <f t="shared" si="21"/>
        <v>80331410.014333427</v>
      </c>
      <c r="M182" s="94">
        <f t="shared" si="32"/>
        <v>46166.147816249977</v>
      </c>
      <c r="N182" s="100">
        <f t="shared" si="34"/>
        <v>-11387457.657675039</v>
      </c>
      <c r="O182" s="98">
        <f t="shared" si="31"/>
        <v>-11664454.54457254</v>
      </c>
      <c r="P182" s="95">
        <f t="shared" si="25"/>
        <v>72210988.26451087</v>
      </c>
      <c r="Q182" s="104"/>
      <c r="R182" s="93"/>
      <c r="S182" s="104"/>
    </row>
    <row r="183" spans="1:19" hidden="1" outlineLevel="1">
      <c r="A183" s="65"/>
      <c r="B183" s="97">
        <v>44043</v>
      </c>
      <c r="C183" s="108"/>
      <c r="D183" s="125"/>
      <c r="E183" s="91">
        <f t="shared" si="22"/>
        <v>52761311.789999977</v>
      </c>
      <c r="F183" s="126">
        <f t="shared" si="23"/>
        <v>141761311.78999987</v>
      </c>
      <c r="G183" s="98">
        <f t="shared" si="33"/>
        <v>141761311.7899999</v>
      </c>
      <c r="H183" s="102">
        <f t="shared" si="26"/>
        <v>590672.13245833281</v>
      </c>
      <c r="I183" s="100">
        <f t="shared" si="30"/>
        <v>-62020573.908124775</v>
      </c>
      <c r="J183" s="98">
        <f t="shared" si="27"/>
        <v>-58476541.113374822</v>
      </c>
      <c r="K183" s="98">
        <f t="shared" si="24"/>
        <v>83284770.676625073</v>
      </c>
      <c r="L183" s="93">
        <f t="shared" si="21"/>
        <v>79740737.881875098</v>
      </c>
      <c r="M183" s="94">
        <f t="shared" si="32"/>
        <v>46166.147816249977</v>
      </c>
      <c r="N183" s="100">
        <f t="shared" si="34"/>
        <v>-11341291.509858789</v>
      </c>
      <c r="O183" s="98">
        <f t="shared" si="31"/>
        <v>-11618288.39675629</v>
      </c>
      <c r="P183" s="95">
        <f t="shared" si="25"/>
        <v>71666482.279868782</v>
      </c>
      <c r="Q183" s="104"/>
      <c r="R183" s="93"/>
      <c r="S183" s="104"/>
    </row>
    <row r="184" spans="1:19" hidden="1" outlineLevel="1">
      <c r="A184" s="65"/>
      <c r="B184" s="97">
        <v>44074</v>
      </c>
      <c r="C184" s="108"/>
      <c r="D184" s="125"/>
      <c r="E184" s="91">
        <f t="shared" si="22"/>
        <v>52761311.789999977</v>
      </c>
      <c r="F184" s="126">
        <f t="shared" si="23"/>
        <v>141761311.78999987</v>
      </c>
      <c r="G184" s="98">
        <f t="shared" si="33"/>
        <v>141761311.7899999</v>
      </c>
      <c r="H184" s="102">
        <f t="shared" si="26"/>
        <v>590672.13245833281</v>
      </c>
      <c r="I184" s="100">
        <f t="shared" si="30"/>
        <v>-62611246.040583104</v>
      </c>
      <c r="J184" s="98">
        <f t="shared" si="27"/>
        <v>-59067213.245833151</v>
      </c>
      <c r="K184" s="98">
        <f t="shared" si="24"/>
        <v>82694098.544166744</v>
      </c>
      <c r="L184" s="93">
        <f t="shared" si="21"/>
        <v>79150065.749416769</v>
      </c>
      <c r="M184" s="94">
        <f t="shared" si="32"/>
        <v>46166.147816249977</v>
      </c>
      <c r="N184" s="100">
        <f t="shared" si="34"/>
        <v>-11295125.362042539</v>
      </c>
      <c r="O184" s="98">
        <f t="shared" si="31"/>
        <v>-11572122.248940041</v>
      </c>
      <c r="P184" s="95">
        <f t="shared" si="25"/>
        <v>71121976.295226708</v>
      </c>
      <c r="Q184" s="104"/>
      <c r="R184" s="93"/>
      <c r="S184" s="104"/>
    </row>
    <row r="185" spans="1:19" hidden="1" outlineLevel="1">
      <c r="A185" s="65"/>
      <c r="B185" s="97">
        <v>44104</v>
      </c>
      <c r="C185" s="108"/>
      <c r="D185" s="125"/>
      <c r="E185" s="91">
        <f t="shared" si="22"/>
        <v>52761311.789999977</v>
      </c>
      <c r="F185" s="126">
        <f t="shared" si="23"/>
        <v>141761311.78999987</v>
      </c>
      <c r="G185" s="98">
        <f t="shared" si="33"/>
        <v>141761311.7899999</v>
      </c>
      <c r="H185" s="102">
        <f t="shared" si="26"/>
        <v>590672.13245833281</v>
      </c>
      <c r="I185" s="100">
        <f t="shared" si="30"/>
        <v>-63201918.173041433</v>
      </c>
      <c r="J185" s="98">
        <f t="shared" si="27"/>
        <v>-59657885.37829148</v>
      </c>
      <c r="K185" s="98">
        <f t="shared" si="24"/>
        <v>82103426.411708415</v>
      </c>
      <c r="L185" s="93">
        <f t="shared" si="21"/>
        <v>78559393.616958439</v>
      </c>
      <c r="M185" s="94">
        <f t="shared" ref="M185:M216" si="35">(E185/240*0.21)</f>
        <v>46166.147816249977</v>
      </c>
      <c r="N185" s="100">
        <f t="shared" si="34"/>
        <v>-11248959.214226289</v>
      </c>
      <c r="O185" s="98">
        <f t="shared" si="31"/>
        <v>-11525956.101123789</v>
      </c>
      <c r="P185" s="95">
        <f t="shared" si="25"/>
        <v>70577470.31058462</v>
      </c>
      <c r="Q185" s="104"/>
      <c r="R185" s="93"/>
      <c r="S185" s="104"/>
    </row>
    <row r="186" spans="1:19" hidden="1" outlineLevel="1">
      <c r="A186" s="65"/>
      <c r="B186" s="97">
        <v>44135</v>
      </c>
      <c r="C186" s="108"/>
      <c r="D186" s="125"/>
      <c r="E186" s="91">
        <f t="shared" si="22"/>
        <v>52761311.789999977</v>
      </c>
      <c r="F186" s="126">
        <f t="shared" si="23"/>
        <v>141761311.78999987</v>
      </c>
      <c r="G186" s="98">
        <f t="shared" si="33"/>
        <v>141761311.7899999</v>
      </c>
      <c r="H186" s="102">
        <f t="shared" si="26"/>
        <v>590672.13245833281</v>
      </c>
      <c r="I186" s="100">
        <f t="shared" si="30"/>
        <v>-63792590.305499762</v>
      </c>
      <c r="J186" s="98">
        <f t="shared" si="27"/>
        <v>-60248557.510749809</v>
      </c>
      <c r="K186" s="98">
        <f t="shared" si="24"/>
        <v>81512754.279250085</v>
      </c>
      <c r="L186" s="93">
        <f t="shared" si="21"/>
        <v>77968721.48450011</v>
      </c>
      <c r="M186" s="94">
        <f t="shared" si="35"/>
        <v>46166.147816249977</v>
      </c>
      <c r="N186" s="100">
        <f t="shared" si="34"/>
        <v>-11202793.066410039</v>
      </c>
      <c r="O186" s="98">
        <f t="shared" si="31"/>
        <v>-11479789.953307539</v>
      </c>
      <c r="P186" s="95">
        <f t="shared" si="25"/>
        <v>70032964.325942546</v>
      </c>
      <c r="Q186" s="104"/>
      <c r="R186" s="93"/>
      <c r="S186" s="104"/>
    </row>
    <row r="187" spans="1:19" hidden="1" outlineLevel="1">
      <c r="A187" s="65"/>
      <c r="B187" s="97">
        <v>44165</v>
      </c>
      <c r="C187" s="108"/>
      <c r="D187" s="125"/>
      <c r="E187" s="91">
        <f t="shared" si="22"/>
        <v>52761311.789999977</v>
      </c>
      <c r="F187" s="126">
        <f t="shared" si="23"/>
        <v>141761311.78999987</v>
      </c>
      <c r="G187" s="98">
        <f t="shared" si="33"/>
        <v>141761311.7899999</v>
      </c>
      <c r="H187" s="102">
        <f t="shared" si="26"/>
        <v>590672.13245833281</v>
      </c>
      <c r="I187" s="100">
        <f t="shared" si="30"/>
        <v>-64383262.437958091</v>
      </c>
      <c r="J187" s="98">
        <f t="shared" si="27"/>
        <v>-60839229.643208139</v>
      </c>
      <c r="K187" s="98">
        <f t="shared" si="24"/>
        <v>80922082.146791756</v>
      </c>
      <c r="L187" s="93">
        <f t="shared" si="21"/>
        <v>77378049.352041781</v>
      </c>
      <c r="M187" s="94">
        <f t="shared" si="35"/>
        <v>46166.147816249977</v>
      </c>
      <c r="N187" s="100">
        <f t="shared" si="34"/>
        <v>-11156626.918593789</v>
      </c>
      <c r="O187" s="98">
        <f t="shared" si="31"/>
        <v>-11433623.805491289</v>
      </c>
      <c r="P187" s="95">
        <f t="shared" si="25"/>
        <v>69488458.341300473</v>
      </c>
      <c r="Q187" s="104"/>
      <c r="R187" s="93"/>
      <c r="S187" s="104"/>
    </row>
    <row r="188" spans="1:19" hidden="1" outlineLevel="1">
      <c r="A188" s="65"/>
      <c r="B188" s="97">
        <v>44196</v>
      </c>
      <c r="C188" s="108"/>
      <c r="D188" s="125"/>
      <c r="E188" s="91">
        <f t="shared" si="22"/>
        <v>52761311.789999977</v>
      </c>
      <c r="F188" s="126">
        <f t="shared" si="23"/>
        <v>141761311.78999987</v>
      </c>
      <c r="G188" s="98">
        <f t="shared" si="33"/>
        <v>141761311.7899999</v>
      </c>
      <c r="H188" s="102">
        <f t="shared" si="26"/>
        <v>590672.13245833281</v>
      </c>
      <c r="I188" s="100">
        <f t="shared" si="30"/>
        <v>-64973934.570416421</v>
      </c>
      <c r="J188" s="98">
        <f t="shared" si="27"/>
        <v>-61429901.775666468</v>
      </c>
      <c r="K188" s="98">
        <f t="shared" si="24"/>
        <v>80331410.014333427</v>
      </c>
      <c r="L188" s="93">
        <f t="shared" si="21"/>
        <v>76787377.219583452</v>
      </c>
      <c r="M188" s="94">
        <f t="shared" si="35"/>
        <v>46166.147816249977</v>
      </c>
      <c r="N188" s="100">
        <f t="shared" si="34"/>
        <v>-11110460.770777538</v>
      </c>
      <c r="O188" s="98">
        <f t="shared" si="31"/>
        <v>-11387457.657675041</v>
      </c>
      <c r="P188" s="95">
        <f t="shared" si="25"/>
        <v>68943952.356658384</v>
      </c>
      <c r="Q188" s="104"/>
      <c r="R188" s="93"/>
      <c r="S188" s="104"/>
    </row>
    <row r="189" spans="1:19" hidden="1" outlineLevel="1">
      <c r="A189" s="65"/>
      <c r="B189" s="97">
        <v>44227</v>
      </c>
      <c r="C189" s="108"/>
      <c r="D189" s="125"/>
      <c r="E189" s="91">
        <f t="shared" si="22"/>
        <v>52761311.789999977</v>
      </c>
      <c r="F189" s="126">
        <f t="shared" si="23"/>
        <v>141761311.78999987</v>
      </c>
      <c r="G189" s="98">
        <f t="shared" si="33"/>
        <v>141761311.7899999</v>
      </c>
      <c r="H189" s="102">
        <f t="shared" si="26"/>
        <v>590672.13245833281</v>
      </c>
      <c r="I189" s="100">
        <f t="shared" si="30"/>
        <v>-65564606.70287475</v>
      </c>
      <c r="J189" s="98">
        <f t="shared" si="27"/>
        <v>-62020573.908124797</v>
      </c>
      <c r="K189" s="98">
        <f t="shared" si="24"/>
        <v>79740737.881875098</v>
      </c>
      <c r="L189" s="93">
        <f t="shared" si="21"/>
        <v>76196705.087125123</v>
      </c>
      <c r="M189" s="94">
        <f t="shared" si="35"/>
        <v>46166.147816249977</v>
      </c>
      <c r="N189" s="100">
        <f t="shared" si="34"/>
        <v>-11064294.622961288</v>
      </c>
      <c r="O189" s="98">
        <f t="shared" si="31"/>
        <v>-11341291.509858789</v>
      </c>
      <c r="P189" s="95">
        <f t="shared" si="25"/>
        <v>68399446.372016311</v>
      </c>
      <c r="Q189" s="104"/>
      <c r="R189" s="93"/>
      <c r="S189" s="104"/>
    </row>
    <row r="190" spans="1:19" ht="12.75" hidden="1" customHeight="1" outlineLevel="1">
      <c r="A190" s="65"/>
      <c r="B190" s="97">
        <v>44255</v>
      </c>
      <c r="C190" s="108"/>
      <c r="D190" s="125"/>
      <c r="E190" s="91">
        <f t="shared" si="22"/>
        <v>52761311.789999977</v>
      </c>
      <c r="F190" s="126">
        <f t="shared" si="23"/>
        <v>141761311.78999987</v>
      </c>
      <c r="G190" s="98">
        <f t="shared" si="33"/>
        <v>141761311.7899999</v>
      </c>
      <c r="H190" s="102">
        <f t="shared" si="26"/>
        <v>590672.13245833281</v>
      </c>
      <c r="I190" s="100">
        <f t="shared" si="30"/>
        <v>-66155278.835333079</v>
      </c>
      <c r="J190" s="98">
        <f t="shared" si="27"/>
        <v>-62611246.040583126</v>
      </c>
      <c r="K190" s="98">
        <f t="shared" si="24"/>
        <v>79150065.749416769</v>
      </c>
      <c r="L190" s="93">
        <f t="shared" si="21"/>
        <v>75606032.954666793</v>
      </c>
      <c r="M190" s="94">
        <f t="shared" si="35"/>
        <v>46166.147816249977</v>
      </c>
      <c r="N190" s="100">
        <f t="shared" si="34"/>
        <v>-11018128.475145038</v>
      </c>
      <c r="O190" s="98">
        <f t="shared" si="31"/>
        <v>-11295125.362042539</v>
      </c>
      <c r="P190" s="95">
        <f t="shared" si="25"/>
        <v>67854940.387374222</v>
      </c>
      <c r="Q190" s="104"/>
      <c r="R190" s="93"/>
      <c r="S190" s="104"/>
    </row>
    <row r="191" spans="1:19" ht="12.75" hidden="1" customHeight="1" outlineLevel="1">
      <c r="A191" s="65"/>
      <c r="B191" s="97">
        <v>44286</v>
      </c>
      <c r="C191" s="108"/>
      <c r="D191" s="125"/>
      <c r="E191" s="91">
        <f t="shared" si="22"/>
        <v>52761311.789999977</v>
      </c>
      <c r="F191" s="126">
        <f t="shared" si="23"/>
        <v>141761311.78999987</v>
      </c>
      <c r="G191" s="98">
        <f t="shared" si="33"/>
        <v>141761311.7899999</v>
      </c>
      <c r="H191" s="102">
        <f t="shared" si="26"/>
        <v>590672.13245833281</v>
      </c>
      <c r="I191" s="100">
        <f t="shared" si="30"/>
        <v>-66745950.967791408</v>
      </c>
      <c r="J191" s="98">
        <f t="shared" si="27"/>
        <v>-63201918.173041455</v>
      </c>
      <c r="K191" s="98">
        <f t="shared" si="24"/>
        <v>78559393.616958439</v>
      </c>
      <c r="L191" s="93">
        <f t="shared" si="21"/>
        <v>75015360.822208464</v>
      </c>
      <c r="M191" s="94">
        <f t="shared" si="35"/>
        <v>46166.147816249977</v>
      </c>
      <c r="N191" s="100">
        <f t="shared" si="34"/>
        <v>-10971962.327328788</v>
      </c>
      <c r="O191" s="98">
        <f t="shared" si="31"/>
        <v>-11248959.214226289</v>
      </c>
      <c r="P191" s="95">
        <f t="shared" si="25"/>
        <v>67310434.402732149</v>
      </c>
      <c r="Q191" s="104"/>
      <c r="R191" s="93"/>
      <c r="S191" s="104"/>
    </row>
    <row r="192" spans="1:19" hidden="1" outlineLevel="1">
      <c r="A192" s="65"/>
      <c r="B192" s="97">
        <v>44316</v>
      </c>
      <c r="C192" s="108"/>
      <c r="D192" s="125"/>
      <c r="E192" s="91">
        <f t="shared" si="22"/>
        <v>52761311.789999977</v>
      </c>
      <c r="F192" s="126">
        <f t="shared" si="23"/>
        <v>141761311.78999987</v>
      </c>
      <c r="G192" s="98">
        <f t="shared" si="33"/>
        <v>141761311.7899999</v>
      </c>
      <c r="H192" s="102">
        <f t="shared" si="26"/>
        <v>590672.13245833281</v>
      </c>
      <c r="I192" s="100">
        <f t="shared" si="30"/>
        <v>-67336623.100249738</v>
      </c>
      <c r="J192" s="98">
        <f t="shared" si="27"/>
        <v>-63792590.305499785</v>
      </c>
      <c r="K192" s="98">
        <f t="shared" si="24"/>
        <v>77968721.48450011</v>
      </c>
      <c r="L192" s="93">
        <f t="shared" si="21"/>
        <v>74424688.689750135</v>
      </c>
      <c r="M192" s="94">
        <f t="shared" si="35"/>
        <v>46166.147816249977</v>
      </c>
      <c r="N192" s="100">
        <f t="shared" si="34"/>
        <v>-10925796.179512538</v>
      </c>
      <c r="O192" s="98">
        <f t="shared" si="31"/>
        <v>-11202793.06641004</v>
      </c>
      <c r="P192" s="95">
        <f t="shared" si="25"/>
        <v>66765928.418090068</v>
      </c>
      <c r="Q192" s="104"/>
      <c r="R192" s="93"/>
      <c r="S192" s="104"/>
    </row>
    <row r="193" spans="2:19" s="65" customFormat="1" hidden="1" outlineLevel="1">
      <c r="B193" s="97">
        <v>44347</v>
      </c>
      <c r="C193" s="108"/>
      <c r="D193" s="125"/>
      <c r="E193" s="91">
        <f t="shared" si="22"/>
        <v>52761311.789999977</v>
      </c>
      <c r="F193" s="126">
        <f t="shared" si="23"/>
        <v>141761311.78999987</v>
      </c>
      <c r="G193" s="98">
        <f t="shared" si="33"/>
        <v>141761311.7899999</v>
      </c>
      <c r="H193" s="102">
        <f t="shared" si="26"/>
        <v>590672.13245833281</v>
      </c>
      <c r="I193" s="100">
        <f t="shared" si="30"/>
        <v>-67927295.232708067</v>
      </c>
      <c r="J193" s="98">
        <f t="shared" si="27"/>
        <v>-64383262.437958114</v>
      </c>
      <c r="K193" s="98">
        <f t="shared" si="24"/>
        <v>77378049.352041781</v>
      </c>
      <c r="L193" s="93">
        <f t="shared" si="21"/>
        <v>73834016.557291806</v>
      </c>
      <c r="M193" s="94">
        <f t="shared" si="35"/>
        <v>46166.147816249977</v>
      </c>
      <c r="N193" s="100">
        <f t="shared" si="34"/>
        <v>-10879630.031696288</v>
      </c>
      <c r="O193" s="98">
        <f t="shared" si="31"/>
        <v>-11156626.918593789</v>
      </c>
      <c r="P193" s="95">
        <f t="shared" si="25"/>
        <v>66221422.433447994</v>
      </c>
      <c r="Q193" s="104"/>
      <c r="R193" s="93"/>
      <c r="S193" s="104"/>
    </row>
    <row r="194" spans="2:19" s="65" customFormat="1" ht="12.75" hidden="1" customHeight="1" outlineLevel="1">
      <c r="B194" s="97">
        <v>44377</v>
      </c>
      <c r="C194" s="108"/>
      <c r="D194" s="125"/>
      <c r="E194" s="91">
        <f t="shared" si="22"/>
        <v>52761311.789999977</v>
      </c>
      <c r="F194" s="126">
        <f t="shared" si="23"/>
        <v>141761311.78999987</v>
      </c>
      <c r="G194" s="98">
        <f t="shared" si="33"/>
        <v>141761311.7899999</v>
      </c>
      <c r="H194" s="102">
        <f t="shared" si="26"/>
        <v>590672.13245833281</v>
      </c>
      <c r="I194" s="100">
        <f t="shared" si="30"/>
        <v>-68517967.365166396</v>
      </c>
      <c r="J194" s="98">
        <f t="shared" si="27"/>
        <v>-64973934.570416443</v>
      </c>
      <c r="K194" s="98">
        <f t="shared" si="24"/>
        <v>76787377.219583452</v>
      </c>
      <c r="L194" s="93">
        <f t="shared" si="21"/>
        <v>73243344.424833477</v>
      </c>
      <c r="M194" s="94">
        <f t="shared" si="35"/>
        <v>46166.147816249977</v>
      </c>
      <c r="N194" s="100">
        <f t="shared" si="34"/>
        <v>-10833463.883880038</v>
      </c>
      <c r="O194" s="98">
        <f t="shared" si="31"/>
        <v>-11110460.77077754</v>
      </c>
      <c r="P194" s="95">
        <f t="shared" si="25"/>
        <v>65676916.448805913</v>
      </c>
      <c r="Q194" s="104"/>
      <c r="R194" s="93"/>
      <c r="S194" s="104"/>
    </row>
    <row r="195" spans="2:19" s="65" customFormat="1" hidden="1" outlineLevel="1">
      <c r="B195" s="97">
        <v>44408</v>
      </c>
      <c r="C195" s="108"/>
      <c r="D195" s="125"/>
      <c r="E195" s="91">
        <f t="shared" si="22"/>
        <v>52761311.789999977</v>
      </c>
      <c r="F195" s="126">
        <f t="shared" si="23"/>
        <v>141761311.78999987</v>
      </c>
      <c r="G195" s="98">
        <f t="shared" si="33"/>
        <v>141761311.7899999</v>
      </c>
      <c r="H195" s="102">
        <f t="shared" si="26"/>
        <v>590672.13245833281</v>
      </c>
      <c r="I195" s="100">
        <f t="shared" si="30"/>
        <v>-69108639.497624725</v>
      </c>
      <c r="J195" s="98">
        <f t="shared" si="27"/>
        <v>-65564606.702874772</v>
      </c>
      <c r="K195" s="98">
        <f t="shared" si="24"/>
        <v>76196705.087125123</v>
      </c>
      <c r="L195" s="93">
        <f t="shared" si="21"/>
        <v>72652672.292375147</v>
      </c>
      <c r="M195" s="94">
        <f t="shared" si="35"/>
        <v>46166.147816249977</v>
      </c>
      <c r="N195" s="100">
        <f t="shared" si="34"/>
        <v>-10787297.736063788</v>
      </c>
      <c r="O195" s="98">
        <f t="shared" si="31"/>
        <v>-11064294.622961288</v>
      </c>
      <c r="P195" s="95">
        <f t="shared" si="25"/>
        <v>65132410.464163832</v>
      </c>
      <c r="Q195" s="104"/>
      <c r="R195" s="93"/>
      <c r="S195" s="104"/>
    </row>
    <row r="196" spans="2:19" s="65" customFormat="1" hidden="1" outlineLevel="1">
      <c r="B196" s="97">
        <v>44439</v>
      </c>
      <c r="C196" s="108"/>
      <c r="D196" s="125"/>
      <c r="E196" s="91">
        <f t="shared" si="22"/>
        <v>52761311.789999977</v>
      </c>
      <c r="F196" s="126">
        <f t="shared" si="23"/>
        <v>141761311.78999987</v>
      </c>
      <c r="G196" s="98">
        <f t="shared" si="33"/>
        <v>141761311.7899999</v>
      </c>
      <c r="H196" s="102">
        <f t="shared" si="26"/>
        <v>590672.13245833281</v>
      </c>
      <c r="I196" s="100">
        <f t="shared" si="30"/>
        <v>-69699311.630083054</v>
      </c>
      <c r="J196" s="98">
        <f t="shared" si="27"/>
        <v>-66155278.835333101</v>
      </c>
      <c r="K196" s="98">
        <f t="shared" si="24"/>
        <v>75606032.954666793</v>
      </c>
      <c r="L196" s="93">
        <f t="shared" si="21"/>
        <v>72062000.159916818</v>
      </c>
      <c r="M196" s="94">
        <f t="shared" si="35"/>
        <v>46166.147816249977</v>
      </c>
      <c r="N196" s="100">
        <f t="shared" si="34"/>
        <v>-10741131.588247538</v>
      </c>
      <c r="O196" s="98">
        <f t="shared" si="31"/>
        <v>-11018128.47514504</v>
      </c>
      <c r="P196" s="95">
        <f t="shared" si="25"/>
        <v>64587904.479521751</v>
      </c>
      <c r="Q196" s="104"/>
      <c r="R196" s="93"/>
      <c r="S196" s="104"/>
    </row>
    <row r="197" spans="2:19" s="65" customFormat="1" hidden="1" outlineLevel="1">
      <c r="B197" s="97">
        <v>44469</v>
      </c>
      <c r="C197" s="108"/>
      <c r="D197" s="125"/>
      <c r="E197" s="91">
        <f t="shared" si="22"/>
        <v>52761311.789999977</v>
      </c>
      <c r="F197" s="126">
        <f t="shared" si="23"/>
        <v>141761311.78999987</v>
      </c>
      <c r="G197" s="98">
        <f t="shared" si="33"/>
        <v>141761311.7899999</v>
      </c>
      <c r="H197" s="102">
        <f t="shared" si="26"/>
        <v>590672.13245833281</v>
      </c>
      <c r="I197" s="100">
        <f t="shared" si="30"/>
        <v>-70289983.762541384</v>
      </c>
      <c r="J197" s="98">
        <f t="shared" si="27"/>
        <v>-66745950.967791431</v>
      </c>
      <c r="K197" s="98">
        <f t="shared" si="24"/>
        <v>75015360.822208464</v>
      </c>
      <c r="L197" s="93">
        <f t="shared" si="21"/>
        <v>71471328.027458489</v>
      </c>
      <c r="M197" s="94">
        <f t="shared" si="35"/>
        <v>46166.147816249977</v>
      </c>
      <c r="N197" s="100">
        <f t="shared" si="34"/>
        <v>-10694965.440431288</v>
      </c>
      <c r="O197" s="98">
        <f t="shared" si="31"/>
        <v>-10971962.327328788</v>
      </c>
      <c r="P197" s="95">
        <f t="shared" si="25"/>
        <v>64043398.494879678</v>
      </c>
      <c r="Q197" s="104"/>
      <c r="R197" s="93"/>
      <c r="S197" s="104"/>
    </row>
    <row r="198" spans="2:19" s="65" customFormat="1" hidden="1" outlineLevel="1">
      <c r="B198" s="97">
        <v>44500</v>
      </c>
      <c r="C198" s="108"/>
      <c r="D198" s="125"/>
      <c r="E198" s="91">
        <f t="shared" si="22"/>
        <v>52761311.789999977</v>
      </c>
      <c r="F198" s="126">
        <f t="shared" si="23"/>
        <v>141761311.78999987</v>
      </c>
      <c r="G198" s="98">
        <f t="shared" si="33"/>
        <v>141761311.7899999</v>
      </c>
      <c r="H198" s="102">
        <f t="shared" si="26"/>
        <v>590672.13245833281</v>
      </c>
      <c r="I198" s="100">
        <f t="shared" si="30"/>
        <v>-70880655.894999713</v>
      </c>
      <c r="J198" s="98">
        <f t="shared" si="27"/>
        <v>-67336623.100249752</v>
      </c>
      <c r="K198" s="98">
        <f t="shared" si="24"/>
        <v>74424688.68975015</v>
      </c>
      <c r="L198" s="93">
        <f t="shared" si="21"/>
        <v>70880655.89500016</v>
      </c>
      <c r="M198" s="94">
        <f t="shared" si="35"/>
        <v>46166.147816249977</v>
      </c>
      <c r="N198" s="100">
        <f t="shared" si="34"/>
        <v>-10648799.292615037</v>
      </c>
      <c r="O198" s="98">
        <f t="shared" si="31"/>
        <v>-10925796.179512538</v>
      </c>
      <c r="P198" s="95">
        <f t="shared" si="25"/>
        <v>63498892.510237612</v>
      </c>
      <c r="Q198" s="104"/>
      <c r="R198" s="93"/>
      <c r="S198" s="104"/>
    </row>
    <row r="199" spans="2:19" s="65" customFormat="1" hidden="1" outlineLevel="1">
      <c r="B199" s="97">
        <v>44530</v>
      </c>
      <c r="C199" s="108"/>
      <c r="D199" s="125"/>
      <c r="E199" s="91">
        <f t="shared" si="22"/>
        <v>52761311.789999977</v>
      </c>
      <c r="F199" s="126">
        <f t="shared" si="23"/>
        <v>141761311.78999987</v>
      </c>
      <c r="G199" s="98">
        <f t="shared" si="33"/>
        <v>141761311.7899999</v>
      </c>
      <c r="H199" s="102">
        <f t="shared" si="26"/>
        <v>590672.13245833281</v>
      </c>
      <c r="I199" s="100">
        <f t="shared" si="30"/>
        <v>-71471328.027458042</v>
      </c>
      <c r="J199" s="98">
        <f t="shared" si="27"/>
        <v>-67927295.232708082</v>
      </c>
      <c r="K199" s="98">
        <f t="shared" si="24"/>
        <v>73834016.557291821</v>
      </c>
      <c r="L199" s="93">
        <f t="shared" si="21"/>
        <v>70289983.762541831</v>
      </c>
      <c r="M199" s="94">
        <f t="shared" si="35"/>
        <v>46166.147816249977</v>
      </c>
      <c r="N199" s="100">
        <f t="shared" si="34"/>
        <v>-10602633.144798787</v>
      </c>
      <c r="O199" s="98">
        <f t="shared" si="31"/>
        <v>-10879630.031696288</v>
      </c>
      <c r="P199" s="95">
        <f t="shared" si="25"/>
        <v>62954386.525595531</v>
      </c>
      <c r="Q199" s="104"/>
      <c r="R199" s="93"/>
      <c r="S199" s="104"/>
    </row>
    <row r="200" spans="2:19" s="65" customFormat="1" hidden="1" outlineLevel="1">
      <c r="B200" s="97">
        <v>44561</v>
      </c>
      <c r="C200" s="108"/>
      <c r="D200" s="125"/>
      <c r="E200" s="91">
        <f t="shared" si="22"/>
        <v>52761311.789999977</v>
      </c>
      <c r="F200" s="126">
        <f t="shared" si="23"/>
        <v>141761311.78999987</v>
      </c>
      <c r="G200" s="98">
        <f t="shared" si="33"/>
        <v>141761311.7899999</v>
      </c>
      <c r="H200" s="102">
        <f t="shared" si="26"/>
        <v>590672.13245833281</v>
      </c>
      <c r="I200" s="100">
        <f t="shared" si="30"/>
        <v>-72062000.159916371</v>
      </c>
      <c r="J200" s="98">
        <f t="shared" si="27"/>
        <v>-68517967.365166411</v>
      </c>
      <c r="K200" s="98">
        <f t="shared" si="24"/>
        <v>73243344.424833491</v>
      </c>
      <c r="L200" s="93">
        <f t="shared" si="21"/>
        <v>69699311.630083501</v>
      </c>
      <c r="M200" s="94">
        <f t="shared" si="35"/>
        <v>46166.147816249977</v>
      </c>
      <c r="N200" s="100">
        <f>N199+M200</f>
        <v>-10556466.996982537</v>
      </c>
      <c r="O200" s="98">
        <f t="shared" si="31"/>
        <v>-10833463.883880038</v>
      </c>
      <c r="P200" s="95">
        <f t="shared" si="25"/>
        <v>62409880.540953457</v>
      </c>
      <c r="Q200" s="104"/>
      <c r="R200" s="93"/>
      <c r="S200" s="104"/>
    </row>
    <row r="201" spans="2:19" s="65" customFormat="1" hidden="1" outlineLevel="1">
      <c r="B201" s="97">
        <v>44592</v>
      </c>
      <c r="C201" s="108"/>
      <c r="D201" s="125"/>
      <c r="E201" s="91">
        <f t="shared" si="22"/>
        <v>52761311.789999977</v>
      </c>
      <c r="F201" s="126">
        <f t="shared" si="23"/>
        <v>141761311.78999987</v>
      </c>
      <c r="G201" s="98">
        <f t="shared" si="33"/>
        <v>141761311.7899999</v>
      </c>
      <c r="H201" s="102">
        <f t="shared" si="26"/>
        <v>590672.13245833281</v>
      </c>
      <c r="I201" s="100">
        <f t="shared" si="30"/>
        <v>-72652672.2923747</v>
      </c>
      <c r="J201" s="98">
        <f t="shared" si="27"/>
        <v>-69108639.49762474</v>
      </c>
      <c r="K201" s="98">
        <f t="shared" si="24"/>
        <v>72652672.292375162</v>
      </c>
      <c r="L201" s="93">
        <f t="shared" si="21"/>
        <v>69108639.497625172</v>
      </c>
      <c r="M201" s="94">
        <f t="shared" si="35"/>
        <v>46166.147816249977</v>
      </c>
      <c r="N201" s="100">
        <f t="shared" si="34"/>
        <v>-10510300.849166287</v>
      </c>
      <c r="O201" s="98">
        <f t="shared" si="31"/>
        <v>-10787297.73606379</v>
      </c>
      <c r="P201" s="95">
        <f t="shared" si="25"/>
        <v>61865374.556311369</v>
      </c>
      <c r="Q201" s="104"/>
      <c r="R201" s="93"/>
      <c r="S201" s="104"/>
    </row>
    <row r="202" spans="2:19" s="65" customFormat="1" hidden="1" outlineLevel="1">
      <c r="B202" s="97">
        <v>44620</v>
      </c>
      <c r="C202" s="108"/>
      <c r="D202" s="125"/>
      <c r="E202" s="91">
        <f t="shared" si="22"/>
        <v>52761311.789999977</v>
      </c>
      <c r="F202" s="126">
        <f t="shared" si="23"/>
        <v>141761311.78999987</v>
      </c>
      <c r="G202" s="98">
        <f t="shared" si="33"/>
        <v>141761311.7899999</v>
      </c>
      <c r="H202" s="102">
        <f t="shared" si="26"/>
        <v>590672.13245833281</v>
      </c>
      <c r="I202" s="100">
        <f t="shared" si="30"/>
        <v>-73243344.42483303</v>
      </c>
      <c r="J202" s="98">
        <f t="shared" si="27"/>
        <v>-69699311.630083069</v>
      </c>
      <c r="K202" s="98">
        <f t="shared" si="24"/>
        <v>72062000.159916833</v>
      </c>
      <c r="L202" s="93">
        <f t="shared" si="21"/>
        <v>68517967.365166843</v>
      </c>
      <c r="M202" s="94">
        <f t="shared" si="35"/>
        <v>46166.147816249977</v>
      </c>
      <c r="N202" s="100">
        <f t="shared" si="34"/>
        <v>-10464134.701350037</v>
      </c>
      <c r="O202" s="98">
        <f t="shared" si="31"/>
        <v>-10741131.588247539</v>
      </c>
      <c r="P202" s="95">
        <f t="shared" si="25"/>
        <v>61320868.571669295</v>
      </c>
      <c r="Q202" s="104"/>
      <c r="R202" s="93"/>
      <c r="S202" s="104"/>
    </row>
    <row r="203" spans="2:19" s="65" customFormat="1" hidden="1" outlineLevel="1">
      <c r="B203" s="97">
        <v>44651</v>
      </c>
      <c r="C203" s="108"/>
      <c r="D203" s="125"/>
      <c r="E203" s="91">
        <f t="shared" si="22"/>
        <v>52761311.789999977</v>
      </c>
      <c r="F203" s="126">
        <f t="shared" si="23"/>
        <v>141761311.78999987</v>
      </c>
      <c r="G203" s="98">
        <f t="shared" si="33"/>
        <v>141761311.7899999</v>
      </c>
      <c r="H203" s="102">
        <f t="shared" si="26"/>
        <v>590672.13245833281</v>
      </c>
      <c r="I203" s="100">
        <f t="shared" si="30"/>
        <v>-73834016.557291359</v>
      </c>
      <c r="J203" s="98">
        <f t="shared" si="27"/>
        <v>-70289983.762541398</v>
      </c>
      <c r="K203" s="98">
        <f t="shared" si="24"/>
        <v>71471328.027458504</v>
      </c>
      <c r="L203" s="93">
        <f t="shared" si="21"/>
        <v>67927295.232708514</v>
      </c>
      <c r="M203" s="94">
        <f t="shared" si="35"/>
        <v>46166.147816249977</v>
      </c>
      <c r="N203" s="100">
        <f t="shared" si="34"/>
        <v>-10417968.553533787</v>
      </c>
      <c r="O203" s="98">
        <f t="shared" si="31"/>
        <v>-10694965.440431288</v>
      </c>
      <c r="P203" s="95">
        <f t="shared" si="25"/>
        <v>60776362.587027214</v>
      </c>
      <c r="Q203" s="104"/>
      <c r="R203" s="93"/>
      <c r="S203" s="104"/>
    </row>
    <row r="204" spans="2:19" s="65" customFormat="1" hidden="1" outlineLevel="1">
      <c r="B204" s="97">
        <v>44681</v>
      </c>
      <c r="C204" s="108"/>
      <c r="D204" s="125"/>
      <c r="E204" s="91">
        <f t="shared" si="22"/>
        <v>52761311.789999977</v>
      </c>
      <c r="F204" s="126">
        <f t="shared" si="23"/>
        <v>141761311.78999987</v>
      </c>
      <c r="G204" s="98">
        <f t="shared" si="33"/>
        <v>141761311.7899999</v>
      </c>
      <c r="H204" s="102">
        <f t="shared" si="26"/>
        <v>590672.13245833281</v>
      </c>
      <c r="I204" s="100">
        <f t="shared" si="30"/>
        <v>-74424688.689749688</v>
      </c>
      <c r="J204" s="98">
        <f t="shared" si="27"/>
        <v>-70880655.894999728</v>
      </c>
      <c r="K204" s="98">
        <f t="shared" si="24"/>
        <v>70880655.895000175</v>
      </c>
      <c r="L204" s="93">
        <f t="shared" si="21"/>
        <v>67336623.100250185</v>
      </c>
      <c r="M204" s="94">
        <f t="shared" si="35"/>
        <v>46166.147816249977</v>
      </c>
      <c r="N204" s="100">
        <f t="shared" si="34"/>
        <v>-10371802.405717537</v>
      </c>
      <c r="O204" s="98">
        <f t="shared" si="31"/>
        <v>-10648799.292615039</v>
      </c>
      <c r="P204" s="95">
        <f t="shared" si="25"/>
        <v>60231856.602385134</v>
      </c>
      <c r="Q204" s="104"/>
      <c r="R204" s="93"/>
      <c r="S204" s="104"/>
    </row>
    <row r="205" spans="2:19" s="65" customFormat="1" hidden="1" outlineLevel="1">
      <c r="B205" s="97">
        <v>44712</v>
      </c>
      <c r="C205" s="108"/>
      <c r="D205" s="125"/>
      <c r="E205" s="91">
        <f t="shared" si="22"/>
        <v>52761311.789999977</v>
      </c>
      <c r="F205" s="126">
        <f t="shared" si="23"/>
        <v>141761311.78999987</v>
      </c>
      <c r="G205" s="98">
        <f t="shared" si="33"/>
        <v>141761311.7899999</v>
      </c>
      <c r="H205" s="102">
        <f t="shared" si="26"/>
        <v>590672.13245833281</v>
      </c>
      <c r="I205" s="100">
        <f t="shared" si="30"/>
        <v>-75015360.822208017</v>
      </c>
      <c r="J205" s="98">
        <f t="shared" si="27"/>
        <v>-71471328.027458057</v>
      </c>
      <c r="K205" s="98">
        <f t="shared" si="24"/>
        <v>70289983.762541845</v>
      </c>
      <c r="L205" s="93">
        <f t="shared" ref="L205:L268" si="36">F205+I205</f>
        <v>66745950.967791855</v>
      </c>
      <c r="M205" s="94">
        <f t="shared" si="35"/>
        <v>46166.147816249977</v>
      </c>
      <c r="N205" s="100">
        <f t="shared" si="34"/>
        <v>-10325636.257901287</v>
      </c>
      <c r="O205" s="98">
        <f t="shared" si="31"/>
        <v>-10602633.144798787</v>
      </c>
      <c r="P205" s="95">
        <f t="shared" si="25"/>
        <v>59687350.61774306</v>
      </c>
      <c r="Q205" s="104"/>
      <c r="R205" s="93"/>
      <c r="S205" s="104"/>
    </row>
    <row r="206" spans="2:19" s="65" customFormat="1" hidden="1" outlineLevel="1">
      <c r="B206" s="97">
        <v>44742</v>
      </c>
      <c r="D206" s="125"/>
      <c r="E206" s="91">
        <f t="shared" ref="E206:E269" si="37">D206+E205</f>
        <v>52761311.789999977</v>
      </c>
      <c r="F206" s="126">
        <f t="shared" si="23"/>
        <v>141761311.78999987</v>
      </c>
      <c r="G206" s="98">
        <f t="shared" si="33"/>
        <v>141761311.7899999</v>
      </c>
      <c r="H206" s="102">
        <f t="shared" si="26"/>
        <v>590672.13245833281</v>
      </c>
      <c r="I206" s="100">
        <f t="shared" si="30"/>
        <v>-75606032.954666346</v>
      </c>
      <c r="J206" s="98">
        <f t="shared" si="27"/>
        <v>-72062000.159916386</v>
      </c>
      <c r="K206" s="98">
        <f t="shared" si="24"/>
        <v>69699311.630083516</v>
      </c>
      <c r="L206" s="93">
        <f t="shared" si="36"/>
        <v>66155278.835333526</v>
      </c>
      <c r="M206" s="94">
        <f t="shared" si="35"/>
        <v>46166.147816249977</v>
      </c>
      <c r="N206" s="100">
        <f t="shared" si="34"/>
        <v>-10279470.110085037</v>
      </c>
      <c r="O206" s="98">
        <f t="shared" si="31"/>
        <v>-10556466.996982537</v>
      </c>
      <c r="P206" s="95">
        <f t="shared" si="25"/>
        <v>59142844.633100979</v>
      </c>
      <c r="R206" s="66"/>
    </row>
    <row r="207" spans="2:19" s="65" customFormat="1" hidden="1" outlineLevel="1">
      <c r="B207" s="97">
        <v>44773</v>
      </c>
      <c r="D207" s="125"/>
      <c r="E207" s="91">
        <f t="shared" si="37"/>
        <v>52761311.789999977</v>
      </c>
      <c r="F207" s="126">
        <f t="shared" ref="F207:F270" si="38">F206+D207</f>
        <v>141761311.78999987</v>
      </c>
      <c r="G207" s="98">
        <f t="shared" si="33"/>
        <v>141761311.7899999</v>
      </c>
      <c r="H207" s="102">
        <f t="shared" si="26"/>
        <v>590672.13245833281</v>
      </c>
      <c r="I207" s="100">
        <f t="shared" si="30"/>
        <v>-76196705.087124676</v>
      </c>
      <c r="J207" s="98">
        <f t="shared" si="27"/>
        <v>-72652672.292374715</v>
      </c>
      <c r="K207" s="98">
        <f t="shared" ref="K207:K270" si="39">G207+J207</f>
        <v>69108639.497625187</v>
      </c>
      <c r="L207" s="93">
        <f t="shared" si="36"/>
        <v>65564606.702875197</v>
      </c>
      <c r="M207" s="94">
        <f t="shared" si="35"/>
        <v>46166.147816249977</v>
      </c>
      <c r="N207" s="100">
        <f t="shared" si="34"/>
        <v>-10233303.962268787</v>
      </c>
      <c r="O207" s="98">
        <f t="shared" si="31"/>
        <v>-10510300.849166287</v>
      </c>
      <c r="P207" s="95">
        <f t="shared" ref="P207:P268" si="40">O207+K207</f>
        <v>58598338.648458898</v>
      </c>
      <c r="R207" s="66"/>
    </row>
    <row r="208" spans="2:19" s="65" customFormat="1" hidden="1" outlineLevel="1">
      <c r="B208" s="97">
        <v>44804</v>
      </c>
      <c r="D208" s="125"/>
      <c r="E208" s="91">
        <f t="shared" si="37"/>
        <v>52761311.789999977</v>
      </c>
      <c r="F208" s="126">
        <f t="shared" si="38"/>
        <v>141761311.78999987</v>
      </c>
      <c r="G208" s="98">
        <f t="shared" si="33"/>
        <v>141761311.7899999</v>
      </c>
      <c r="H208" s="102">
        <f t="shared" ref="H208:H271" si="41">F207/240</f>
        <v>590672.13245833281</v>
      </c>
      <c r="I208" s="100">
        <f t="shared" si="30"/>
        <v>-76787377.219583005</v>
      </c>
      <c r="J208" s="98">
        <f t="shared" si="27"/>
        <v>-73243344.424833044</v>
      </c>
      <c r="K208" s="98">
        <f t="shared" si="39"/>
        <v>68517967.365166858</v>
      </c>
      <c r="L208" s="93">
        <f t="shared" si="36"/>
        <v>64973934.570416868</v>
      </c>
      <c r="M208" s="94">
        <f t="shared" si="35"/>
        <v>46166.147816249977</v>
      </c>
      <c r="N208" s="100">
        <f t="shared" si="34"/>
        <v>-10187137.814452536</v>
      </c>
      <c r="O208" s="98">
        <f t="shared" si="31"/>
        <v>-10464134.701350037</v>
      </c>
      <c r="P208" s="95">
        <f t="shared" si="40"/>
        <v>58053832.663816825</v>
      </c>
      <c r="R208" s="66"/>
    </row>
    <row r="209" spans="2:18" s="65" customFormat="1" hidden="1" outlineLevel="1">
      <c r="B209" s="97">
        <v>44834</v>
      </c>
      <c r="D209" s="125"/>
      <c r="E209" s="91">
        <f t="shared" si="37"/>
        <v>52761311.789999977</v>
      </c>
      <c r="F209" s="126">
        <f t="shared" si="38"/>
        <v>141761311.78999987</v>
      </c>
      <c r="G209" s="98">
        <f t="shared" si="33"/>
        <v>141761311.7899999</v>
      </c>
      <c r="H209" s="102">
        <f t="shared" si="41"/>
        <v>590672.13245833281</v>
      </c>
      <c r="I209" s="100">
        <f t="shared" si="30"/>
        <v>-77378049.352041334</v>
      </c>
      <c r="J209" s="98">
        <f t="shared" ref="J209:J272" si="42">(I197+I209+SUM(I198:I208)*2)/24</f>
        <v>-73834016.557291374</v>
      </c>
      <c r="K209" s="98">
        <f t="shared" si="39"/>
        <v>67927295.232708529</v>
      </c>
      <c r="L209" s="93">
        <f t="shared" si="36"/>
        <v>64383262.437958539</v>
      </c>
      <c r="M209" s="94">
        <f t="shared" si="35"/>
        <v>46166.147816249977</v>
      </c>
      <c r="N209" s="100">
        <f t="shared" si="34"/>
        <v>-10140971.666636286</v>
      </c>
      <c r="O209" s="98">
        <f t="shared" si="31"/>
        <v>-10417968.553533787</v>
      </c>
      <c r="P209" s="95">
        <f t="shared" si="40"/>
        <v>57509326.679174744</v>
      </c>
      <c r="R209" s="66"/>
    </row>
    <row r="210" spans="2:18" s="65" customFormat="1" hidden="1" outlineLevel="1">
      <c r="B210" s="97">
        <v>44865</v>
      </c>
      <c r="D210" s="125"/>
      <c r="E210" s="91">
        <f t="shared" si="37"/>
        <v>52761311.789999977</v>
      </c>
      <c r="F210" s="126">
        <f t="shared" si="38"/>
        <v>141761311.78999987</v>
      </c>
      <c r="G210" s="98">
        <f t="shared" si="33"/>
        <v>141761311.7899999</v>
      </c>
      <c r="H210" s="102">
        <f t="shared" si="41"/>
        <v>590672.13245833281</v>
      </c>
      <c r="I210" s="100">
        <f t="shared" ref="I210:I273" si="43">I209-H210</f>
        <v>-77968721.484499663</v>
      </c>
      <c r="J210" s="98">
        <f t="shared" si="42"/>
        <v>-74424688.689749703</v>
      </c>
      <c r="K210" s="98">
        <f t="shared" si="39"/>
        <v>67336623.100250199</v>
      </c>
      <c r="L210" s="93">
        <f t="shared" si="36"/>
        <v>63792590.305500209</v>
      </c>
      <c r="M210" s="94">
        <f t="shared" si="35"/>
        <v>46166.147816249977</v>
      </c>
      <c r="N210" s="100">
        <f t="shared" si="34"/>
        <v>-10094805.518820036</v>
      </c>
      <c r="O210" s="98">
        <f t="shared" si="31"/>
        <v>-10371802.405717539</v>
      </c>
      <c r="P210" s="95">
        <f t="shared" si="40"/>
        <v>56964820.694532663</v>
      </c>
      <c r="R210" s="66"/>
    </row>
    <row r="211" spans="2:18" s="65" customFormat="1" hidden="1" outlineLevel="1">
      <c r="B211" s="97">
        <v>44895</v>
      </c>
      <c r="D211" s="125"/>
      <c r="E211" s="91">
        <f t="shared" si="37"/>
        <v>52761311.789999977</v>
      </c>
      <c r="F211" s="126">
        <f t="shared" si="38"/>
        <v>141761311.78999987</v>
      </c>
      <c r="G211" s="98">
        <f t="shared" si="33"/>
        <v>141761311.7899999</v>
      </c>
      <c r="H211" s="102">
        <f t="shared" si="41"/>
        <v>590672.13245833281</v>
      </c>
      <c r="I211" s="100">
        <f t="shared" si="43"/>
        <v>-78559393.616957992</v>
      </c>
      <c r="J211" s="98">
        <f t="shared" si="42"/>
        <v>-75015360.822208032</v>
      </c>
      <c r="K211" s="98">
        <f t="shared" si="39"/>
        <v>66745950.96779187</v>
      </c>
      <c r="L211" s="93">
        <f t="shared" si="36"/>
        <v>63201918.17304188</v>
      </c>
      <c r="M211" s="94">
        <f t="shared" si="35"/>
        <v>46166.147816249977</v>
      </c>
      <c r="N211" s="100">
        <f t="shared" si="34"/>
        <v>-10048639.371003786</v>
      </c>
      <c r="O211" s="98">
        <f t="shared" si="31"/>
        <v>-10325636.257901287</v>
      </c>
      <c r="P211" s="95">
        <f t="shared" si="40"/>
        <v>56420314.709890582</v>
      </c>
      <c r="R211" s="66"/>
    </row>
    <row r="212" spans="2:18" s="65" customFormat="1" hidden="1" outlineLevel="1">
      <c r="B212" s="97">
        <v>44926</v>
      </c>
      <c r="D212" s="125"/>
      <c r="E212" s="91">
        <f t="shared" si="37"/>
        <v>52761311.789999977</v>
      </c>
      <c r="F212" s="126">
        <f t="shared" si="38"/>
        <v>141761311.78999987</v>
      </c>
      <c r="G212" s="98">
        <f t="shared" si="33"/>
        <v>141761311.7899999</v>
      </c>
      <c r="H212" s="102">
        <f t="shared" si="41"/>
        <v>590672.13245833281</v>
      </c>
      <c r="I212" s="100">
        <f t="shared" si="43"/>
        <v>-79150065.749416322</v>
      </c>
      <c r="J212" s="98">
        <f t="shared" si="42"/>
        <v>-75606032.954666361</v>
      </c>
      <c r="K212" s="98">
        <f t="shared" si="39"/>
        <v>66155278.835333541</v>
      </c>
      <c r="L212" s="93">
        <f t="shared" si="36"/>
        <v>62611246.040583551</v>
      </c>
      <c r="M212" s="94">
        <f t="shared" si="35"/>
        <v>46166.147816249977</v>
      </c>
      <c r="N212" s="100">
        <f t="shared" si="34"/>
        <v>-10002473.223187536</v>
      </c>
      <c r="O212" s="98">
        <f t="shared" si="31"/>
        <v>-10279470.110085038</v>
      </c>
      <c r="P212" s="95">
        <f t="shared" si="40"/>
        <v>55875808.725248501</v>
      </c>
      <c r="R212" s="66"/>
    </row>
    <row r="213" spans="2:18" s="65" customFormat="1" hidden="1" outlineLevel="1">
      <c r="B213" s="97">
        <v>44957</v>
      </c>
      <c r="D213" s="125"/>
      <c r="E213" s="91">
        <f t="shared" si="37"/>
        <v>52761311.789999977</v>
      </c>
      <c r="F213" s="126">
        <f t="shared" si="38"/>
        <v>141761311.78999987</v>
      </c>
      <c r="G213" s="98">
        <f t="shared" si="33"/>
        <v>141761311.7899999</v>
      </c>
      <c r="H213" s="102">
        <f t="shared" si="41"/>
        <v>590672.13245833281</v>
      </c>
      <c r="I213" s="100">
        <f t="shared" si="43"/>
        <v>-79740737.881874651</v>
      </c>
      <c r="J213" s="98">
        <f t="shared" si="42"/>
        <v>-76196705.08712469</v>
      </c>
      <c r="K213" s="98">
        <f t="shared" si="39"/>
        <v>65564606.702875212</v>
      </c>
      <c r="L213" s="93">
        <f t="shared" si="36"/>
        <v>62020573.908125222</v>
      </c>
      <c r="M213" s="94">
        <f t="shared" si="35"/>
        <v>46166.147816249977</v>
      </c>
      <c r="N213" s="100">
        <f t="shared" si="34"/>
        <v>-9956307.0753712859</v>
      </c>
      <c r="O213" s="98">
        <f t="shared" si="31"/>
        <v>-10233303.962268787</v>
      </c>
      <c r="P213" s="95">
        <f t="shared" si="40"/>
        <v>55331302.740606427</v>
      </c>
      <c r="R213" s="66"/>
    </row>
    <row r="214" spans="2:18" s="65" customFormat="1" hidden="1" outlineLevel="1">
      <c r="B214" s="97">
        <v>44985</v>
      </c>
      <c r="D214" s="125"/>
      <c r="E214" s="91">
        <f t="shared" si="37"/>
        <v>52761311.789999977</v>
      </c>
      <c r="F214" s="126">
        <f t="shared" si="38"/>
        <v>141761311.78999987</v>
      </c>
      <c r="G214" s="98">
        <f t="shared" si="33"/>
        <v>141761311.7899999</v>
      </c>
      <c r="H214" s="102">
        <f t="shared" si="41"/>
        <v>590672.13245833281</v>
      </c>
      <c r="I214" s="100">
        <f t="shared" si="43"/>
        <v>-80331410.01433298</v>
      </c>
      <c r="J214" s="98">
        <f t="shared" si="42"/>
        <v>-76787377.21958302</v>
      </c>
      <c r="K214" s="98">
        <f t="shared" si="39"/>
        <v>64973934.570416883</v>
      </c>
      <c r="L214" s="93">
        <f t="shared" si="36"/>
        <v>61429901.775666893</v>
      </c>
      <c r="M214" s="94">
        <f t="shared" si="35"/>
        <v>46166.147816249977</v>
      </c>
      <c r="N214" s="100">
        <f t="shared" si="34"/>
        <v>-9910140.9275550358</v>
      </c>
      <c r="O214" s="98">
        <f t="shared" si="31"/>
        <v>-10187137.814452536</v>
      </c>
      <c r="P214" s="95">
        <f t="shared" si="40"/>
        <v>54786796.755964346</v>
      </c>
      <c r="R214" s="66"/>
    </row>
    <row r="215" spans="2:18" s="65" customFormat="1" hidden="1" outlineLevel="1">
      <c r="B215" s="97">
        <v>45016</v>
      </c>
      <c r="D215" s="125"/>
      <c r="E215" s="91">
        <f t="shared" si="37"/>
        <v>52761311.789999977</v>
      </c>
      <c r="F215" s="126">
        <f t="shared" si="38"/>
        <v>141761311.78999987</v>
      </c>
      <c r="G215" s="98">
        <f t="shared" si="33"/>
        <v>141761311.7899999</v>
      </c>
      <c r="H215" s="102">
        <f t="shared" si="41"/>
        <v>590672.13245833281</v>
      </c>
      <c r="I215" s="100">
        <f t="shared" si="43"/>
        <v>-80922082.146791309</v>
      </c>
      <c r="J215" s="98">
        <f t="shared" si="42"/>
        <v>-77378049.352041349</v>
      </c>
      <c r="K215" s="98">
        <f t="shared" si="39"/>
        <v>64383262.437958553</v>
      </c>
      <c r="L215" s="93">
        <f t="shared" si="36"/>
        <v>60839229.643208563</v>
      </c>
      <c r="M215" s="94">
        <f t="shared" si="35"/>
        <v>46166.147816249977</v>
      </c>
      <c r="N215" s="100">
        <f t="shared" si="34"/>
        <v>-9863974.7797387857</v>
      </c>
      <c r="O215" s="98">
        <f t="shared" ref="O215:O268" si="44">(N203+N215+SUM(N204:N214)*2)/24</f>
        <v>-10140971.666636286</v>
      </c>
      <c r="P215" s="95">
        <f t="shared" si="40"/>
        <v>54242290.771322265</v>
      </c>
      <c r="R215" s="66"/>
    </row>
    <row r="216" spans="2:18" s="65" customFormat="1" hidden="1" outlineLevel="1">
      <c r="B216" s="97">
        <v>45046</v>
      </c>
      <c r="D216" s="125"/>
      <c r="E216" s="91">
        <f t="shared" si="37"/>
        <v>52761311.789999977</v>
      </c>
      <c r="F216" s="126">
        <f t="shared" si="38"/>
        <v>141761311.78999987</v>
      </c>
      <c r="G216" s="98">
        <f t="shared" si="33"/>
        <v>141761311.7899999</v>
      </c>
      <c r="H216" s="102">
        <f t="shared" si="41"/>
        <v>590672.13245833281</v>
      </c>
      <c r="I216" s="100">
        <f t="shared" si="43"/>
        <v>-81512754.279249638</v>
      </c>
      <c r="J216" s="98">
        <f t="shared" si="42"/>
        <v>-77968721.484499678</v>
      </c>
      <c r="K216" s="98">
        <f t="shared" si="39"/>
        <v>63792590.305500224</v>
      </c>
      <c r="L216" s="93">
        <f t="shared" si="36"/>
        <v>60248557.510750234</v>
      </c>
      <c r="M216" s="94">
        <f t="shared" si="35"/>
        <v>46166.147816249977</v>
      </c>
      <c r="N216" s="100">
        <f t="shared" si="34"/>
        <v>-9817808.6319225356</v>
      </c>
      <c r="O216" s="98">
        <f t="shared" si="44"/>
        <v>-10094805.518820036</v>
      </c>
      <c r="P216" s="95">
        <f t="shared" si="40"/>
        <v>53697784.786680192</v>
      </c>
      <c r="R216" s="66"/>
    </row>
    <row r="217" spans="2:18" s="65" customFormat="1" hidden="1" outlineLevel="1">
      <c r="B217" s="97">
        <v>45077</v>
      </c>
      <c r="D217" s="125"/>
      <c r="E217" s="91">
        <f t="shared" si="37"/>
        <v>52761311.789999977</v>
      </c>
      <c r="F217" s="126">
        <f t="shared" si="38"/>
        <v>141761311.78999987</v>
      </c>
      <c r="G217" s="98">
        <f t="shared" si="33"/>
        <v>141761311.7899999</v>
      </c>
      <c r="H217" s="102">
        <f t="shared" si="41"/>
        <v>590672.13245833281</v>
      </c>
      <c r="I217" s="100">
        <f t="shared" si="43"/>
        <v>-82103426.411707968</v>
      </c>
      <c r="J217" s="98">
        <f t="shared" si="42"/>
        <v>-78559393.616958007</v>
      </c>
      <c r="K217" s="98">
        <f t="shared" si="39"/>
        <v>63201918.173041895</v>
      </c>
      <c r="L217" s="93">
        <f t="shared" si="36"/>
        <v>59657885.378291905</v>
      </c>
      <c r="M217" s="94">
        <f t="shared" ref="M217:M248" si="45">(E217/240*0.21)</f>
        <v>46166.147816249977</v>
      </c>
      <c r="N217" s="100">
        <f t="shared" si="34"/>
        <v>-9771642.4841062855</v>
      </c>
      <c r="O217" s="98">
        <f t="shared" si="44"/>
        <v>-10048639.371003788</v>
      </c>
      <c r="P217" s="95">
        <f t="shared" si="40"/>
        <v>53153278.802038103</v>
      </c>
      <c r="R217" s="66"/>
    </row>
    <row r="218" spans="2:18" s="65" customFormat="1" hidden="1" outlineLevel="1">
      <c r="B218" s="97">
        <v>45107</v>
      </c>
      <c r="D218" s="125"/>
      <c r="E218" s="91">
        <f t="shared" si="37"/>
        <v>52761311.789999977</v>
      </c>
      <c r="F218" s="126">
        <f t="shared" si="38"/>
        <v>141761311.78999987</v>
      </c>
      <c r="G218" s="98">
        <f t="shared" ref="G218:G281" si="46">(F206+F218+SUM(F207:F217)*2)/24</f>
        <v>141761311.7899999</v>
      </c>
      <c r="H218" s="102">
        <f t="shared" si="41"/>
        <v>590672.13245833281</v>
      </c>
      <c r="I218" s="100">
        <f t="shared" si="43"/>
        <v>-82694098.544166297</v>
      </c>
      <c r="J218" s="98">
        <f t="shared" si="42"/>
        <v>-79150065.749416336</v>
      </c>
      <c r="K218" s="98">
        <f t="shared" si="39"/>
        <v>62611246.040583566</v>
      </c>
      <c r="L218" s="93">
        <f t="shared" si="36"/>
        <v>59067213.245833576</v>
      </c>
      <c r="M218" s="94">
        <f t="shared" si="45"/>
        <v>46166.147816249977</v>
      </c>
      <c r="N218" s="100">
        <f t="shared" si="34"/>
        <v>-9725476.3362900354</v>
      </c>
      <c r="O218" s="98">
        <f t="shared" si="44"/>
        <v>-10002473.223187538</v>
      </c>
      <c r="P218" s="95">
        <f t="shared" si="40"/>
        <v>52608772.81739603</v>
      </c>
      <c r="R218" s="66"/>
    </row>
    <row r="219" spans="2:18" s="65" customFormat="1" hidden="1" outlineLevel="1">
      <c r="B219" s="97">
        <v>45138</v>
      </c>
      <c r="D219" s="125"/>
      <c r="E219" s="91">
        <f t="shared" si="37"/>
        <v>52761311.789999977</v>
      </c>
      <c r="F219" s="126">
        <f t="shared" si="38"/>
        <v>141761311.78999987</v>
      </c>
      <c r="G219" s="98">
        <f t="shared" si="46"/>
        <v>141761311.7899999</v>
      </c>
      <c r="H219" s="102">
        <f t="shared" si="41"/>
        <v>590672.13245833281</v>
      </c>
      <c r="I219" s="100">
        <f t="shared" si="43"/>
        <v>-83284770.676624626</v>
      </c>
      <c r="J219" s="98">
        <f t="shared" si="42"/>
        <v>-79740737.881874666</v>
      </c>
      <c r="K219" s="98">
        <f t="shared" si="39"/>
        <v>62020573.908125237</v>
      </c>
      <c r="L219" s="93">
        <f t="shared" si="36"/>
        <v>58476541.113375247</v>
      </c>
      <c r="M219" s="94">
        <f t="shared" si="45"/>
        <v>46166.147816249977</v>
      </c>
      <c r="N219" s="100">
        <f t="shared" si="34"/>
        <v>-9679310.1884737853</v>
      </c>
      <c r="O219" s="98">
        <f t="shared" si="44"/>
        <v>-9956307.0753712859</v>
      </c>
      <c r="P219" s="95">
        <f t="shared" si="40"/>
        <v>52064266.832753949</v>
      </c>
      <c r="R219" s="66"/>
    </row>
    <row r="220" spans="2:18" s="65" customFormat="1" hidden="1" outlineLevel="1">
      <c r="B220" s="97">
        <v>45169</v>
      </c>
      <c r="D220" s="125"/>
      <c r="E220" s="91">
        <f t="shared" si="37"/>
        <v>52761311.789999977</v>
      </c>
      <c r="F220" s="126">
        <f t="shared" si="38"/>
        <v>141761311.78999987</v>
      </c>
      <c r="G220" s="98">
        <f t="shared" si="46"/>
        <v>141761311.7899999</v>
      </c>
      <c r="H220" s="102">
        <f t="shared" si="41"/>
        <v>590672.13245833281</v>
      </c>
      <c r="I220" s="100">
        <f t="shared" si="43"/>
        <v>-83875442.809082955</v>
      </c>
      <c r="J220" s="98">
        <f t="shared" si="42"/>
        <v>-80331410.014332995</v>
      </c>
      <c r="K220" s="98">
        <f t="shared" si="39"/>
        <v>61429901.775666907</v>
      </c>
      <c r="L220" s="93">
        <f t="shared" si="36"/>
        <v>57885868.980916917</v>
      </c>
      <c r="M220" s="94">
        <f t="shared" si="45"/>
        <v>46166.147816249977</v>
      </c>
      <c r="N220" s="100">
        <f t="shared" si="34"/>
        <v>-9633144.0406575352</v>
      </c>
      <c r="O220" s="98">
        <f t="shared" si="44"/>
        <v>-9910140.9275550377</v>
      </c>
      <c r="P220" s="95">
        <f t="shared" si="40"/>
        <v>51519760.848111868</v>
      </c>
      <c r="R220" s="66"/>
    </row>
    <row r="221" spans="2:18" s="65" customFormat="1" hidden="1" outlineLevel="1">
      <c r="B221" s="97">
        <v>45199</v>
      </c>
      <c r="D221" s="125"/>
      <c r="E221" s="91">
        <f t="shared" si="37"/>
        <v>52761311.789999977</v>
      </c>
      <c r="F221" s="126">
        <f t="shared" si="38"/>
        <v>141761311.78999987</v>
      </c>
      <c r="G221" s="98">
        <f t="shared" si="46"/>
        <v>141761311.7899999</v>
      </c>
      <c r="H221" s="102">
        <f t="shared" si="41"/>
        <v>590672.13245833281</v>
      </c>
      <c r="I221" s="100">
        <f t="shared" si="43"/>
        <v>-84466114.941541284</v>
      </c>
      <c r="J221" s="98">
        <f t="shared" si="42"/>
        <v>-80922082.146791324</v>
      </c>
      <c r="K221" s="98">
        <f t="shared" si="39"/>
        <v>60839229.643208578</v>
      </c>
      <c r="L221" s="93">
        <f t="shared" si="36"/>
        <v>57295196.848458588</v>
      </c>
      <c r="M221" s="94">
        <f t="shared" si="45"/>
        <v>46166.147816249977</v>
      </c>
      <c r="N221" s="100">
        <f t="shared" si="34"/>
        <v>-9586977.8928412851</v>
      </c>
      <c r="O221" s="98">
        <f t="shared" si="44"/>
        <v>-9863974.7797387857</v>
      </c>
      <c r="P221" s="95">
        <f t="shared" si="40"/>
        <v>50975254.863469794</v>
      </c>
      <c r="R221" s="66"/>
    </row>
    <row r="222" spans="2:18" s="65" customFormat="1" hidden="1" outlineLevel="1">
      <c r="B222" s="97">
        <v>45230</v>
      </c>
      <c r="D222" s="125"/>
      <c r="E222" s="91">
        <f t="shared" si="37"/>
        <v>52761311.789999977</v>
      </c>
      <c r="F222" s="126">
        <f t="shared" si="38"/>
        <v>141761311.78999987</v>
      </c>
      <c r="G222" s="98">
        <f t="shared" si="46"/>
        <v>141761311.7899999</v>
      </c>
      <c r="H222" s="102">
        <f t="shared" si="41"/>
        <v>590672.13245833281</v>
      </c>
      <c r="I222" s="100">
        <f t="shared" si="43"/>
        <v>-85056787.073999614</v>
      </c>
      <c r="J222" s="98">
        <f t="shared" si="42"/>
        <v>-81512754.279249653</v>
      </c>
      <c r="K222" s="98">
        <f t="shared" si="39"/>
        <v>60248557.510750249</v>
      </c>
      <c r="L222" s="93">
        <f t="shared" si="36"/>
        <v>56704524.716000259</v>
      </c>
      <c r="M222" s="94">
        <f t="shared" si="45"/>
        <v>46166.147816249977</v>
      </c>
      <c r="N222" s="100">
        <f t="shared" si="34"/>
        <v>-9540811.745025035</v>
      </c>
      <c r="O222" s="98">
        <f t="shared" si="44"/>
        <v>-9817808.6319225356</v>
      </c>
      <c r="P222" s="95">
        <f t="shared" si="40"/>
        <v>50430748.878827713</v>
      </c>
      <c r="R222" s="66"/>
    </row>
    <row r="223" spans="2:18" s="65" customFormat="1" hidden="1" outlineLevel="1">
      <c r="B223" s="97">
        <v>45260</v>
      </c>
      <c r="D223" s="125"/>
      <c r="E223" s="91">
        <f t="shared" si="37"/>
        <v>52761311.789999977</v>
      </c>
      <c r="F223" s="126">
        <f t="shared" si="38"/>
        <v>141761311.78999987</v>
      </c>
      <c r="G223" s="98">
        <f t="shared" si="46"/>
        <v>141761311.7899999</v>
      </c>
      <c r="H223" s="102">
        <f t="shared" si="41"/>
        <v>590672.13245833281</v>
      </c>
      <c r="I223" s="100">
        <f t="shared" si="43"/>
        <v>-85647459.206457943</v>
      </c>
      <c r="J223" s="98">
        <f t="shared" si="42"/>
        <v>-82103426.411707982</v>
      </c>
      <c r="K223" s="98">
        <f t="shared" si="39"/>
        <v>59657885.37829192</v>
      </c>
      <c r="L223" s="93">
        <f t="shared" si="36"/>
        <v>56113852.58354193</v>
      </c>
      <c r="M223" s="94">
        <f t="shared" si="45"/>
        <v>46166.147816249977</v>
      </c>
      <c r="N223" s="100">
        <f t="shared" si="34"/>
        <v>-9494645.5972087849</v>
      </c>
      <c r="O223" s="98">
        <f t="shared" si="44"/>
        <v>-9771642.4841062855</v>
      </c>
      <c r="P223" s="95">
        <f t="shared" si="40"/>
        <v>49886242.894185632</v>
      </c>
      <c r="R223" s="66"/>
    </row>
    <row r="224" spans="2:18" s="65" customFormat="1" hidden="1" outlineLevel="1">
      <c r="B224" s="97">
        <v>45291</v>
      </c>
      <c r="D224" s="125"/>
      <c r="E224" s="91">
        <f t="shared" si="37"/>
        <v>52761311.789999977</v>
      </c>
      <c r="F224" s="126">
        <f t="shared" si="38"/>
        <v>141761311.78999987</v>
      </c>
      <c r="G224" s="98">
        <f t="shared" si="46"/>
        <v>141761311.7899999</v>
      </c>
      <c r="H224" s="102">
        <f t="shared" si="41"/>
        <v>590672.13245833281</v>
      </c>
      <c r="I224" s="100">
        <f t="shared" si="43"/>
        <v>-86238131.338916272</v>
      </c>
      <c r="J224" s="98">
        <f t="shared" si="42"/>
        <v>-82694098.544166312</v>
      </c>
      <c r="K224" s="98">
        <f t="shared" si="39"/>
        <v>59067213.245833591</v>
      </c>
      <c r="L224" s="93">
        <f t="shared" si="36"/>
        <v>55523180.451083601</v>
      </c>
      <c r="M224" s="94">
        <f t="shared" si="45"/>
        <v>46166.147816249977</v>
      </c>
      <c r="N224" s="100">
        <f t="shared" si="34"/>
        <v>-9448479.4493925348</v>
      </c>
      <c r="O224" s="98">
        <f t="shared" si="44"/>
        <v>-9725476.3362900354</v>
      </c>
      <c r="P224" s="95">
        <f t="shared" si="40"/>
        <v>49341736.909543559</v>
      </c>
      <c r="R224" s="66"/>
    </row>
    <row r="225" spans="2:18" s="65" customFormat="1" hidden="1" outlineLevel="1">
      <c r="B225" s="97">
        <v>45322</v>
      </c>
      <c r="D225" s="125"/>
      <c r="E225" s="91">
        <f t="shared" si="37"/>
        <v>52761311.789999977</v>
      </c>
      <c r="F225" s="126">
        <f t="shared" si="38"/>
        <v>141761311.78999987</v>
      </c>
      <c r="G225" s="98">
        <f t="shared" si="46"/>
        <v>141761311.7899999</v>
      </c>
      <c r="H225" s="102">
        <f t="shared" si="41"/>
        <v>590672.13245833281</v>
      </c>
      <c r="I225" s="100">
        <f t="shared" si="43"/>
        <v>-86828803.471374601</v>
      </c>
      <c r="J225" s="98">
        <f t="shared" si="42"/>
        <v>-83284770.676624641</v>
      </c>
      <c r="K225" s="98">
        <f t="shared" si="39"/>
        <v>58476541.113375261</v>
      </c>
      <c r="L225" s="93">
        <f t="shared" si="36"/>
        <v>54932508.318625271</v>
      </c>
      <c r="M225" s="94">
        <f t="shared" si="45"/>
        <v>46166.147816249977</v>
      </c>
      <c r="N225" s="100">
        <f t="shared" si="34"/>
        <v>-9402313.3015762847</v>
      </c>
      <c r="O225" s="98">
        <f t="shared" si="44"/>
        <v>-9679310.1884737853</v>
      </c>
      <c r="P225" s="95">
        <f t="shared" si="40"/>
        <v>48797230.924901478</v>
      </c>
      <c r="R225" s="66"/>
    </row>
    <row r="226" spans="2:18" s="65" customFormat="1" hidden="1" outlineLevel="1">
      <c r="B226" s="97">
        <v>45350</v>
      </c>
      <c r="D226" s="125"/>
      <c r="E226" s="91">
        <f t="shared" si="37"/>
        <v>52761311.789999977</v>
      </c>
      <c r="F226" s="126">
        <f t="shared" si="38"/>
        <v>141761311.78999987</v>
      </c>
      <c r="G226" s="98">
        <f t="shared" si="46"/>
        <v>141761311.7899999</v>
      </c>
      <c r="H226" s="102">
        <f t="shared" si="41"/>
        <v>590672.13245833281</v>
      </c>
      <c r="I226" s="100">
        <f t="shared" si="43"/>
        <v>-87419475.60383293</v>
      </c>
      <c r="J226" s="98">
        <f t="shared" si="42"/>
        <v>-83875442.80908297</v>
      </c>
      <c r="K226" s="98">
        <f t="shared" si="39"/>
        <v>57885868.980916932</v>
      </c>
      <c r="L226" s="93">
        <f t="shared" si="36"/>
        <v>54341836.186166942</v>
      </c>
      <c r="M226" s="94">
        <f t="shared" si="45"/>
        <v>46166.147816249977</v>
      </c>
      <c r="N226" s="100">
        <f t="shared" si="34"/>
        <v>-9356147.1537600346</v>
      </c>
      <c r="O226" s="98">
        <f t="shared" si="44"/>
        <v>-9633144.0406575371</v>
      </c>
      <c r="P226" s="95">
        <f t="shared" si="40"/>
        <v>48252724.940259397</v>
      </c>
      <c r="R226" s="66"/>
    </row>
    <row r="227" spans="2:18" s="65" customFormat="1" hidden="1" outlineLevel="1">
      <c r="B227" s="97">
        <v>45382</v>
      </c>
      <c r="D227" s="125"/>
      <c r="E227" s="91">
        <f t="shared" si="37"/>
        <v>52761311.789999977</v>
      </c>
      <c r="F227" s="126">
        <f t="shared" si="38"/>
        <v>141761311.78999987</v>
      </c>
      <c r="G227" s="98">
        <f t="shared" si="46"/>
        <v>141761311.7899999</v>
      </c>
      <c r="H227" s="102">
        <f t="shared" si="41"/>
        <v>590672.13245833281</v>
      </c>
      <c r="I227" s="100">
        <f t="shared" si="43"/>
        <v>-88010147.73629126</v>
      </c>
      <c r="J227" s="98">
        <f t="shared" si="42"/>
        <v>-84466114.941541299</v>
      </c>
      <c r="K227" s="98">
        <f t="shared" si="39"/>
        <v>57295196.848458603</v>
      </c>
      <c r="L227" s="93">
        <f t="shared" si="36"/>
        <v>53751164.053708613</v>
      </c>
      <c r="M227" s="94">
        <f t="shared" si="45"/>
        <v>46166.147816249977</v>
      </c>
      <c r="N227" s="100">
        <f t="shared" si="34"/>
        <v>-9309981.0059437845</v>
      </c>
      <c r="O227" s="98">
        <f t="shared" si="44"/>
        <v>-9586977.8928412851</v>
      </c>
      <c r="P227" s="95">
        <f t="shared" si="40"/>
        <v>47708218.955617316</v>
      </c>
      <c r="R227" s="66"/>
    </row>
    <row r="228" spans="2:18" s="65" customFormat="1" hidden="1" outlineLevel="1">
      <c r="B228" s="97">
        <v>45412</v>
      </c>
      <c r="D228" s="125"/>
      <c r="E228" s="91">
        <f t="shared" si="37"/>
        <v>52761311.789999977</v>
      </c>
      <c r="F228" s="126">
        <f t="shared" si="38"/>
        <v>141761311.78999987</v>
      </c>
      <c r="G228" s="98">
        <f t="shared" si="46"/>
        <v>141761311.7899999</v>
      </c>
      <c r="H228" s="102">
        <f t="shared" si="41"/>
        <v>590672.13245833281</v>
      </c>
      <c r="I228" s="100">
        <f t="shared" si="43"/>
        <v>-88600819.868749589</v>
      </c>
      <c r="J228" s="98">
        <f t="shared" si="42"/>
        <v>-85056787.073999628</v>
      </c>
      <c r="K228" s="98">
        <f t="shared" si="39"/>
        <v>56704524.716000274</v>
      </c>
      <c r="L228" s="93">
        <f t="shared" si="36"/>
        <v>53160491.921250284</v>
      </c>
      <c r="M228" s="94">
        <f t="shared" si="45"/>
        <v>46166.147816249977</v>
      </c>
      <c r="N228" s="100">
        <f t="shared" si="34"/>
        <v>-9263814.8581275344</v>
      </c>
      <c r="O228" s="98">
        <f t="shared" si="44"/>
        <v>-9540811.7450250369</v>
      </c>
      <c r="P228" s="95">
        <f t="shared" si="40"/>
        <v>47163712.970975235</v>
      </c>
      <c r="R228" s="66"/>
    </row>
    <row r="229" spans="2:18" s="65" customFormat="1" hidden="1" outlineLevel="1">
      <c r="B229" s="97">
        <v>45443</v>
      </c>
      <c r="D229" s="125"/>
      <c r="E229" s="91">
        <f t="shared" si="37"/>
        <v>52761311.789999977</v>
      </c>
      <c r="F229" s="126">
        <f t="shared" si="38"/>
        <v>141761311.78999987</v>
      </c>
      <c r="G229" s="98">
        <f t="shared" si="46"/>
        <v>141761311.7899999</v>
      </c>
      <c r="H229" s="102">
        <f t="shared" si="41"/>
        <v>590672.13245833281</v>
      </c>
      <c r="I229" s="100">
        <f t="shared" si="43"/>
        <v>-89191492.001207918</v>
      </c>
      <c r="J229" s="98">
        <f t="shared" si="42"/>
        <v>-85647459.206457958</v>
      </c>
      <c r="K229" s="98">
        <f t="shared" si="39"/>
        <v>56113852.583541945</v>
      </c>
      <c r="L229" s="93">
        <f t="shared" si="36"/>
        <v>52569819.788791955</v>
      </c>
      <c r="M229" s="94">
        <f t="shared" si="45"/>
        <v>46166.147816249977</v>
      </c>
      <c r="N229" s="100">
        <f t="shared" si="34"/>
        <v>-9217648.7103112843</v>
      </c>
      <c r="O229" s="98">
        <f t="shared" si="44"/>
        <v>-9494645.5972087849</v>
      </c>
      <c r="P229" s="95">
        <f t="shared" si="40"/>
        <v>46619206.986333162</v>
      </c>
      <c r="R229" s="66"/>
    </row>
    <row r="230" spans="2:18" s="65" customFormat="1" hidden="1" outlineLevel="1">
      <c r="B230" s="97">
        <v>45473</v>
      </c>
      <c r="D230" s="125"/>
      <c r="E230" s="91">
        <f t="shared" si="37"/>
        <v>52761311.789999977</v>
      </c>
      <c r="F230" s="126">
        <f t="shared" si="38"/>
        <v>141761311.78999987</v>
      </c>
      <c r="G230" s="98">
        <f t="shared" si="46"/>
        <v>141761311.7899999</v>
      </c>
      <c r="H230" s="102">
        <f t="shared" si="41"/>
        <v>590672.13245833281</v>
      </c>
      <c r="I230" s="100">
        <f t="shared" si="43"/>
        <v>-89782164.133666247</v>
      </c>
      <c r="J230" s="98">
        <f t="shared" si="42"/>
        <v>-86238131.338916287</v>
      </c>
      <c r="K230" s="98">
        <f t="shared" si="39"/>
        <v>55523180.451083615</v>
      </c>
      <c r="L230" s="93">
        <f t="shared" si="36"/>
        <v>51979147.656333625</v>
      </c>
      <c r="M230" s="94">
        <f t="shared" si="45"/>
        <v>46166.147816249977</v>
      </c>
      <c r="N230" s="100">
        <f t="shared" si="34"/>
        <v>-9171482.5624950342</v>
      </c>
      <c r="O230" s="98">
        <f t="shared" si="44"/>
        <v>-9448479.4493925348</v>
      </c>
      <c r="P230" s="95">
        <f t="shared" si="40"/>
        <v>46074701.001691081</v>
      </c>
      <c r="R230" s="66"/>
    </row>
    <row r="231" spans="2:18" s="65" customFormat="1" hidden="1" outlineLevel="1">
      <c r="B231" s="97">
        <v>45504</v>
      </c>
      <c r="D231" s="125"/>
      <c r="E231" s="91">
        <f t="shared" si="37"/>
        <v>52761311.789999977</v>
      </c>
      <c r="F231" s="126">
        <f t="shared" si="38"/>
        <v>141761311.78999987</v>
      </c>
      <c r="G231" s="98">
        <f t="shared" si="46"/>
        <v>141761311.7899999</v>
      </c>
      <c r="H231" s="102">
        <f t="shared" si="41"/>
        <v>590672.13245833281</v>
      </c>
      <c r="I231" s="100">
        <f t="shared" si="43"/>
        <v>-90372836.266124576</v>
      </c>
      <c r="J231" s="98">
        <f t="shared" si="42"/>
        <v>-86828803.471374616</v>
      </c>
      <c r="K231" s="98">
        <f t="shared" si="39"/>
        <v>54932508.318625286</v>
      </c>
      <c r="L231" s="93">
        <f t="shared" si="36"/>
        <v>51388475.523875296</v>
      </c>
      <c r="M231" s="94">
        <f t="shared" si="45"/>
        <v>46166.147816249977</v>
      </c>
      <c r="N231" s="100">
        <f t="shared" si="34"/>
        <v>-9125316.4146787841</v>
      </c>
      <c r="O231" s="98">
        <f t="shared" si="44"/>
        <v>-9402313.3015762847</v>
      </c>
      <c r="P231" s="95">
        <f t="shared" si="40"/>
        <v>45530195.017049</v>
      </c>
      <c r="R231" s="66"/>
    </row>
    <row r="232" spans="2:18" s="65" customFormat="1" hidden="1" outlineLevel="1">
      <c r="B232" s="97">
        <v>45535</v>
      </c>
      <c r="D232" s="125"/>
      <c r="E232" s="91">
        <f t="shared" si="37"/>
        <v>52761311.789999977</v>
      </c>
      <c r="F232" s="126">
        <f t="shared" si="38"/>
        <v>141761311.78999987</v>
      </c>
      <c r="G232" s="98">
        <f t="shared" si="46"/>
        <v>141761311.7899999</v>
      </c>
      <c r="H232" s="102">
        <f t="shared" si="41"/>
        <v>590672.13245833281</v>
      </c>
      <c r="I232" s="100">
        <f t="shared" si="43"/>
        <v>-90963508.398582906</v>
      </c>
      <c r="J232" s="98">
        <f t="shared" si="42"/>
        <v>-87419475.603832945</v>
      </c>
      <c r="K232" s="98">
        <f t="shared" si="39"/>
        <v>54341836.186166957</v>
      </c>
      <c r="L232" s="93">
        <f t="shared" si="36"/>
        <v>50797803.391416967</v>
      </c>
      <c r="M232" s="94">
        <f t="shared" si="45"/>
        <v>46166.147816249977</v>
      </c>
      <c r="N232" s="100">
        <f t="shared" si="34"/>
        <v>-9079150.266862534</v>
      </c>
      <c r="O232" s="98">
        <f t="shared" si="44"/>
        <v>-9356147.1537600346</v>
      </c>
      <c r="P232" s="95">
        <f t="shared" si="40"/>
        <v>44985689.032406926</v>
      </c>
      <c r="R232" s="66"/>
    </row>
    <row r="233" spans="2:18" s="65" customFormat="1" hidden="1" outlineLevel="1">
      <c r="B233" s="97">
        <v>45565</v>
      </c>
      <c r="D233" s="125"/>
      <c r="E233" s="91">
        <f t="shared" si="37"/>
        <v>52761311.789999977</v>
      </c>
      <c r="F233" s="126">
        <f t="shared" si="38"/>
        <v>141761311.78999987</v>
      </c>
      <c r="G233" s="98">
        <f t="shared" si="46"/>
        <v>141761311.7899999</v>
      </c>
      <c r="H233" s="102">
        <f t="shared" si="41"/>
        <v>590672.13245833281</v>
      </c>
      <c r="I233" s="100">
        <f t="shared" si="43"/>
        <v>-91554180.531041235</v>
      </c>
      <c r="J233" s="98">
        <f t="shared" si="42"/>
        <v>-88010147.736291274</v>
      </c>
      <c r="K233" s="98">
        <f t="shared" si="39"/>
        <v>53751164.053708628</v>
      </c>
      <c r="L233" s="93">
        <f t="shared" si="36"/>
        <v>50207131.258958638</v>
      </c>
      <c r="M233" s="94">
        <f t="shared" si="45"/>
        <v>46166.147816249977</v>
      </c>
      <c r="N233" s="100">
        <f t="shared" si="34"/>
        <v>-9032984.1190462839</v>
      </c>
      <c r="O233" s="98">
        <f t="shared" si="44"/>
        <v>-9309981.0059437864</v>
      </c>
      <c r="P233" s="95">
        <f t="shared" si="40"/>
        <v>44441183.047764838</v>
      </c>
      <c r="R233" s="66"/>
    </row>
    <row r="234" spans="2:18" s="65" customFormat="1" hidden="1" outlineLevel="1">
      <c r="B234" s="97">
        <v>45596</v>
      </c>
      <c r="D234" s="125"/>
      <c r="E234" s="91">
        <f t="shared" si="37"/>
        <v>52761311.789999977</v>
      </c>
      <c r="F234" s="126">
        <f t="shared" si="38"/>
        <v>141761311.78999987</v>
      </c>
      <c r="G234" s="98">
        <f t="shared" si="46"/>
        <v>141761311.7899999</v>
      </c>
      <c r="H234" s="102">
        <f t="shared" si="41"/>
        <v>590672.13245833281</v>
      </c>
      <c r="I234" s="100">
        <f t="shared" si="43"/>
        <v>-92144852.663499564</v>
      </c>
      <c r="J234" s="98">
        <f t="shared" si="42"/>
        <v>-88600819.868749604</v>
      </c>
      <c r="K234" s="98">
        <f t="shared" si="39"/>
        <v>53160491.921250299</v>
      </c>
      <c r="L234" s="93">
        <f t="shared" si="36"/>
        <v>49616459.126500309</v>
      </c>
      <c r="M234" s="94">
        <f t="shared" si="45"/>
        <v>46166.147816249977</v>
      </c>
      <c r="N234" s="100">
        <f t="shared" ref="N234:N297" si="47">N233+M234</f>
        <v>-8986817.9712300338</v>
      </c>
      <c r="O234" s="98">
        <f t="shared" si="44"/>
        <v>-9263814.8581275363</v>
      </c>
      <c r="P234" s="95">
        <f t="shared" si="40"/>
        <v>43896677.063122764</v>
      </c>
      <c r="R234" s="66"/>
    </row>
    <row r="235" spans="2:18" s="65" customFormat="1" hidden="1" outlineLevel="1">
      <c r="B235" s="97">
        <v>45626</v>
      </c>
      <c r="D235" s="125"/>
      <c r="E235" s="91">
        <f t="shared" si="37"/>
        <v>52761311.789999977</v>
      </c>
      <c r="F235" s="126">
        <f t="shared" si="38"/>
        <v>141761311.78999987</v>
      </c>
      <c r="G235" s="98">
        <f t="shared" si="46"/>
        <v>141761311.7899999</v>
      </c>
      <c r="H235" s="102">
        <f t="shared" si="41"/>
        <v>590672.13245833281</v>
      </c>
      <c r="I235" s="100">
        <f t="shared" si="43"/>
        <v>-92735524.795957893</v>
      </c>
      <c r="J235" s="98">
        <f t="shared" si="42"/>
        <v>-89191492.001207933</v>
      </c>
      <c r="K235" s="98">
        <f t="shared" si="39"/>
        <v>52569819.788791969</v>
      </c>
      <c r="L235" s="93">
        <f t="shared" si="36"/>
        <v>49025786.994041979</v>
      </c>
      <c r="M235" s="94">
        <f t="shared" si="45"/>
        <v>46166.147816249977</v>
      </c>
      <c r="N235" s="100">
        <f t="shared" si="47"/>
        <v>-8940651.8234137837</v>
      </c>
      <c r="O235" s="98">
        <f t="shared" si="44"/>
        <v>-9217648.7103112843</v>
      </c>
      <c r="P235" s="95">
        <f t="shared" si="40"/>
        <v>43352171.078480683</v>
      </c>
      <c r="R235" s="66"/>
    </row>
    <row r="236" spans="2:18" s="65" customFormat="1" hidden="1" outlineLevel="1">
      <c r="B236" s="97">
        <v>45657</v>
      </c>
      <c r="D236" s="125"/>
      <c r="E236" s="91">
        <f t="shared" si="37"/>
        <v>52761311.789999977</v>
      </c>
      <c r="F236" s="126">
        <f t="shared" si="38"/>
        <v>141761311.78999987</v>
      </c>
      <c r="G236" s="98">
        <f t="shared" si="46"/>
        <v>141761311.7899999</v>
      </c>
      <c r="H236" s="102">
        <f t="shared" si="41"/>
        <v>590672.13245833281</v>
      </c>
      <c r="I236" s="100">
        <f t="shared" si="43"/>
        <v>-93326196.928416222</v>
      </c>
      <c r="J236" s="98">
        <f t="shared" si="42"/>
        <v>-89782164.133666262</v>
      </c>
      <c r="K236" s="98">
        <f t="shared" si="39"/>
        <v>51979147.65633364</v>
      </c>
      <c r="L236" s="93">
        <f t="shared" si="36"/>
        <v>48435114.86158365</v>
      </c>
      <c r="M236" s="94">
        <f t="shared" si="45"/>
        <v>46166.147816249977</v>
      </c>
      <c r="N236" s="100">
        <f t="shared" si="47"/>
        <v>-8894485.6755975336</v>
      </c>
      <c r="O236" s="98">
        <f t="shared" si="44"/>
        <v>-9171482.5624950361</v>
      </c>
      <c r="P236" s="95">
        <f t="shared" si="40"/>
        <v>42807665.093838602</v>
      </c>
      <c r="R236" s="66"/>
    </row>
    <row r="237" spans="2:18" s="65" customFormat="1" hidden="1" outlineLevel="1">
      <c r="B237" s="97">
        <v>45688</v>
      </c>
      <c r="D237" s="125"/>
      <c r="E237" s="91">
        <f t="shared" si="37"/>
        <v>52761311.789999977</v>
      </c>
      <c r="F237" s="126">
        <f t="shared" si="38"/>
        <v>141761311.78999987</v>
      </c>
      <c r="G237" s="98">
        <f t="shared" si="46"/>
        <v>141761311.7899999</v>
      </c>
      <c r="H237" s="102">
        <f t="shared" si="41"/>
        <v>590672.13245833281</v>
      </c>
      <c r="I237" s="100">
        <f t="shared" si="43"/>
        <v>-93916869.060874552</v>
      </c>
      <c r="J237" s="98">
        <f t="shared" si="42"/>
        <v>-90372836.266124591</v>
      </c>
      <c r="K237" s="98">
        <f t="shared" si="39"/>
        <v>51388475.523875311</v>
      </c>
      <c r="L237" s="93">
        <f t="shared" si="36"/>
        <v>47844442.729125321</v>
      </c>
      <c r="M237" s="94">
        <f t="shared" si="45"/>
        <v>46166.147816249977</v>
      </c>
      <c r="N237" s="100">
        <f t="shared" si="47"/>
        <v>-8848319.5277812835</v>
      </c>
      <c r="O237" s="98">
        <f t="shared" si="44"/>
        <v>-9125316.4146787841</v>
      </c>
      <c r="P237" s="95">
        <f t="shared" si="40"/>
        <v>42263159.109196529</v>
      </c>
      <c r="R237" s="66"/>
    </row>
    <row r="238" spans="2:18" s="65" customFormat="1" hidden="1" outlineLevel="1">
      <c r="B238" s="97">
        <v>45716</v>
      </c>
      <c r="D238" s="125"/>
      <c r="E238" s="91">
        <f t="shared" si="37"/>
        <v>52761311.789999977</v>
      </c>
      <c r="F238" s="126">
        <f t="shared" si="38"/>
        <v>141761311.78999987</v>
      </c>
      <c r="G238" s="98">
        <f t="shared" si="46"/>
        <v>141761311.7899999</v>
      </c>
      <c r="H238" s="102">
        <f t="shared" si="41"/>
        <v>590672.13245833281</v>
      </c>
      <c r="I238" s="100">
        <f t="shared" si="43"/>
        <v>-94507541.193332881</v>
      </c>
      <c r="J238" s="98">
        <f t="shared" si="42"/>
        <v>-90963508.39858292</v>
      </c>
      <c r="K238" s="98">
        <f t="shared" si="39"/>
        <v>50797803.391416982</v>
      </c>
      <c r="L238" s="93">
        <f t="shared" si="36"/>
        <v>47253770.596666992</v>
      </c>
      <c r="M238" s="94">
        <f t="shared" si="45"/>
        <v>46166.147816249977</v>
      </c>
      <c r="N238" s="100">
        <f t="shared" si="47"/>
        <v>-8802153.3799650334</v>
      </c>
      <c r="O238" s="98">
        <f t="shared" si="44"/>
        <v>-9079150.266862534</v>
      </c>
      <c r="P238" s="95">
        <f t="shared" si="40"/>
        <v>41718653.124554448</v>
      </c>
      <c r="R238" s="66"/>
    </row>
    <row r="239" spans="2:18" s="65" customFormat="1" hidden="1" outlineLevel="1">
      <c r="B239" s="97">
        <v>45747</v>
      </c>
      <c r="D239" s="125"/>
      <c r="E239" s="91">
        <f t="shared" si="37"/>
        <v>52761311.789999977</v>
      </c>
      <c r="F239" s="126">
        <f t="shared" si="38"/>
        <v>141761311.78999987</v>
      </c>
      <c r="G239" s="98">
        <f t="shared" si="46"/>
        <v>141761311.7899999</v>
      </c>
      <c r="H239" s="102">
        <f t="shared" si="41"/>
        <v>590672.13245833281</v>
      </c>
      <c r="I239" s="100">
        <f t="shared" si="43"/>
        <v>-95098213.32579121</v>
      </c>
      <c r="J239" s="98">
        <f t="shared" si="42"/>
        <v>-91554180.53104125</v>
      </c>
      <c r="K239" s="98">
        <f t="shared" si="39"/>
        <v>50207131.258958653</v>
      </c>
      <c r="L239" s="93">
        <f t="shared" si="36"/>
        <v>46663098.464208663</v>
      </c>
      <c r="M239" s="94">
        <f t="shared" si="45"/>
        <v>46166.147816249977</v>
      </c>
      <c r="N239" s="100">
        <f t="shared" si="47"/>
        <v>-8755987.2321487833</v>
      </c>
      <c r="O239" s="98">
        <f t="shared" si="44"/>
        <v>-9032984.1190462839</v>
      </c>
      <c r="P239" s="95">
        <f t="shared" si="40"/>
        <v>41174147.139912367</v>
      </c>
      <c r="R239" s="66"/>
    </row>
    <row r="240" spans="2:18" s="65" customFormat="1" hidden="1" outlineLevel="1">
      <c r="B240" s="97">
        <v>45777</v>
      </c>
      <c r="D240" s="125"/>
      <c r="E240" s="91">
        <f t="shared" si="37"/>
        <v>52761311.789999977</v>
      </c>
      <c r="F240" s="126">
        <f t="shared" si="38"/>
        <v>141761311.78999987</v>
      </c>
      <c r="G240" s="98">
        <f t="shared" si="46"/>
        <v>141761311.7899999</v>
      </c>
      <c r="H240" s="102">
        <f t="shared" si="41"/>
        <v>590672.13245833281</v>
      </c>
      <c r="I240" s="100">
        <f t="shared" si="43"/>
        <v>-95688885.458249539</v>
      </c>
      <c r="J240" s="98">
        <f t="shared" si="42"/>
        <v>-92144852.663499579</v>
      </c>
      <c r="K240" s="98">
        <f t="shared" si="39"/>
        <v>49616459.126500323</v>
      </c>
      <c r="L240" s="93">
        <f t="shared" si="36"/>
        <v>46072426.331750333</v>
      </c>
      <c r="M240" s="94">
        <f t="shared" si="45"/>
        <v>46166.147816249977</v>
      </c>
      <c r="N240" s="100">
        <f t="shared" si="47"/>
        <v>-8709821.0843325332</v>
      </c>
      <c r="O240" s="98">
        <f t="shared" si="44"/>
        <v>-8986817.9712300338</v>
      </c>
      <c r="P240" s="95">
        <f t="shared" si="40"/>
        <v>40629641.155270293</v>
      </c>
      <c r="R240" s="66"/>
    </row>
    <row r="241" spans="2:18" s="65" customFormat="1" hidden="1" outlineLevel="1">
      <c r="B241" s="97">
        <v>45808</v>
      </c>
      <c r="D241" s="125"/>
      <c r="E241" s="91">
        <f t="shared" si="37"/>
        <v>52761311.789999977</v>
      </c>
      <c r="F241" s="126">
        <f t="shared" si="38"/>
        <v>141761311.78999987</v>
      </c>
      <c r="G241" s="98">
        <f t="shared" si="46"/>
        <v>141761311.7899999</v>
      </c>
      <c r="H241" s="102">
        <f t="shared" si="41"/>
        <v>590672.13245833281</v>
      </c>
      <c r="I241" s="100">
        <f t="shared" si="43"/>
        <v>-96279557.590707868</v>
      </c>
      <c r="J241" s="98">
        <f t="shared" si="42"/>
        <v>-92735524.795957908</v>
      </c>
      <c r="K241" s="98">
        <f t="shared" si="39"/>
        <v>49025786.994041994</v>
      </c>
      <c r="L241" s="93">
        <f t="shared" si="36"/>
        <v>45481754.199292004</v>
      </c>
      <c r="M241" s="94">
        <f t="shared" si="45"/>
        <v>46166.147816249977</v>
      </c>
      <c r="N241" s="100">
        <f t="shared" si="47"/>
        <v>-8663654.9365162831</v>
      </c>
      <c r="O241" s="98">
        <f t="shared" si="44"/>
        <v>-8940651.8234137837</v>
      </c>
      <c r="P241" s="95">
        <f t="shared" si="40"/>
        <v>40085135.170628212</v>
      </c>
      <c r="R241" s="66"/>
    </row>
    <row r="242" spans="2:18" s="65" customFormat="1" hidden="1" outlineLevel="1">
      <c r="B242" s="97">
        <v>45838</v>
      </c>
      <c r="D242" s="125"/>
      <c r="E242" s="91">
        <f t="shared" si="37"/>
        <v>52761311.789999977</v>
      </c>
      <c r="F242" s="126">
        <f t="shared" si="38"/>
        <v>141761311.78999987</v>
      </c>
      <c r="G242" s="98">
        <f t="shared" si="46"/>
        <v>141761311.7899999</v>
      </c>
      <c r="H242" s="102">
        <f t="shared" si="41"/>
        <v>590672.13245833281</v>
      </c>
      <c r="I242" s="100">
        <f t="shared" si="43"/>
        <v>-96870229.723166198</v>
      </c>
      <c r="J242" s="98">
        <f t="shared" si="42"/>
        <v>-93326196.928416237</v>
      </c>
      <c r="K242" s="98">
        <f t="shared" si="39"/>
        <v>48435114.861583665</v>
      </c>
      <c r="L242" s="93">
        <f t="shared" si="36"/>
        <v>44891082.066833675</v>
      </c>
      <c r="M242" s="94">
        <f t="shared" si="45"/>
        <v>46166.147816249977</v>
      </c>
      <c r="N242" s="100">
        <f t="shared" si="47"/>
        <v>-8617488.788700033</v>
      </c>
      <c r="O242" s="98">
        <f t="shared" si="44"/>
        <v>-8894485.6755975354</v>
      </c>
      <c r="P242" s="95">
        <f t="shared" si="40"/>
        <v>39540629.185986131</v>
      </c>
      <c r="R242" s="66"/>
    </row>
    <row r="243" spans="2:18" s="65" customFormat="1" hidden="1" outlineLevel="1">
      <c r="B243" s="97">
        <v>45869</v>
      </c>
      <c r="D243" s="125"/>
      <c r="E243" s="91">
        <f t="shared" si="37"/>
        <v>52761311.789999977</v>
      </c>
      <c r="F243" s="126">
        <f t="shared" si="38"/>
        <v>141761311.78999987</v>
      </c>
      <c r="G243" s="98">
        <f t="shared" si="46"/>
        <v>141761311.7899999</v>
      </c>
      <c r="H243" s="102">
        <f t="shared" si="41"/>
        <v>590672.13245833281</v>
      </c>
      <c r="I243" s="100">
        <f t="shared" si="43"/>
        <v>-97460901.855624527</v>
      </c>
      <c r="J243" s="98">
        <f t="shared" si="42"/>
        <v>-93916869.060874566</v>
      </c>
      <c r="K243" s="98">
        <f t="shared" si="39"/>
        <v>47844442.729125336</v>
      </c>
      <c r="L243" s="93">
        <f t="shared" si="36"/>
        <v>44300409.934375346</v>
      </c>
      <c r="M243" s="94">
        <f t="shared" si="45"/>
        <v>46166.147816249977</v>
      </c>
      <c r="N243" s="100">
        <f t="shared" si="47"/>
        <v>-8571322.6408837829</v>
      </c>
      <c r="O243" s="98">
        <f t="shared" si="44"/>
        <v>-8848319.5277812835</v>
      </c>
      <c r="P243" s="95">
        <f t="shared" si="40"/>
        <v>38996123.20134405</v>
      </c>
      <c r="R243" s="66"/>
    </row>
    <row r="244" spans="2:18" s="65" customFormat="1" hidden="1" outlineLevel="1">
      <c r="B244" s="97">
        <v>45900</v>
      </c>
      <c r="D244" s="125"/>
      <c r="E244" s="91">
        <f t="shared" si="37"/>
        <v>52761311.789999977</v>
      </c>
      <c r="F244" s="126">
        <f t="shared" si="38"/>
        <v>141761311.78999987</v>
      </c>
      <c r="G244" s="98">
        <f t="shared" si="46"/>
        <v>141761311.7899999</v>
      </c>
      <c r="H244" s="102">
        <f t="shared" si="41"/>
        <v>590672.13245833281</v>
      </c>
      <c r="I244" s="100">
        <f t="shared" si="43"/>
        <v>-98051573.988082856</v>
      </c>
      <c r="J244" s="98">
        <f t="shared" si="42"/>
        <v>-94507541.193332896</v>
      </c>
      <c r="K244" s="98">
        <f t="shared" si="39"/>
        <v>47253770.596667007</v>
      </c>
      <c r="L244" s="93">
        <f t="shared" si="36"/>
        <v>43709737.801917017</v>
      </c>
      <c r="M244" s="94">
        <f t="shared" si="45"/>
        <v>46166.147816249977</v>
      </c>
      <c r="N244" s="100">
        <f t="shared" si="47"/>
        <v>-8525156.4930675328</v>
      </c>
      <c r="O244" s="98">
        <f t="shared" si="44"/>
        <v>-8802153.3799650352</v>
      </c>
      <c r="P244" s="95">
        <f t="shared" si="40"/>
        <v>38451617.21670197</v>
      </c>
      <c r="R244" s="66"/>
    </row>
    <row r="245" spans="2:18" s="65" customFormat="1" hidden="1" outlineLevel="1">
      <c r="B245" s="97">
        <v>45930</v>
      </c>
      <c r="D245" s="125"/>
      <c r="E245" s="91">
        <f t="shared" si="37"/>
        <v>52761311.789999977</v>
      </c>
      <c r="F245" s="126">
        <f t="shared" si="38"/>
        <v>141761311.78999987</v>
      </c>
      <c r="G245" s="98">
        <f t="shared" si="46"/>
        <v>141761311.7899999</v>
      </c>
      <c r="H245" s="102">
        <f t="shared" si="41"/>
        <v>590672.13245833281</v>
      </c>
      <c r="I245" s="100">
        <f t="shared" si="43"/>
        <v>-98642246.120541185</v>
      </c>
      <c r="J245" s="98">
        <f t="shared" si="42"/>
        <v>-95098213.325791225</v>
      </c>
      <c r="K245" s="98">
        <f t="shared" si="39"/>
        <v>46663098.464208677</v>
      </c>
      <c r="L245" s="93">
        <f t="shared" si="36"/>
        <v>43119065.669458687</v>
      </c>
      <c r="M245" s="94">
        <f t="shared" si="45"/>
        <v>46166.147816249977</v>
      </c>
      <c r="N245" s="100">
        <f t="shared" si="47"/>
        <v>-8478990.3452512827</v>
      </c>
      <c r="O245" s="98">
        <f t="shared" si="44"/>
        <v>-8755987.2321487833</v>
      </c>
      <c r="P245" s="95">
        <f t="shared" si="40"/>
        <v>37907111.232059896</v>
      </c>
      <c r="R245" s="66"/>
    </row>
    <row r="246" spans="2:18" s="65" customFormat="1" hidden="1" outlineLevel="1">
      <c r="B246" s="97">
        <v>45961</v>
      </c>
      <c r="D246" s="125"/>
      <c r="E246" s="91">
        <f t="shared" si="37"/>
        <v>52761311.789999977</v>
      </c>
      <c r="F246" s="126">
        <f t="shared" si="38"/>
        <v>141761311.78999987</v>
      </c>
      <c r="G246" s="98">
        <f t="shared" si="46"/>
        <v>141761311.7899999</v>
      </c>
      <c r="H246" s="102">
        <f t="shared" si="41"/>
        <v>590672.13245833281</v>
      </c>
      <c r="I246" s="100">
        <f t="shared" si="43"/>
        <v>-99232918.252999514</v>
      </c>
      <c r="J246" s="98">
        <f t="shared" si="42"/>
        <v>-95688885.458249554</v>
      </c>
      <c r="K246" s="98">
        <f t="shared" si="39"/>
        <v>46072426.331750348</v>
      </c>
      <c r="L246" s="93">
        <f t="shared" si="36"/>
        <v>42528393.537000358</v>
      </c>
      <c r="M246" s="94">
        <f t="shared" si="45"/>
        <v>46166.147816249977</v>
      </c>
      <c r="N246" s="100">
        <f t="shared" si="47"/>
        <v>-8432824.1974350326</v>
      </c>
      <c r="O246" s="98">
        <f t="shared" si="44"/>
        <v>-8709821.0843325332</v>
      </c>
      <c r="P246" s="95">
        <f t="shared" si="40"/>
        <v>37362605.247417815</v>
      </c>
      <c r="R246" s="66"/>
    </row>
    <row r="247" spans="2:18" s="65" customFormat="1" hidden="1" outlineLevel="1">
      <c r="B247" s="97">
        <v>45991</v>
      </c>
      <c r="D247" s="125"/>
      <c r="E247" s="91">
        <f t="shared" si="37"/>
        <v>52761311.789999977</v>
      </c>
      <c r="F247" s="126">
        <f t="shared" si="38"/>
        <v>141761311.78999987</v>
      </c>
      <c r="G247" s="98">
        <f t="shared" si="46"/>
        <v>141761311.7899999</v>
      </c>
      <c r="H247" s="102">
        <f t="shared" si="41"/>
        <v>590672.13245833281</v>
      </c>
      <c r="I247" s="100">
        <f t="shared" si="43"/>
        <v>-99823590.385457844</v>
      </c>
      <c r="J247" s="98">
        <f t="shared" si="42"/>
        <v>-96279557.590707883</v>
      </c>
      <c r="K247" s="98">
        <f t="shared" si="39"/>
        <v>45481754.199292019</v>
      </c>
      <c r="L247" s="93">
        <f t="shared" si="36"/>
        <v>41937721.404542029</v>
      </c>
      <c r="M247" s="94">
        <f t="shared" si="45"/>
        <v>46166.147816249977</v>
      </c>
      <c r="N247" s="100">
        <f t="shared" si="47"/>
        <v>-8386658.0496187825</v>
      </c>
      <c r="O247" s="98">
        <f t="shared" si="44"/>
        <v>-8663654.9365162831</v>
      </c>
      <c r="P247" s="95">
        <f t="shared" si="40"/>
        <v>36818099.262775734</v>
      </c>
      <c r="R247" s="66"/>
    </row>
    <row r="248" spans="2:18" hidden="1" outlineLevel="1">
      <c r="B248" s="97">
        <v>46022</v>
      </c>
      <c r="D248" s="125"/>
      <c r="E248" s="91">
        <f t="shared" si="37"/>
        <v>52761311.789999977</v>
      </c>
      <c r="F248" s="126">
        <f t="shared" si="38"/>
        <v>141761311.78999987</v>
      </c>
      <c r="G248" s="98">
        <f t="shared" si="46"/>
        <v>141761311.7899999</v>
      </c>
      <c r="H248" s="102">
        <f t="shared" si="41"/>
        <v>590672.13245833281</v>
      </c>
      <c r="I248" s="100">
        <f t="shared" si="43"/>
        <v>-100414262.51791617</v>
      </c>
      <c r="J248" s="98">
        <f t="shared" si="42"/>
        <v>-96870229.723166212</v>
      </c>
      <c r="K248" s="98">
        <f t="shared" si="39"/>
        <v>44891082.06683369</v>
      </c>
      <c r="L248" s="93">
        <f t="shared" si="36"/>
        <v>41347049.2720837</v>
      </c>
      <c r="M248" s="94">
        <f t="shared" si="45"/>
        <v>46166.147816249977</v>
      </c>
      <c r="N248" s="100">
        <f t="shared" si="47"/>
        <v>-8340491.9018025324</v>
      </c>
      <c r="O248" s="98">
        <f t="shared" si="44"/>
        <v>-8617488.788700033</v>
      </c>
      <c r="P248" s="95">
        <f t="shared" si="40"/>
        <v>36273593.278133661</v>
      </c>
    </row>
    <row r="249" spans="2:18" hidden="1" outlineLevel="1">
      <c r="B249" s="97">
        <v>46053</v>
      </c>
      <c r="D249" s="125"/>
      <c r="E249" s="91">
        <f t="shared" si="37"/>
        <v>52761311.789999977</v>
      </c>
      <c r="F249" s="126">
        <f t="shared" si="38"/>
        <v>141761311.78999987</v>
      </c>
      <c r="G249" s="98">
        <f t="shared" si="46"/>
        <v>141761311.7899999</v>
      </c>
      <c r="H249" s="102">
        <f t="shared" si="41"/>
        <v>590672.13245833281</v>
      </c>
      <c r="I249" s="100">
        <f t="shared" si="43"/>
        <v>-101004934.6503745</v>
      </c>
      <c r="J249" s="98">
        <f t="shared" si="42"/>
        <v>-97460901.855624542</v>
      </c>
      <c r="K249" s="98">
        <f t="shared" si="39"/>
        <v>44300409.934375361</v>
      </c>
      <c r="L249" s="93">
        <f t="shared" si="36"/>
        <v>40756377.139625371</v>
      </c>
      <c r="M249" s="94">
        <f t="shared" ref="M249:M280" si="48">(E249/240*0.21)</f>
        <v>46166.147816249977</v>
      </c>
      <c r="N249" s="100">
        <f t="shared" si="47"/>
        <v>-8294325.7539862823</v>
      </c>
      <c r="O249" s="98">
        <f t="shared" si="44"/>
        <v>-8571322.6408837847</v>
      </c>
      <c r="P249" s="95">
        <f t="shared" si="40"/>
        <v>35729087.293491572</v>
      </c>
    </row>
    <row r="250" spans="2:18" hidden="1" outlineLevel="1">
      <c r="B250" s="97">
        <v>46081</v>
      </c>
      <c r="D250" s="125"/>
      <c r="E250" s="91">
        <f t="shared" si="37"/>
        <v>52761311.789999977</v>
      </c>
      <c r="F250" s="126">
        <f t="shared" si="38"/>
        <v>141761311.78999987</v>
      </c>
      <c r="G250" s="98">
        <f t="shared" si="46"/>
        <v>141761311.7899999</v>
      </c>
      <c r="H250" s="102">
        <f t="shared" si="41"/>
        <v>590672.13245833281</v>
      </c>
      <c r="I250" s="100">
        <f t="shared" si="43"/>
        <v>-101595606.78283283</v>
      </c>
      <c r="J250" s="98">
        <f t="shared" si="42"/>
        <v>-98051573.988082871</v>
      </c>
      <c r="K250" s="98">
        <f t="shared" si="39"/>
        <v>43709737.801917031</v>
      </c>
      <c r="L250" s="93">
        <f t="shared" si="36"/>
        <v>40165705.007167041</v>
      </c>
      <c r="M250" s="94">
        <f t="shared" si="48"/>
        <v>46166.147816249977</v>
      </c>
      <c r="N250" s="100">
        <f t="shared" si="47"/>
        <v>-8248159.6061700322</v>
      </c>
      <c r="O250" s="98">
        <f t="shared" si="44"/>
        <v>-8525156.4930675346</v>
      </c>
      <c r="P250" s="95">
        <f t="shared" si="40"/>
        <v>35184581.308849499</v>
      </c>
    </row>
    <row r="251" spans="2:18" hidden="1" outlineLevel="1">
      <c r="B251" s="97">
        <v>46112</v>
      </c>
      <c r="D251" s="125"/>
      <c r="E251" s="91">
        <f t="shared" si="37"/>
        <v>52761311.789999977</v>
      </c>
      <c r="F251" s="126">
        <f t="shared" si="38"/>
        <v>141761311.78999987</v>
      </c>
      <c r="G251" s="98">
        <f t="shared" si="46"/>
        <v>141761311.7899999</v>
      </c>
      <c r="H251" s="102">
        <f t="shared" si="41"/>
        <v>590672.13245833281</v>
      </c>
      <c r="I251" s="100">
        <f t="shared" si="43"/>
        <v>-102186278.91529116</v>
      </c>
      <c r="J251" s="98">
        <f t="shared" si="42"/>
        <v>-98642246.1205412</v>
      </c>
      <c r="K251" s="98">
        <f t="shared" si="39"/>
        <v>43119065.669458702</v>
      </c>
      <c r="L251" s="93">
        <f t="shared" si="36"/>
        <v>39575032.874708712</v>
      </c>
      <c r="M251" s="94">
        <f t="shared" si="48"/>
        <v>46166.147816249977</v>
      </c>
      <c r="N251" s="100">
        <f t="shared" si="47"/>
        <v>-8201993.4583537821</v>
      </c>
      <c r="O251" s="98">
        <f t="shared" si="44"/>
        <v>-8478990.3452512827</v>
      </c>
      <c r="P251" s="95">
        <f t="shared" si="40"/>
        <v>34640075.324207418</v>
      </c>
    </row>
    <row r="252" spans="2:18" hidden="1" outlineLevel="1">
      <c r="B252" s="97">
        <v>46142</v>
      </c>
      <c r="D252" s="125"/>
      <c r="E252" s="91">
        <f t="shared" si="37"/>
        <v>52761311.789999977</v>
      </c>
      <c r="F252" s="126">
        <f t="shared" si="38"/>
        <v>141761311.78999987</v>
      </c>
      <c r="G252" s="98">
        <f t="shared" si="46"/>
        <v>141761311.7899999</v>
      </c>
      <c r="H252" s="102">
        <f t="shared" si="41"/>
        <v>590672.13245833281</v>
      </c>
      <c r="I252" s="100">
        <f t="shared" si="43"/>
        <v>-102776951.04774949</v>
      </c>
      <c r="J252" s="98">
        <f t="shared" si="42"/>
        <v>-99232918.252999529</v>
      </c>
      <c r="K252" s="98">
        <f t="shared" si="39"/>
        <v>42528393.537000373</v>
      </c>
      <c r="L252" s="93">
        <f t="shared" si="36"/>
        <v>38984360.742250383</v>
      </c>
      <c r="M252" s="94">
        <f t="shared" si="48"/>
        <v>46166.147816249977</v>
      </c>
      <c r="N252" s="100">
        <f t="shared" si="47"/>
        <v>-8155827.310537532</v>
      </c>
      <c r="O252" s="98">
        <f t="shared" si="44"/>
        <v>-8432824.1974350344</v>
      </c>
      <c r="P252" s="95">
        <f t="shared" si="40"/>
        <v>34095569.339565337</v>
      </c>
    </row>
    <row r="253" spans="2:18" hidden="1" outlineLevel="1">
      <c r="B253" s="97">
        <v>46173</v>
      </c>
      <c r="D253" s="125"/>
      <c r="E253" s="91">
        <f t="shared" si="37"/>
        <v>52761311.789999977</v>
      </c>
      <c r="F253" s="126">
        <f t="shared" si="38"/>
        <v>141761311.78999987</v>
      </c>
      <c r="G253" s="98">
        <f t="shared" si="46"/>
        <v>141761311.7899999</v>
      </c>
      <c r="H253" s="102">
        <f t="shared" si="41"/>
        <v>590672.13245833281</v>
      </c>
      <c r="I253" s="100">
        <f t="shared" si="43"/>
        <v>-103367623.18020782</v>
      </c>
      <c r="J253" s="98">
        <f t="shared" si="42"/>
        <v>-99823590.385457858</v>
      </c>
      <c r="K253" s="98">
        <f t="shared" si="39"/>
        <v>41937721.404542044</v>
      </c>
      <c r="L253" s="93">
        <f t="shared" si="36"/>
        <v>38393688.609792054</v>
      </c>
      <c r="M253" s="94">
        <f t="shared" si="48"/>
        <v>46166.147816249977</v>
      </c>
      <c r="N253" s="100">
        <f t="shared" si="47"/>
        <v>-8109661.1627212819</v>
      </c>
      <c r="O253" s="98">
        <f t="shared" si="44"/>
        <v>-8386658.0496187815</v>
      </c>
      <c r="P253" s="95">
        <f t="shared" si="40"/>
        <v>33551063.354923263</v>
      </c>
    </row>
    <row r="254" spans="2:18" hidden="1" outlineLevel="1">
      <c r="B254" s="97">
        <v>46203</v>
      </c>
      <c r="D254" s="125"/>
      <c r="E254" s="91">
        <f t="shared" si="37"/>
        <v>52761311.789999977</v>
      </c>
      <c r="F254" s="126">
        <f t="shared" si="38"/>
        <v>141761311.78999987</v>
      </c>
      <c r="G254" s="98">
        <f t="shared" si="46"/>
        <v>141761311.7899999</v>
      </c>
      <c r="H254" s="102">
        <f t="shared" si="41"/>
        <v>590672.13245833281</v>
      </c>
      <c r="I254" s="100">
        <f t="shared" si="43"/>
        <v>-103958295.31266615</v>
      </c>
      <c r="J254" s="98">
        <f t="shared" si="42"/>
        <v>-100414262.51791619</v>
      </c>
      <c r="K254" s="98">
        <f t="shared" si="39"/>
        <v>41347049.272083715</v>
      </c>
      <c r="L254" s="93">
        <f t="shared" si="36"/>
        <v>37803016.477333724</v>
      </c>
      <c r="M254" s="94">
        <f t="shared" si="48"/>
        <v>46166.147816249977</v>
      </c>
      <c r="N254" s="100">
        <f t="shared" si="47"/>
        <v>-8063495.0149050318</v>
      </c>
      <c r="O254" s="98">
        <f t="shared" si="44"/>
        <v>-8340491.9018025324</v>
      </c>
      <c r="P254" s="95">
        <f t="shared" si="40"/>
        <v>33006557.370281182</v>
      </c>
    </row>
    <row r="255" spans="2:18" hidden="1" outlineLevel="1">
      <c r="B255" s="97">
        <v>46234</v>
      </c>
      <c r="D255" s="125"/>
      <c r="E255" s="91">
        <f t="shared" si="37"/>
        <v>52761311.789999977</v>
      </c>
      <c r="F255" s="126">
        <f t="shared" si="38"/>
        <v>141761311.78999987</v>
      </c>
      <c r="G255" s="98">
        <f t="shared" si="46"/>
        <v>141761311.7899999</v>
      </c>
      <c r="H255" s="102">
        <f t="shared" si="41"/>
        <v>590672.13245833281</v>
      </c>
      <c r="I255" s="100">
        <f t="shared" si="43"/>
        <v>-104548967.44512448</v>
      </c>
      <c r="J255" s="98">
        <f t="shared" si="42"/>
        <v>-101004934.65037452</v>
      </c>
      <c r="K255" s="98">
        <f t="shared" si="39"/>
        <v>40756377.139625385</v>
      </c>
      <c r="L255" s="93">
        <f t="shared" si="36"/>
        <v>37212344.344875395</v>
      </c>
      <c r="M255" s="94">
        <f t="shared" si="48"/>
        <v>46166.147816249977</v>
      </c>
      <c r="N255" s="100">
        <f t="shared" si="47"/>
        <v>-8017328.8670887817</v>
      </c>
      <c r="O255" s="98">
        <f t="shared" si="44"/>
        <v>-8294325.7539862832</v>
      </c>
      <c r="P255" s="95">
        <f t="shared" si="40"/>
        <v>32462051.385639101</v>
      </c>
    </row>
    <row r="256" spans="2:18" hidden="1" outlineLevel="1">
      <c r="B256" s="97">
        <v>46265</v>
      </c>
      <c r="D256" s="125"/>
      <c r="E256" s="91">
        <f t="shared" si="37"/>
        <v>52761311.789999977</v>
      </c>
      <c r="F256" s="126">
        <f t="shared" si="38"/>
        <v>141761311.78999987</v>
      </c>
      <c r="G256" s="98">
        <f t="shared" si="46"/>
        <v>141761311.7899999</v>
      </c>
      <c r="H256" s="102">
        <f t="shared" si="41"/>
        <v>590672.13245833281</v>
      </c>
      <c r="I256" s="100">
        <f t="shared" si="43"/>
        <v>-105139639.57758281</v>
      </c>
      <c r="J256" s="98">
        <f t="shared" si="42"/>
        <v>-101595606.78283285</v>
      </c>
      <c r="K256" s="98">
        <f t="shared" si="39"/>
        <v>40165705.007167056</v>
      </c>
      <c r="L256" s="93">
        <f t="shared" si="36"/>
        <v>36621672.212417066</v>
      </c>
      <c r="M256" s="94">
        <f t="shared" si="48"/>
        <v>46166.147816249977</v>
      </c>
      <c r="N256" s="100">
        <f t="shared" si="47"/>
        <v>-7971162.7192725316</v>
      </c>
      <c r="O256" s="98">
        <f t="shared" si="44"/>
        <v>-8248159.6061700322</v>
      </c>
      <c r="P256" s="95">
        <f t="shared" si="40"/>
        <v>31917545.400997024</v>
      </c>
    </row>
    <row r="257" spans="2:16" hidden="1" outlineLevel="1">
      <c r="B257" s="97">
        <v>46295</v>
      </c>
      <c r="D257" s="125"/>
      <c r="E257" s="91">
        <f t="shared" si="37"/>
        <v>52761311.789999977</v>
      </c>
      <c r="F257" s="126">
        <f t="shared" si="38"/>
        <v>141761311.78999987</v>
      </c>
      <c r="G257" s="98">
        <f t="shared" si="46"/>
        <v>141761311.7899999</v>
      </c>
      <c r="H257" s="102">
        <f t="shared" si="41"/>
        <v>590672.13245833281</v>
      </c>
      <c r="I257" s="100">
        <f t="shared" si="43"/>
        <v>-105730311.71004114</v>
      </c>
      <c r="J257" s="98">
        <f t="shared" si="42"/>
        <v>-102186278.91529118</v>
      </c>
      <c r="K257" s="98">
        <f t="shared" si="39"/>
        <v>39575032.874708727</v>
      </c>
      <c r="L257" s="93">
        <f t="shared" si="36"/>
        <v>36031000.079958737</v>
      </c>
      <c r="M257" s="94">
        <f t="shared" si="48"/>
        <v>46166.147816249977</v>
      </c>
      <c r="N257" s="100">
        <f t="shared" si="47"/>
        <v>-7924996.5714562815</v>
      </c>
      <c r="O257" s="98">
        <f t="shared" si="44"/>
        <v>-8201993.458353783</v>
      </c>
      <c r="P257" s="95">
        <f t="shared" si="40"/>
        <v>31373039.416354943</v>
      </c>
    </row>
    <row r="258" spans="2:16" hidden="1" outlineLevel="1">
      <c r="B258" s="97">
        <v>46326</v>
      </c>
      <c r="D258" s="125"/>
      <c r="E258" s="91">
        <f t="shared" si="37"/>
        <v>52761311.789999977</v>
      </c>
      <c r="F258" s="126">
        <f t="shared" si="38"/>
        <v>141761311.78999987</v>
      </c>
      <c r="G258" s="98">
        <f t="shared" si="46"/>
        <v>141761311.7899999</v>
      </c>
      <c r="H258" s="102">
        <f t="shared" si="41"/>
        <v>590672.13245833281</v>
      </c>
      <c r="I258" s="100">
        <f t="shared" si="43"/>
        <v>-106320983.84249946</v>
      </c>
      <c r="J258" s="98">
        <f t="shared" si="42"/>
        <v>-102776951.0477495</v>
      </c>
      <c r="K258" s="98">
        <f t="shared" si="39"/>
        <v>38984360.742250398</v>
      </c>
      <c r="L258" s="93">
        <f t="shared" si="36"/>
        <v>35440327.947500408</v>
      </c>
      <c r="M258" s="94">
        <f t="shared" si="48"/>
        <v>46166.147816249977</v>
      </c>
      <c r="N258" s="100">
        <f t="shared" si="47"/>
        <v>-7878830.4236400314</v>
      </c>
      <c r="O258" s="98">
        <f t="shared" si="44"/>
        <v>-8155827.3105375329</v>
      </c>
      <c r="P258" s="95">
        <f t="shared" si="40"/>
        <v>30828533.431712866</v>
      </c>
    </row>
    <row r="259" spans="2:16" hidden="1" outlineLevel="1">
      <c r="B259" s="97">
        <v>46356</v>
      </c>
      <c r="D259" s="125"/>
      <c r="E259" s="91">
        <f t="shared" si="37"/>
        <v>52761311.789999977</v>
      </c>
      <c r="F259" s="126">
        <f t="shared" si="38"/>
        <v>141761311.78999987</v>
      </c>
      <c r="G259" s="98">
        <f t="shared" si="46"/>
        <v>141761311.7899999</v>
      </c>
      <c r="H259" s="102">
        <f t="shared" si="41"/>
        <v>590672.13245833281</v>
      </c>
      <c r="I259" s="100">
        <f t="shared" si="43"/>
        <v>-106911655.97495779</v>
      </c>
      <c r="J259" s="98">
        <f t="shared" si="42"/>
        <v>-103367623.18020783</v>
      </c>
      <c r="K259" s="98">
        <f t="shared" si="39"/>
        <v>38393688.609792069</v>
      </c>
      <c r="L259" s="93">
        <f t="shared" si="36"/>
        <v>34849655.815042078</v>
      </c>
      <c r="M259" s="94">
        <f t="shared" si="48"/>
        <v>46166.147816249977</v>
      </c>
      <c r="N259" s="100">
        <f t="shared" si="47"/>
        <v>-7832664.2758237813</v>
      </c>
      <c r="O259" s="98">
        <f t="shared" si="44"/>
        <v>-8109661.16272128</v>
      </c>
      <c r="P259" s="95">
        <f t="shared" si="40"/>
        <v>30284027.447070789</v>
      </c>
    </row>
    <row r="260" spans="2:16" hidden="1" outlineLevel="1">
      <c r="B260" s="97">
        <v>46387</v>
      </c>
      <c r="D260" s="125"/>
      <c r="E260" s="91">
        <f t="shared" si="37"/>
        <v>52761311.789999977</v>
      </c>
      <c r="F260" s="126">
        <f t="shared" si="38"/>
        <v>141761311.78999987</v>
      </c>
      <c r="G260" s="98">
        <f t="shared" si="46"/>
        <v>141761311.7899999</v>
      </c>
      <c r="H260" s="102">
        <f t="shared" si="41"/>
        <v>590672.13245833281</v>
      </c>
      <c r="I260" s="100">
        <f t="shared" si="43"/>
        <v>-107502328.10741612</v>
      </c>
      <c r="J260" s="98">
        <f t="shared" si="42"/>
        <v>-103958295.31266616</v>
      </c>
      <c r="K260" s="98">
        <f t="shared" si="39"/>
        <v>37803016.477333739</v>
      </c>
      <c r="L260" s="93">
        <f t="shared" si="36"/>
        <v>34258983.682583749</v>
      </c>
      <c r="M260" s="94">
        <f t="shared" si="48"/>
        <v>46166.147816249977</v>
      </c>
      <c r="N260" s="100">
        <f t="shared" si="47"/>
        <v>-7786498.1280075312</v>
      </c>
      <c r="O260" s="98">
        <f t="shared" si="44"/>
        <v>-8063495.0149050318</v>
      </c>
      <c r="P260" s="95">
        <f t="shared" si="40"/>
        <v>29739521.462428708</v>
      </c>
    </row>
    <row r="261" spans="2:16" hidden="1" outlineLevel="1">
      <c r="B261" s="97">
        <v>46418</v>
      </c>
      <c r="D261" s="125"/>
      <c r="E261" s="91">
        <f t="shared" si="37"/>
        <v>52761311.789999977</v>
      </c>
      <c r="F261" s="126">
        <f t="shared" si="38"/>
        <v>141761311.78999987</v>
      </c>
      <c r="G261" s="98">
        <f t="shared" si="46"/>
        <v>141761311.7899999</v>
      </c>
      <c r="H261" s="102">
        <f t="shared" si="41"/>
        <v>590672.13245833281</v>
      </c>
      <c r="I261" s="100">
        <f t="shared" si="43"/>
        <v>-108093000.23987445</v>
      </c>
      <c r="J261" s="98">
        <f t="shared" si="42"/>
        <v>-104548967.44512449</v>
      </c>
      <c r="K261" s="98">
        <f t="shared" si="39"/>
        <v>37212344.34487541</v>
      </c>
      <c r="L261" s="93">
        <f t="shared" si="36"/>
        <v>33668311.55012542</v>
      </c>
      <c r="M261" s="94">
        <f t="shared" si="48"/>
        <v>46166.147816249977</v>
      </c>
      <c r="N261" s="100">
        <f t="shared" si="47"/>
        <v>-7740331.9801912811</v>
      </c>
      <c r="O261" s="98">
        <f t="shared" si="44"/>
        <v>-8017328.8670887826</v>
      </c>
      <c r="P261" s="95">
        <f t="shared" si="40"/>
        <v>29195015.477786627</v>
      </c>
    </row>
    <row r="262" spans="2:16" hidden="1" outlineLevel="1">
      <c r="B262" s="97">
        <v>46446</v>
      </c>
      <c r="D262" s="125"/>
      <c r="E262" s="91">
        <f t="shared" si="37"/>
        <v>52761311.789999977</v>
      </c>
      <c r="F262" s="126">
        <f t="shared" si="38"/>
        <v>141761311.78999987</v>
      </c>
      <c r="G262" s="98">
        <f t="shared" si="46"/>
        <v>141761311.7899999</v>
      </c>
      <c r="H262" s="102">
        <f t="shared" si="41"/>
        <v>590672.13245833281</v>
      </c>
      <c r="I262" s="100">
        <f t="shared" si="43"/>
        <v>-108683672.37233278</v>
      </c>
      <c r="J262" s="98">
        <f t="shared" si="42"/>
        <v>-105139639.57758282</v>
      </c>
      <c r="K262" s="98">
        <f t="shared" si="39"/>
        <v>36621672.212417081</v>
      </c>
      <c r="L262" s="93">
        <f t="shared" si="36"/>
        <v>33077639.417667091</v>
      </c>
      <c r="M262" s="94">
        <f t="shared" si="48"/>
        <v>46166.147816249977</v>
      </c>
      <c r="N262" s="100">
        <f t="shared" si="47"/>
        <v>-7694165.832375031</v>
      </c>
      <c r="O262" s="98">
        <f t="shared" si="44"/>
        <v>-7971162.7192725316</v>
      </c>
      <c r="P262" s="95">
        <f t="shared" si="40"/>
        <v>28650509.493144549</v>
      </c>
    </row>
    <row r="263" spans="2:16" hidden="1" outlineLevel="1">
      <c r="B263" s="97">
        <v>46477</v>
      </c>
      <c r="D263" s="125"/>
      <c r="E263" s="91">
        <f t="shared" si="37"/>
        <v>52761311.789999977</v>
      </c>
      <c r="F263" s="126">
        <f t="shared" si="38"/>
        <v>141761311.78999987</v>
      </c>
      <c r="G263" s="98">
        <f t="shared" si="46"/>
        <v>141761311.7899999</v>
      </c>
      <c r="H263" s="102">
        <f t="shared" si="41"/>
        <v>590672.13245833281</v>
      </c>
      <c r="I263" s="100">
        <f t="shared" si="43"/>
        <v>-109274344.50479111</v>
      </c>
      <c r="J263" s="98">
        <f t="shared" si="42"/>
        <v>-105730311.71004115</v>
      </c>
      <c r="K263" s="98">
        <f t="shared" si="39"/>
        <v>36031000.079958752</v>
      </c>
      <c r="L263" s="93">
        <f t="shared" si="36"/>
        <v>32486967.285208762</v>
      </c>
      <c r="M263" s="94">
        <f t="shared" si="48"/>
        <v>46166.147816249977</v>
      </c>
      <c r="N263" s="100">
        <f t="shared" si="47"/>
        <v>-7647999.6845587809</v>
      </c>
      <c r="O263" s="98">
        <f t="shared" si="44"/>
        <v>-7924996.5714562805</v>
      </c>
      <c r="P263" s="95">
        <f t="shared" si="40"/>
        <v>28106003.508502472</v>
      </c>
    </row>
    <row r="264" spans="2:16" hidden="1" outlineLevel="1">
      <c r="B264" s="97">
        <v>46507</v>
      </c>
      <c r="D264" s="125"/>
      <c r="E264" s="91">
        <f t="shared" si="37"/>
        <v>52761311.789999977</v>
      </c>
      <c r="F264" s="126">
        <f t="shared" si="38"/>
        <v>141761311.78999987</v>
      </c>
      <c r="G264" s="98">
        <f t="shared" si="46"/>
        <v>141761311.7899999</v>
      </c>
      <c r="H264" s="102">
        <f t="shared" si="41"/>
        <v>590672.13245833281</v>
      </c>
      <c r="I264" s="100">
        <f t="shared" si="43"/>
        <v>-109865016.63724944</v>
      </c>
      <c r="J264" s="98">
        <f t="shared" si="42"/>
        <v>-106320983.84249948</v>
      </c>
      <c r="K264" s="98">
        <f t="shared" si="39"/>
        <v>35440327.947500423</v>
      </c>
      <c r="L264" s="93">
        <f t="shared" si="36"/>
        <v>31896295.152750432</v>
      </c>
      <c r="M264" s="94">
        <f t="shared" si="48"/>
        <v>46166.147816249977</v>
      </c>
      <c r="N264" s="100">
        <f t="shared" si="47"/>
        <v>-7601833.5367425308</v>
      </c>
      <c r="O264" s="98">
        <f t="shared" si="44"/>
        <v>-7878830.4236400314</v>
      </c>
      <c r="P264" s="95">
        <f t="shared" si="40"/>
        <v>27561497.523860391</v>
      </c>
    </row>
    <row r="265" spans="2:16" hidden="1" outlineLevel="1">
      <c r="B265" s="97">
        <v>46538</v>
      </c>
      <c r="D265" s="125"/>
      <c r="E265" s="91">
        <f t="shared" si="37"/>
        <v>52761311.789999977</v>
      </c>
      <c r="F265" s="126">
        <f t="shared" si="38"/>
        <v>141761311.78999987</v>
      </c>
      <c r="G265" s="98">
        <f t="shared" si="46"/>
        <v>141761311.7899999</v>
      </c>
      <c r="H265" s="102">
        <f t="shared" si="41"/>
        <v>590672.13245833281</v>
      </c>
      <c r="I265" s="100">
        <f t="shared" si="43"/>
        <v>-110455688.76970777</v>
      </c>
      <c r="J265" s="98">
        <f t="shared" si="42"/>
        <v>-106911655.97495781</v>
      </c>
      <c r="K265" s="98">
        <f t="shared" si="39"/>
        <v>34849655.815042093</v>
      </c>
      <c r="L265" s="93">
        <f t="shared" si="36"/>
        <v>31305623.020292103</v>
      </c>
      <c r="M265" s="94">
        <f t="shared" si="48"/>
        <v>46166.147816249977</v>
      </c>
      <c r="N265" s="100">
        <f t="shared" si="47"/>
        <v>-7555667.3889262807</v>
      </c>
      <c r="O265" s="98">
        <f t="shared" si="44"/>
        <v>-7832664.2758237831</v>
      </c>
      <c r="P265" s="95">
        <f t="shared" si="40"/>
        <v>27016991.53921831</v>
      </c>
    </row>
    <row r="266" spans="2:16" hidden="1" outlineLevel="1">
      <c r="B266" s="97">
        <v>46568</v>
      </c>
      <c r="D266" s="125"/>
      <c r="E266" s="91">
        <f t="shared" si="37"/>
        <v>52761311.789999977</v>
      </c>
      <c r="F266" s="126">
        <f t="shared" si="38"/>
        <v>141761311.78999987</v>
      </c>
      <c r="G266" s="98">
        <f t="shared" si="46"/>
        <v>141761311.7899999</v>
      </c>
      <c r="H266" s="102">
        <f t="shared" si="41"/>
        <v>590672.13245833281</v>
      </c>
      <c r="I266" s="100">
        <f t="shared" si="43"/>
        <v>-111046360.9021661</v>
      </c>
      <c r="J266" s="98">
        <f t="shared" si="42"/>
        <v>-107502328.10741614</v>
      </c>
      <c r="K266" s="98">
        <f t="shared" si="39"/>
        <v>34258983.682583764</v>
      </c>
      <c r="L266" s="93">
        <f t="shared" si="36"/>
        <v>30714950.887833774</v>
      </c>
      <c r="M266" s="94">
        <f t="shared" si="48"/>
        <v>46166.147816249977</v>
      </c>
      <c r="N266" s="100">
        <f t="shared" si="47"/>
        <v>-7509501.2411100306</v>
      </c>
      <c r="O266" s="98">
        <f t="shared" si="44"/>
        <v>-7786498.1280075321</v>
      </c>
      <c r="P266" s="95">
        <f t="shared" si="40"/>
        <v>26472485.554576233</v>
      </c>
    </row>
    <row r="267" spans="2:16" hidden="1" outlineLevel="1">
      <c r="B267" s="97">
        <v>46599</v>
      </c>
      <c r="D267" s="125"/>
      <c r="E267" s="91">
        <f t="shared" si="37"/>
        <v>52761311.789999977</v>
      </c>
      <c r="F267" s="126">
        <f t="shared" si="38"/>
        <v>141761311.78999987</v>
      </c>
      <c r="G267" s="98">
        <f t="shared" si="46"/>
        <v>141761311.7899999</v>
      </c>
      <c r="H267" s="102">
        <f t="shared" si="41"/>
        <v>590672.13245833281</v>
      </c>
      <c r="I267" s="100">
        <f t="shared" si="43"/>
        <v>-111637033.03462443</v>
      </c>
      <c r="J267" s="98">
        <f t="shared" si="42"/>
        <v>-108093000.23987447</v>
      </c>
      <c r="K267" s="98">
        <f t="shared" si="39"/>
        <v>33668311.550125435</v>
      </c>
      <c r="L267" s="93">
        <f t="shared" si="36"/>
        <v>30124278.755375445</v>
      </c>
      <c r="M267" s="94">
        <f t="shared" si="48"/>
        <v>46166.147816249977</v>
      </c>
      <c r="N267" s="100">
        <f t="shared" si="47"/>
        <v>-7463335.0932937805</v>
      </c>
      <c r="O267" s="98">
        <f t="shared" si="44"/>
        <v>-7740331.9801912801</v>
      </c>
      <c r="P267" s="95">
        <f t="shared" si="40"/>
        <v>25927979.569934156</v>
      </c>
    </row>
    <row r="268" spans="2:16" hidden="1" outlineLevel="1">
      <c r="B268" s="97">
        <v>46630</v>
      </c>
      <c r="D268" s="125"/>
      <c r="E268" s="91">
        <f t="shared" si="37"/>
        <v>52761311.789999977</v>
      </c>
      <c r="F268" s="126">
        <f t="shared" si="38"/>
        <v>141761311.78999987</v>
      </c>
      <c r="G268" s="98">
        <f t="shared" si="46"/>
        <v>141761311.7899999</v>
      </c>
      <c r="H268" s="102">
        <f t="shared" si="41"/>
        <v>590672.13245833281</v>
      </c>
      <c r="I268" s="100">
        <f t="shared" si="43"/>
        <v>-112227705.16708276</v>
      </c>
      <c r="J268" s="98">
        <f t="shared" si="42"/>
        <v>-108683672.3723328</v>
      </c>
      <c r="K268" s="98">
        <f t="shared" si="39"/>
        <v>33077639.417667106</v>
      </c>
      <c r="L268" s="93">
        <f t="shared" si="36"/>
        <v>29533606.622917116</v>
      </c>
      <c r="M268" s="94">
        <f t="shared" si="48"/>
        <v>46166.147816249977</v>
      </c>
      <c r="N268" s="100">
        <f t="shared" si="47"/>
        <v>-7417168.9454775304</v>
      </c>
      <c r="O268" s="98">
        <f t="shared" si="44"/>
        <v>-7694165.832375031</v>
      </c>
      <c r="P268" s="95">
        <f t="shared" si="40"/>
        <v>25383473.585292075</v>
      </c>
    </row>
    <row r="269" spans="2:16" hidden="1" outlineLevel="1">
      <c r="B269" s="97">
        <v>46660</v>
      </c>
      <c r="D269" s="125"/>
      <c r="E269" s="91">
        <f t="shared" si="37"/>
        <v>52761311.789999977</v>
      </c>
      <c r="F269" s="126">
        <f t="shared" si="38"/>
        <v>141761311.78999987</v>
      </c>
      <c r="G269" s="98">
        <f t="shared" si="46"/>
        <v>141761311.7899999</v>
      </c>
      <c r="H269" s="102">
        <f t="shared" si="41"/>
        <v>590672.13245833281</v>
      </c>
      <c r="I269" s="100">
        <f t="shared" si="43"/>
        <v>-112818377.29954109</v>
      </c>
      <c r="J269" s="98">
        <f t="shared" si="42"/>
        <v>-109274344.50479113</v>
      </c>
      <c r="K269" s="98">
        <f t="shared" si="39"/>
        <v>32486967.285208777</v>
      </c>
      <c r="L269" s="93">
        <f t="shared" ref="L269:L316" si="49">F269+I269</f>
        <v>28942934.490458786</v>
      </c>
      <c r="M269" s="94">
        <f t="shared" si="48"/>
        <v>46166.147816249977</v>
      </c>
      <c r="N269" s="100">
        <f t="shared" si="47"/>
        <v>-7371002.7976612803</v>
      </c>
      <c r="O269" s="98">
        <f>(N257+N269+SUM(N258:N268)*2)/24</f>
        <v>-7647999.6845587818</v>
      </c>
      <c r="P269" s="95">
        <f>O269+K269</f>
        <v>24838967.600649994</v>
      </c>
    </row>
    <row r="270" spans="2:16" hidden="1" outlineLevel="1">
      <c r="B270" s="97">
        <v>46691</v>
      </c>
      <c r="D270" s="125"/>
      <c r="E270" s="91">
        <f t="shared" ref="E270:E330" si="50">D270+E269</f>
        <v>52761311.789999977</v>
      </c>
      <c r="F270" s="126">
        <f t="shared" si="38"/>
        <v>141761311.78999987</v>
      </c>
      <c r="G270" s="98">
        <f t="shared" si="46"/>
        <v>141761311.7899999</v>
      </c>
      <c r="H270" s="102">
        <f t="shared" si="41"/>
        <v>590672.13245833281</v>
      </c>
      <c r="I270" s="100">
        <f t="shared" si="43"/>
        <v>-113409049.43199942</v>
      </c>
      <c r="J270" s="98">
        <f t="shared" si="42"/>
        <v>-109865016.63724945</v>
      </c>
      <c r="K270" s="98">
        <f t="shared" si="39"/>
        <v>31896295.152750447</v>
      </c>
      <c r="L270" s="93">
        <f t="shared" si="49"/>
        <v>28352262.358000457</v>
      </c>
      <c r="M270" s="94">
        <f t="shared" si="48"/>
        <v>46166.147816249977</v>
      </c>
      <c r="N270" s="100">
        <f t="shared" si="47"/>
        <v>-7324836.6498450302</v>
      </c>
      <c r="O270" s="98">
        <f t="shared" ref="O270:O318" si="51">(N258+N270+SUM(N259:N269)*2)/24</f>
        <v>-7601833.5367425308</v>
      </c>
      <c r="P270" s="95">
        <f t="shared" ref="P270:P317" si="52">O270+K270</f>
        <v>24294461.616007917</v>
      </c>
    </row>
    <row r="271" spans="2:16" hidden="1" outlineLevel="1">
      <c r="B271" s="97">
        <v>46721</v>
      </c>
      <c r="D271" s="125"/>
      <c r="E271" s="91">
        <f t="shared" si="50"/>
        <v>52761311.789999977</v>
      </c>
      <c r="F271" s="126">
        <f t="shared" ref="F271:F330" si="53">F270+D271</f>
        <v>141761311.78999987</v>
      </c>
      <c r="G271" s="98">
        <f t="shared" si="46"/>
        <v>141761311.7899999</v>
      </c>
      <c r="H271" s="102">
        <f t="shared" si="41"/>
        <v>590672.13245833281</v>
      </c>
      <c r="I271" s="100">
        <f t="shared" si="43"/>
        <v>-113999721.56445774</v>
      </c>
      <c r="J271" s="98">
        <f t="shared" si="42"/>
        <v>-110455688.76970778</v>
      </c>
      <c r="K271" s="98">
        <f t="shared" ref="K271:K318" si="54">G271+J271</f>
        <v>31305623.020292118</v>
      </c>
      <c r="L271" s="93">
        <f t="shared" si="49"/>
        <v>27761590.225542128</v>
      </c>
      <c r="M271" s="94">
        <f t="shared" si="48"/>
        <v>46166.147816249977</v>
      </c>
      <c r="N271" s="100">
        <f t="shared" si="47"/>
        <v>-7278670.5020287801</v>
      </c>
      <c r="O271" s="98">
        <f t="shared" si="51"/>
        <v>-7555667.3889262816</v>
      </c>
      <c r="P271" s="95">
        <f t="shared" si="52"/>
        <v>23749955.631365836</v>
      </c>
    </row>
    <row r="272" spans="2:16" hidden="1" outlineLevel="1">
      <c r="B272" s="97">
        <v>46752</v>
      </c>
      <c r="D272" s="125"/>
      <c r="E272" s="91">
        <f t="shared" si="50"/>
        <v>52761311.789999977</v>
      </c>
      <c r="F272" s="126">
        <f t="shared" si="53"/>
        <v>141761311.78999987</v>
      </c>
      <c r="G272" s="98">
        <f t="shared" si="46"/>
        <v>141761311.7899999</v>
      </c>
      <c r="H272" s="102">
        <f t="shared" ref="H272:H318" si="55">F271/240</f>
        <v>590672.13245833281</v>
      </c>
      <c r="I272" s="100">
        <f t="shared" si="43"/>
        <v>-114590393.69691607</v>
      </c>
      <c r="J272" s="98">
        <f t="shared" si="42"/>
        <v>-111046360.90216611</v>
      </c>
      <c r="K272" s="98">
        <f t="shared" si="54"/>
        <v>30714950.887833789</v>
      </c>
      <c r="L272" s="93">
        <f t="shared" si="49"/>
        <v>27170918.093083799</v>
      </c>
      <c r="M272" s="94">
        <f t="shared" si="48"/>
        <v>46166.147816249977</v>
      </c>
      <c r="N272" s="100">
        <f t="shared" si="47"/>
        <v>-7232504.35421253</v>
      </c>
      <c r="O272" s="98">
        <f t="shared" si="51"/>
        <v>-7509501.2411100306</v>
      </c>
      <c r="P272" s="95">
        <f t="shared" si="52"/>
        <v>23205449.646723758</v>
      </c>
    </row>
    <row r="273" spans="2:16" hidden="1" outlineLevel="1">
      <c r="B273" s="97">
        <v>46783</v>
      </c>
      <c r="D273" s="125"/>
      <c r="E273" s="91">
        <f t="shared" si="50"/>
        <v>52761311.789999977</v>
      </c>
      <c r="F273" s="126">
        <f t="shared" si="53"/>
        <v>141761311.78999987</v>
      </c>
      <c r="G273" s="98">
        <f t="shared" si="46"/>
        <v>141761311.7899999</v>
      </c>
      <c r="H273" s="102">
        <f t="shared" si="55"/>
        <v>590672.13245833281</v>
      </c>
      <c r="I273" s="100">
        <f t="shared" si="43"/>
        <v>-115181065.8293744</v>
      </c>
      <c r="J273" s="98">
        <f t="shared" ref="J273:J317" si="56">(I261+I273+SUM(I262:I272)*2)/24</f>
        <v>-111637033.03462444</v>
      </c>
      <c r="K273" s="98">
        <f t="shared" si="54"/>
        <v>30124278.75537546</v>
      </c>
      <c r="L273" s="93">
        <f t="shared" si="49"/>
        <v>26580245.96062547</v>
      </c>
      <c r="M273" s="94">
        <f t="shared" si="48"/>
        <v>46166.147816249977</v>
      </c>
      <c r="N273" s="100">
        <f t="shared" si="47"/>
        <v>-7186338.2063962799</v>
      </c>
      <c r="O273" s="98">
        <f t="shared" si="51"/>
        <v>-7463335.0932937814</v>
      </c>
      <c r="P273" s="95">
        <f t="shared" si="52"/>
        <v>22660943.662081677</v>
      </c>
    </row>
    <row r="274" spans="2:16" hidden="1" outlineLevel="1">
      <c r="B274" s="97">
        <v>46811</v>
      </c>
      <c r="D274" s="125"/>
      <c r="E274" s="91">
        <f t="shared" si="50"/>
        <v>52761311.789999977</v>
      </c>
      <c r="F274" s="126">
        <f t="shared" si="53"/>
        <v>141761311.78999987</v>
      </c>
      <c r="G274" s="98">
        <f t="shared" si="46"/>
        <v>141761311.7899999</v>
      </c>
      <c r="H274" s="102">
        <f t="shared" si="55"/>
        <v>590672.13245833281</v>
      </c>
      <c r="I274" s="100">
        <f t="shared" ref="I274:I331" si="57">I273-H274</f>
        <v>-115771737.96183273</v>
      </c>
      <c r="J274" s="98">
        <f t="shared" si="56"/>
        <v>-112227705.16708277</v>
      </c>
      <c r="K274" s="98">
        <f t="shared" si="54"/>
        <v>29533606.622917131</v>
      </c>
      <c r="L274" s="93">
        <f t="shared" si="49"/>
        <v>25989573.82816714</v>
      </c>
      <c r="M274" s="94">
        <f t="shared" si="48"/>
        <v>46166.147816249977</v>
      </c>
      <c r="N274" s="100">
        <f t="shared" si="47"/>
        <v>-7140172.0585800298</v>
      </c>
      <c r="O274" s="98">
        <f t="shared" si="51"/>
        <v>-7417168.9454775313</v>
      </c>
      <c r="P274" s="95">
        <f t="shared" si="52"/>
        <v>22116437.6774396</v>
      </c>
    </row>
    <row r="275" spans="2:16" hidden="1" outlineLevel="1">
      <c r="B275" s="97">
        <v>46843</v>
      </c>
      <c r="D275" s="125"/>
      <c r="E275" s="91">
        <f t="shared" si="50"/>
        <v>52761311.789999977</v>
      </c>
      <c r="F275" s="126">
        <f t="shared" si="53"/>
        <v>141761311.78999987</v>
      </c>
      <c r="G275" s="98">
        <f t="shared" si="46"/>
        <v>141761311.7899999</v>
      </c>
      <c r="H275" s="102">
        <f t="shared" si="55"/>
        <v>590672.13245833281</v>
      </c>
      <c r="I275" s="100">
        <f t="shared" si="57"/>
        <v>-116362410.09429106</v>
      </c>
      <c r="J275" s="98">
        <f t="shared" si="56"/>
        <v>-112818377.2995411</v>
      </c>
      <c r="K275" s="98">
        <f t="shared" si="54"/>
        <v>28942934.490458801</v>
      </c>
      <c r="L275" s="93">
        <f t="shared" si="49"/>
        <v>25398901.695708811</v>
      </c>
      <c r="M275" s="94">
        <f t="shared" si="48"/>
        <v>46166.147816249977</v>
      </c>
      <c r="N275" s="100">
        <f t="shared" si="47"/>
        <v>-7094005.9107637797</v>
      </c>
      <c r="O275" s="98">
        <f t="shared" si="51"/>
        <v>-7371002.7976612784</v>
      </c>
      <c r="P275" s="95">
        <f t="shared" si="52"/>
        <v>21571931.692797523</v>
      </c>
    </row>
    <row r="276" spans="2:16" hidden="1" outlineLevel="1">
      <c r="B276" s="97">
        <v>46873</v>
      </c>
      <c r="D276" s="125"/>
      <c r="E276" s="91">
        <f t="shared" si="50"/>
        <v>52761311.789999977</v>
      </c>
      <c r="F276" s="126">
        <f t="shared" si="53"/>
        <v>141761311.78999987</v>
      </c>
      <c r="G276" s="98">
        <f t="shared" si="46"/>
        <v>141761311.7899999</v>
      </c>
      <c r="H276" s="102">
        <f t="shared" si="55"/>
        <v>590672.13245833281</v>
      </c>
      <c r="I276" s="100">
        <f t="shared" si="57"/>
        <v>-116953082.22674939</v>
      </c>
      <c r="J276" s="98">
        <f t="shared" si="56"/>
        <v>-113409049.43199943</v>
      </c>
      <c r="K276" s="98">
        <f t="shared" si="54"/>
        <v>28352262.358000472</v>
      </c>
      <c r="L276" s="93">
        <f t="shared" si="49"/>
        <v>24808229.563250482</v>
      </c>
      <c r="M276" s="94">
        <f t="shared" si="48"/>
        <v>46166.147816249977</v>
      </c>
      <c r="N276" s="100">
        <f t="shared" si="47"/>
        <v>-7047839.7629475296</v>
      </c>
      <c r="O276" s="98">
        <f t="shared" si="51"/>
        <v>-7324836.6498450311</v>
      </c>
      <c r="P276" s="95">
        <f t="shared" si="52"/>
        <v>21027425.708155442</v>
      </c>
    </row>
    <row r="277" spans="2:16" hidden="1" outlineLevel="1">
      <c r="B277" s="97">
        <v>46904</v>
      </c>
      <c r="D277" s="125"/>
      <c r="E277" s="91">
        <f t="shared" si="50"/>
        <v>52761311.789999977</v>
      </c>
      <c r="F277" s="126">
        <f t="shared" si="53"/>
        <v>141761311.78999987</v>
      </c>
      <c r="G277" s="98">
        <f t="shared" si="46"/>
        <v>141761311.7899999</v>
      </c>
      <c r="H277" s="102">
        <f t="shared" si="55"/>
        <v>590672.13245833281</v>
      </c>
      <c r="I277" s="100">
        <f t="shared" si="57"/>
        <v>-117543754.35920772</v>
      </c>
      <c r="J277" s="98">
        <f t="shared" si="56"/>
        <v>-113999721.56445776</v>
      </c>
      <c r="K277" s="98">
        <f t="shared" si="54"/>
        <v>27761590.225542143</v>
      </c>
      <c r="L277" s="93">
        <f t="shared" si="49"/>
        <v>24217557.430792153</v>
      </c>
      <c r="M277" s="94">
        <f t="shared" si="48"/>
        <v>46166.147816249977</v>
      </c>
      <c r="N277" s="100">
        <f t="shared" si="47"/>
        <v>-7001673.6151312795</v>
      </c>
      <c r="O277" s="98">
        <f t="shared" si="51"/>
        <v>-7278670.502028781</v>
      </c>
      <c r="P277" s="95">
        <f t="shared" si="52"/>
        <v>20482919.723513361</v>
      </c>
    </row>
    <row r="278" spans="2:16" hidden="1" outlineLevel="1">
      <c r="B278" s="97">
        <v>46934</v>
      </c>
      <c r="D278" s="125"/>
      <c r="E278" s="91">
        <f t="shared" si="50"/>
        <v>52761311.789999977</v>
      </c>
      <c r="F278" s="126">
        <f t="shared" si="53"/>
        <v>141761311.78999987</v>
      </c>
      <c r="G278" s="98">
        <f t="shared" si="46"/>
        <v>141761311.7899999</v>
      </c>
      <c r="H278" s="102">
        <f t="shared" si="55"/>
        <v>590672.13245833281</v>
      </c>
      <c r="I278" s="100">
        <f t="shared" si="57"/>
        <v>-118134426.49166605</v>
      </c>
      <c r="J278" s="98">
        <f t="shared" si="56"/>
        <v>-114590393.69691609</v>
      </c>
      <c r="K278" s="98">
        <f t="shared" si="54"/>
        <v>27170918.093083814</v>
      </c>
      <c r="L278" s="93">
        <f t="shared" si="49"/>
        <v>23626885.298333824</v>
      </c>
      <c r="M278" s="94">
        <f t="shared" si="48"/>
        <v>46166.147816249977</v>
      </c>
      <c r="N278" s="100">
        <f t="shared" si="47"/>
        <v>-6955507.4673150294</v>
      </c>
      <c r="O278" s="98">
        <f t="shared" si="51"/>
        <v>-7232504.35421253</v>
      </c>
      <c r="P278" s="95">
        <f t="shared" si="52"/>
        <v>19938413.738871284</v>
      </c>
    </row>
    <row r="279" spans="2:16" hidden="1" outlineLevel="1">
      <c r="B279" s="97">
        <v>46965</v>
      </c>
      <c r="D279" s="122"/>
      <c r="E279" s="91">
        <f t="shared" si="50"/>
        <v>52761311.789999977</v>
      </c>
      <c r="F279" s="126">
        <f t="shared" si="53"/>
        <v>141761311.78999987</v>
      </c>
      <c r="G279" s="98">
        <f t="shared" si="46"/>
        <v>141761311.7899999</v>
      </c>
      <c r="H279" s="102">
        <f t="shared" si="55"/>
        <v>590672.13245833281</v>
      </c>
      <c r="I279" s="100">
        <f t="shared" si="57"/>
        <v>-118725098.62412438</v>
      </c>
      <c r="J279" s="98">
        <f t="shared" si="56"/>
        <v>-115181065.82937442</v>
      </c>
      <c r="K279" s="98">
        <f t="shared" si="54"/>
        <v>26580245.960625485</v>
      </c>
      <c r="L279" s="93">
        <f t="shared" si="49"/>
        <v>23036213.165875494</v>
      </c>
      <c r="M279" s="94">
        <f t="shared" si="48"/>
        <v>46166.147816249977</v>
      </c>
      <c r="N279" s="100">
        <f t="shared" si="47"/>
        <v>-6909341.3194987793</v>
      </c>
      <c r="O279" s="98">
        <f t="shared" si="51"/>
        <v>-7186338.2063962808</v>
      </c>
      <c r="P279" s="95">
        <f t="shared" si="52"/>
        <v>19393907.754229203</v>
      </c>
    </row>
    <row r="280" spans="2:16" hidden="1" outlineLevel="1">
      <c r="B280" s="97">
        <v>46996</v>
      </c>
      <c r="D280" s="122"/>
      <c r="E280" s="91">
        <f t="shared" si="50"/>
        <v>52761311.789999977</v>
      </c>
      <c r="F280" s="126">
        <f t="shared" si="53"/>
        <v>141761311.78999987</v>
      </c>
      <c r="G280" s="98">
        <f t="shared" si="46"/>
        <v>141761311.7899999</v>
      </c>
      <c r="H280" s="102">
        <f t="shared" si="55"/>
        <v>590672.13245833281</v>
      </c>
      <c r="I280" s="100">
        <f t="shared" si="57"/>
        <v>-119315770.75658271</v>
      </c>
      <c r="J280" s="98">
        <f t="shared" si="56"/>
        <v>-115771737.96183275</v>
      </c>
      <c r="K280" s="98">
        <f t="shared" si="54"/>
        <v>25989573.828167155</v>
      </c>
      <c r="L280" s="93">
        <f t="shared" si="49"/>
        <v>22445541.033417165</v>
      </c>
      <c r="M280" s="94">
        <f t="shared" si="48"/>
        <v>46166.147816249977</v>
      </c>
      <c r="N280" s="100">
        <f t="shared" si="47"/>
        <v>-6863175.1716825292</v>
      </c>
      <c r="O280" s="98">
        <f t="shared" si="51"/>
        <v>-7140172.0585800298</v>
      </c>
      <c r="P280" s="95">
        <f t="shared" si="52"/>
        <v>18849401.769587126</v>
      </c>
    </row>
    <row r="281" spans="2:16" hidden="1" outlineLevel="1">
      <c r="B281" s="97">
        <v>47026</v>
      </c>
      <c r="D281" s="122"/>
      <c r="E281" s="91">
        <f t="shared" si="50"/>
        <v>52761311.789999977</v>
      </c>
      <c r="F281" s="126">
        <f t="shared" si="53"/>
        <v>141761311.78999987</v>
      </c>
      <c r="G281" s="98">
        <f t="shared" si="46"/>
        <v>141761311.7899999</v>
      </c>
      <c r="H281" s="102">
        <f t="shared" si="55"/>
        <v>590672.13245833281</v>
      </c>
      <c r="I281" s="100">
        <f t="shared" si="57"/>
        <v>-119906442.88904104</v>
      </c>
      <c r="J281" s="98">
        <f t="shared" si="56"/>
        <v>-116362410.09429108</v>
      </c>
      <c r="K281" s="98">
        <f t="shared" si="54"/>
        <v>25398901.695708826</v>
      </c>
      <c r="L281" s="93">
        <f t="shared" si="49"/>
        <v>21854868.900958836</v>
      </c>
      <c r="M281" s="94">
        <f t="shared" ref="M281:M317" si="58">(E281/240*0.21)</f>
        <v>46166.147816249977</v>
      </c>
      <c r="N281" s="100">
        <f t="shared" si="47"/>
        <v>-6817009.0238662791</v>
      </c>
      <c r="O281" s="98">
        <f t="shared" si="51"/>
        <v>-7094005.9107637815</v>
      </c>
      <c r="P281" s="95">
        <f t="shared" si="52"/>
        <v>18304895.784945045</v>
      </c>
    </row>
    <row r="282" spans="2:16" hidden="1" outlineLevel="1">
      <c r="B282" s="97">
        <v>47057</v>
      </c>
      <c r="D282" s="122"/>
      <c r="E282" s="91">
        <f t="shared" si="50"/>
        <v>52761311.789999977</v>
      </c>
      <c r="F282" s="126">
        <f t="shared" si="53"/>
        <v>141761311.78999987</v>
      </c>
      <c r="G282" s="98">
        <f t="shared" ref="G282:G330" si="59">(F270+F282+SUM(F271:F281)*2)/24</f>
        <v>141761311.7899999</v>
      </c>
      <c r="H282" s="102">
        <f t="shared" si="55"/>
        <v>590672.13245833281</v>
      </c>
      <c r="I282" s="100">
        <f t="shared" si="57"/>
        <v>-120497115.02149937</v>
      </c>
      <c r="J282" s="98">
        <f t="shared" si="56"/>
        <v>-116953082.22674941</v>
      </c>
      <c r="K282" s="98">
        <f t="shared" si="54"/>
        <v>24808229.563250497</v>
      </c>
      <c r="L282" s="93">
        <f t="shared" si="49"/>
        <v>21264196.768500507</v>
      </c>
      <c r="M282" s="94">
        <f t="shared" si="58"/>
        <v>46166.147816249977</v>
      </c>
      <c r="N282" s="100">
        <f t="shared" si="47"/>
        <v>-6770842.8760500289</v>
      </c>
      <c r="O282" s="98">
        <f t="shared" si="51"/>
        <v>-7047839.7629475305</v>
      </c>
      <c r="P282" s="95">
        <f t="shared" si="52"/>
        <v>17760389.800302967</v>
      </c>
    </row>
    <row r="283" spans="2:16" hidden="1" outlineLevel="1">
      <c r="B283" s="97">
        <v>47087</v>
      </c>
      <c r="D283" s="122"/>
      <c r="E283" s="91">
        <f t="shared" si="50"/>
        <v>52761311.789999977</v>
      </c>
      <c r="F283" s="126">
        <f t="shared" si="53"/>
        <v>141761311.78999987</v>
      </c>
      <c r="G283" s="98">
        <f t="shared" si="59"/>
        <v>141761311.7899999</v>
      </c>
      <c r="H283" s="102">
        <f t="shared" si="55"/>
        <v>590672.13245833281</v>
      </c>
      <c r="I283" s="100">
        <f t="shared" si="57"/>
        <v>-121087787.15395769</v>
      </c>
      <c r="J283" s="98">
        <f t="shared" si="56"/>
        <v>-117543754.35920773</v>
      </c>
      <c r="K283" s="98">
        <f t="shared" si="54"/>
        <v>24217557.430792168</v>
      </c>
      <c r="L283" s="93">
        <f t="shared" si="49"/>
        <v>20673524.636042178</v>
      </c>
      <c r="M283" s="94">
        <f t="shared" si="58"/>
        <v>46166.147816249977</v>
      </c>
      <c r="N283" s="100">
        <f t="shared" si="47"/>
        <v>-6724676.7282337788</v>
      </c>
      <c r="O283" s="98">
        <f t="shared" si="51"/>
        <v>-7001673.6151312776</v>
      </c>
      <c r="P283" s="95">
        <f t="shared" si="52"/>
        <v>17215883.81566089</v>
      </c>
    </row>
    <row r="284" spans="2:16" hidden="1" outlineLevel="1">
      <c r="B284" s="97">
        <v>47118</v>
      </c>
      <c r="D284" s="122"/>
      <c r="E284" s="91">
        <f t="shared" si="50"/>
        <v>52761311.789999977</v>
      </c>
      <c r="F284" s="126">
        <f t="shared" si="53"/>
        <v>141761311.78999987</v>
      </c>
      <c r="G284" s="98">
        <f t="shared" si="59"/>
        <v>141761311.7899999</v>
      </c>
      <c r="H284" s="102">
        <f t="shared" si="55"/>
        <v>590672.13245833281</v>
      </c>
      <c r="I284" s="100">
        <f t="shared" si="57"/>
        <v>-121678459.28641602</v>
      </c>
      <c r="J284" s="98">
        <f t="shared" si="56"/>
        <v>-118134426.49166606</v>
      </c>
      <c r="K284" s="98">
        <f t="shared" si="54"/>
        <v>23626885.298333839</v>
      </c>
      <c r="L284" s="93">
        <f t="shared" si="49"/>
        <v>20082852.503583848</v>
      </c>
      <c r="M284" s="94">
        <f t="shared" si="58"/>
        <v>46166.147816249977</v>
      </c>
      <c r="N284" s="100">
        <f t="shared" si="47"/>
        <v>-6678510.5804175287</v>
      </c>
      <c r="O284" s="98">
        <f t="shared" si="51"/>
        <v>-6955507.4673150303</v>
      </c>
      <c r="P284" s="95">
        <f t="shared" si="52"/>
        <v>16671377.831018809</v>
      </c>
    </row>
    <row r="285" spans="2:16" hidden="1" outlineLevel="1">
      <c r="B285" s="97">
        <v>47149</v>
      </c>
      <c r="D285" s="122"/>
      <c r="E285" s="91">
        <f t="shared" si="50"/>
        <v>52761311.789999977</v>
      </c>
      <c r="F285" s="126">
        <f t="shared" si="53"/>
        <v>141761311.78999987</v>
      </c>
      <c r="G285" s="98">
        <f t="shared" si="59"/>
        <v>141761311.7899999</v>
      </c>
      <c r="H285" s="102">
        <f t="shared" si="55"/>
        <v>590672.13245833281</v>
      </c>
      <c r="I285" s="100">
        <f t="shared" si="57"/>
        <v>-122269131.41887435</v>
      </c>
      <c r="J285" s="98">
        <f t="shared" si="56"/>
        <v>-118725098.62412439</v>
      </c>
      <c r="K285" s="98">
        <f t="shared" si="54"/>
        <v>23036213.165875509</v>
      </c>
      <c r="L285" s="93">
        <f t="shared" si="49"/>
        <v>19492180.371125519</v>
      </c>
      <c r="M285" s="94">
        <f t="shared" si="58"/>
        <v>46166.147816249977</v>
      </c>
      <c r="N285" s="100">
        <f t="shared" si="47"/>
        <v>-6632344.4326012786</v>
      </c>
      <c r="O285" s="98">
        <f t="shared" si="51"/>
        <v>-6909341.3194987802</v>
      </c>
      <c r="P285" s="95">
        <f t="shared" si="52"/>
        <v>16126871.846376728</v>
      </c>
    </row>
    <row r="286" spans="2:16" hidden="1" outlineLevel="1">
      <c r="B286" s="97">
        <v>47177</v>
      </c>
      <c r="D286" s="122"/>
      <c r="E286" s="91">
        <f t="shared" si="50"/>
        <v>52761311.789999977</v>
      </c>
      <c r="F286" s="126">
        <f t="shared" si="53"/>
        <v>141761311.78999987</v>
      </c>
      <c r="G286" s="98">
        <f t="shared" si="59"/>
        <v>141761311.7899999</v>
      </c>
      <c r="H286" s="102">
        <f t="shared" si="55"/>
        <v>590672.13245833281</v>
      </c>
      <c r="I286" s="100">
        <f t="shared" si="57"/>
        <v>-122859803.55133268</v>
      </c>
      <c r="J286" s="98">
        <f t="shared" si="56"/>
        <v>-119315770.75658272</v>
      </c>
      <c r="K286" s="98">
        <f t="shared" si="54"/>
        <v>22445541.03341718</v>
      </c>
      <c r="L286" s="93">
        <f t="shared" si="49"/>
        <v>18901508.23866719</v>
      </c>
      <c r="M286" s="94">
        <f t="shared" si="58"/>
        <v>46166.147816249977</v>
      </c>
      <c r="N286" s="100">
        <f t="shared" si="47"/>
        <v>-6586178.2847850285</v>
      </c>
      <c r="O286" s="98">
        <f t="shared" si="51"/>
        <v>-6863175.1716825292</v>
      </c>
      <c r="P286" s="95">
        <f t="shared" si="52"/>
        <v>15582365.861734651</v>
      </c>
    </row>
    <row r="287" spans="2:16" hidden="1" outlineLevel="1">
      <c r="B287" s="97">
        <v>47208</v>
      </c>
      <c r="D287" s="122"/>
      <c r="E287" s="91">
        <f t="shared" si="50"/>
        <v>52761311.789999977</v>
      </c>
      <c r="F287" s="126">
        <f t="shared" si="53"/>
        <v>141761311.78999987</v>
      </c>
      <c r="G287" s="98">
        <f t="shared" si="59"/>
        <v>141761311.7899999</v>
      </c>
      <c r="H287" s="102">
        <f t="shared" si="55"/>
        <v>590672.13245833281</v>
      </c>
      <c r="I287" s="100">
        <f t="shared" si="57"/>
        <v>-123450475.68379101</v>
      </c>
      <c r="J287" s="98">
        <f t="shared" si="56"/>
        <v>-119906442.88904102</v>
      </c>
      <c r="K287" s="98">
        <f t="shared" si="54"/>
        <v>21854868.900958881</v>
      </c>
      <c r="L287" s="93">
        <f t="shared" si="49"/>
        <v>18310836.106208861</v>
      </c>
      <c r="M287" s="94">
        <f t="shared" si="58"/>
        <v>46166.147816249977</v>
      </c>
      <c r="N287" s="100">
        <f t="shared" si="47"/>
        <v>-6540012.1369687784</v>
      </c>
      <c r="O287" s="98">
        <f t="shared" si="51"/>
        <v>-6817009.02386628</v>
      </c>
      <c r="P287" s="95">
        <f t="shared" si="52"/>
        <v>15037859.8770926</v>
      </c>
    </row>
    <row r="288" spans="2:16" hidden="1" outlineLevel="1">
      <c r="B288" s="97">
        <v>47238</v>
      </c>
      <c r="D288" s="122"/>
      <c r="E288" s="91">
        <f t="shared" si="50"/>
        <v>52761311.789999977</v>
      </c>
      <c r="F288" s="126">
        <f t="shared" si="53"/>
        <v>141761311.78999987</v>
      </c>
      <c r="G288" s="98">
        <f t="shared" si="59"/>
        <v>141761311.7899999</v>
      </c>
      <c r="H288" s="102">
        <f t="shared" si="55"/>
        <v>590672.13245833281</v>
      </c>
      <c r="I288" s="100">
        <f t="shared" si="57"/>
        <v>-124041147.81624934</v>
      </c>
      <c r="J288" s="98">
        <f t="shared" si="56"/>
        <v>-120497115.02149938</v>
      </c>
      <c r="K288" s="98">
        <f t="shared" si="54"/>
        <v>21264196.768500522</v>
      </c>
      <c r="L288" s="93">
        <f t="shared" si="49"/>
        <v>17720163.973750532</v>
      </c>
      <c r="M288" s="94">
        <f t="shared" si="58"/>
        <v>46166.147816249977</v>
      </c>
      <c r="N288" s="100">
        <f t="shared" si="47"/>
        <v>-6493845.9891525283</v>
      </c>
      <c r="O288" s="98">
        <f t="shared" si="51"/>
        <v>-6770842.8760500289</v>
      </c>
      <c r="P288" s="95">
        <f t="shared" si="52"/>
        <v>14493353.892450493</v>
      </c>
    </row>
    <row r="289" spans="2:16" hidden="1" outlineLevel="1">
      <c r="B289" s="97">
        <v>47269</v>
      </c>
      <c r="D289" s="122"/>
      <c r="E289" s="91">
        <f t="shared" si="50"/>
        <v>52761311.789999977</v>
      </c>
      <c r="F289" s="126">
        <f t="shared" si="53"/>
        <v>141761311.78999987</v>
      </c>
      <c r="G289" s="98">
        <f t="shared" si="59"/>
        <v>141761311.7899999</v>
      </c>
      <c r="H289" s="102">
        <f t="shared" si="55"/>
        <v>590672.13245833281</v>
      </c>
      <c r="I289" s="100">
        <f t="shared" si="57"/>
        <v>-124631819.94870767</v>
      </c>
      <c r="J289" s="98">
        <f t="shared" si="56"/>
        <v>-121087787.15395768</v>
      </c>
      <c r="K289" s="98">
        <f t="shared" si="54"/>
        <v>20673524.636042222</v>
      </c>
      <c r="L289" s="93">
        <f t="shared" si="49"/>
        <v>17129491.841292202</v>
      </c>
      <c r="M289" s="94">
        <f t="shared" si="58"/>
        <v>46166.147816249977</v>
      </c>
      <c r="N289" s="100">
        <f t="shared" si="47"/>
        <v>-6447679.8413362782</v>
      </c>
      <c r="O289" s="98">
        <f t="shared" si="51"/>
        <v>-6724676.7282337798</v>
      </c>
      <c r="P289" s="95">
        <f t="shared" si="52"/>
        <v>13948847.907808442</v>
      </c>
    </row>
    <row r="290" spans="2:16" hidden="1" outlineLevel="1">
      <c r="B290" s="97">
        <v>47299</v>
      </c>
      <c r="D290" s="122"/>
      <c r="E290" s="91">
        <f t="shared" si="50"/>
        <v>52761311.789999977</v>
      </c>
      <c r="F290" s="126">
        <f t="shared" si="53"/>
        <v>141761311.78999987</v>
      </c>
      <c r="G290" s="98">
        <f t="shared" si="59"/>
        <v>141761311.7899999</v>
      </c>
      <c r="H290" s="102">
        <f t="shared" si="55"/>
        <v>590672.13245833281</v>
      </c>
      <c r="I290" s="100">
        <f t="shared" si="57"/>
        <v>-125222492.081166</v>
      </c>
      <c r="J290" s="98">
        <f t="shared" si="56"/>
        <v>-121678459.28641604</v>
      </c>
      <c r="K290" s="98">
        <f t="shared" si="54"/>
        <v>20082852.503583863</v>
      </c>
      <c r="L290" s="93">
        <f t="shared" si="49"/>
        <v>16538819.708833873</v>
      </c>
      <c r="M290" s="94">
        <f t="shared" si="58"/>
        <v>46166.147816249977</v>
      </c>
      <c r="N290" s="100">
        <f t="shared" si="47"/>
        <v>-6401513.6935200281</v>
      </c>
      <c r="O290" s="98">
        <f t="shared" si="51"/>
        <v>-6678510.5804175287</v>
      </c>
      <c r="P290" s="95">
        <f t="shared" si="52"/>
        <v>13404341.923166335</v>
      </c>
    </row>
    <row r="291" spans="2:16" hidden="1" outlineLevel="1">
      <c r="B291" s="97">
        <v>47330</v>
      </c>
      <c r="D291" s="122"/>
      <c r="E291" s="91">
        <f t="shared" si="50"/>
        <v>52761311.789999977</v>
      </c>
      <c r="F291" s="126">
        <f t="shared" si="53"/>
        <v>141761311.78999987</v>
      </c>
      <c r="G291" s="98">
        <f t="shared" si="59"/>
        <v>141761311.7899999</v>
      </c>
      <c r="H291" s="102">
        <f t="shared" si="55"/>
        <v>590672.13245833281</v>
      </c>
      <c r="I291" s="100">
        <f t="shared" si="57"/>
        <v>-125813164.21362433</v>
      </c>
      <c r="J291" s="98">
        <f t="shared" si="56"/>
        <v>-122269131.41887434</v>
      </c>
      <c r="K291" s="98">
        <f t="shared" si="54"/>
        <v>19492180.371125564</v>
      </c>
      <c r="L291" s="93">
        <f t="shared" si="49"/>
        <v>15948147.576375544</v>
      </c>
      <c r="M291" s="94">
        <f t="shared" si="58"/>
        <v>46166.147816249977</v>
      </c>
      <c r="N291" s="100">
        <f t="shared" si="47"/>
        <v>-6355347.545703778</v>
      </c>
      <c r="O291" s="98">
        <f t="shared" si="51"/>
        <v>-6632344.4326012777</v>
      </c>
      <c r="P291" s="95">
        <f t="shared" si="52"/>
        <v>12859835.938524287</v>
      </c>
    </row>
    <row r="292" spans="2:16" hidden="1" outlineLevel="1">
      <c r="B292" s="97">
        <v>47361</v>
      </c>
      <c r="D292" s="122"/>
      <c r="E292" s="91">
        <f t="shared" si="50"/>
        <v>52761311.789999977</v>
      </c>
      <c r="F292" s="126">
        <f t="shared" si="53"/>
        <v>141761311.78999987</v>
      </c>
      <c r="G292" s="98">
        <f t="shared" si="59"/>
        <v>141761311.7899999</v>
      </c>
      <c r="H292" s="102">
        <f t="shared" si="55"/>
        <v>590672.13245833281</v>
      </c>
      <c r="I292" s="100">
        <f t="shared" si="57"/>
        <v>-126403836.34608266</v>
      </c>
      <c r="J292" s="98">
        <f t="shared" si="56"/>
        <v>-122859803.5513327</v>
      </c>
      <c r="K292" s="98">
        <f t="shared" si="54"/>
        <v>18901508.238667205</v>
      </c>
      <c r="L292" s="93">
        <f t="shared" si="49"/>
        <v>15357475.443917215</v>
      </c>
      <c r="M292" s="94">
        <f t="shared" si="58"/>
        <v>46166.147816249977</v>
      </c>
      <c r="N292" s="100">
        <f t="shared" si="47"/>
        <v>-6309181.3978875279</v>
      </c>
      <c r="O292" s="98">
        <f t="shared" si="51"/>
        <v>-6586178.2847850295</v>
      </c>
      <c r="P292" s="95">
        <f t="shared" si="52"/>
        <v>12315329.953882176</v>
      </c>
    </row>
    <row r="293" spans="2:16" hidden="1" outlineLevel="1">
      <c r="B293" s="97">
        <v>47391</v>
      </c>
      <c r="D293" s="122"/>
      <c r="E293" s="91">
        <f t="shared" si="50"/>
        <v>52761311.789999977</v>
      </c>
      <c r="F293" s="126">
        <f t="shared" si="53"/>
        <v>141761311.78999987</v>
      </c>
      <c r="G293" s="98">
        <f t="shared" si="59"/>
        <v>141761311.7899999</v>
      </c>
      <c r="H293" s="102">
        <f t="shared" si="55"/>
        <v>590672.13245833281</v>
      </c>
      <c r="I293" s="100">
        <f t="shared" si="57"/>
        <v>-126994508.47854099</v>
      </c>
      <c r="J293" s="98">
        <f t="shared" si="56"/>
        <v>-123450475.683791</v>
      </c>
      <c r="K293" s="98">
        <f t="shared" si="54"/>
        <v>18310836.106208906</v>
      </c>
      <c r="L293" s="93">
        <f t="shared" si="49"/>
        <v>14766803.311458886</v>
      </c>
      <c r="M293" s="94">
        <f t="shared" si="58"/>
        <v>46166.147816249977</v>
      </c>
      <c r="N293" s="100">
        <f t="shared" si="47"/>
        <v>-6263015.2500712778</v>
      </c>
      <c r="O293" s="98">
        <f t="shared" si="51"/>
        <v>-6540012.1369687775</v>
      </c>
      <c r="P293" s="95">
        <f t="shared" si="52"/>
        <v>11770823.969240129</v>
      </c>
    </row>
    <row r="294" spans="2:16" hidden="1" outlineLevel="1">
      <c r="B294" s="97">
        <v>47422</v>
      </c>
      <c r="D294" s="122"/>
      <c r="E294" s="91">
        <f t="shared" si="50"/>
        <v>52761311.789999977</v>
      </c>
      <c r="F294" s="126">
        <f t="shared" si="53"/>
        <v>141761311.78999987</v>
      </c>
      <c r="G294" s="98">
        <f t="shared" si="59"/>
        <v>141761311.7899999</v>
      </c>
      <c r="H294" s="102">
        <f t="shared" si="55"/>
        <v>590672.13245833281</v>
      </c>
      <c r="I294" s="100">
        <f t="shared" si="57"/>
        <v>-127585180.61099932</v>
      </c>
      <c r="J294" s="98">
        <f t="shared" si="56"/>
        <v>-124041147.81624936</v>
      </c>
      <c r="K294" s="98">
        <f t="shared" si="54"/>
        <v>17720163.973750547</v>
      </c>
      <c r="L294" s="93">
        <f t="shared" si="49"/>
        <v>14176131.179000556</v>
      </c>
      <c r="M294" s="94">
        <f t="shared" si="58"/>
        <v>46166.147816249977</v>
      </c>
      <c r="N294" s="100">
        <f t="shared" si="47"/>
        <v>-6216849.1022550277</v>
      </c>
      <c r="O294" s="98">
        <f t="shared" si="51"/>
        <v>-6493845.9891525283</v>
      </c>
      <c r="P294" s="95">
        <f t="shared" si="52"/>
        <v>11226317.984598018</v>
      </c>
    </row>
    <row r="295" spans="2:16" hidden="1" outlineLevel="1">
      <c r="B295" s="97">
        <v>47452</v>
      </c>
      <c r="D295" s="122"/>
      <c r="E295" s="91">
        <f t="shared" si="50"/>
        <v>52761311.789999977</v>
      </c>
      <c r="F295" s="126">
        <f t="shared" si="53"/>
        <v>141761311.78999987</v>
      </c>
      <c r="G295" s="98">
        <f t="shared" si="59"/>
        <v>141761311.7899999</v>
      </c>
      <c r="H295" s="102">
        <f t="shared" si="55"/>
        <v>590672.13245833281</v>
      </c>
      <c r="I295" s="100">
        <f t="shared" si="57"/>
        <v>-128175852.74345765</v>
      </c>
      <c r="J295" s="98">
        <f t="shared" si="56"/>
        <v>-124631819.94870766</v>
      </c>
      <c r="K295" s="98">
        <f t="shared" si="54"/>
        <v>17129491.841292247</v>
      </c>
      <c r="L295" s="93">
        <f t="shared" si="49"/>
        <v>13585459.046542227</v>
      </c>
      <c r="M295" s="94">
        <f t="shared" si="58"/>
        <v>46166.147816249977</v>
      </c>
      <c r="N295" s="100">
        <f t="shared" si="47"/>
        <v>-6170682.9544387776</v>
      </c>
      <c r="O295" s="98">
        <f t="shared" si="51"/>
        <v>-6447679.8413362792</v>
      </c>
      <c r="P295" s="95">
        <f t="shared" si="52"/>
        <v>10681811.999955967</v>
      </c>
    </row>
    <row r="296" spans="2:16" hidden="1" outlineLevel="1">
      <c r="B296" s="97">
        <v>47483</v>
      </c>
      <c r="D296" s="122"/>
      <c r="E296" s="91">
        <f t="shared" si="50"/>
        <v>52761311.789999977</v>
      </c>
      <c r="F296" s="126">
        <f t="shared" si="53"/>
        <v>141761311.78999987</v>
      </c>
      <c r="G296" s="98">
        <f t="shared" si="59"/>
        <v>141761311.7899999</v>
      </c>
      <c r="H296" s="102">
        <f t="shared" si="55"/>
        <v>590672.13245833281</v>
      </c>
      <c r="I296" s="100">
        <f t="shared" si="57"/>
        <v>-128766524.87591597</v>
      </c>
      <c r="J296" s="98">
        <f t="shared" si="56"/>
        <v>-125222492.08116601</v>
      </c>
      <c r="K296" s="98">
        <f t="shared" si="54"/>
        <v>16538819.708833888</v>
      </c>
      <c r="L296" s="93">
        <f t="shared" si="49"/>
        <v>12994786.914083898</v>
      </c>
      <c r="M296" s="94">
        <f t="shared" si="58"/>
        <v>46166.147816249977</v>
      </c>
      <c r="N296" s="100">
        <f t="shared" si="47"/>
        <v>-6124516.8066225275</v>
      </c>
      <c r="O296" s="98">
        <f t="shared" si="51"/>
        <v>-6401513.6935200281</v>
      </c>
      <c r="P296" s="95">
        <f t="shared" si="52"/>
        <v>10137306.01531386</v>
      </c>
    </row>
    <row r="297" spans="2:16" hidden="1" outlineLevel="1">
      <c r="B297" s="97">
        <v>47514</v>
      </c>
      <c r="D297" s="122"/>
      <c r="E297" s="91">
        <f t="shared" si="50"/>
        <v>52761311.789999977</v>
      </c>
      <c r="F297" s="126">
        <f t="shared" si="53"/>
        <v>141761311.78999987</v>
      </c>
      <c r="G297" s="98">
        <f t="shared" si="59"/>
        <v>141761311.7899999</v>
      </c>
      <c r="H297" s="102">
        <f t="shared" si="55"/>
        <v>590672.13245833281</v>
      </c>
      <c r="I297" s="100">
        <f t="shared" si="57"/>
        <v>-129357197.0083743</v>
      </c>
      <c r="J297" s="98">
        <f t="shared" si="56"/>
        <v>-125813164.21362431</v>
      </c>
      <c r="K297" s="98">
        <f t="shared" si="54"/>
        <v>15948147.576375589</v>
      </c>
      <c r="L297" s="93">
        <f t="shared" si="49"/>
        <v>12404114.781625569</v>
      </c>
      <c r="M297" s="94">
        <f t="shared" si="58"/>
        <v>46166.147816249977</v>
      </c>
      <c r="N297" s="100">
        <f t="shared" si="47"/>
        <v>-6078350.6588062774</v>
      </c>
      <c r="O297" s="98">
        <f t="shared" si="51"/>
        <v>-6355347.5457037799</v>
      </c>
      <c r="P297" s="95">
        <f t="shared" si="52"/>
        <v>9592800.0306718089</v>
      </c>
    </row>
    <row r="298" spans="2:16" hidden="1" outlineLevel="1">
      <c r="B298" s="97">
        <v>47542</v>
      </c>
      <c r="D298" s="122"/>
      <c r="E298" s="91">
        <f t="shared" si="50"/>
        <v>52761311.789999977</v>
      </c>
      <c r="F298" s="126">
        <f t="shared" si="53"/>
        <v>141761311.78999987</v>
      </c>
      <c r="G298" s="98">
        <f t="shared" si="59"/>
        <v>141761311.7899999</v>
      </c>
      <c r="H298" s="102">
        <f t="shared" si="55"/>
        <v>590672.13245833281</v>
      </c>
      <c r="I298" s="100">
        <f t="shared" si="57"/>
        <v>-129947869.14083263</v>
      </c>
      <c r="J298" s="98">
        <f t="shared" si="56"/>
        <v>-126403836.34608267</v>
      </c>
      <c r="K298" s="98">
        <f t="shared" si="54"/>
        <v>15357475.44391723</v>
      </c>
      <c r="L298" s="93">
        <f t="shared" si="49"/>
        <v>11813442.64916724</v>
      </c>
      <c r="M298" s="94">
        <f t="shared" si="58"/>
        <v>46166.147816249977</v>
      </c>
      <c r="N298" s="100">
        <f t="shared" ref="N298:N316" si="60">N297+M298</f>
        <v>-6032184.5109900273</v>
      </c>
      <c r="O298" s="98">
        <f t="shared" si="51"/>
        <v>-6309181.3978875279</v>
      </c>
      <c r="P298" s="95">
        <f t="shared" si="52"/>
        <v>9048294.0460297018</v>
      </c>
    </row>
    <row r="299" spans="2:16" hidden="1" outlineLevel="1">
      <c r="B299" s="97">
        <v>47573</v>
      </c>
      <c r="D299" s="122"/>
      <c r="E299" s="91">
        <f t="shared" si="50"/>
        <v>52761311.789999977</v>
      </c>
      <c r="F299" s="126">
        <f t="shared" si="53"/>
        <v>141761311.78999987</v>
      </c>
      <c r="G299" s="98">
        <f t="shared" si="59"/>
        <v>141761311.7899999</v>
      </c>
      <c r="H299" s="102">
        <f t="shared" si="55"/>
        <v>590672.13245833281</v>
      </c>
      <c r="I299" s="100">
        <f t="shared" si="57"/>
        <v>-130538541.27329096</v>
      </c>
      <c r="J299" s="98">
        <f t="shared" si="56"/>
        <v>-126994508.47854097</v>
      </c>
      <c r="K299" s="98">
        <f t="shared" si="54"/>
        <v>14766803.31145893</v>
      </c>
      <c r="L299" s="93">
        <f t="shared" si="49"/>
        <v>11222770.51670891</v>
      </c>
      <c r="M299" s="94">
        <f t="shared" si="58"/>
        <v>46166.147816249977</v>
      </c>
      <c r="N299" s="100">
        <f t="shared" si="60"/>
        <v>-5986018.3631737772</v>
      </c>
      <c r="O299" s="98">
        <f t="shared" si="51"/>
        <v>-6263015.2500712769</v>
      </c>
      <c r="P299" s="95">
        <f t="shared" si="52"/>
        <v>8503788.0613876544</v>
      </c>
    </row>
    <row r="300" spans="2:16" hidden="1" outlineLevel="1">
      <c r="B300" s="97">
        <v>47603</v>
      </c>
      <c r="D300" s="122"/>
      <c r="E300" s="91">
        <f t="shared" si="50"/>
        <v>52761311.789999977</v>
      </c>
      <c r="F300" s="126">
        <f t="shared" si="53"/>
        <v>141761311.78999987</v>
      </c>
      <c r="G300" s="98">
        <f t="shared" si="59"/>
        <v>141761311.7899999</v>
      </c>
      <c r="H300" s="102">
        <f t="shared" si="55"/>
        <v>590672.13245833281</v>
      </c>
      <c r="I300" s="100">
        <f t="shared" si="57"/>
        <v>-131129213.40574929</v>
      </c>
      <c r="J300" s="98">
        <f t="shared" si="56"/>
        <v>-127585180.61099933</v>
      </c>
      <c r="K300" s="98">
        <f t="shared" si="54"/>
        <v>14176131.179000571</v>
      </c>
      <c r="L300" s="93">
        <f t="shared" si="49"/>
        <v>10632098.384250581</v>
      </c>
      <c r="M300" s="94">
        <f t="shared" si="58"/>
        <v>46166.147816249977</v>
      </c>
      <c r="N300" s="100">
        <f t="shared" si="60"/>
        <v>-5939852.2153575271</v>
      </c>
      <c r="O300" s="98">
        <f t="shared" si="51"/>
        <v>-6216849.1022550287</v>
      </c>
      <c r="P300" s="95">
        <f t="shared" si="52"/>
        <v>7959282.0767455427</v>
      </c>
    </row>
    <row r="301" spans="2:16" hidden="1" outlineLevel="1">
      <c r="B301" s="97">
        <v>47634</v>
      </c>
      <c r="D301" s="122"/>
      <c r="E301" s="91">
        <f t="shared" si="50"/>
        <v>52761311.789999977</v>
      </c>
      <c r="F301" s="126">
        <f t="shared" si="53"/>
        <v>141761311.78999987</v>
      </c>
      <c r="G301" s="98">
        <f t="shared" si="59"/>
        <v>141761311.7899999</v>
      </c>
      <c r="H301" s="102">
        <f t="shared" si="55"/>
        <v>590672.13245833281</v>
      </c>
      <c r="I301" s="100">
        <f t="shared" si="57"/>
        <v>-131719885.53820762</v>
      </c>
      <c r="J301" s="98">
        <f t="shared" si="56"/>
        <v>-128175852.74345763</v>
      </c>
      <c r="K301" s="98">
        <f t="shared" si="54"/>
        <v>13585459.046542272</v>
      </c>
      <c r="L301" s="93">
        <f t="shared" si="49"/>
        <v>10041426.251792252</v>
      </c>
      <c r="M301" s="94">
        <f t="shared" si="58"/>
        <v>46166.147816249977</v>
      </c>
      <c r="N301" s="100">
        <f t="shared" si="60"/>
        <v>-5893686.067541277</v>
      </c>
      <c r="O301" s="98">
        <f t="shared" si="51"/>
        <v>-6170682.9544387786</v>
      </c>
      <c r="P301" s="95">
        <f t="shared" si="52"/>
        <v>7414776.0921034934</v>
      </c>
    </row>
    <row r="302" spans="2:16" hidden="1" outlineLevel="1">
      <c r="B302" s="97">
        <v>47664</v>
      </c>
      <c r="D302" s="122"/>
      <c r="E302" s="91">
        <f t="shared" si="50"/>
        <v>52761311.789999977</v>
      </c>
      <c r="F302" s="126">
        <f t="shared" si="53"/>
        <v>141761311.78999987</v>
      </c>
      <c r="G302" s="98">
        <f t="shared" si="59"/>
        <v>141761311.7899999</v>
      </c>
      <c r="H302" s="102">
        <f t="shared" si="55"/>
        <v>590672.13245833281</v>
      </c>
      <c r="I302" s="100">
        <f t="shared" si="57"/>
        <v>-132310557.67066595</v>
      </c>
      <c r="J302" s="98">
        <f t="shared" si="56"/>
        <v>-128766524.87591599</v>
      </c>
      <c r="K302" s="98">
        <f t="shared" si="54"/>
        <v>12994786.914083913</v>
      </c>
      <c r="L302" s="93">
        <f t="shared" si="49"/>
        <v>9450754.1193339229</v>
      </c>
      <c r="M302" s="94">
        <f t="shared" si="58"/>
        <v>46166.147816249977</v>
      </c>
      <c r="N302" s="100">
        <f t="shared" si="60"/>
        <v>-5847519.9197250269</v>
      </c>
      <c r="O302" s="98">
        <f t="shared" si="51"/>
        <v>-6124516.8066225275</v>
      </c>
      <c r="P302" s="95">
        <f t="shared" si="52"/>
        <v>6870270.1074613854</v>
      </c>
    </row>
    <row r="303" spans="2:16" hidden="1" outlineLevel="1">
      <c r="B303" s="97">
        <v>47695</v>
      </c>
      <c r="D303" s="122"/>
      <c r="E303" s="91">
        <f t="shared" si="50"/>
        <v>52761311.789999977</v>
      </c>
      <c r="F303" s="126">
        <f t="shared" si="53"/>
        <v>141761311.78999987</v>
      </c>
      <c r="G303" s="98">
        <f t="shared" si="59"/>
        <v>141761311.7899999</v>
      </c>
      <c r="H303" s="102">
        <f t="shared" si="55"/>
        <v>590672.13245833281</v>
      </c>
      <c r="I303" s="100">
        <f t="shared" si="57"/>
        <v>-132901229.80312428</v>
      </c>
      <c r="J303" s="98">
        <f t="shared" si="56"/>
        <v>-129357197.00837429</v>
      </c>
      <c r="K303" s="98">
        <f t="shared" si="54"/>
        <v>12404114.781625614</v>
      </c>
      <c r="L303" s="93">
        <f t="shared" si="49"/>
        <v>8860081.9868755937</v>
      </c>
      <c r="M303" s="94">
        <f t="shared" si="58"/>
        <v>46166.147816249977</v>
      </c>
      <c r="N303" s="100">
        <f t="shared" si="60"/>
        <v>-5801353.7719087768</v>
      </c>
      <c r="O303" s="98">
        <f t="shared" si="51"/>
        <v>-6078350.6588062784</v>
      </c>
      <c r="P303" s="95">
        <f t="shared" si="52"/>
        <v>6325764.1228193352</v>
      </c>
    </row>
    <row r="304" spans="2:16" hidden="1" outlineLevel="1">
      <c r="B304" s="97">
        <v>47726</v>
      </c>
      <c r="D304" s="122"/>
      <c r="E304" s="91">
        <f t="shared" si="50"/>
        <v>52761311.789999977</v>
      </c>
      <c r="F304" s="126">
        <f t="shared" si="53"/>
        <v>141761311.78999987</v>
      </c>
      <c r="G304" s="98">
        <f t="shared" si="59"/>
        <v>141761311.7899999</v>
      </c>
      <c r="H304" s="102">
        <f t="shared" si="55"/>
        <v>590672.13245833281</v>
      </c>
      <c r="I304" s="100">
        <f t="shared" si="57"/>
        <v>-133491901.93558261</v>
      </c>
      <c r="J304" s="98">
        <f t="shared" si="56"/>
        <v>-129947869.14083265</v>
      </c>
      <c r="K304" s="98">
        <f t="shared" si="54"/>
        <v>11813442.649167255</v>
      </c>
      <c r="L304" s="93">
        <f t="shared" si="49"/>
        <v>8269409.8544172645</v>
      </c>
      <c r="M304" s="94">
        <f t="shared" si="58"/>
        <v>46166.147816249977</v>
      </c>
      <c r="N304" s="100">
        <f t="shared" si="60"/>
        <v>-5755187.6240925267</v>
      </c>
      <c r="O304" s="98">
        <f t="shared" si="51"/>
        <v>-6032184.5109900273</v>
      </c>
      <c r="P304" s="95">
        <f t="shared" si="52"/>
        <v>5781258.1381772272</v>
      </c>
    </row>
    <row r="305" spans="2:16" hidden="1" outlineLevel="1">
      <c r="B305" s="97">
        <v>47756</v>
      </c>
      <c r="D305" s="122"/>
      <c r="E305" s="91">
        <f t="shared" si="50"/>
        <v>52761311.789999977</v>
      </c>
      <c r="F305" s="126">
        <f t="shared" si="53"/>
        <v>141761311.78999987</v>
      </c>
      <c r="G305" s="98">
        <f t="shared" si="59"/>
        <v>141761311.7899999</v>
      </c>
      <c r="H305" s="102">
        <f t="shared" si="55"/>
        <v>590672.13245833281</v>
      </c>
      <c r="I305" s="100">
        <f t="shared" si="57"/>
        <v>-134082574.06804094</v>
      </c>
      <c r="J305" s="98">
        <f t="shared" si="56"/>
        <v>-130538541.27329095</v>
      </c>
      <c r="K305" s="98">
        <f t="shared" si="54"/>
        <v>11222770.516708955</v>
      </c>
      <c r="L305" s="93">
        <f t="shared" si="49"/>
        <v>7678737.7219589353</v>
      </c>
      <c r="M305" s="94">
        <f t="shared" si="58"/>
        <v>46166.147816249977</v>
      </c>
      <c r="N305" s="100">
        <f t="shared" si="60"/>
        <v>-5709021.4762762766</v>
      </c>
      <c r="O305" s="98">
        <f t="shared" si="51"/>
        <v>-5986018.3631737782</v>
      </c>
      <c r="P305" s="95">
        <f t="shared" si="52"/>
        <v>5236752.153535177</v>
      </c>
    </row>
    <row r="306" spans="2:16" hidden="1" outlineLevel="1">
      <c r="B306" s="97">
        <v>47787</v>
      </c>
      <c r="D306" s="122"/>
      <c r="E306" s="91">
        <f t="shared" si="50"/>
        <v>52761311.789999977</v>
      </c>
      <c r="F306" s="126">
        <f t="shared" si="53"/>
        <v>141761311.78999987</v>
      </c>
      <c r="G306" s="98">
        <f t="shared" si="59"/>
        <v>141761311.7899999</v>
      </c>
      <c r="H306" s="102">
        <f t="shared" si="55"/>
        <v>590672.13245833281</v>
      </c>
      <c r="I306" s="100">
        <f t="shared" si="57"/>
        <v>-134673246.20049927</v>
      </c>
      <c r="J306" s="98">
        <f t="shared" si="56"/>
        <v>-131129213.40574931</v>
      </c>
      <c r="K306" s="98">
        <f t="shared" si="54"/>
        <v>10632098.384250596</v>
      </c>
      <c r="L306" s="93">
        <f t="shared" si="49"/>
        <v>7088065.5895006061</v>
      </c>
      <c r="M306" s="94">
        <f t="shared" si="58"/>
        <v>46166.147816249977</v>
      </c>
      <c r="N306" s="100">
        <f t="shared" si="60"/>
        <v>-5662855.3284600265</v>
      </c>
      <c r="O306" s="98">
        <f t="shared" si="51"/>
        <v>-5939852.2153575271</v>
      </c>
      <c r="P306" s="95">
        <f t="shared" si="52"/>
        <v>4692246.168893069</v>
      </c>
    </row>
    <row r="307" spans="2:16" hidden="1" outlineLevel="1">
      <c r="B307" s="97">
        <v>47817</v>
      </c>
      <c r="D307" s="122"/>
      <c r="E307" s="91">
        <f t="shared" si="50"/>
        <v>52761311.789999977</v>
      </c>
      <c r="F307" s="126">
        <f t="shared" si="53"/>
        <v>141761311.78999987</v>
      </c>
      <c r="G307" s="98">
        <f t="shared" si="59"/>
        <v>141761311.7899999</v>
      </c>
      <c r="H307" s="102">
        <f t="shared" si="55"/>
        <v>590672.13245833281</v>
      </c>
      <c r="I307" s="100">
        <f t="shared" si="57"/>
        <v>-135263918.3329576</v>
      </c>
      <c r="J307" s="98">
        <f t="shared" si="56"/>
        <v>-131719885.53820761</v>
      </c>
      <c r="K307" s="98">
        <f t="shared" si="54"/>
        <v>10041426.251792297</v>
      </c>
      <c r="L307" s="93">
        <f t="shared" si="49"/>
        <v>6497393.4570422769</v>
      </c>
      <c r="M307" s="94">
        <f t="shared" si="58"/>
        <v>46166.147816249977</v>
      </c>
      <c r="N307" s="100">
        <f t="shared" si="60"/>
        <v>-5616689.1806437764</v>
      </c>
      <c r="O307" s="98">
        <f t="shared" si="51"/>
        <v>-5893686.0675412761</v>
      </c>
      <c r="P307" s="95">
        <f t="shared" si="52"/>
        <v>4147740.1842510207</v>
      </c>
    </row>
    <row r="308" spans="2:16" hidden="1" outlineLevel="1">
      <c r="B308" s="97">
        <v>47848</v>
      </c>
      <c r="D308" s="122"/>
      <c r="E308" s="91">
        <f t="shared" si="50"/>
        <v>52761311.789999977</v>
      </c>
      <c r="F308" s="126">
        <f t="shared" si="53"/>
        <v>141761311.78999987</v>
      </c>
      <c r="G308" s="98">
        <f t="shared" si="59"/>
        <v>141761311.7899999</v>
      </c>
      <c r="H308" s="102">
        <f t="shared" si="55"/>
        <v>590672.13245833281</v>
      </c>
      <c r="I308" s="100">
        <f t="shared" si="57"/>
        <v>-135854590.46541592</v>
      </c>
      <c r="J308" s="98">
        <f t="shared" si="56"/>
        <v>-132310557.67066596</v>
      </c>
      <c r="K308" s="98">
        <f t="shared" si="54"/>
        <v>9450754.1193339378</v>
      </c>
      <c r="L308" s="93">
        <f t="shared" si="49"/>
        <v>5906721.3245839477</v>
      </c>
      <c r="M308" s="94">
        <f t="shared" si="58"/>
        <v>46166.147816249977</v>
      </c>
      <c r="N308" s="100">
        <f t="shared" si="60"/>
        <v>-5570523.0328275263</v>
      </c>
      <c r="O308" s="98">
        <f t="shared" si="51"/>
        <v>-5847519.9197250269</v>
      </c>
      <c r="P308" s="95">
        <f t="shared" si="52"/>
        <v>3603234.1996089108</v>
      </c>
    </row>
    <row r="309" spans="2:16" hidden="1" outlineLevel="1">
      <c r="B309" s="97">
        <v>47879</v>
      </c>
      <c r="D309" s="122"/>
      <c r="E309" s="91">
        <f t="shared" si="50"/>
        <v>52761311.789999977</v>
      </c>
      <c r="F309" s="126">
        <f t="shared" si="53"/>
        <v>141761311.78999987</v>
      </c>
      <c r="G309" s="98">
        <f t="shared" si="59"/>
        <v>141761311.7899999</v>
      </c>
      <c r="H309" s="102">
        <f t="shared" si="55"/>
        <v>590672.13245833281</v>
      </c>
      <c r="I309" s="100">
        <f t="shared" si="57"/>
        <v>-136445262.59787425</v>
      </c>
      <c r="J309" s="98">
        <f t="shared" si="56"/>
        <v>-132901229.80312426</v>
      </c>
      <c r="K309" s="98">
        <f t="shared" si="54"/>
        <v>8860081.9868756384</v>
      </c>
      <c r="L309" s="93">
        <f t="shared" si="49"/>
        <v>5316049.1921256185</v>
      </c>
      <c r="M309" s="94">
        <f t="shared" si="58"/>
        <v>46166.147816249977</v>
      </c>
      <c r="N309" s="100">
        <f t="shared" si="60"/>
        <v>-5524356.8850112762</v>
      </c>
      <c r="O309" s="98">
        <f t="shared" si="51"/>
        <v>-5801353.7719087778</v>
      </c>
      <c r="P309" s="95">
        <f t="shared" si="52"/>
        <v>3058728.2149668606</v>
      </c>
    </row>
    <row r="310" spans="2:16" hidden="1" outlineLevel="1">
      <c r="B310" s="97">
        <v>47907</v>
      </c>
      <c r="D310" s="122"/>
      <c r="E310" s="91">
        <f t="shared" si="50"/>
        <v>52761311.789999977</v>
      </c>
      <c r="F310" s="126">
        <f t="shared" si="53"/>
        <v>141761311.78999987</v>
      </c>
      <c r="G310" s="98">
        <f t="shared" si="59"/>
        <v>141761311.7899999</v>
      </c>
      <c r="H310" s="102">
        <f t="shared" si="55"/>
        <v>590672.13245833281</v>
      </c>
      <c r="I310" s="100">
        <f>I309-H310</f>
        <v>-137035934.73033258</v>
      </c>
      <c r="J310" s="98">
        <f t="shared" si="56"/>
        <v>-133491901.93558262</v>
      </c>
      <c r="K310" s="98">
        <f t="shared" si="54"/>
        <v>8269409.8544172794</v>
      </c>
      <c r="L310" s="93">
        <f t="shared" si="49"/>
        <v>4725377.0596672893</v>
      </c>
      <c r="M310" s="94">
        <f t="shared" si="58"/>
        <v>46166.147816249977</v>
      </c>
      <c r="N310" s="100">
        <f t="shared" si="60"/>
        <v>-5478190.7371950261</v>
      </c>
      <c r="O310" s="98">
        <f t="shared" si="51"/>
        <v>-5755187.6240925267</v>
      </c>
      <c r="P310" s="95">
        <f t="shared" si="52"/>
        <v>2514222.2303247526</v>
      </c>
    </row>
    <row r="311" spans="2:16" hidden="1" outlineLevel="1">
      <c r="B311" s="97">
        <v>47938</v>
      </c>
      <c r="D311" s="122"/>
      <c r="E311" s="91">
        <f t="shared" si="50"/>
        <v>52761311.789999977</v>
      </c>
      <c r="F311" s="126">
        <f t="shared" si="53"/>
        <v>141761311.78999987</v>
      </c>
      <c r="G311" s="98">
        <f t="shared" si="59"/>
        <v>141761311.7899999</v>
      </c>
      <c r="H311" s="102">
        <f t="shared" si="55"/>
        <v>590672.13245833281</v>
      </c>
      <c r="I311" s="100">
        <f t="shared" si="57"/>
        <v>-137626606.86279091</v>
      </c>
      <c r="J311" s="98">
        <f t="shared" si="56"/>
        <v>-134082574.06804092</v>
      </c>
      <c r="K311" s="98">
        <f>G311+J311</f>
        <v>7678737.72195898</v>
      </c>
      <c r="L311" s="93">
        <f>F311+I311</f>
        <v>4134704.9272089601</v>
      </c>
      <c r="M311" s="94">
        <f t="shared" si="58"/>
        <v>46166.147816249977</v>
      </c>
      <c r="N311" s="100">
        <f t="shared" si="60"/>
        <v>-5432024.589378776</v>
      </c>
      <c r="O311" s="98">
        <f t="shared" si="51"/>
        <v>-5709021.4762762776</v>
      </c>
      <c r="P311" s="95">
        <f t="shared" si="52"/>
        <v>1969716.2456827024</v>
      </c>
    </row>
    <row r="312" spans="2:16" hidden="1" outlineLevel="1">
      <c r="B312" s="97">
        <v>47968</v>
      </c>
      <c r="D312" s="122"/>
      <c r="E312" s="91">
        <f t="shared" si="50"/>
        <v>52761311.789999977</v>
      </c>
      <c r="F312" s="126">
        <f t="shared" si="53"/>
        <v>141761311.78999987</v>
      </c>
      <c r="G312" s="98">
        <f t="shared" si="59"/>
        <v>141761311.7899999</v>
      </c>
      <c r="H312" s="102">
        <f t="shared" si="55"/>
        <v>590672.13245833281</v>
      </c>
      <c r="I312" s="100">
        <f t="shared" si="57"/>
        <v>-138217278.99524924</v>
      </c>
      <c r="J312" s="98">
        <f t="shared" si="56"/>
        <v>-134673246.20049927</v>
      </c>
      <c r="K312" s="98">
        <f t="shared" si="54"/>
        <v>7088065.5895006359</v>
      </c>
      <c r="L312" s="93">
        <f t="shared" si="49"/>
        <v>3544032.7947506309</v>
      </c>
      <c r="M312" s="94">
        <f t="shared" si="58"/>
        <v>46166.147816249977</v>
      </c>
      <c r="N312" s="100">
        <f t="shared" si="60"/>
        <v>-5385858.4415625259</v>
      </c>
      <c r="O312" s="98">
        <f t="shared" si="51"/>
        <v>-5662855.3284600265</v>
      </c>
      <c r="P312" s="95">
        <f t="shared" si="52"/>
        <v>1425210.2610406093</v>
      </c>
    </row>
    <row r="313" spans="2:16" hidden="1" outlineLevel="1">
      <c r="B313" s="97">
        <v>47999</v>
      </c>
      <c r="D313" s="122"/>
      <c r="E313" s="91">
        <f t="shared" si="50"/>
        <v>52761311.789999977</v>
      </c>
      <c r="F313" s="126">
        <f t="shared" si="53"/>
        <v>141761311.78999987</v>
      </c>
      <c r="G313" s="98">
        <f t="shared" si="59"/>
        <v>141761311.7899999</v>
      </c>
      <c r="H313" s="102">
        <f t="shared" si="55"/>
        <v>590672.13245833281</v>
      </c>
      <c r="I313" s="100">
        <f t="shared" si="57"/>
        <v>-138807951.12770757</v>
      </c>
      <c r="J313" s="98">
        <f t="shared" si="56"/>
        <v>-135263918.3329576</v>
      </c>
      <c r="K313" s="98">
        <f t="shared" si="54"/>
        <v>6497393.4570423067</v>
      </c>
      <c r="L313" s="93">
        <f t="shared" si="49"/>
        <v>2953360.6622923017</v>
      </c>
      <c r="M313" s="94">
        <f t="shared" si="58"/>
        <v>46166.147816249977</v>
      </c>
      <c r="N313" s="100">
        <f t="shared" si="60"/>
        <v>-5339692.2937462758</v>
      </c>
      <c r="O313" s="98">
        <f t="shared" si="51"/>
        <v>-5616689.1806437774</v>
      </c>
      <c r="P313" s="95">
        <f>O313+K313</f>
        <v>880704.2763985293</v>
      </c>
    </row>
    <row r="314" spans="2:16" hidden="1" outlineLevel="1">
      <c r="B314" s="97">
        <v>48029</v>
      </c>
      <c r="D314" s="122"/>
      <c r="E314" s="91">
        <f t="shared" si="50"/>
        <v>52761311.789999977</v>
      </c>
      <c r="F314" s="126">
        <f t="shared" si="53"/>
        <v>141761311.78999987</v>
      </c>
      <c r="G314" s="98">
        <f t="shared" si="59"/>
        <v>141761311.7899999</v>
      </c>
      <c r="H314" s="102">
        <f t="shared" si="55"/>
        <v>590672.13245833281</v>
      </c>
      <c r="I314" s="100">
        <f t="shared" si="57"/>
        <v>-139398623.2601659</v>
      </c>
      <c r="J314" s="98">
        <f>(I302+I314+SUM(I303:I313)*2)/24</f>
        <v>-135854590.46541592</v>
      </c>
      <c r="K314" s="98">
        <f t="shared" si="54"/>
        <v>5906721.3245839775</v>
      </c>
      <c r="L314" s="93">
        <f>F314+I314</f>
        <v>2362688.5298339725</v>
      </c>
      <c r="M314" s="94">
        <f t="shared" si="58"/>
        <v>46166.147816249977</v>
      </c>
      <c r="N314" s="100">
        <f t="shared" si="60"/>
        <v>-5293526.1459300257</v>
      </c>
      <c r="O314" s="98">
        <f t="shared" si="51"/>
        <v>-5570523.0328275273</v>
      </c>
      <c r="P314" s="95">
        <f t="shared" si="52"/>
        <v>336198.2917564502</v>
      </c>
    </row>
    <row r="315" spans="2:16" hidden="1" outlineLevel="1">
      <c r="B315" s="97">
        <v>48060</v>
      </c>
      <c r="D315" s="122"/>
      <c r="E315" s="91">
        <f t="shared" si="50"/>
        <v>52761311.789999977</v>
      </c>
      <c r="F315" s="126">
        <f t="shared" si="53"/>
        <v>141761311.78999987</v>
      </c>
      <c r="G315" s="98">
        <f t="shared" si="59"/>
        <v>141761311.7899999</v>
      </c>
      <c r="H315" s="102">
        <f t="shared" si="55"/>
        <v>590672.13245833281</v>
      </c>
      <c r="I315" s="100">
        <f t="shared" si="57"/>
        <v>-139989295.39262423</v>
      </c>
      <c r="J315" s="98">
        <f t="shared" si="56"/>
        <v>-136445262.59787425</v>
      </c>
      <c r="K315" s="98">
        <f t="shared" si="54"/>
        <v>5316049.1921256483</v>
      </c>
      <c r="L315" s="93">
        <f t="shared" si="49"/>
        <v>1772016.3973756433</v>
      </c>
      <c r="M315" s="94">
        <f t="shared" si="58"/>
        <v>46166.147816249977</v>
      </c>
      <c r="N315" s="100">
        <f t="shared" si="60"/>
        <v>-5247359.9981137756</v>
      </c>
      <c r="O315" s="98">
        <f t="shared" si="51"/>
        <v>-5524356.8850112762</v>
      </c>
      <c r="P315" s="95">
        <f t="shared" si="52"/>
        <v>-208307.69288562797</v>
      </c>
    </row>
    <row r="316" spans="2:16" hidden="1" outlineLevel="1">
      <c r="B316" s="97">
        <v>48091</v>
      </c>
      <c r="D316" s="122"/>
      <c r="E316" s="91">
        <f t="shared" si="50"/>
        <v>52761311.789999977</v>
      </c>
      <c r="F316" s="126">
        <f t="shared" si="53"/>
        <v>141761311.78999987</v>
      </c>
      <c r="G316" s="98">
        <f t="shared" si="59"/>
        <v>141761311.7899999</v>
      </c>
      <c r="H316" s="102">
        <f t="shared" si="55"/>
        <v>590672.13245833281</v>
      </c>
      <c r="I316" s="100">
        <f>I315-H316</f>
        <v>-140579967.52508256</v>
      </c>
      <c r="J316" s="98">
        <f t="shared" si="56"/>
        <v>-137035934.73033258</v>
      </c>
      <c r="K316" s="98">
        <f t="shared" si="54"/>
        <v>4725377.0596673191</v>
      </c>
      <c r="L316" s="93">
        <f t="shared" si="49"/>
        <v>1181344.2649173141</v>
      </c>
      <c r="M316" s="94">
        <f t="shared" si="58"/>
        <v>46166.147816249977</v>
      </c>
      <c r="N316" s="100">
        <f t="shared" si="60"/>
        <v>-5201193.8502975255</v>
      </c>
      <c r="O316" s="98">
        <f t="shared" si="51"/>
        <v>-5478190.7371950261</v>
      </c>
      <c r="P316" s="95">
        <f t="shared" si="52"/>
        <v>-752813.67752770707</v>
      </c>
    </row>
    <row r="317" spans="2:16" hidden="1" outlineLevel="1">
      <c r="B317" s="97">
        <v>48121</v>
      </c>
      <c r="D317" s="122"/>
      <c r="E317" s="91">
        <f t="shared" si="50"/>
        <v>52761311.789999977</v>
      </c>
      <c r="F317" s="126">
        <f t="shared" si="53"/>
        <v>141761311.78999987</v>
      </c>
      <c r="G317" s="98">
        <f t="shared" si="59"/>
        <v>141761311.7899999</v>
      </c>
      <c r="H317" s="102">
        <f t="shared" si="55"/>
        <v>590672.13245833281</v>
      </c>
      <c r="I317" s="100">
        <f t="shared" si="57"/>
        <v>-141170639.65754089</v>
      </c>
      <c r="J317" s="98">
        <f t="shared" si="56"/>
        <v>-137626606.86279091</v>
      </c>
      <c r="K317" s="98">
        <f t="shared" si="54"/>
        <v>4134704.9272089899</v>
      </c>
      <c r="L317" s="93">
        <f>F317+I317</f>
        <v>590672.13245898485</v>
      </c>
      <c r="M317" s="94">
        <f t="shared" si="58"/>
        <v>46166.147816249977</v>
      </c>
      <c r="N317" s="100">
        <f>N316+M317</f>
        <v>-5155027.7024812754</v>
      </c>
      <c r="O317" s="98">
        <f t="shared" si="51"/>
        <v>-5432024.589378776</v>
      </c>
      <c r="P317" s="95">
        <f t="shared" si="52"/>
        <v>-1297319.6621697862</v>
      </c>
    </row>
    <row r="318" spans="2:16" hidden="1" outlineLevel="1">
      <c r="B318" s="97">
        <v>48152</v>
      </c>
      <c r="D318" s="122"/>
      <c r="E318" s="91">
        <f t="shared" si="50"/>
        <v>52761311.789999977</v>
      </c>
      <c r="F318" s="126">
        <f t="shared" si="53"/>
        <v>141761311.78999987</v>
      </c>
      <c r="G318" s="98">
        <f t="shared" si="59"/>
        <v>141761311.7899999</v>
      </c>
      <c r="H318" s="102">
        <f t="shared" si="55"/>
        <v>590672.13245833281</v>
      </c>
      <c r="I318" s="100">
        <f>I317-H318</f>
        <v>-141761311.78999922</v>
      </c>
      <c r="J318" s="98">
        <f>(I306+I318+SUM(I307:I317)*2)/24</f>
        <v>-138217278.99524924</v>
      </c>
      <c r="K318" s="98">
        <f t="shared" si="54"/>
        <v>3544032.7947506607</v>
      </c>
      <c r="L318" s="93">
        <f>F318+I318</f>
        <v>6.5565109252929688E-7</v>
      </c>
      <c r="M318" s="94">
        <f t="shared" ref="M318:M327" si="61">(E318/240*0.21)</f>
        <v>46166.147816249977</v>
      </c>
      <c r="N318" s="100">
        <f>N317+M318</f>
        <v>-5108861.5546650253</v>
      </c>
      <c r="O318" s="98">
        <f t="shared" si="51"/>
        <v>-5385858.4415625269</v>
      </c>
      <c r="P318" s="95">
        <f>O318+K318</f>
        <v>-1841825.6468118662</v>
      </c>
    </row>
    <row r="319" spans="2:16" hidden="1" outlineLevel="1">
      <c r="B319" s="97">
        <v>48182</v>
      </c>
      <c r="D319" s="122"/>
      <c r="E319" s="91">
        <f t="shared" si="50"/>
        <v>52761311.789999977</v>
      </c>
      <c r="F319" s="126">
        <f t="shared" si="53"/>
        <v>141761311.78999987</v>
      </c>
      <c r="G319" s="98">
        <f t="shared" si="59"/>
        <v>141761311.7899999</v>
      </c>
      <c r="H319" s="129">
        <f>L318</f>
        <v>6.5565109252929688E-7</v>
      </c>
      <c r="I319" s="100">
        <f t="shared" si="57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93">
        <f t="shared" ref="L319:L331" si="62">F319+I319</f>
        <v>0</v>
      </c>
      <c r="M319" s="94">
        <f t="shared" si="61"/>
        <v>46166.147816249977</v>
      </c>
      <c r="N319" s="130">
        <f>N318+M319</f>
        <v>-5062695.4068487752</v>
      </c>
      <c r="O319" s="98">
        <f>(N307+N319+SUM(N308:N318)*2)/24</f>
        <v>-5339692.2937462768</v>
      </c>
      <c r="P319" s="95">
        <f>O319+K319</f>
        <v>-2361720.2926015398</v>
      </c>
    </row>
    <row r="320" spans="2:16" hidden="1" outlineLevel="1">
      <c r="B320" s="97">
        <v>48213</v>
      </c>
      <c r="D320" s="122"/>
      <c r="E320" s="91">
        <f t="shared" si="50"/>
        <v>52761311.789999977</v>
      </c>
      <c r="F320" s="126">
        <f t="shared" si="53"/>
        <v>141761311.78999987</v>
      </c>
      <c r="G320" s="98">
        <f t="shared" si="59"/>
        <v>141761311.7899999</v>
      </c>
      <c r="H320" s="129">
        <f>H319</f>
        <v>6.5565109252929688E-7</v>
      </c>
      <c r="I320" s="100">
        <f t="shared" si="57"/>
        <v>-141761311.79000053</v>
      </c>
      <c r="J320" s="98">
        <f t="shared" ref="J320:J331" si="63">(I308+I320+SUM(I309:I319)*2)/24</f>
        <v>-139300177.90475628</v>
      </c>
      <c r="K320" s="98">
        <f t="shared" ref="K320:K330" si="64">G320+J320</f>
        <v>2461133.8852436244</v>
      </c>
      <c r="L320" s="93">
        <f t="shared" si="62"/>
        <v>-6.5565109252929688E-7</v>
      </c>
      <c r="M320" s="94">
        <f t="shared" si="61"/>
        <v>46166.147816249977</v>
      </c>
      <c r="N320" s="130">
        <f t="shared" ref="N320:N331" si="65">N319+M320</f>
        <v>-5016529.2590325251</v>
      </c>
      <c r="O320" s="98">
        <f t="shared" ref="O320:O331" si="66">(N308+N320+SUM(N309:N319)*2)/24</f>
        <v>-5293526.1459300257</v>
      </c>
      <c r="P320" s="95">
        <f t="shared" ref="P320:P330" si="67">O320+K320</f>
        <v>-2832392.2606864013</v>
      </c>
    </row>
    <row r="321" spans="2:16" hidden="1" outlineLevel="1">
      <c r="B321" s="97">
        <v>48244</v>
      </c>
      <c r="D321" s="122"/>
      <c r="E321" s="91">
        <f t="shared" si="50"/>
        <v>52761311.789999977</v>
      </c>
      <c r="F321" s="126">
        <f t="shared" si="53"/>
        <v>141761311.78999987</v>
      </c>
      <c r="G321" s="98">
        <f t="shared" si="59"/>
        <v>141761311.7899999</v>
      </c>
      <c r="H321" s="129">
        <f t="shared" ref="H321:H331" si="68">H320</f>
        <v>6.5565109252929688E-7</v>
      </c>
      <c r="I321" s="100">
        <f t="shared" si="57"/>
        <v>-141761311.79000118</v>
      </c>
      <c r="J321" s="98">
        <f t="shared" si="63"/>
        <v>-139767793.34295261</v>
      </c>
      <c r="K321" s="98">
        <f t="shared" si="64"/>
        <v>1993518.4470472932</v>
      </c>
      <c r="L321" s="93">
        <f t="shared" si="62"/>
        <v>-1.3113021850585938E-6</v>
      </c>
      <c r="M321" s="94">
        <f t="shared" si="61"/>
        <v>46166.147816249977</v>
      </c>
      <c r="N321" s="130">
        <f t="shared" si="65"/>
        <v>-4970363.111216275</v>
      </c>
      <c r="O321" s="98">
        <f t="shared" si="66"/>
        <v>-5247359.9981137747</v>
      </c>
      <c r="P321" s="95">
        <f t="shared" si="67"/>
        <v>-3253841.5510664815</v>
      </c>
    </row>
    <row r="322" spans="2:16" hidden="1" outlineLevel="1">
      <c r="B322" s="97">
        <v>48272</v>
      </c>
      <c r="E322" s="91">
        <f t="shared" si="50"/>
        <v>52761311.789999977</v>
      </c>
      <c r="F322" s="126">
        <f t="shared" si="53"/>
        <v>141761311.78999987</v>
      </c>
      <c r="G322" s="98">
        <f t="shared" si="59"/>
        <v>141761311.7899999</v>
      </c>
      <c r="H322" s="129">
        <f t="shared" si="68"/>
        <v>6.5565109252929688E-7</v>
      </c>
      <c r="I322" s="100">
        <f t="shared" si="57"/>
        <v>-141761311.79000184</v>
      </c>
      <c r="J322" s="98">
        <f t="shared" si="63"/>
        <v>-140186186.1034441</v>
      </c>
      <c r="K322" s="98">
        <f t="shared" si="64"/>
        <v>1575125.6865558028</v>
      </c>
      <c r="L322" s="93">
        <f t="shared" si="62"/>
        <v>-1.9669532775878906E-6</v>
      </c>
      <c r="M322" s="94">
        <f t="shared" si="61"/>
        <v>46166.147816249977</v>
      </c>
      <c r="N322" s="130">
        <f t="shared" si="65"/>
        <v>-4924196.9634000249</v>
      </c>
      <c r="O322" s="98">
        <f t="shared" si="66"/>
        <v>-5201193.8502975265</v>
      </c>
      <c r="P322" s="95">
        <f t="shared" si="67"/>
        <v>-3626068.1637417236</v>
      </c>
    </row>
    <row r="323" spans="2:16" hidden="1" outlineLevel="1">
      <c r="B323" s="97">
        <v>48304</v>
      </c>
      <c r="E323" s="91">
        <f t="shared" si="50"/>
        <v>52761311.789999977</v>
      </c>
      <c r="F323" s="126">
        <f t="shared" si="53"/>
        <v>141761311.78999987</v>
      </c>
      <c r="G323" s="98">
        <f t="shared" si="59"/>
        <v>141761311.7899999</v>
      </c>
      <c r="H323" s="129">
        <f t="shared" si="68"/>
        <v>6.5565109252929688E-7</v>
      </c>
      <c r="I323" s="100">
        <f t="shared" si="57"/>
        <v>-141761311.7900025</v>
      </c>
      <c r="J323" s="98">
        <f t="shared" si="63"/>
        <v>-140555356.18623081</v>
      </c>
      <c r="K323" s="98">
        <f t="shared" si="64"/>
        <v>1205955.6037690938</v>
      </c>
      <c r="L323" s="93">
        <f t="shared" si="62"/>
        <v>-2.6226043701171875E-6</v>
      </c>
      <c r="M323" s="94">
        <f>(E323/240*0.21)</f>
        <v>46166.147816249977</v>
      </c>
      <c r="N323" s="130">
        <f t="shared" si="65"/>
        <v>-4878030.8155837748</v>
      </c>
      <c r="O323" s="98">
        <f t="shared" si="66"/>
        <v>-5155027.7024812754</v>
      </c>
      <c r="P323" s="95">
        <f t="shared" si="67"/>
        <v>-3949072.0987121817</v>
      </c>
    </row>
    <row r="324" spans="2:16" hidden="1" outlineLevel="1">
      <c r="B324" s="97">
        <v>48334</v>
      </c>
      <c r="D324" s="122"/>
      <c r="E324" s="91">
        <f t="shared" si="50"/>
        <v>52761311.789999977</v>
      </c>
      <c r="F324" s="126">
        <f t="shared" si="53"/>
        <v>141761311.78999987</v>
      </c>
      <c r="G324" s="98">
        <f t="shared" si="59"/>
        <v>141761311.7899999</v>
      </c>
      <c r="H324" s="129">
        <f t="shared" si="68"/>
        <v>6.5565109252929688E-7</v>
      </c>
      <c r="I324" s="100">
        <f t="shared" si="57"/>
        <v>-141761311.79000315</v>
      </c>
      <c r="J324" s="98">
        <f t="shared" si="63"/>
        <v>-140875303.59131274</v>
      </c>
      <c r="K324" s="98">
        <f t="shared" si="64"/>
        <v>886008.19868716598</v>
      </c>
      <c r="L324" s="93">
        <f t="shared" si="62"/>
        <v>-3.2782554626464844E-6</v>
      </c>
      <c r="M324" s="94">
        <f t="shared" si="61"/>
        <v>46166.147816249977</v>
      </c>
      <c r="N324" s="130">
        <f t="shared" si="65"/>
        <v>-4831864.6677675247</v>
      </c>
      <c r="O324" s="98">
        <f t="shared" si="66"/>
        <v>-5108861.5546650253</v>
      </c>
      <c r="P324" s="95">
        <f t="shared" si="67"/>
        <v>-4222853.3559778593</v>
      </c>
    </row>
    <row r="325" spans="2:16" hidden="1" outlineLevel="1">
      <c r="B325" s="97">
        <v>48365</v>
      </c>
      <c r="D325" s="122"/>
      <c r="E325" s="91">
        <f t="shared" si="50"/>
        <v>52761311.789999977</v>
      </c>
      <c r="F325" s="126">
        <f t="shared" si="53"/>
        <v>141761311.78999987</v>
      </c>
      <c r="G325" s="98">
        <f t="shared" si="59"/>
        <v>141761311.7899999</v>
      </c>
      <c r="H325" s="129">
        <f t="shared" si="68"/>
        <v>6.5565109252929688E-7</v>
      </c>
      <c r="I325" s="100">
        <f t="shared" si="57"/>
        <v>-141761311.79000381</v>
      </c>
      <c r="J325" s="98">
        <f t="shared" si="63"/>
        <v>-141146028.31868979</v>
      </c>
      <c r="K325" s="98">
        <f t="shared" si="64"/>
        <v>615283.4713101089</v>
      </c>
      <c r="L325" s="93">
        <f t="shared" si="62"/>
        <v>-3.9339065551757813E-6</v>
      </c>
      <c r="M325" s="94">
        <f t="shared" si="61"/>
        <v>46166.147816249977</v>
      </c>
      <c r="N325" s="130">
        <f t="shared" si="65"/>
        <v>-4785698.5199512746</v>
      </c>
      <c r="O325" s="98">
        <f t="shared" si="66"/>
        <v>-5062695.4068487752</v>
      </c>
      <c r="P325" s="95">
        <f t="shared" si="67"/>
        <v>-4447411.9355386663</v>
      </c>
    </row>
    <row r="326" spans="2:16" hidden="1" outlineLevel="1">
      <c r="B326" s="97">
        <v>48395</v>
      </c>
      <c r="D326" s="122"/>
      <c r="E326" s="91">
        <f t="shared" si="50"/>
        <v>52761311.789999977</v>
      </c>
      <c r="F326" s="126">
        <f t="shared" si="53"/>
        <v>141761311.78999987</v>
      </c>
      <c r="G326" s="98">
        <f t="shared" si="59"/>
        <v>141761311.7899999</v>
      </c>
      <c r="H326" s="129">
        <f t="shared" si="68"/>
        <v>6.5565109252929688E-7</v>
      </c>
      <c r="I326" s="100">
        <f t="shared" si="57"/>
        <v>-141761311.79000446</v>
      </c>
      <c r="J326" s="98">
        <f t="shared" si="63"/>
        <v>-141367530.36836207</v>
      </c>
      <c r="K326" s="98">
        <f t="shared" si="64"/>
        <v>393781.42163783312</v>
      </c>
      <c r="L326" s="93">
        <f t="shared" si="62"/>
        <v>-4.5895576477050781E-6</v>
      </c>
      <c r="M326" s="94">
        <f t="shared" si="61"/>
        <v>46166.147816249977</v>
      </c>
      <c r="N326" s="130">
        <f t="shared" si="65"/>
        <v>-4739532.3721350245</v>
      </c>
      <c r="O326" s="98">
        <f t="shared" si="66"/>
        <v>-5016529.2590325261</v>
      </c>
      <c r="P326" s="95">
        <f t="shared" si="67"/>
        <v>-4622747.8373946929</v>
      </c>
    </row>
    <row r="327" spans="2:16" hidden="1" outlineLevel="1">
      <c r="B327" s="97">
        <v>48426</v>
      </c>
      <c r="D327" s="122"/>
      <c r="E327" s="91">
        <f t="shared" si="50"/>
        <v>52761311.789999977</v>
      </c>
      <c r="F327" s="126">
        <f t="shared" si="53"/>
        <v>141761311.78999987</v>
      </c>
      <c r="G327" s="98">
        <f t="shared" si="59"/>
        <v>141761311.7899999</v>
      </c>
      <c r="H327" s="129">
        <f t="shared" si="68"/>
        <v>6.5565109252929688E-7</v>
      </c>
      <c r="I327" s="100">
        <f t="shared" si="57"/>
        <v>-141761311.79000512</v>
      </c>
      <c r="J327" s="98">
        <f t="shared" si="63"/>
        <v>-141539809.74032953</v>
      </c>
      <c r="K327" s="98">
        <f t="shared" si="64"/>
        <v>221502.04967036843</v>
      </c>
      <c r="L327" s="93">
        <f t="shared" si="62"/>
        <v>-5.245208740234375E-6</v>
      </c>
      <c r="M327" s="94">
        <f t="shared" si="61"/>
        <v>46166.147816249977</v>
      </c>
      <c r="N327" s="130">
        <f t="shared" si="65"/>
        <v>-4693366.2243187744</v>
      </c>
      <c r="O327" s="98">
        <f t="shared" si="66"/>
        <v>-4970363.111216276</v>
      </c>
      <c r="P327" s="95">
        <f t="shared" si="67"/>
        <v>-4748861.0615459075</v>
      </c>
    </row>
    <row r="328" spans="2:16" hidden="1" outlineLevel="1">
      <c r="B328" s="97">
        <v>48457</v>
      </c>
      <c r="D328" s="122"/>
      <c r="E328" s="91">
        <f t="shared" si="50"/>
        <v>52761311.789999977</v>
      </c>
      <c r="F328" s="126">
        <f t="shared" si="53"/>
        <v>141761311.78999987</v>
      </c>
      <c r="G328" s="98">
        <f t="shared" si="59"/>
        <v>141761311.7899999</v>
      </c>
      <c r="H328" s="129">
        <f t="shared" si="68"/>
        <v>6.5565109252929688E-7</v>
      </c>
      <c r="I328" s="100">
        <f t="shared" si="57"/>
        <v>-141761311.79000577</v>
      </c>
      <c r="J328" s="98">
        <f t="shared" si="63"/>
        <v>-141662866.43459222</v>
      </c>
      <c r="K328" s="98">
        <f t="shared" si="64"/>
        <v>98445.355407685041</v>
      </c>
      <c r="L328" s="93">
        <f t="shared" si="62"/>
        <v>-5.9008598327636719E-6</v>
      </c>
      <c r="M328" s="95">
        <v>0</v>
      </c>
      <c r="N328" s="130">
        <f t="shared" si="65"/>
        <v>-4693366.2243187744</v>
      </c>
      <c r="O328" s="98">
        <f t="shared" si="66"/>
        <v>-4926120.5528923692</v>
      </c>
      <c r="P328" s="95">
        <f t="shared" si="67"/>
        <v>-4827675.1974846842</v>
      </c>
    </row>
    <row r="329" spans="2:16" hidden="1" outlineLevel="1">
      <c r="B329" s="97">
        <v>48487</v>
      </c>
      <c r="D329" s="122"/>
      <c r="E329" s="91">
        <f t="shared" si="50"/>
        <v>52761311.789999977</v>
      </c>
      <c r="F329" s="126">
        <f t="shared" si="53"/>
        <v>141761311.78999987</v>
      </c>
      <c r="G329" s="98">
        <f t="shared" si="59"/>
        <v>141761311.7899999</v>
      </c>
      <c r="H329" s="129">
        <f t="shared" si="68"/>
        <v>6.5565109252929688E-7</v>
      </c>
      <c r="I329" s="100">
        <f t="shared" si="57"/>
        <v>-141761311.79000643</v>
      </c>
      <c r="J329" s="98">
        <f t="shared" si="63"/>
        <v>-141736700.45115009</v>
      </c>
      <c r="K329" s="98">
        <f t="shared" si="64"/>
        <v>24611.338849812746</v>
      </c>
      <c r="L329" s="93">
        <f t="shared" si="62"/>
        <v>-6.5565109252929688E-6</v>
      </c>
      <c r="M329" s="95">
        <v>0</v>
      </c>
      <c r="N329" s="130">
        <f t="shared" si="65"/>
        <v>-4693366.2243187744</v>
      </c>
      <c r="O329" s="98">
        <f t="shared" si="66"/>
        <v>-4885725.1735531492</v>
      </c>
      <c r="P329" s="95">
        <f>O329+K329</f>
        <v>-4861113.8347033365</v>
      </c>
    </row>
    <row r="330" spans="2:16" hidden="1" outlineLevel="1">
      <c r="B330" s="97">
        <v>48518</v>
      </c>
      <c r="D330" s="122"/>
      <c r="E330" s="91">
        <f t="shared" si="50"/>
        <v>52761311.789999977</v>
      </c>
      <c r="F330" s="126">
        <f t="shared" si="53"/>
        <v>141761311.78999987</v>
      </c>
      <c r="G330" s="98">
        <f t="shared" si="59"/>
        <v>141761311.7899999</v>
      </c>
      <c r="H330" s="129">
        <f t="shared" si="68"/>
        <v>6.5565109252929688E-7</v>
      </c>
      <c r="I330" s="100">
        <f t="shared" si="57"/>
        <v>-141761311.79000708</v>
      </c>
      <c r="J330" s="98">
        <f t="shared" si="63"/>
        <v>-141761311.79000315</v>
      </c>
      <c r="K330" s="98">
        <f t="shared" si="64"/>
        <v>-3.2484531402587891E-6</v>
      </c>
      <c r="L330" s="93">
        <f t="shared" si="62"/>
        <v>-7.2121620178222656E-6</v>
      </c>
      <c r="M330" s="95">
        <v>0</v>
      </c>
      <c r="N330" s="130">
        <f t="shared" si="65"/>
        <v>-4693366.2243187744</v>
      </c>
      <c r="O330" s="98">
        <f t="shared" si="66"/>
        <v>-4849176.9731986187</v>
      </c>
      <c r="P330" s="95">
        <f t="shared" si="67"/>
        <v>-4849176.9732018672</v>
      </c>
    </row>
    <row r="331" spans="2:16" collapsed="1">
      <c r="D331" s="122"/>
      <c r="E331" s="91">
        <f>D331+E330</f>
        <v>52761311.789999977</v>
      </c>
      <c r="F331" s="126">
        <f>F330+D331</f>
        <v>141761311.78999987</v>
      </c>
      <c r="G331" s="98">
        <f>(F319+F331+SUM(F320:F330)*2)/24</f>
        <v>141761311.7899999</v>
      </c>
      <c r="H331" s="129">
        <f t="shared" si="68"/>
        <v>6.5565109252929688E-7</v>
      </c>
      <c r="I331" s="100">
        <f t="shared" si="57"/>
        <v>-141761311.79000774</v>
      </c>
      <c r="J331" s="98">
        <f t="shared" si="63"/>
        <v>-141761311.79000381</v>
      </c>
      <c r="K331" s="98">
        <f>G331+J331</f>
        <v>-3.9041042327880859E-6</v>
      </c>
      <c r="L331" s="93">
        <f t="shared" si="62"/>
        <v>-7.8678131103515625E-6</v>
      </c>
      <c r="M331" s="95">
        <v>0</v>
      </c>
      <c r="N331" s="130">
        <f t="shared" si="65"/>
        <v>-4693366.2243187744</v>
      </c>
      <c r="O331" s="98">
        <f t="shared" si="66"/>
        <v>-4816475.9518287731</v>
      </c>
      <c r="P331" s="95">
        <f>O331+K331</f>
        <v>-4816475.9518326772</v>
      </c>
    </row>
    <row r="332" spans="2:16">
      <c r="D332" s="122"/>
      <c r="E332" s="91"/>
      <c r="F332" s="91"/>
      <c r="G332" s="98"/>
      <c r="H332" s="102"/>
      <c r="I332" s="100"/>
      <c r="J332" s="98"/>
      <c r="K332" s="98"/>
      <c r="L332" s="93"/>
      <c r="M332" s="94"/>
    </row>
    <row r="333" spans="2:16">
      <c r="B333" s="62" t="s">
        <v>174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  <c r="N333" s="100"/>
    </row>
    <row r="334" spans="2:16">
      <c r="B334" s="62" t="s">
        <v>173</v>
      </c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2:16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2:16">
      <c r="D336" s="122"/>
      <c r="E336" s="91"/>
      <c r="F336" s="91"/>
      <c r="G336" s="98"/>
      <c r="H336" s="102"/>
      <c r="I336" s="100"/>
      <c r="J336" s="98"/>
      <c r="K336" s="98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L339" s="93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  <c r="M342" s="94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  <row r="362" spans="4:9">
      <c r="D362" s="122"/>
      <c r="E362" s="91"/>
      <c r="F362" s="91"/>
      <c r="G362" s="98"/>
      <c r="H362" s="102"/>
      <c r="I362" s="100"/>
    </row>
  </sheetData>
  <mergeCells count="1">
    <mergeCell ref="D11:F11"/>
  </mergeCells>
  <printOptions horizontalCentered="1"/>
  <pageMargins left="0" right="0" top="0.75" bottom="0.5" header="0.11" footer="0"/>
  <pageSetup scale="50" orientation="landscape" r:id="rId1"/>
  <headerFooter alignWithMargins="0"/>
  <rowBreaks count="2" manualBreakCount="2">
    <brk id="61" max="18" man="1"/>
    <brk id="13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O322"/>
  <sheetViews>
    <sheetView topLeftCell="A2" zoomScaleNormal="100" workbookViewId="0">
      <pane xSplit="2" ySplit="3" topLeftCell="C119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5" outlineLevelRow="1"/>
  <cols>
    <col min="1" max="1" width="9.42578125" style="174" customWidth="1"/>
    <col min="2" max="2" width="13.85546875" style="174" bestFit="1" customWidth="1"/>
    <col min="3" max="3" width="10.7109375" style="176" customWidth="1"/>
    <col min="4" max="4" width="13.42578125" style="226" bestFit="1" customWidth="1"/>
    <col min="5" max="5" width="13.7109375" style="176" bestFit="1" customWidth="1"/>
    <col min="6" max="6" width="11.28515625" style="203" bestFit="1" customWidth="1"/>
    <col min="7" max="7" width="18.85546875" style="203" bestFit="1" customWidth="1"/>
    <col min="8" max="8" width="19.85546875" style="231" customWidth="1"/>
    <col min="9" max="9" width="17.42578125" style="203" bestFit="1" customWidth="1"/>
    <col min="10" max="10" width="19.42578125" style="203" customWidth="1"/>
    <col min="11" max="11" width="20.42578125" style="174" customWidth="1"/>
    <col min="12" max="12" width="17.28515625" style="174" bestFit="1" customWidth="1"/>
    <col min="13" max="13" width="11.85546875" style="174" bestFit="1" customWidth="1"/>
    <col min="14" max="15" width="18" style="174" bestFit="1" customWidth="1"/>
    <col min="16" max="16384" width="9.28515625" style="174"/>
  </cols>
  <sheetData>
    <row r="1" spans="1:15">
      <c r="A1" s="230" t="s">
        <v>581</v>
      </c>
    </row>
    <row r="2" spans="1:15">
      <c r="B2" s="230"/>
    </row>
    <row r="3" spans="1:15" ht="129.75" customHeight="1">
      <c r="A3" s="232" t="s">
        <v>582</v>
      </c>
      <c r="B3" s="233" t="s">
        <v>645</v>
      </c>
      <c r="C3" s="235" t="s">
        <v>583</v>
      </c>
      <c r="D3" s="236" t="s">
        <v>584</v>
      </c>
      <c r="E3" s="235" t="s">
        <v>585</v>
      </c>
      <c r="F3" s="237" t="s">
        <v>586</v>
      </c>
      <c r="G3" s="238" t="s">
        <v>587</v>
      </c>
      <c r="H3" s="234" t="s">
        <v>588</v>
      </c>
      <c r="I3" s="238" t="s">
        <v>0</v>
      </c>
      <c r="J3" s="239" t="s">
        <v>589</v>
      </c>
      <c r="K3" s="232" t="s">
        <v>590</v>
      </c>
      <c r="L3" s="240"/>
    </row>
    <row r="4" spans="1:15" ht="30">
      <c r="A4" s="241" t="s">
        <v>564</v>
      </c>
      <c r="B4" s="241" t="s">
        <v>565</v>
      </c>
      <c r="C4" s="232" t="s">
        <v>566</v>
      </c>
      <c r="D4" s="242" t="s">
        <v>567</v>
      </c>
      <c r="E4" s="232" t="s">
        <v>591</v>
      </c>
      <c r="F4" s="243" t="s">
        <v>569</v>
      </c>
      <c r="G4" s="243" t="s">
        <v>570</v>
      </c>
      <c r="H4" s="244" t="s">
        <v>571</v>
      </c>
      <c r="I4" s="243" t="s">
        <v>592</v>
      </c>
      <c r="J4" s="243" t="s">
        <v>593</v>
      </c>
      <c r="K4" s="241" t="s">
        <v>594</v>
      </c>
      <c r="L4" s="245"/>
    </row>
    <row r="5" spans="1:15">
      <c r="A5" s="246"/>
      <c r="B5" s="226"/>
      <c r="G5" s="247"/>
      <c r="H5" s="248"/>
      <c r="I5" s="247"/>
      <c r="J5" s="247"/>
      <c r="K5" s="249"/>
      <c r="L5" s="249"/>
    </row>
    <row r="6" spans="1:15" outlineLevel="1">
      <c r="A6" s="246">
        <v>2</v>
      </c>
      <c r="B6" s="226">
        <v>39691</v>
      </c>
      <c r="C6" s="176">
        <f t="shared" ref="C6:C69" si="0">DAY(B6)</f>
        <v>31</v>
      </c>
      <c r="D6" s="226">
        <v>39675</v>
      </c>
      <c r="E6" s="176">
        <f>B6-D6+1</f>
        <v>17</v>
      </c>
      <c r="F6" s="250">
        <v>5.2999999999999999E-2</v>
      </c>
      <c r="G6" s="204">
        <v>500000</v>
      </c>
      <c r="H6" s="251"/>
      <c r="I6" s="204">
        <f t="shared" ref="I6:I11" si="1">(((K5+H6)*C6)+(G6*E6))*(F6/365)</f>
        <v>1234.2465753424658</v>
      </c>
      <c r="J6" s="204">
        <f t="shared" ref="J6:J39" si="2">J5+G6+H6+I6</f>
        <v>501234.24657534249</v>
      </c>
      <c r="K6" s="176">
        <f t="shared" ref="K6:K12" si="3">IF(A6=3,J6,IF(A6=1,J6-I6,J6-I6-I5))</f>
        <v>500000</v>
      </c>
      <c r="L6" s="176"/>
    </row>
    <row r="7" spans="1:15" outlineLevel="1">
      <c r="A7" s="246">
        <v>3</v>
      </c>
      <c r="B7" s="226">
        <v>39721</v>
      </c>
      <c r="C7" s="176">
        <f t="shared" si="0"/>
        <v>30</v>
      </c>
      <c r="F7" s="250">
        <v>5.2999999999999999E-2</v>
      </c>
      <c r="G7" s="204"/>
      <c r="H7" s="251"/>
      <c r="I7" s="204">
        <f t="shared" si="1"/>
        <v>2178.0821917808221</v>
      </c>
      <c r="J7" s="204">
        <f t="shared" si="2"/>
        <v>503412.32876712334</v>
      </c>
      <c r="K7" s="176">
        <f t="shared" si="3"/>
        <v>503412.32876712334</v>
      </c>
      <c r="L7" s="176"/>
    </row>
    <row r="8" spans="1:15" outlineLevel="1">
      <c r="A8" s="246">
        <v>1</v>
      </c>
      <c r="B8" s="226">
        <v>39752</v>
      </c>
      <c r="C8" s="176">
        <f t="shared" si="0"/>
        <v>31</v>
      </c>
      <c r="F8" s="250">
        <v>0.05</v>
      </c>
      <c r="G8" s="204"/>
      <c r="H8" s="251"/>
      <c r="I8" s="204">
        <f t="shared" si="1"/>
        <v>2137.7783824357298</v>
      </c>
      <c r="J8" s="204">
        <f t="shared" si="2"/>
        <v>505550.10714955907</v>
      </c>
      <c r="K8" s="176">
        <f t="shared" si="3"/>
        <v>503412.32876712334</v>
      </c>
      <c r="L8" s="176"/>
    </row>
    <row r="9" spans="1:15" outlineLevel="1">
      <c r="A9" s="246">
        <v>2</v>
      </c>
      <c r="B9" s="226">
        <v>39782</v>
      </c>
      <c r="C9" s="176">
        <f t="shared" si="0"/>
        <v>30</v>
      </c>
      <c r="F9" s="250">
        <v>0.05</v>
      </c>
      <c r="G9" s="204"/>
      <c r="H9" s="251"/>
      <c r="I9" s="204">
        <f t="shared" si="1"/>
        <v>2068.8177894539317</v>
      </c>
      <c r="J9" s="204">
        <f t="shared" si="2"/>
        <v>507618.92493901303</v>
      </c>
      <c r="K9" s="176">
        <f t="shared" si="3"/>
        <v>503412.32876712334</v>
      </c>
      <c r="L9" s="176"/>
    </row>
    <row r="10" spans="1:15" outlineLevel="1">
      <c r="A10" s="246">
        <v>3</v>
      </c>
      <c r="B10" s="226">
        <v>39813</v>
      </c>
      <c r="C10" s="176">
        <f t="shared" si="0"/>
        <v>31</v>
      </c>
      <c r="F10" s="250">
        <v>0.05</v>
      </c>
      <c r="G10" s="204"/>
      <c r="H10" s="251"/>
      <c r="I10" s="204">
        <f t="shared" si="1"/>
        <v>2137.7783824357298</v>
      </c>
      <c r="J10" s="204">
        <f t="shared" si="2"/>
        <v>509756.70332144876</v>
      </c>
      <c r="K10" s="176">
        <f t="shared" si="3"/>
        <v>509756.70332144876</v>
      </c>
      <c r="L10" s="176"/>
    </row>
    <row r="11" spans="1:15" outlineLevel="1">
      <c r="A11" s="246">
        <v>1</v>
      </c>
      <c r="B11" s="226">
        <v>39844</v>
      </c>
      <c r="C11" s="176">
        <f t="shared" si="0"/>
        <v>31</v>
      </c>
      <c r="F11" s="250">
        <v>4.5199999999999997E-2</v>
      </c>
      <c r="G11" s="204"/>
      <c r="H11" s="251"/>
      <c r="I11" s="204">
        <f t="shared" si="1"/>
        <v>1956.9071032712709</v>
      </c>
      <c r="J11" s="204">
        <f t="shared" si="2"/>
        <v>511713.61042472004</v>
      </c>
      <c r="K11" s="176">
        <f t="shared" si="3"/>
        <v>509756.70332144876</v>
      </c>
      <c r="L11" s="176"/>
    </row>
    <row r="12" spans="1:15" outlineLevel="1">
      <c r="A12" s="246">
        <v>2</v>
      </c>
      <c r="B12" s="226">
        <v>39872</v>
      </c>
      <c r="C12" s="176">
        <f t="shared" si="0"/>
        <v>28</v>
      </c>
      <c r="D12" s="226">
        <v>39867</v>
      </c>
      <c r="E12" s="176">
        <f>B12-D12+1</f>
        <v>6</v>
      </c>
      <c r="F12" s="250">
        <v>4.5199999999999997E-2</v>
      </c>
      <c r="G12" s="252">
        <v>6600000</v>
      </c>
      <c r="H12" s="251"/>
      <c r="I12" s="204">
        <v>0</v>
      </c>
      <c r="J12" s="204">
        <f t="shared" si="2"/>
        <v>7111713.6104247198</v>
      </c>
      <c r="K12" s="176">
        <f t="shared" si="3"/>
        <v>7109756.7033214485</v>
      </c>
      <c r="L12" s="176"/>
    </row>
    <row r="13" spans="1:15" outlineLevel="1">
      <c r="A13" s="246">
        <v>2</v>
      </c>
      <c r="B13" s="226">
        <v>39872</v>
      </c>
      <c r="C13" s="176">
        <f t="shared" si="0"/>
        <v>28</v>
      </c>
      <c r="D13" s="226">
        <v>39868</v>
      </c>
      <c r="E13" s="176">
        <f>B13-D13+1</f>
        <v>5</v>
      </c>
      <c r="F13" s="250">
        <v>4.5199999999999997E-2</v>
      </c>
      <c r="G13" s="252">
        <v>6600000</v>
      </c>
      <c r="H13" s="251"/>
      <c r="I13" s="204">
        <f>(((K11+H13)*C13)+(G13*E13)+(G12*E12))*(F13/365)</f>
        <v>10757.99474992774</v>
      </c>
      <c r="J13" s="204">
        <f t="shared" si="2"/>
        <v>13722471.605174648</v>
      </c>
      <c r="K13" s="176">
        <f>IF(A13=3,J13,IF(A13=1,J13-I13,J13-I13-I12-I11))</f>
        <v>13709756.703321448</v>
      </c>
      <c r="L13" s="176"/>
      <c r="N13" s="214"/>
      <c r="O13" s="249"/>
    </row>
    <row r="14" spans="1:15" outlineLevel="1">
      <c r="A14" s="246">
        <v>3</v>
      </c>
      <c r="B14" s="226">
        <v>39903</v>
      </c>
      <c r="C14" s="176">
        <f t="shared" si="0"/>
        <v>31</v>
      </c>
      <c r="F14" s="250">
        <v>4.5199999999999997E-2</v>
      </c>
      <c r="G14" s="204"/>
      <c r="H14" s="251"/>
      <c r="I14" s="204">
        <f>(((K13+H14)*C14)+(G14*E14))*(F14/365)</f>
        <v>52630.441349846602</v>
      </c>
      <c r="J14" s="204">
        <f t="shared" si="2"/>
        <v>13775102.046524495</v>
      </c>
      <c r="K14" s="176">
        <f t="shared" ref="K14:K28" si="4">IF(A14=3,J14,IF(A14=1,J14-I14,J14-I14-I13))</f>
        <v>13775102.046524495</v>
      </c>
      <c r="L14" s="176"/>
    </row>
    <row r="15" spans="1:15" outlineLevel="1">
      <c r="A15" s="246">
        <v>1</v>
      </c>
      <c r="B15" s="226">
        <v>39933</v>
      </c>
      <c r="C15" s="176">
        <f t="shared" si="0"/>
        <v>30</v>
      </c>
      <c r="F15" s="250">
        <v>3.3700000000000001E-2</v>
      </c>
      <c r="G15" s="204"/>
      <c r="H15" s="251"/>
      <c r="I15" s="204">
        <f>(((K14+H15)*C15)+(G15*E15))*(F15/365)</f>
        <v>38155.145668592508</v>
      </c>
      <c r="J15" s="204">
        <f t="shared" si="2"/>
        <v>13813257.192193087</v>
      </c>
      <c r="K15" s="176">
        <f t="shared" si="4"/>
        <v>13775102.046524495</v>
      </c>
      <c r="L15" s="176"/>
    </row>
    <row r="16" spans="1:15" outlineLevel="1">
      <c r="A16" s="246">
        <v>2</v>
      </c>
      <c r="B16" s="226">
        <v>39964</v>
      </c>
      <c r="C16" s="176">
        <f t="shared" si="0"/>
        <v>31</v>
      </c>
      <c r="F16" s="250">
        <v>3.3700000000000001E-2</v>
      </c>
      <c r="G16" s="204"/>
      <c r="H16" s="251"/>
      <c r="I16" s="204">
        <f t="shared" ref="I16:I26" si="5">(((K15+H16)*C16)+(G16*E16))*(F16/365)</f>
        <v>39426.983857545587</v>
      </c>
      <c r="J16" s="204">
        <f t="shared" si="2"/>
        <v>13852684.176050633</v>
      </c>
      <c r="K16" s="176">
        <f t="shared" si="4"/>
        <v>13775102.046524495</v>
      </c>
      <c r="L16" s="176"/>
    </row>
    <row r="17" spans="1:12" outlineLevel="1">
      <c r="A17" s="246">
        <v>3</v>
      </c>
      <c r="B17" s="226">
        <v>39994</v>
      </c>
      <c r="C17" s="176">
        <f t="shared" si="0"/>
        <v>30</v>
      </c>
      <c r="D17" s="226">
        <v>39966</v>
      </c>
      <c r="E17" s="176">
        <f>B17-D17+1</f>
        <v>29</v>
      </c>
      <c r="F17" s="250">
        <v>3.3700000000000001E-2</v>
      </c>
      <c r="G17" s="204">
        <v>3500000</v>
      </c>
      <c r="H17" s="251"/>
      <c r="I17" s="204">
        <f t="shared" si="5"/>
        <v>47526.515531606208</v>
      </c>
      <c r="J17" s="204">
        <f t="shared" si="2"/>
        <v>17400210.69158224</v>
      </c>
      <c r="K17" s="176">
        <f t="shared" si="4"/>
        <v>17400210.69158224</v>
      </c>
      <c r="L17" s="176"/>
    </row>
    <row r="18" spans="1:12" outlineLevel="1">
      <c r="A18" s="246">
        <v>1</v>
      </c>
      <c r="B18" s="226">
        <v>40025</v>
      </c>
      <c r="C18" s="176">
        <f t="shared" si="0"/>
        <v>31</v>
      </c>
      <c r="F18" s="250">
        <v>3.2500000000000001E-2</v>
      </c>
      <c r="G18" s="204"/>
      <c r="H18" s="251"/>
      <c r="I18" s="204">
        <f t="shared" si="5"/>
        <v>48029.348689778381</v>
      </c>
      <c r="J18" s="204">
        <f t="shared" si="2"/>
        <v>17448240.04027202</v>
      </c>
      <c r="K18" s="176">
        <f t="shared" si="4"/>
        <v>17400210.69158224</v>
      </c>
      <c r="L18" s="176"/>
    </row>
    <row r="19" spans="1:12" outlineLevel="1">
      <c r="A19" s="246">
        <v>2</v>
      </c>
      <c r="B19" s="226">
        <v>40056</v>
      </c>
      <c r="C19" s="176">
        <f t="shared" si="0"/>
        <v>31</v>
      </c>
      <c r="D19" s="226">
        <v>40056</v>
      </c>
      <c r="E19" s="176">
        <f>B19-D19+1</f>
        <v>1</v>
      </c>
      <c r="F19" s="250">
        <v>3.2500000000000001E-2</v>
      </c>
      <c r="G19" s="204">
        <v>10500000</v>
      </c>
      <c r="H19" s="251"/>
      <c r="I19" s="204">
        <f t="shared" si="5"/>
        <v>48964.280196627697</v>
      </c>
      <c r="J19" s="204">
        <f t="shared" si="2"/>
        <v>27997204.320468649</v>
      </c>
      <c r="K19" s="176">
        <f t="shared" si="4"/>
        <v>27900210.69158224</v>
      </c>
      <c r="L19" s="176"/>
    </row>
    <row r="20" spans="1:12" outlineLevel="1">
      <c r="A20" s="246">
        <v>3</v>
      </c>
      <c r="B20" s="226">
        <v>40086</v>
      </c>
      <c r="C20" s="176">
        <f t="shared" si="0"/>
        <v>30</v>
      </c>
      <c r="D20" s="226">
        <v>40086</v>
      </c>
      <c r="E20" s="176">
        <f>B20-D20+1</f>
        <v>1</v>
      </c>
      <c r="F20" s="250">
        <v>3.2500000000000001E-2</v>
      </c>
      <c r="G20" s="204">
        <v>10500000</v>
      </c>
      <c r="H20" s="251"/>
      <c r="I20" s="204">
        <f t="shared" si="5"/>
        <v>75462.891573404602</v>
      </c>
      <c r="J20" s="204">
        <f t="shared" si="2"/>
        <v>38572667.212042056</v>
      </c>
      <c r="K20" s="176">
        <f t="shared" si="4"/>
        <v>38572667.212042056</v>
      </c>
      <c r="L20" s="176"/>
    </row>
    <row r="21" spans="1:12" outlineLevel="1">
      <c r="A21" s="246">
        <v>1</v>
      </c>
      <c r="B21" s="226">
        <v>40117</v>
      </c>
      <c r="C21" s="176">
        <f t="shared" si="0"/>
        <v>31</v>
      </c>
      <c r="F21" s="250">
        <v>3.2500000000000001E-2</v>
      </c>
      <c r="G21" s="204"/>
      <c r="H21" s="251"/>
      <c r="I21" s="204">
        <f t="shared" si="5"/>
        <v>106471.12935926676</v>
      </c>
      <c r="J21" s="204">
        <f t="shared" si="2"/>
        <v>38679138.341401324</v>
      </c>
      <c r="K21" s="176">
        <f t="shared" si="4"/>
        <v>38572667.212042056</v>
      </c>
      <c r="L21" s="176"/>
    </row>
    <row r="22" spans="1:12" outlineLevel="1">
      <c r="A22" s="246">
        <v>2</v>
      </c>
      <c r="B22" s="226">
        <v>40147</v>
      </c>
      <c r="C22" s="176">
        <f t="shared" si="0"/>
        <v>30</v>
      </c>
      <c r="F22" s="250">
        <v>3.2500000000000001E-2</v>
      </c>
      <c r="G22" s="204"/>
      <c r="H22" s="251"/>
      <c r="I22" s="204">
        <f t="shared" si="5"/>
        <v>103036.57679929041</v>
      </c>
      <c r="J22" s="204">
        <f t="shared" si="2"/>
        <v>38782174.918200612</v>
      </c>
      <c r="K22" s="176">
        <f t="shared" si="4"/>
        <v>38572667.212042056</v>
      </c>
      <c r="L22" s="176"/>
    </row>
    <row r="23" spans="1:12" outlineLevel="1">
      <c r="A23" s="246">
        <v>3</v>
      </c>
      <c r="B23" s="226">
        <v>40178</v>
      </c>
      <c r="C23" s="176">
        <f t="shared" si="0"/>
        <v>31</v>
      </c>
      <c r="F23" s="250">
        <v>3.2500000000000001E-2</v>
      </c>
      <c r="G23" s="204"/>
      <c r="H23" s="251"/>
      <c r="I23" s="204">
        <f t="shared" si="5"/>
        <v>106471.12935926676</v>
      </c>
      <c r="J23" s="204">
        <f t="shared" si="2"/>
        <v>38888646.04755988</v>
      </c>
      <c r="K23" s="176">
        <f t="shared" si="4"/>
        <v>38888646.04755988</v>
      </c>
      <c r="L23" s="176"/>
    </row>
    <row r="24" spans="1:12" outlineLevel="1">
      <c r="A24" s="246">
        <v>1</v>
      </c>
      <c r="B24" s="226">
        <v>40209</v>
      </c>
      <c r="C24" s="176">
        <f t="shared" si="0"/>
        <v>31</v>
      </c>
      <c r="F24" s="250">
        <v>3.2500000000000001E-2</v>
      </c>
      <c r="G24" s="204"/>
      <c r="H24" s="251"/>
      <c r="I24" s="204">
        <f t="shared" si="5"/>
        <v>107343.31751483993</v>
      </c>
      <c r="J24" s="204">
        <f t="shared" si="2"/>
        <v>38995989.365074717</v>
      </c>
      <c r="K24" s="176">
        <f t="shared" si="4"/>
        <v>38888646.04755988</v>
      </c>
      <c r="L24" s="176"/>
    </row>
    <row r="25" spans="1:12" outlineLevel="1">
      <c r="A25" s="246">
        <v>2</v>
      </c>
      <c r="B25" s="226">
        <v>40237</v>
      </c>
      <c r="C25" s="176">
        <f t="shared" si="0"/>
        <v>28</v>
      </c>
      <c r="F25" s="250">
        <v>3.2500000000000001E-2</v>
      </c>
      <c r="G25" s="204"/>
      <c r="H25" s="251"/>
      <c r="I25" s="204">
        <f t="shared" si="5"/>
        <v>96955.25452953286</v>
      </c>
      <c r="J25" s="204">
        <f t="shared" si="2"/>
        <v>39092944.619604252</v>
      </c>
      <c r="K25" s="176">
        <f t="shared" si="4"/>
        <v>38888646.04755988</v>
      </c>
      <c r="L25" s="176"/>
    </row>
    <row r="26" spans="1:12" outlineLevel="1">
      <c r="A26" s="246">
        <v>3</v>
      </c>
      <c r="B26" s="226">
        <v>40268</v>
      </c>
      <c r="C26" s="176">
        <f t="shared" si="0"/>
        <v>31</v>
      </c>
      <c r="F26" s="250">
        <v>3.2500000000000001E-2</v>
      </c>
      <c r="G26" s="247"/>
      <c r="H26" s="251"/>
      <c r="I26" s="204">
        <f t="shared" si="5"/>
        <v>107343.31751483993</v>
      </c>
      <c r="J26" s="204">
        <f t="shared" si="2"/>
        <v>39200287.937119089</v>
      </c>
      <c r="K26" s="176">
        <f t="shared" si="4"/>
        <v>39200287.937119089</v>
      </c>
      <c r="L26" s="176"/>
    </row>
    <row r="27" spans="1:12" outlineLevel="1">
      <c r="A27" s="246">
        <v>1</v>
      </c>
      <c r="B27" s="226">
        <v>40298</v>
      </c>
      <c r="C27" s="176">
        <f t="shared" si="0"/>
        <v>30</v>
      </c>
      <c r="F27" s="250">
        <v>3.2500000000000001E-2</v>
      </c>
      <c r="G27" s="247"/>
      <c r="H27" s="251"/>
      <c r="I27" s="204">
        <f>(((K26+H27)*C27)+(G27*E27))*(F27/365)</f>
        <v>104713.09791422222</v>
      </c>
      <c r="J27" s="204">
        <f t="shared" si="2"/>
        <v>39305001.035033308</v>
      </c>
      <c r="K27" s="176">
        <f t="shared" si="4"/>
        <v>39200287.937119089</v>
      </c>
      <c r="L27" s="176"/>
    </row>
    <row r="28" spans="1:12" outlineLevel="1">
      <c r="A28" s="246">
        <v>2</v>
      </c>
      <c r="B28" s="226">
        <v>40317</v>
      </c>
      <c r="C28" s="176">
        <f t="shared" si="0"/>
        <v>19</v>
      </c>
      <c r="F28" s="250">
        <v>3.2500000000000001E-2</v>
      </c>
      <c r="G28" s="247"/>
      <c r="H28" s="251"/>
      <c r="I28" s="204">
        <f>(((K27+H28)*C28)+(G28*E28))*(F28/365)</f>
        <v>66318.29534567408</v>
      </c>
      <c r="J28" s="204">
        <f t="shared" si="2"/>
        <v>39371319.330378979</v>
      </c>
      <c r="K28" s="176">
        <f t="shared" si="4"/>
        <v>39200287.937119089</v>
      </c>
      <c r="L28" s="176"/>
    </row>
    <row r="29" spans="1:12" outlineLevel="1">
      <c r="A29" s="246">
        <v>2</v>
      </c>
      <c r="B29" s="226">
        <v>40329</v>
      </c>
      <c r="C29" s="176">
        <f t="shared" si="0"/>
        <v>31</v>
      </c>
      <c r="F29" s="250">
        <v>3.2500000000000001E-2</v>
      </c>
      <c r="G29" s="247"/>
      <c r="H29" s="251"/>
      <c r="I29" s="204">
        <f>(((K28+H29)*(C29-C28))+(G29*E29))*(F29/365)</f>
        <v>41885.239165688887</v>
      </c>
      <c r="J29" s="204">
        <f t="shared" si="2"/>
        <v>39413204.569544666</v>
      </c>
      <c r="K29" s="176">
        <f>IF(A29=3,J29,IF(A29=1,J29-I29,J29-I29-I28-I27))</f>
        <v>39200287.937119089</v>
      </c>
      <c r="L29" s="176"/>
    </row>
    <row r="30" spans="1:12" s="203" customFormat="1" outlineLevel="1">
      <c r="A30" s="253">
        <v>3</v>
      </c>
      <c r="B30" s="254">
        <v>40359</v>
      </c>
      <c r="C30" s="204">
        <f t="shared" si="0"/>
        <v>30</v>
      </c>
      <c r="D30" s="254">
        <v>40330</v>
      </c>
      <c r="E30" s="204">
        <f>B30-D30+1</f>
        <v>30</v>
      </c>
      <c r="F30" s="255">
        <v>3.5665000000000002E-2</v>
      </c>
      <c r="G30" s="247">
        <v>10000000</v>
      </c>
      <c r="H30" s="251"/>
      <c r="I30" s="204">
        <f>(((K29+H30)*C30)+(G30*E30))*(F30/365)</f>
        <v>144224.24131046733</v>
      </c>
      <c r="J30" s="204">
        <f>J29+G30+H30+I30</f>
        <v>49557428.810855135</v>
      </c>
      <c r="K30" s="204">
        <f t="shared" ref="K30:K61" si="6">IF(A30=3,J30,IF(A30=1,J30-I30,J30-I30-I29))</f>
        <v>49557428.810855135</v>
      </c>
      <c r="L30" s="204"/>
    </row>
    <row r="31" spans="1:12" outlineLevel="1">
      <c r="A31" s="246">
        <v>1</v>
      </c>
      <c r="B31" s="226">
        <v>40390</v>
      </c>
      <c r="C31" s="176">
        <f t="shared" si="0"/>
        <v>31</v>
      </c>
      <c r="D31" s="254">
        <v>40388</v>
      </c>
      <c r="E31" s="204">
        <f>B31-D31+1</f>
        <v>3</v>
      </c>
      <c r="F31" s="255">
        <f>F30</f>
        <v>3.5665000000000002E-2</v>
      </c>
      <c r="G31" s="247">
        <v>10000000</v>
      </c>
      <c r="H31" s="251"/>
      <c r="I31" s="204">
        <f t="shared" ref="I31:I94" si="7">(((K30+H31)*C31)+(G31*E31))*(F31/365)</f>
        <v>153044.89494442084</v>
      </c>
      <c r="J31" s="204">
        <f>J30+G31+H31+I31</f>
        <v>59710473.705799557</v>
      </c>
      <c r="K31" s="176">
        <f t="shared" si="6"/>
        <v>59557428.810855135</v>
      </c>
      <c r="L31" s="176"/>
    </row>
    <row r="32" spans="1:12" outlineLevel="1">
      <c r="A32" s="246">
        <v>2</v>
      </c>
      <c r="B32" s="226">
        <v>40421</v>
      </c>
      <c r="C32" s="176">
        <f t="shared" si="0"/>
        <v>31</v>
      </c>
      <c r="D32" s="254"/>
      <c r="E32" s="204"/>
      <c r="F32" s="255">
        <f>F31</f>
        <v>3.5665000000000002E-2</v>
      </c>
      <c r="G32" s="247"/>
      <c r="H32" s="251"/>
      <c r="I32" s="204">
        <f t="shared" si="7"/>
        <v>180404.34699921537</v>
      </c>
      <c r="J32" s="204">
        <f t="shared" si="2"/>
        <v>59890878.05279877</v>
      </c>
      <c r="K32" s="176">
        <f t="shared" si="6"/>
        <v>59557428.810855135</v>
      </c>
      <c r="L32" s="176"/>
    </row>
    <row r="33" spans="1:14" outlineLevel="1">
      <c r="A33" s="246">
        <v>3</v>
      </c>
      <c r="B33" s="226">
        <v>40451</v>
      </c>
      <c r="C33" s="176">
        <f t="shared" si="0"/>
        <v>30</v>
      </c>
      <c r="D33" s="254"/>
      <c r="E33" s="204"/>
      <c r="F33" s="255">
        <f t="shared" ref="F33:F96" si="8">F32</f>
        <v>3.5665000000000002E-2</v>
      </c>
      <c r="G33" s="247"/>
      <c r="H33" s="251"/>
      <c r="I33" s="204">
        <f t="shared" si="7"/>
        <v>174584.85193472455</v>
      </c>
      <c r="J33" s="204">
        <f t="shared" si="2"/>
        <v>60065462.904733494</v>
      </c>
      <c r="K33" s="176">
        <f t="shared" si="6"/>
        <v>60065462.904733494</v>
      </c>
      <c r="L33" s="176"/>
    </row>
    <row r="34" spans="1:14" outlineLevel="1">
      <c r="A34" s="246">
        <v>1</v>
      </c>
      <c r="B34" s="226">
        <v>40482</v>
      </c>
      <c r="C34" s="176">
        <f t="shared" si="0"/>
        <v>31</v>
      </c>
      <c r="D34" s="254">
        <v>40480</v>
      </c>
      <c r="E34" s="204">
        <f>B34-D34+1</f>
        <v>3</v>
      </c>
      <c r="F34" s="255">
        <f t="shared" si="8"/>
        <v>3.5665000000000002E-2</v>
      </c>
      <c r="G34" s="247">
        <v>14400000</v>
      </c>
      <c r="H34" s="251"/>
      <c r="I34" s="204">
        <f t="shared" si="7"/>
        <v>186164.39662853954</v>
      </c>
      <c r="J34" s="204">
        <f t="shared" si="2"/>
        <v>74651627.301362038</v>
      </c>
      <c r="K34" s="176">
        <f t="shared" si="6"/>
        <v>74465462.904733494</v>
      </c>
      <c r="L34" s="176"/>
    </row>
    <row r="35" spans="1:14" outlineLevel="1">
      <c r="A35" s="246">
        <v>2</v>
      </c>
      <c r="B35" s="226">
        <v>40512</v>
      </c>
      <c r="C35" s="176">
        <f t="shared" si="0"/>
        <v>30</v>
      </c>
      <c r="D35" s="254"/>
      <c r="E35" s="204"/>
      <c r="F35" s="255">
        <f t="shared" si="8"/>
        <v>3.5665000000000002E-2</v>
      </c>
      <c r="G35" s="247"/>
      <c r="H35" s="251"/>
      <c r="I35" s="204">
        <f t="shared" si="7"/>
        <v>218285.81379430031</v>
      </c>
      <c r="J35" s="204">
        <f t="shared" si="2"/>
        <v>74869913.115156338</v>
      </c>
      <c r="K35" s="176">
        <f t="shared" si="6"/>
        <v>74465462.904733494</v>
      </c>
      <c r="L35" s="176"/>
    </row>
    <row r="36" spans="1:14" outlineLevel="1">
      <c r="A36" s="246">
        <v>3</v>
      </c>
      <c r="B36" s="226">
        <v>40543</v>
      </c>
      <c r="C36" s="176">
        <f t="shared" si="0"/>
        <v>31</v>
      </c>
      <c r="D36" s="254"/>
      <c r="E36" s="204"/>
      <c r="F36" s="255">
        <f t="shared" si="8"/>
        <v>3.5665000000000002E-2</v>
      </c>
      <c r="G36" s="247"/>
      <c r="H36" s="251"/>
      <c r="I36" s="204">
        <f t="shared" si="7"/>
        <v>225562.00758744363</v>
      </c>
      <c r="J36" s="204">
        <f t="shared" si="2"/>
        <v>75095475.122743785</v>
      </c>
      <c r="K36" s="176">
        <f t="shared" si="6"/>
        <v>75095475.122743785</v>
      </c>
      <c r="L36" s="176"/>
    </row>
    <row r="37" spans="1:14" outlineLevel="1">
      <c r="A37" s="246">
        <v>1</v>
      </c>
      <c r="B37" s="226">
        <v>40574</v>
      </c>
      <c r="C37" s="176">
        <f t="shared" si="0"/>
        <v>31</v>
      </c>
      <c r="D37" s="254"/>
      <c r="E37" s="204"/>
      <c r="F37" s="255">
        <f t="shared" si="8"/>
        <v>3.5665000000000002E-2</v>
      </c>
      <c r="G37" s="247"/>
      <c r="H37" s="251"/>
      <c r="I37" s="204">
        <f t="shared" si="7"/>
        <v>227470.36637762297</v>
      </c>
      <c r="J37" s="204">
        <f t="shared" si="2"/>
        <v>75322945.489121407</v>
      </c>
      <c r="K37" s="176">
        <f t="shared" si="6"/>
        <v>75095475.122743785</v>
      </c>
      <c r="L37" s="176"/>
    </row>
    <row r="38" spans="1:14" outlineLevel="1">
      <c r="A38" s="246">
        <v>2</v>
      </c>
      <c r="B38" s="226">
        <v>40602</v>
      </c>
      <c r="C38" s="176">
        <f t="shared" si="0"/>
        <v>28</v>
      </c>
      <c r="D38" s="254"/>
      <c r="E38" s="204"/>
      <c r="F38" s="255">
        <f t="shared" si="8"/>
        <v>3.5665000000000002E-2</v>
      </c>
      <c r="G38" s="247"/>
      <c r="H38" s="251"/>
      <c r="I38" s="204">
        <f t="shared" si="7"/>
        <v>205457.10511527234</v>
      </c>
      <c r="J38" s="204">
        <f t="shared" si="2"/>
        <v>75528402.594236687</v>
      </c>
      <c r="K38" s="176">
        <f t="shared" si="6"/>
        <v>75095475.122743785</v>
      </c>
      <c r="L38" s="176"/>
    </row>
    <row r="39" spans="1:14" outlineLevel="1">
      <c r="A39" s="246">
        <v>3</v>
      </c>
      <c r="B39" s="226">
        <v>40633</v>
      </c>
      <c r="C39" s="176">
        <f t="shared" si="0"/>
        <v>31</v>
      </c>
      <c r="D39" s="254">
        <v>40617</v>
      </c>
      <c r="E39" s="204">
        <f>B39-D39+1</f>
        <v>17</v>
      </c>
      <c r="F39" s="255">
        <f t="shared" si="8"/>
        <v>3.5665000000000002E-2</v>
      </c>
      <c r="G39" s="247">
        <v>18200000</v>
      </c>
      <c r="H39" s="251"/>
      <c r="I39" s="204">
        <f t="shared" si="7"/>
        <v>257702.56089817092</v>
      </c>
      <c r="J39" s="204">
        <f t="shared" si="2"/>
        <v>93986105.155134857</v>
      </c>
      <c r="K39" s="176">
        <f t="shared" si="6"/>
        <v>93986105.155134857</v>
      </c>
      <c r="L39" s="176"/>
    </row>
    <row r="40" spans="1:14" outlineLevel="1">
      <c r="A40" s="246">
        <v>1</v>
      </c>
      <c r="B40" s="226">
        <v>40663</v>
      </c>
      <c r="C40" s="176">
        <f t="shared" si="0"/>
        <v>30</v>
      </c>
      <c r="D40" s="254"/>
      <c r="E40" s="204"/>
      <c r="F40" s="255">
        <f t="shared" si="8"/>
        <v>3.5665000000000002E-2</v>
      </c>
      <c r="G40" s="247"/>
      <c r="H40" s="251"/>
      <c r="I40" s="204">
        <f t="shared" si="7"/>
        <v>275508.03619379876</v>
      </c>
      <c r="J40" s="204">
        <f>J39+G40+H40+I40</f>
        <v>94261613.19132866</v>
      </c>
      <c r="K40" s="176">
        <f t="shared" si="6"/>
        <v>93986105.155134857</v>
      </c>
      <c r="L40" s="176"/>
    </row>
    <row r="41" spans="1:14" outlineLevel="1">
      <c r="A41" s="246">
        <v>2</v>
      </c>
      <c r="B41" s="226">
        <v>40694</v>
      </c>
      <c r="C41" s="176">
        <f t="shared" si="0"/>
        <v>31</v>
      </c>
      <c r="F41" s="255">
        <f t="shared" si="8"/>
        <v>3.5665000000000002E-2</v>
      </c>
      <c r="G41" s="247"/>
      <c r="H41" s="251"/>
      <c r="I41" s="204">
        <f t="shared" si="7"/>
        <v>284691.63740025874</v>
      </c>
      <c r="J41" s="204">
        <f>J40+G41+H41+I41</f>
        <v>94546304.828728914</v>
      </c>
      <c r="K41" s="176">
        <f t="shared" si="6"/>
        <v>93986105.155134857</v>
      </c>
      <c r="L41" s="176"/>
    </row>
    <row r="42" spans="1:14" outlineLevel="1">
      <c r="A42" s="246">
        <v>3</v>
      </c>
      <c r="B42" s="226">
        <v>40724</v>
      </c>
      <c r="C42" s="176">
        <f t="shared" si="0"/>
        <v>30</v>
      </c>
      <c r="F42" s="255">
        <f t="shared" si="8"/>
        <v>3.5665000000000002E-2</v>
      </c>
      <c r="G42" s="247"/>
      <c r="H42" s="251"/>
      <c r="I42" s="204">
        <f t="shared" si="7"/>
        <v>275508.03619379876</v>
      </c>
      <c r="J42" s="204">
        <f>J41+G42+H42+I42</f>
        <v>94821812.864922717</v>
      </c>
      <c r="K42" s="176">
        <f t="shared" si="6"/>
        <v>94821812.864922717</v>
      </c>
      <c r="L42" s="176"/>
    </row>
    <row r="43" spans="1:14" outlineLevel="1">
      <c r="A43" s="246">
        <v>1</v>
      </c>
      <c r="B43" s="226">
        <v>40755</v>
      </c>
      <c r="C43" s="176">
        <f t="shared" si="0"/>
        <v>31</v>
      </c>
      <c r="F43" s="255">
        <f t="shared" si="8"/>
        <v>3.5665000000000002E-2</v>
      </c>
      <c r="G43" s="247"/>
      <c r="H43" s="251"/>
      <c r="I43" s="204">
        <f t="shared" si="7"/>
        <v>287223.06474151107</v>
      </c>
      <c r="J43" s="204">
        <f>J42+G43+H43+I43</f>
        <v>95109035.929664224</v>
      </c>
      <c r="K43" s="176">
        <f t="shared" si="6"/>
        <v>94821812.864922717</v>
      </c>
      <c r="L43" s="176"/>
    </row>
    <row r="44" spans="1:14" outlineLevel="1">
      <c r="A44" s="246">
        <v>2</v>
      </c>
      <c r="B44" s="226">
        <v>40786</v>
      </c>
      <c r="C44" s="176">
        <f t="shared" si="0"/>
        <v>31</v>
      </c>
      <c r="D44" s="226">
        <v>40756</v>
      </c>
      <c r="E44" s="176">
        <f>B44-D44+1</f>
        <v>31</v>
      </c>
      <c r="F44" s="255">
        <f t="shared" si="8"/>
        <v>3.5665000000000002E-2</v>
      </c>
      <c r="G44" s="256">
        <f>9000000-34210.74</f>
        <v>8965789.2599999998</v>
      </c>
      <c r="H44" s="251"/>
      <c r="I44" s="204">
        <f t="shared" si="7"/>
        <v>314381.17732423684</v>
      </c>
      <c r="J44" s="204">
        <f>J43+G44+H44+I44</f>
        <v>104389206.36698847</v>
      </c>
      <c r="K44" s="176">
        <f t="shared" si="6"/>
        <v>103787602.12492272</v>
      </c>
      <c r="L44" s="176"/>
    </row>
    <row r="45" spans="1:14" ht="15.75" outlineLevel="1" thickBot="1">
      <c r="A45" s="246">
        <v>3</v>
      </c>
      <c r="B45" s="226">
        <v>40816</v>
      </c>
      <c r="C45" s="176">
        <f t="shared" si="0"/>
        <v>30</v>
      </c>
      <c r="F45" s="257">
        <f t="shared" si="8"/>
        <v>3.5665000000000002E-2</v>
      </c>
      <c r="G45" s="247"/>
      <c r="H45" s="251"/>
      <c r="I45" s="204">
        <f t="shared" si="7"/>
        <v>304239.849023455</v>
      </c>
      <c r="J45" s="204">
        <f t="shared" ref="J45:J108" si="9">J44+G45+H45+I45</f>
        <v>104693446.21601193</v>
      </c>
      <c r="K45" s="176">
        <f t="shared" si="6"/>
        <v>104693446.21601193</v>
      </c>
      <c r="L45" s="176"/>
      <c r="N45" s="214"/>
    </row>
    <row r="46" spans="1:14" outlineLevel="1">
      <c r="A46" s="258">
        <v>1</v>
      </c>
      <c r="B46" s="259">
        <v>40847</v>
      </c>
      <c r="C46" s="260">
        <f t="shared" si="0"/>
        <v>31</v>
      </c>
      <c r="D46" s="259"/>
      <c r="E46" s="260"/>
      <c r="F46" s="255">
        <f t="shared" si="8"/>
        <v>3.5665000000000002E-2</v>
      </c>
      <c r="G46" s="261"/>
      <c r="H46" s="262"/>
      <c r="I46" s="263">
        <f>(((K45+H46)*C46)+(G46*E46))*(F46/365)</f>
        <v>317125.05352908501</v>
      </c>
      <c r="J46" s="263">
        <f t="shared" si="9"/>
        <v>105010571.26954101</v>
      </c>
      <c r="K46" s="260">
        <f t="shared" si="6"/>
        <v>104693446.21601193</v>
      </c>
      <c r="L46" s="176"/>
    </row>
    <row r="47" spans="1:14" outlineLevel="1">
      <c r="A47" s="246">
        <v>2</v>
      </c>
      <c r="B47" s="226">
        <v>40877</v>
      </c>
      <c r="C47" s="176">
        <f t="shared" si="0"/>
        <v>30</v>
      </c>
      <c r="F47" s="255">
        <f t="shared" si="8"/>
        <v>3.5665000000000002E-2</v>
      </c>
      <c r="G47" s="247"/>
      <c r="H47" s="251"/>
      <c r="I47" s="204">
        <f t="shared" si="7"/>
        <v>306895.21309266292</v>
      </c>
      <c r="J47" s="204">
        <f t="shared" si="9"/>
        <v>105317466.48263368</v>
      </c>
      <c r="K47" s="176">
        <f t="shared" si="6"/>
        <v>104693446.21601193</v>
      </c>
      <c r="L47" s="176"/>
    </row>
    <row r="48" spans="1:14" outlineLevel="1">
      <c r="A48" s="311">
        <v>3</v>
      </c>
      <c r="B48" s="312">
        <v>40908</v>
      </c>
      <c r="C48" s="313">
        <f t="shared" si="0"/>
        <v>31</v>
      </c>
      <c r="D48" s="312"/>
      <c r="E48" s="313"/>
      <c r="F48" s="314">
        <f t="shared" si="8"/>
        <v>3.5665000000000002E-2</v>
      </c>
      <c r="G48" s="315"/>
      <c r="H48" s="316">
        <v>0</v>
      </c>
      <c r="I48" s="313">
        <f>(((K47+H48)*C48)+(G48*E48))*(F48/365)</f>
        <v>317125.05352908501</v>
      </c>
      <c r="J48" s="313">
        <f>J47+G48+H48+I48</f>
        <v>105634591.53616276</v>
      </c>
      <c r="K48" s="313">
        <f t="shared" si="6"/>
        <v>105634591.53616276</v>
      </c>
      <c r="L48" s="176"/>
    </row>
    <row r="49" spans="1:13" s="265" customFormat="1" outlineLevel="1">
      <c r="A49" s="317">
        <v>1</v>
      </c>
      <c r="B49" s="318">
        <v>40939</v>
      </c>
      <c r="C49" s="319">
        <f t="shared" si="0"/>
        <v>31</v>
      </c>
      <c r="D49" s="318"/>
      <c r="E49" s="319"/>
      <c r="F49" s="314">
        <f t="shared" si="8"/>
        <v>3.5665000000000002E-2</v>
      </c>
      <c r="G49" s="320"/>
      <c r="H49" s="316">
        <f>-'LSR Prepaid Bill Credits'!N15</f>
        <v>0</v>
      </c>
      <c r="I49" s="319">
        <f>(((K48+H49)*C49)+(G49*E49))*(F49/365)</f>
        <v>319975.8600582318</v>
      </c>
      <c r="J49" s="319">
        <f>J48+G49+H49+I49</f>
        <v>105954567.396221</v>
      </c>
      <c r="K49" s="319">
        <f t="shared" si="6"/>
        <v>105634591.53616276</v>
      </c>
      <c r="L49" s="264"/>
    </row>
    <row r="50" spans="1:13" s="203" customFormat="1" outlineLevel="1">
      <c r="A50" s="311">
        <v>2</v>
      </c>
      <c r="B50" s="312">
        <v>40968</v>
      </c>
      <c r="C50" s="313">
        <f t="shared" si="0"/>
        <v>29</v>
      </c>
      <c r="D50" s="312"/>
      <c r="E50" s="313"/>
      <c r="F50" s="314">
        <f t="shared" si="8"/>
        <v>3.5665000000000002E-2</v>
      </c>
      <c r="G50" s="315"/>
      <c r="H50" s="316">
        <f>-'LSR Prepaid Bill Credits'!N16</f>
        <v>0</v>
      </c>
      <c r="I50" s="319">
        <f>(((K49+H50)*C50)+(G50*E50))*(F50/365)</f>
        <v>299332.25618350715</v>
      </c>
      <c r="J50" s="313">
        <f>J49+G50+H50+I50</f>
        <v>106253899.6524045</v>
      </c>
      <c r="K50" s="313">
        <f t="shared" si="6"/>
        <v>105634591.53616276</v>
      </c>
      <c r="L50" s="204"/>
    </row>
    <row r="51" spans="1:13" s="203" customFormat="1" outlineLevel="1">
      <c r="A51" s="311">
        <v>3</v>
      </c>
      <c r="B51" s="312">
        <v>40999</v>
      </c>
      <c r="C51" s="313">
        <f t="shared" si="0"/>
        <v>31</v>
      </c>
      <c r="D51" s="312"/>
      <c r="E51" s="313"/>
      <c r="F51" s="314">
        <f t="shared" si="8"/>
        <v>3.5665000000000002E-2</v>
      </c>
      <c r="G51" s="315"/>
      <c r="H51" s="316">
        <f>-'LSR Prepaid Bill Credits'!N17</f>
        <v>-259600</v>
      </c>
      <c r="I51" s="319">
        <f>(((K50+H51)*C51)+(G51*E51))*(F51/365)</f>
        <v>319189.51032124547</v>
      </c>
      <c r="J51" s="313">
        <f>J50+G51+H51+I51</f>
        <v>106313489.16272575</v>
      </c>
      <c r="K51" s="313">
        <f t="shared" si="6"/>
        <v>106313489.16272575</v>
      </c>
      <c r="L51" s="204"/>
      <c r="M51" s="303"/>
    </row>
    <row r="52" spans="1:13" outlineLevel="1">
      <c r="A52" s="311">
        <v>1</v>
      </c>
      <c r="B52" s="312">
        <v>41029</v>
      </c>
      <c r="C52" s="313">
        <f t="shared" si="0"/>
        <v>30</v>
      </c>
      <c r="D52" s="312"/>
      <c r="E52" s="313"/>
      <c r="F52" s="314">
        <f t="shared" si="8"/>
        <v>3.5665000000000002E-2</v>
      </c>
      <c r="G52" s="315"/>
      <c r="H52" s="316">
        <f>-'LSR Prepaid Bill Credits'!N18</f>
        <v>-434632</v>
      </c>
      <c r="I52" s="313">
        <f t="shared" si="7"/>
        <v>310370.09101714636</v>
      </c>
      <c r="J52" s="313">
        <f t="shared" si="9"/>
        <v>106189227.25374289</v>
      </c>
      <c r="K52" s="313">
        <f t="shared" si="6"/>
        <v>105878857.16272575</v>
      </c>
      <c r="L52" s="204"/>
      <c r="M52" s="303"/>
    </row>
    <row r="53" spans="1:13" outlineLevel="1">
      <c r="A53" s="311">
        <v>2</v>
      </c>
      <c r="B53" s="312">
        <v>41060</v>
      </c>
      <c r="C53" s="313">
        <f t="shared" si="0"/>
        <v>31</v>
      </c>
      <c r="D53" s="312"/>
      <c r="E53" s="313"/>
      <c r="F53" s="314">
        <f t="shared" si="8"/>
        <v>3.5665000000000002E-2</v>
      </c>
      <c r="G53" s="315"/>
      <c r="H53" s="316">
        <f>-'LSR Prepaid Bill Credits'!N19</f>
        <v>-421127</v>
      </c>
      <c r="I53" s="313">
        <f t="shared" si="7"/>
        <v>319440.13242153981</v>
      </c>
      <c r="J53" s="313">
        <f t="shared" si="9"/>
        <v>106087540.38616443</v>
      </c>
      <c r="K53" s="313">
        <f t="shared" si="6"/>
        <v>105457730.16272575</v>
      </c>
      <c r="L53" s="204"/>
      <c r="M53" s="303"/>
    </row>
    <row r="54" spans="1:13" outlineLevel="1">
      <c r="A54" s="311">
        <v>3</v>
      </c>
      <c r="B54" s="312">
        <v>41090</v>
      </c>
      <c r="C54" s="313">
        <f t="shared" si="0"/>
        <v>30</v>
      </c>
      <c r="D54" s="312"/>
      <c r="E54" s="313"/>
      <c r="F54" s="314">
        <f t="shared" si="8"/>
        <v>3.5665000000000002E-2</v>
      </c>
      <c r="G54" s="315"/>
      <c r="H54" s="316">
        <f>-'LSR Prepaid Bill Credits'!N20</f>
        <v>-426723</v>
      </c>
      <c r="I54" s="313">
        <f>(((K53+H54)*C54)+(G54*E54))*(F54/365)</f>
        <v>307884.72907879023</v>
      </c>
      <c r="J54" s="313">
        <f t="shared" si="9"/>
        <v>105968702.11524321</v>
      </c>
      <c r="K54" s="313">
        <f t="shared" si="6"/>
        <v>105968702.11524321</v>
      </c>
      <c r="L54" s="176"/>
      <c r="M54" s="303"/>
    </row>
    <row r="55" spans="1:13" outlineLevel="1">
      <c r="A55" s="311">
        <v>1</v>
      </c>
      <c r="B55" s="312">
        <v>41121</v>
      </c>
      <c r="C55" s="313">
        <f t="shared" si="0"/>
        <v>31</v>
      </c>
      <c r="D55" s="312"/>
      <c r="E55" s="313"/>
      <c r="F55" s="314">
        <f t="shared" si="8"/>
        <v>3.5665000000000002E-2</v>
      </c>
      <c r="G55" s="315"/>
      <c r="H55" s="316">
        <f>-'LSR Prepaid Bill Credits'!N21</f>
        <v>-462527</v>
      </c>
      <c r="I55" s="313">
        <f t="shared" si="7"/>
        <v>319586.8761644921</v>
      </c>
      <c r="J55" s="313">
        <f t="shared" si="9"/>
        <v>105825761.99140771</v>
      </c>
      <c r="K55" s="313">
        <f t="shared" si="6"/>
        <v>105506175.11524321</v>
      </c>
      <c r="L55" s="176"/>
      <c r="M55" s="303"/>
    </row>
    <row r="56" spans="1:13" outlineLevel="1">
      <c r="A56" s="311">
        <v>2</v>
      </c>
      <c r="B56" s="312">
        <v>41152</v>
      </c>
      <c r="C56" s="313">
        <f t="shared" si="0"/>
        <v>31</v>
      </c>
      <c r="D56" s="312"/>
      <c r="E56" s="313"/>
      <c r="F56" s="314">
        <f t="shared" si="8"/>
        <v>3.5665000000000002E-2</v>
      </c>
      <c r="G56" s="315"/>
      <c r="H56" s="316">
        <f>-'LSR Prepaid Bill Credits'!N22</f>
        <v>-457118</v>
      </c>
      <c r="I56" s="313">
        <f t="shared" si="7"/>
        <v>318202.22817114968</v>
      </c>
      <c r="J56" s="313">
        <f t="shared" si="9"/>
        <v>105686846.21957886</v>
      </c>
      <c r="K56" s="313">
        <f t="shared" si="6"/>
        <v>105049057.11524321</v>
      </c>
      <c r="L56" s="176"/>
      <c r="M56" s="303"/>
    </row>
    <row r="57" spans="1:13" outlineLevel="1">
      <c r="A57" s="311">
        <v>3</v>
      </c>
      <c r="B57" s="312">
        <v>41182</v>
      </c>
      <c r="C57" s="313">
        <f t="shared" si="0"/>
        <v>30</v>
      </c>
      <c r="D57" s="312"/>
      <c r="E57" s="313"/>
      <c r="F57" s="314">
        <f t="shared" si="8"/>
        <v>3.5665000000000002E-2</v>
      </c>
      <c r="G57" s="315"/>
      <c r="H57" s="316">
        <f>-'LSR Prepaid Bill Credits'!N23</f>
        <v>-457118</v>
      </c>
      <c r="I57" s="313">
        <f>(((K56+H57)*C57)+(G57*E57))*(F57/365)</f>
        <v>306597.65823658765</v>
      </c>
      <c r="J57" s="313">
        <f t="shared" si="9"/>
        <v>105536325.87781546</v>
      </c>
      <c r="K57" s="313">
        <f t="shared" si="6"/>
        <v>105536325.87781546</v>
      </c>
      <c r="L57" s="176"/>
      <c r="M57" s="303"/>
    </row>
    <row r="58" spans="1:13" outlineLevel="1">
      <c r="A58" s="311">
        <v>1</v>
      </c>
      <c r="B58" s="312">
        <v>41213</v>
      </c>
      <c r="C58" s="313">
        <f t="shared" si="0"/>
        <v>31</v>
      </c>
      <c r="D58" s="312"/>
      <c r="E58" s="313"/>
      <c r="F58" s="314">
        <f t="shared" si="8"/>
        <v>3.5665000000000002E-2</v>
      </c>
      <c r="G58" s="315"/>
      <c r="H58" s="316">
        <f>-'LSR Prepaid Bill Credits'!N24</f>
        <v>-452840</v>
      </c>
      <c r="I58" s="313">
        <f t="shared" si="7"/>
        <v>318306.51572274236</v>
      </c>
      <c r="J58" s="313">
        <f t="shared" si="9"/>
        <v>105401792.39353819</v>
      </c>
      <c r="K58" s="313">
        <f t="shared" si="6"/>
        <v>105083485.87781546</v>
      </c>
      <c r="L58" s="176"/>
      <c r="M58" s="303"/>
    </row>
    <row r="59" spans="1:13" outlineLevel="1">
      <c r="A59" s="311">
        <v>2</v>
      </c>
      <c r="B59" s="312">
        <v>41243</v>
      </c>
      <c r="C59" s="313">
        <f t="shared" si="0"/>
        <v>30</v>
      </c>
      <c r="D59" s="312"/>
      <c r="E59" s="313"/>
      <c r="F59" s="314">
        <f t="shared" si="8"/>
        <v>3.5665000000000002E-2</v>
      </c>
      <c r="G59" s="315"/>
      <c r="H59" s="316">
        <f>-'LSR Prepaid Bill Credits'!N25</f>
        <v>-457866</v>
      </c>
      <c r="I59" s="313">
        <f t="shared" si="7"/>
        <v>306696.38900895522</v>
      </c>
      <c r="J59" s="313">
        <f t="shared" si="9"/>
        <v>105250622.78254715</v>
      </c>
      <c r="K59" s="313">
        <f t="shared" si="6"/>
        <v>104625619.87781546</v>
      </c>
      <c r="L59" s="176"/>
      <c r="M59" s="303"/>
    </row>
    <row r="60" spans="1:13" outlineLevel="1">
      <c r="A60" s="311">
        <v>3</v>
      </c>
      <c r="B60" s="312">
        <v>41274</v>
      </c>
      <c r="C60" s="313">
        <f t="shared" si="0"/>
        <v>31</v>
      </c>
      <c r="D60" s="312"/>
      <c r="E60" s="313"/>
      <c r="F60" s="314">
        <f t="shared" si="8"/>
        <v>3.5665000000000002E-2</v>
      </c>
      <c r="G60" s="315"/>
      <c r="H60" s="316">
        <f>-'LSR Prepaid Bill Credits'!N26</f>
        <v>-416358</v>
      </c>
      <c r="I60" s="313">
        <f t="shared" si="7"/>
        <v>315658.41937271494</v>
      </c>
      <c r="J60" s="313">
        <f t="shared" si="9"/>
        <v>105149923.20191985</v>
      </c>
      <c r="K60" s="313">
        <f t="shared" si="6"/>
        <v>105149923.20191985</v>
      </c>
      <c r="L60" s="176"/>
      <c r="M60" s="303"/>
    </row>
    <row r="61" spans="1:13" outlineLevel="1">
      <c r="A61" s="311">
        <v>1</v>
      </c>
      <c r="B61" s="312">
        <v>41305</v>
      </c>
      <c r="C61" s="313">
        <f t="shared" si="0"/>
        <v>31</v>
      </c>
      <c r="D61" s="312"/>
      <c r="E61" s="313"/>
      <c r="F61" s="314">
        <f t="shared" si="8"/>
        <v>3.5665000000000002E-2</v>
      </c>
      <c r="G61" s="315"/>
      <c r="H61" s="316">
        <f>-'LSR Prepaid Bill Credits'!N27</f>
        <v>-458060</v>
      </c>
      <c r="I61" s="313">
        <f t="shared" si="7"/>
        <v>317120.25844928937</v>
      </c>
      <c r="J61" s="313">
        <f t="shared" si="9"/>
        <v>105008983.46036914</v>
      </c>
      <c r="K61" s="313">
        <f t="shared" si="6"/>
        <v>104691863.20191985</v>
      </c>
      <c r="L61" s="176"/>
      <c r="M61" s="303"/>
    </row>
    <row r="62" spans="1:13" outlineLevel="1">
      <c r="A62" s="311">
        <v>2</v>
      </c>
      <c r="B62" s="312">
        <v>41333</v>
      </c>
      <c r="C62" s="313">
        <f t="shared" si="0"/>
        <v>28</v>
      </c>
      <c r="D62" s="312"/>
      <c r="E62" s="313"/>
      <c r="F62" s="314">
        <f t="shared" si="8"/>
        <v>3.5665000000000002E-2</v>
      </c>
      <c r="G62" s="315"/>
      <c r="H62" s="316">
        <f>-'LSR Prepaid Bill Credits'!N28</f>
        <v>-441320</v>
      </c>
      <c r="I62" s="313">
        <f t="shared" si="7"/>
        <v>285223.77384192118</v>
      </c>
      <c r="J62" s="313">
        <f t="shared" si="9"/>
        <v>104852887.23421106</v>
      </c>
      <c r="K62" s="313">
        <f t="shared" ref="K62:K93" si="10">IF(A62=3,J62,IF(A62=1,J62-I62,J62-I62-I61))</f>
        <v>104250543.20191985</v>
      </c>
      <c r="L62" s="176"/>
      <c r="M62" s="303"/>
    </row>
    <row r="63" spans="1:13" outlineLevel="1">
      <c r="A63" s="311">
        <v>3</v>
      </c>
      <c r="B63" s="312">
        <v>41364</v>
      </c>
      <c r="C63" s="313">
        <f t="shared" si="0"/>
        <v>31</v>
      </c>
      <c r="D63" s="312"/>
      <c r="E63" s="313"/>
      <c r="F63" s="314">
        <f t="shared" si="8"/>
        <v>3.5665000000000002E-2</v>
      </c>
      <c r="G63" s="315"/>
      <c r="H63" s="316">
        <f>-'LSR Prepaid Bill Credits'!N29</f>
        <v>-441320</v>
      </c>
      <c r="I63" s="313">
        <f t="shared" si="7"/>
        <v>314446.66934353596</v>
      </c>
      <c r="J63" s="313">
        <f t="shared" si="9"/>
        <v>104726013.90355459</v>
      </c>
      <c r="K63" s="313">
        <f t="shared" si="10"/>
        <v>104726013.90355459</v>
      </c>
      <c r="L63" s="176"/>
      <c r="M63" s="303"/>
    </row>
    <row r="64" spans="1:13" outlineLevel="1">
      <c r="A64" s="311">
        <v>1</v>
      </c>
      <c r="B64" s="312">
        <v>41394</v>
      </c>
      <c r="C64" s="313">
        <f t="shared" si="0"/>
        <v>30</v>
      </c>
      <c r="D64" s="312"/>
      <c r="E64" s="313"/>
      <c r="F64" s="314">
        <f t="shared" si="8"/>
        <v>3.5665000000000002E-2</v>
      </c>
      <c r="G64" s="315"/>
      <c r="H64" s="316">
        <f>-'LSR Prepaid Bill Credits'!N30</f>
        <v>-441320</v>
      </c>
      <c r="I64" s="313">
        <f t="shared" si="7"/>
        <v>305697.0088824883</v>
      </c>
      <c r="J64" s="313">
        <f t="shared" si="9"/>
        <v>104590390.91243708</v>
      </c>
      <c r="K64" s="313">
        <f t="shared" si="10"/>
        <v>104284693.90355459</v>
      </c>
      <c r="L64" s="176"/>
      <c r="M64" s="303"/>
    </row>
    <row r="65" spans="1:13" outlineLevel="1">
      <c r="A65" s="311">
        <v>2</v>
      </c>
      <c r="B65" s="312">
        <v>41425</v>
      </c>
      <c r="C65" s="313">
        <f t="shared" si="0"/>
        <v>31</v>
      </c>
      <c r="D65" s="312"/>
      <c r="E65" s="313"/>
      <c r="F65" s="314">
        <f t="shared" si="8"/>
        <v>3.5665000000000002E-2</v>
      </c>
      <c r="G65" s="315"/>
      <c r="H65" s="316">
        <f>-'LSR Prepaid Bill Credits'!N31</f>
        <v>-441380</v>
      </c>
      <c r="I65" s="313">
        <f t="shared" si="7"/>
        <v>314549.93288076308</v>
      </c>
      <c r="J65" s="313">
        <f t="shared" si="9"/>
        <v>104463560.84531784</v>
      </c>
      <c r="K65" s="313">
        <f t="shared" si="10"/>
        <v>103843313.90355459</v>
      </c>
      <c r="L65" s="176"/>
      <c r="M65" s="303"/>
    </row>
    <row r="66" spans="1:13" outlineLevel="1">
      <c r="A66" s="311">
        <v>3</v>
      </c>
      <c r="B66" s="312">
        <v>41455</v>
      </c>
      <c r="C66" s="313">
        <f t="shared" si="0"/>
        <v>30</v>
      </c>
      <c r="D66" s="312"/>
      <c r="E66" s="313"/>
      <c r="F66" s="314">
        <f t="shared" si="8"/>
        <v>3.5665000000000002E-2</v>
      </c>
      <c r="G66" s="315"/>
      <c r="H66" s="316">
        <f>-'LSR Prepaid Bill Credits'!N32</f>
        <v>-441320</v>
      </c>
      <c r="I66" s="313">
        <f t="shared" si="7"/>
        <v>303109.48870440613</v>
      </c>
      <c r="J66" s="313">
        <f t="shared" si="9"/>
        <v>104325350.33402225</v>
      </c>
      <c r="K66" s="313">
        <f t="shared" si="10"/>
        <v>104325350.33402225</v>
      </c>
      <c r="L66" s="176"/>
      <c r="M66" s="303"/>
    </row>
    <row r="67" spans="1:13" outlineLevel="1">
      <c r="A67" s="311">
        <v>1</v>
      </c>
      <c r="B67" s="312">
        <v>41486</v>
      </c>
      <c r="C67" s="313">
        <f t="shared" si="0"/>
        <v>31</v>
      </c>
      <c r="D67" s="312"/>
      <c r="E67" s="313"/>
      <c r="F67" s="314">
        <f t="shared" si="8"/>
        <v>3.5665000000000002E-2</v>
      </c>
      <c r="G67" s="315"/>
      <c r="H67" s="316">
        <f>-'LSR Prepaid Bill Credits'!N33</f>
        <v>-441320</v>
      </c>
      <c r="I67" s="313">
        <f t="shared" si="7"/>
        <v>314673.26629520557</v>
      </c>
      <c r="J67" s="313">
        <f t="shared" si="9"/>
        <v>104198703.60031746</v>
      </c>
      <c r="K67" s="313">
        <f t="shared" si="10"/>
        <v>103884030.33402225</v>
      </c>
      <c r="L67" s="176"/>
      <c r="M67" s="303"/>
    </row>
    <row r="68" spans="1:13" outlineLevel="1">
      <c r="A68" s="311">
        <v>2</v>
      </c>
      <c r="B68" s="312">
        <v>41517</v>
      </c>
      <c r="C68" s="313">
        <f t="shared" si="0"/>
        <v>31</v>
      </c>
      <c r="D68" s="312"/>
      <c r="E68" s="313"/>
      <c r="F68" s="314">
        <f t="shared" si="8"/>
        <v>3.5665000000000002E-2</v>
      </c>
      <c r="G68" s="315"/>
      <c r="H68" s="316">
        <f>-'LSR Prepaid Bill Credits'!N34</f>
        <v>-441320</v>
      </c>
      <c r="I68" s="313">
        <f t="shared" si="7"/>
        <v>313336.47174232884</v>
      </c>
      <c r="J68" s="313">
        <f t="shared" si="9"/>
        <v>104070720.0720598</v>
      </c>
      <c r="K68" s="313">
        <f t="shared" si="10"/>
        <v>103442710.33402225</v>
      </c>
      <c r="L68" s="176"/>
      <c r="M68" s="303"/>
    </row>
    <row r="69" spans="1:13" outlineLevel="1">
      <c r="A69" s="311">
        <v>3</v>
      </c>
      <c r="B69" s="312">
        <v>41547</v>
      </c>
      <c r="C69" s="313">
        <f t="shared" si="0"/>
        <v>30</v>
      </c>
      <c r="D69" s="312"/>
      <c r="E69" s="313"/>
      <c r="F69" s="314">
        <f t="shared" si="8"/>
        <v>3.5665000000000002E-2</v>
      </c>
      <c r="G69" s="315"/>
      <c r="H69" s="316">
        <f>-'LSR Prepaid Bill Credits'!N35</f>
        <v>-441320</v>
      </c>
      <c r="I69" s="313">
        <f>(((K68+H69)*C69)+(G69*E69))*(F69/365)</f>
        <v>301935.17147366336</v>
      </c>
      <c r="J69" s="313">
        <f t="shared" si="9"/>
        <v>103931335.24353346</v>
      </c>
      <c r="K69" s="313">
        <f t="shared" si="10"/>
        <v>103931335.24353346</v>
      </c>
      <c r="L69" s="176"/>
      <c r="M69" s="303"/>
    </row>
    <row r="70" spans="1:13" outlineLevel="1">
      <c r="A70" s="311">
        <v>1</v>
      </c>
      <c r="B70" s="312">
        <v>41578</v>
      </c>
      <c r="C70" s="313">
        <f t="shared" ref="C70:C133" si="11">DAY(B70)</f>
        <v>31</v>
      </c>
      <c r="D70" s="312"/>
      <c r="E70" s="313"/>
      <c r="F70" s="314">
        <f t="shared" si="8"/>
        <v>3.5665000000000002E-2</v>
      </c>
      <c r="G70" s="313">
        <f>SUM('BPA Statement'!G183:G184)</f>
        <v>-22386834.66</v>
      </c>
      <c r="H70" s="316">
        <f>-'LSR Prepaid Bill Credits'!N36</f>
        <v>-441320</v>
      </c>
      <c r="I70" s="313">
        <f>'BPA Statement'!H185</f>
        <v>248618.07</v>
      </c>
      <c r="J70" s="313">
        <f t="shared" si="9"/>
        <v>81351798.653533459</v>
      </c>
      <c r="K70" s="313">
        <f t="shared" si="10"/>
        <v>81103180.583533466</v>
      </c>
      <c r="L70" s="176"/>
      <c r="M70" s="303"/>
    </row>
    <row r="71" spans="1:13" outlineLevel="1">
      <c r="A71" s="311">
        <v>2</v>
      </c>
      <c r="B71" s="312">
        <v>41608</v>
      </c>
      <c r="C71" s="313">
        <f t="shared" si="11"/>
        <v>30</v>
      </c>
      <c r="D71" s="312"/>
      <c r="E71" s="313"/>
      <c r="F71" s="314">
        <f t="shared" si="8"/>
        <v>3.5665000000000002E-2</v>
      </c>
      <c r="G71" s="315"/>
      <c r="H71" s="316">
        <f>-'LSR Prepaid Bill Credits'!N37</f>
        <v>-502860</v>
      </c>
      <c r="I71" s="313">
        <f t="shared" si="7"/>
        <v>236269.3507078127</v>
      </c>
      <c r="J71" s="313">
        <f t="shared" si="9"/>
        <v>81085208.004241273</v>
      </c>
      <c r="K71" s="313">
        <f t="shared" si="10"/>
        <v>80600320.583533466</v>
      </c>
      <c r="L71" s="176"/>
      <c r="M71" s="303"/>
    </row>
    <row r="72" spans="1:13" outlineLevel="1">
      <c r="A72" s="311">
        <v>3</v>
      </c>
      <c r="B72" s="312">
        <v>41639</v>
      </c>
      <c r="C72" s="313">
        <f t="shared" si="11"/>
        <v>31</v>
      </c>
      <c r="D72" s="312"/>
      <c r="E72" s="313"/>
      <c r="F72" s="314">
        <f t="shared" si="8"/>
        <v>3.5665000000000002E-2</v>
      </c>
      <c r="G72" s="315"/>
      <c r="H72" s="316">
        <f>-'LSR Prepaid Bill Credits'!N38</f>
        <v>-502860</v>
      </c>
      <c r="I72" s="313">
        <f t="shared" si="7"/>
        <v>242621.79146044757</v>
      </c>
      <c r="J72" s="313">
        <f t="shared" si="9"/>
        <v>80824969.795701727</v>
      </c>
      <c r="K72" s="313">
        <f t="shared" si="10"/>
        <v>80824969.795701727</v>
      </c>
      <c r="L72" s="176"/>
      <c r="M72" s="303"/>
    </row>
    <row r="73" spans="1:13" outlineLevel="1">
      <c r="A73" s="311">
        <v>1</v>
      </c>
      <c r="B73" s="312">
        <v>41670</v>
      </c>
      <c r="C73" s="313">
        <f t="shared" si="11"/>
        <v>31</v>
      </c>
      <c r="D73" s="312"/>
      <c r="E73" s="313"/>
      <c r="F73" s="314">
        <f t="shared" si="8"/>
        <v>3.5665000000000002E-2</v>
      </c>
      <c r="G73" s="315"/>
      <c r="H73" s="316">
        <f>-'LSR Prepaid Bill Credits'!N39</f>
        <v>-502860</v>
      </c>
      <c r="I73" s="313">
        <f t="shared" si="7"/>
        <v>243302.27238842405</v>
      </c>
      <c r="J73" s="313">
        <f t="shared" si="9"/>
        <v>80565412.068090156</v>
      </c>
      <c r="K73" s="313">
        <f t="shared" si="10"/>
        <v>80322109.795701727</v>
      </c>
      <c r="L73" s="176"/>
      <c r="M73" s="303"/>
    </row>
    <row r="74" spans="1:13" outlineLevel="1">
      <c r="A74" s="311">
        <v>2</v>
      </c>
      <c r="B74" s="312">
        <v>41698</v>
      </c>
      <c r="C74" s="313">
        <f t="shared" si="11"/>
        <v>28</v>
      </c>
      <c r="D74" s="312"/>
      <c r="E74" s="313"/>
      <c r="F74" s="314">
        <f t="shared" si="8"/>
        <v>3.5665000000000002E-2</v>
      </c>
      <c r="G74" s="313">
        <v>-105098.23</v>
      </c>
      <c r="H74" s="316">
        <f>-'LSR Prepaid Bill Credits'!N40</f>
        <v>-502860</v>
      </c>
      <c r="I74" s="313">
        <f>'BPA Statement'!H194</f>
        <v>218216.78</v>
      </c>
      <c r="J74" s="313">
        <f t="shared" si="9"/>
        <v>80175670.618090153</v>
      </c>
      <c r="K74" s="313">
        <f t="shared" si="10"/>
        <v>79714151.565701723</v>
      </c>
      <c r="L74" s="562" t="s">
        <v>810</v>
      </c>
      <c r="M74" s="303"/>
    </row>
    <row r="75" spans="1:13" outlineLevel="1">
      <c r="A75" s="311">
        <v>3</v>
      </c>
      <c r="B75" s="312">
        <v>41729</v>
      </c>
      <c r="C75" s="313">
        <f t="shared" si="11"/>
        <v>31</v>
      </c>
      <c r="D75" s="312"/>
      <c r="E75" s="313"/>
      <c r="F75" s="314">
        <f t="shared" si="8"/>
        <v>3.5665000000000002E-2</v>
      </c>
      <c r="G75" s="315"/>
      <c r="H75" s="316">
        <f>-'LSR Prepaid Bill Credits'!N41</f>
        <v>-502860</v>
      </c>
      <c r="I75" s="313">
        <f t="shared" si="7"/>
        <v>239937.51266962555</v>
      </c>
      <c r="J75" s="313">
        <f t="shared" si="9"/>
        <v>79912748.130759776</v>
      </c>
      <c r="K75" s="313">
        <f t="shared" si="10"/>
        <v>79912748.130759776</v>
      </c>
      <c r="L75" s="176"/>
      <c r="M75" s="303"/>
    </row>
    <row r="76" spans="1:13" outlineLevel="1">
      <c r="A76" s="812">
        <v>1</v>
      </c>
      <c r="B76" s="813">
        <v>41759</v>
      </c>
      <c r="C76" s="814">
        <f t="shared" si="11"/>
        <v>30</v>
      </c>
      <c r="D76" s="813"/>
      <c r="E76" s="814"/>
      <c r="F76" s="815">
        <f t="shared" si="8"/>
        <v>3.5665000000000002E-2</v>
      </c>
      <c r="G76" s="816"/>
      <c r="H76" s="817">
        <f>-'LSR Prepaid Bill Credits'!N42</f>
        <v>-502860</v>
      </c>
      <c r="I76" s="814">
        <f t="shared" si="7"/>
        <v>232779.75289179845</v>
      </c>
      <c r="J76" s="814">
        <f t="shared" si="9"/>
        <v>79642667.883651569</v>
      </c>
      <c r="K76" s="814">
        <f t="shared" si="10"/>
        <v>79409888.130759776</v>
      </c>
      <c r="L76" s="176"/>
      <c r="M76" s="303"/>
    </row>
    <row r="77" spans="1:13" outlineLevel="1">
      <c r="A77" s="812">
        <v>2</v>
      </c>
      <c r="B77" s="813">
        <v>41790</v>
      </c>
      <c r="C77" s="814">
        <f t="shared" si="11"/>
        <v>31</v>
      </c>
      <c r="D77" s="813"/>
      <c r="E77" s="814"/>
      <c r="F77" s="815">
        <f t="shared" si="8"/>
        <v>3.5665000000000002E-2</v>
      </c>
      <c r="G77" s="816"/>
      <c r="H77" s="817">
        <f>-'LSR Prepaid Bill Credits'!N43</f>
        <v>-502860</v>
      </c>
      <c r="I77" s="814">
        <f t="shared" si="7"/>
        <v>239015.87371723281</v>
      </c>
      <c r="J77" s="814">
        <f t="shared" si="9"/>
        <v>79378823.757368803</v>
      </c>
      <c r="K77" s="814">
        <f t="shared" si="10"/>
        <v>78907028.130759776</v>
      </c>
      <c r="L77" s="176"/>
      <c r="M77" s="303"/>
    </row>
    <row r="78" spans="1:13" outlineLevel="1">
      <c r="A78" s="812">
        <v>3</v>
      </c>
      <c r="B78" s="813">
        <v>41820</v>
      </c>
      <c r="C78" s="814">
        <f t="shared" si="11"/>
        <v>30</v>
      </c>
      <c r="D78" s="813"/>
      <c r="E78" s="814"/>
      <c r="F78" s="815">
        <f t="shared" si="8"/>
        <v>3.5665000000000002E-2</v>
      </c>
      <c r="G78" s="816"/>
      <c r="H78" s="817">
        <f>-'LSR Prepaid Bill Credits'!N44</f>
        <v>-502860</v>
      </c>
      <c r="I78" s="814">
        <f t="shared" si="7"/>
        <v>229831.6155931683</v>
      </c>
      <c r="J78" s="814">
        <f t="shared" si="9"/>
        <v>79105795.372961968</v>
      </c>
      <c r="K78" s="814">
        <f t="shared" si="10"/>
        <v>79105795.372961968</v>
      </c>
      <c r="L78" s="176"/>
      <c r="M78" s="303"/>
    </row>
    <row r="79" spans="1:13" outlineLevel="1">
      <c r="A79" s="812">
        <v>1</v>
      </c>
      <c r="B79" s="813">
        <v>41851</v>
      </c>
      <c r="C79" s="814">
        <f t="shared" si="11"/>
        <v>31</v>
      </c>
      <c r="D79" s="813"/>
      <c r="E79" s="814"/>
      <c r="F79" s="815">
        <f t="shared" si="8"/>
        <v>3.5665000000000002E-2</v>
      </c>
      <c r="G79" s="816"/>
      <c r="H79" s="817">
        <f>-'LSR Prepaid Bill Credits'!N45</f>
        <v>-502860</v>
      </c>
      <c r="I79" s="814">
        <f t="shared" si="7"/>
        <v>238094.75175993796</v>
      </c>
      <c r="J79" s="814">
        <f t="shared" si="9"/>
        <v>78841030.1247219</v>
      </c>
      <c r="K79" s="814">
        <f t="shared" si="10"/>
        <v>78602935.372961968</v>
      </c>
      <c r="L79" s="176"/>
      <c r="M79" s="303"/>
    </row>
    <row r="80" spans="1:13" outlineLevel="1">
      <c r="A80" s="812">
        <v>2</v>
      </c>
      <c r="B80" s="813">
        <v>41882</v>
      </c>
      <c r="C80" s="814">
        <f t="shared" si="11"/>
        <v>31</v>
      </c>
      <c r="D80" s="813"/>
      <c r="E80" s="814"/>
      <c r="F80" s="815">
        <f t="shared" si="8"/>
        <v>3.5665000000000002E-2</v>
      </c>
      <c r="G80" s="816"/>
      <c r="H80" s="817">
        <f>-'LSR Prepaid Bill Credits'!N46</f>
        <v>-502860</v>
      </c>
      <c r="I80" s="814">
        <f t="shared" si="7"/>
        <v>236571.54748897903</v>
      </c>
      <c r="J80" s="814">
        <f t="shared" si="9"/>
        <v>78574741.672210872</v>
      </c>
      <c r="K80" s="814">
        <f t="shared" si="10"/>
        <v>78100075.372961968</v>
      </c>
      <c r="L80" s="176"/>
      <c r="M80" s="303"/>
    </row>
    <row r="81" spans="1:13" outlineLevel="1">
      <c r="A81" s="812">
        <v>3</v>
      </c>
      <c r="B81" s="813">
        <v>41912</v>
      </c>
      <c r="C81" s="814">
        <f t="shared" si="11"/>
        <v>30</v>
      </c>
      <c r="D81" s="813"/>
      <c r="E81" s="814"/>
      <c r="F81" s="815">
        <f t="shared" si="8"/>
        <v>3.5665000000000002E-2</v>
      </c>
      <c r="G81" s="816"/>
      <c r="H81" s="817">
        <f>-'LSR Prepaid Bill Credits'!N47</f>
        <v>-502860</v>
      </c>
      <c r="I81" s="814">
        <f t="shared" si="7"/>
        <v>227466.13859808401</v>
      </c>
      <c r="J81" s="814">
        <f t="shared" si="9"/>
        <v>78299347.810808957</v>
      </c>
      <c r="K81" s="814">
        <f t="shared" si="10"/>
        <v>78299347.810808957</v>
      </c>
      <c r="L81" s="176"/>
      <c r="M81" s="303"/>
    </row>
    <row r="82" spans="1:13" outlineLevel="1">
      <c r="A82" s="812">
        <v>1</v>
      </c>
      <c r="B82" s="813">
        <v>41943</v>
      </c>
      <c r="C82" s="814">
        <f t="shared" si="11"/>
        <v>31</v>
      </c>
      <c r="D82" s="813"/>
      <c r="E82" s="814"/>
      <c r="F82" s="815">
        <f t="shared" si="8"/>
        <v>3.5665000000000002E-2</v>
      </c>
      <c r="G82" s="816"/>
      <c r="H82" s="817">
        <f>-'LSR Prepaid Bill Credits'!N48</f>
        <v>-502860</v>
      </c>
      <c r="I82" s="814">
        <f t="shared" si="7"/>
        <v>235651.95581081518</v>
      </c>
      <c r="J82" s="814">
        <f t="shared" si="9"/>
        <v>78032139.766619772</v>
      </c>
      <c r="K82" s="814">
        <f t="shared" si="10"/>
        <v>77796487.810808957</v>
      </c>
      <c r="L82" s="176"/>
      <c r="M82" s="303"/>
    </row>
    <row r="83" spans="1:13" outlineLevel="1">
      <c r="A83" s="812">
        <v>2</v>
      </c>
      <c r="B83" s="813">
        <v>41973</v>
      </c>
      <c r="C83" s="814">
        <f t="shared" si="11"/>
        <v>30</v>
      </c>
      <c r="D83" s="813"/>
      <c r="E83" s="814"/>
      <c r="F83" s="815">
        <f t="shared" si="8"/>
        <v>3.5665000000000002E-2</v>
      </c>
      <c r="G83" s="816"/>
      <c r="H83" s="817">
        <f>-'LSR Prepaid Bill Credits'!N49</f>
        <v>-502860</v>
      </c>
      <c r="I83" s="814">
        <f t="shared" si="7"/>
        <v>226576.21116760289</v>
      </c>
      <c r="J83" s="814">
        <f t="shared" si="9"/>
        <v>77755855.977787375</v>
      </c>
      <c r="K83" s="814">
        <f t="shared" si="10"/>
        <v>77293627.810808957</v>
      </c>
      <c r="L83" s="176"/>
      <c r="M83" s="303"/>
    </row>
    <row r="84" spans="1:13" outlineLevel="1">
      <c r="A84" s="812">
        <v>3</v>
      </c>
      <c r="B84" s="813">
        <v>42004</v>
      </c>
      <c r="C84" s="814">
        <f t="shared" si="11"/>
        <v>31</v>
      </c>
      <c r="D84" s="813"/>
      <c r="E84" s="814"/>
      <c r="F84" s="815">
        <f t="shared" si="8"/>
        <v>3.5665000000000002E-2</v>
      </c>
      <c r="G84" s="816"/>
      <c r="H84" s="817">
        <f>-'LSR Prepaid Bill Credits'!N50</f>
        <v>-502860</v>
      </c>
      <c r="I84" s="814">
        <f t="shared" si="7"/>
        <v>232605.54726889738</v>
      </c>
      <c r="J84" s="814">
        <f t="shared" si="9"/>
        <v>77485601.525056273</v>
      </c>
      <c r="K84" s="814">
        <f t="shared" si="10"/>
        <v>77485601.525056273</v>
      </c>
      <c r="L84" s="176"/>
      <c r="M84" s="303"/>
    </row>
    <row r="85" spans="1:13">
      <c r="A85" s="812">
        <v>1</v>
      </c>
      <c r="B85" s="813">
        <v>42035</v>
      </c>
      <c r="C85" s="814">
        <f t="shared" si="11"/>
        <v>31</v>
      </c>
      <c r="D85" s="813"/>
      <c r="E85" s="814"/>
      <c r="F85" s="815">
        <f t="shared" si="8"/>
        <v>3.5665000000000002E-2</v>
      </c>
      <c r="G85" s="816"/>
      <c r="H85" s="817">
        <f>-'LSR Prepaid Bill Credits'!N51</f>
        <v>-502860</v>
      </c>
      <c r="I85" s="814">
        <f t="shared" si="7"/>
        <v>233187.05142801395</v>
      </c>
      <c r="J85" s="814">
        <f t="shared" si="9"/>
        <v>77215928.576484293</v>
      </c>
      <c r="K85" s="814">
        <f t="shared" si="10"/>
        <v>76982741.525056273</v>
      </c>
      <c r="L85" s="176"/>
      <c r="M85" s="303"/>
    </row>
    <row r="86" spans="1:13">
      <c r="A86" s="812">
        <v>2</v>
      </c>
      <c r="B86" s="813">
        <v>42063</v>
      </c>
      <c r="C86" s="814">
        <f t="shared" si="11"/>
        <v>28</v>
      </c>
      <c r="D86" s="813"/>
      <c r="E86" s="814"/>
      <c r="F86" s="815">
        <f t="shared" si="8"/>
        <v>3.5665000000000002E-2</v>
      </c>
      <c r="G86" s="816"/>
      <c r="H86" s="817">
        <f>-'LSR Prepaid Bill Credits'!N52</f>
        <v>-502860</v>
      </c>
      <c r="I86" s="814">
        <f t="shared" si="7"/>
        <v>209244.76517411426</v>
      </c>
      <c r="J86" s="814">
        <f t="shared" si="9"/>
        <v>76922313.341658413</v>
      </c>
      <c r="K86" s="814">
        <f t="shared" si="10"/>
        <v>76479881.525056273</v>
      </c>
      <c r="L86" s="176"/>
      <c r="M86" s="303"/>
    </row>
    <row r="87" spans="1:13">
      <c r="A87" s="812">
        <v>3</v>
      </c>
      <c r="B87" s="813">
        <v>42094</v>
      </c>
      <c r="C87" s="814">
        <f t="shared" si="11"/>
        <v>31</v>
      </c>
      <c r="D87" s="813"/>
      <c r="E87" s="814"/>
      <c r="F87" s="815">
        <f t="shared" si="8"/>
        <v>3.5665000000000002E-2</v>
      </c>
      <c r="G87" s="816"/>
      <c r="H87" s="817">
        <f>-'LSR Prepaid Bill Credits'!N53</f>
        <v>-502860</v>
      </c>
      <c r="I87" s="814">
        <f t="shared" si="7"/>
        <v>230140.64288609615</v>
      </c>
      <c r="J87" s="814">
        <f t="shared" si="9"/>
        <v>76649593.984544516</v>
      </c>
      <c r="K87" s="814">
        <f t="shared" si="10"/>
        <v>76649593.984544516</v>
      </c>
      <c r="L87" s="176"/>
      <c r="M87" s="303"/>
    </row>
    <row r="88" spans="1:13">
      <c r="A88" s="812">
        <v>1</v>
      </c>
      <c r="B88" s="813">
        <v>42124</v>
      </c>
      <c r="C88" s="814">
        <f t="shared" si="11"/>
        <v>30</v>
      </c>
      <c r="D88" s="813"/>
      <c r="E88" s="814"/>
      <c r="F88" s="815">
        <f t="shared" si="8"/>
        <v>3.5665000000000002E-2</v>
      </c>
      <c r="G88" s="816"/>
      <c r="H88" s="817">
        <f>-'LSR Prepaid Bill Credits'!N54</f>
        <v>-502860</v>
      </c>
      <c r="I88" s="814">
        <f t="shared" si="7"/>
        <v>223214.24116921483</v>
      </c>
      <c r="J88" s="814">
        <f t="shared" si="9"/>
        <v>76369948.22571373</v>
      </c>
      <c r="K88" s="814">
        <f t="shared" si="10"/>
        <v>76146733.984544516</v>
      </c>
      <c r="L88" s="176"/>
      <c r="M88" s="303"/>
    </row>
    <row r="89" spans="1:13">
      <c r="A89" s="812">
        <v>2</v>
      </c>
      <c r="B89" s="813">
        <v>42155</v>
      </c>
      <c r="C89" s="814">
        <f t="shared" si="11"/>
        <v>31</v>
      </c>
      <c r="D89" s="813"/>
      <c r="E89" s="814"/>
      <c r="F89" s="815">
        <f t="shared" si="8"/>
        <v>3.5665000000000002E-2</v>
      </c>
      <c r="G89" s="816"/>
      <c r="H89" s="817">
        <f>-'LSR Prepaid Bill Credits'!N55</f>
        <v>-502860</v>
      </c>
      <c r="I89" s="814">
        <f t="shared" si="7"/>
        <v>229131.51160389639</v>
      </c>
      <c r="J89" s="814">
        <f t="shared" si="9"/>
        <v>76096219.737317622</v>
      </c>
      <c r="K89" s="814">
        <f t="shared" si="10"/>
        <v>75643873.984544516</v>
      </c>
      <c r="L89" s="176"/>
      <c r="M89" s="303"/>
    </row>
    <row r="90" spans="1:13">
      <c r="A90" s="812">
        <v>3</v>
      </c>
      <c r="B90" s="813">
        <v>42185</v>
      </c>
      <c r="C90" s="814">
        <f t="shared" si="11"/>
        <v>30</v>
      </c>
      <c r="D90" s="813"/>
      <c r="E90" s="814"/>
      <c r="F90" s="815">
        <f t="shared" si="8"/>
        <v>3.5665000000000002E-2</v>
      </c>
      <c r="G90" s="816"/>
      <c r="H90" s="817">
        <f>-'LSR Prepaid Bill Credits'!N56</f>
        <v>-502860</v>
      </c>
      <c r="I90" s="814">
        <f t="shared" si="7"/>
        <v>220266.10387058469</v>
      </c>
      <c r="J90" s="814">
        <f t="shared" si="9"/>
        <v>75813625.841188207</v>
      </c>
      <c r="K90" s="814">
        <f t="shared" si="10"/>
        <v>75813625.841188207</v>
      </c>
      <c r="L90" s="176"/>
      <c r="M90" s="303"/>
    </row>
    <row r="91" spans="1:13">
      <c r="A91" s="812">
        <v>1</v>
      </c>
      <c r="B91" s="813">
        <v>42216</v>
      </c>
      <c r="C91" s="814">
        <f t="shared" si="11"/>
        <v>31</v>
      </c>
      <c r="D91" s="813"/>
      <c r="E91" s="814"/>
      <c r="F91" s="815">
        <f t="shared" si="8"/>
        <v>3.5665000000000002E-2</v>
      </c>
      <c r="G91" s="816"/>
      <c r="H91" s="817">
        <f>-'LSR Prepaid Bill Credits'!N57</f>
        <v>-502860</v>
      </c>
      <c r="I91" s="814">
        <f t="shared" si="7"/>
        <v>228122.49965891862</v>
      </c>
      <c r="J91" s="814">
        <f t="shared" si="9"/>
        <v>75538888.34084712</v>
      </c>
      <c r="K91" s="814">
        <f t="shared" si="10"/>
        <v>75310765.841188207</v>
      </c>
      <c r="L91" s="176"/>
      <c r="M91" s="303"/>
    </row>
    <row r="92" spans="1:13">
      <c r="A92" s="812">
        <v>2</v>
      </c>
      <c r="B92" s="813">
        <v>42247</v>
      </c>
      <c r="C92" s="814">
        <f t="shared" si="11"/>
        <v>31</v>
      </c>
      <c r="D92" s="813"/>
      <c r="E92" s="814"/>
      <c r="F92" s="815">
        <f t="shared" si="8"/>
        <v>3.5665000000000002E-2</v>
      </c>
      <c r="G92" s="816"/>
      <c r="H92" s="817">
        <f>-'LSR Prepaid Bill Credits'!N58</f>
        <v>-502860</v>
      </c>
      <c r="I92" s="814">
        <f t="shared" si="7"/>
        <v>226599.29538795972</v>
      </c>
      <c r="J92" s="814">
        <f t="shared" si="9"/>
        <v>75262627.636235073</v>
      </c>
      <c r="K92" s="814">
        <f t="shared" si="10"/>
        <v>74807905.841188207</v>
      </c>
      <c r="L92" s="176"/>
      <c r="M92" s="303"/>
    </row>
    <row r="93" spans="1:13">
      <c r="A93" s="812">
        <v>3</v>
      </c>
      <c r="B93" s="813">
        <v>42277</v>
      </c>
      <c r="C93" s="814">
        <f t="shared" si="11"/>
        <v>30</v>
      </c>
      <c r="D93" s="813"/>
      <c r="E93" s="814"/>
      <c r="F93" s="815">
        <f t="shared" si="8"/>
        <v>3.5665000000000002E-2</v>
      </c>
      <c r="G93" s="816"/>
      <c r="H93" s="817">
        <f>-'LSR Prepaid Bill Credits'!N59</f>
        <v>-502860</v>
      </c>
      <c r="I93" s="814">
        <f t="shared" si="7"/>
        <v>217815.57204871048</v>
      </c>
      <c r="J93" s="814">
        <f t="shared" si="9"/>
        <v>74977583.208283782</v>
      </c>
      <c r="K93" s="814">
        <f t="shared" si="10"/>
        <v>74977583.208283782</v>
      </c>
      <c r="L93" s="176"/>
      <c r="M93" s="303"/>
    </row>
    <row r="94" spans="1:13">
      <c r="A94" s="812">
        <v>1</v>
      </c>
      <c r="B94" s="813">
        <v>42308</v>
      </c>
      <c r="C94" s="814">
        <f t="shared" si="11"/>
        <v>31</v>
      </c>
      <c r="D94" s="813"/>
      <c r="E94" s="814"/>
      <c r="F94" s="815">
        <f t="shared" si="8"/>
        <v>3.5665000000000002E-2</v>
      </c>
      <c r="G94" s="816"/>
      <c r="H94" s="817">
        <f>-'LSR Prepaid Bill Credits'!N60</f>
        <v>-502860</v>
      </c>
      <c r="I94" s="814">
        <f t="shared" si="7"/>
        <v>225590.05780801829</v>
      </c>
      <c r="J94" s="814">
        <f t="shared" si="9"/>
        <v>74700313.266091794</v>
      </c>
      <c r="K94" s="814">
        <f t="shared" ref="K94:K125" si="12">IF(A94=3,J94,IF(A94=1,J94-I94,J94-I94-I93))</f>
        <v>74474723.208283782</v>
      </c>
      <c r="L94" s="176"/>
      <c r="M94" s="303"/>
    </row>
    <row r="95" spans="1:13">
      <c r="A95" s="812">
        <v>2</v>
      </c>
      <c r="B95" s="813">
        <v>42338</v>
      </c>
      <c r="C95" s="814">
        <f t="shared" si="11"/>
        <v>30</v>
      </c>
      <c r="D95" s="813"/>
      <c r="E95" s="814"/>
      <c r="F95" s="815">
        <f t="shared" si="8"/>
        <v>3.5665000000000002E-2</v>
      </c>
      <c r="G95" s="816"/>
      <c r="H95" s="817">
        <f>-'LSR Prepaid Bill Credits'!N61</f>
        <v>-506260</v>
      </c>
      <c r="I95" s="814">
        <f t="shared" ref="I95:I158" si="13">(((K94+H95)*C95)+(G95*E95))*(F95/365)</f>
        <v>216828.92386220064</v>
      </c>
      <c r="J95" s="814">
        <f t="shared" si="9"/>
        <v>74410882.189953998</v>
      </c>
      <c r="K95" s="814">
        <f t="shared" si="12"/>
        <v>73968463.208283782</v>
      </c>
      <c r="L95" s="176"/>
      <c r="M95" s="303"/>
    </row>
    <row r="96" spans="1:13">
      <c r="A96" s="812">
        <v>3</v>
      </c>
      <c r="B96" s="813">
        <v>42369</v>
      </c>
      <c r="C96" s="814">
        <f t="shared" si="11"/>
        <v>31</v>
      </c>
      <c r="D96" s="813"/>
      <c r="E96" s="814"/>
      <c r="F96" s="815">
        <f t="shared" si="8"/>
        <v>3.5665000000000002E-2</v>
      </c>
      <c r="G96" s="816"/>
      <c r="H96" s="817">
        <f>-'LSR Prepaid Bill Credits'!N62</f>
        <v>-506260</v>
      </c>
      <c r="I96" s="814">
        <f t="shared" si="13"/>
        <v>222523.05150719636</v>
      </c>
      <c r="J96" s="814">
        <f t="shared" si="9"/>
        <v>74127145.241461188</v>
      </c>
      <c r="K96" s="814">
        <f t="shared" si="12"/>
        <v>74127145.241461188</v>
      </c>
      <c r="L96" s="176"/>
      <c r="M96" s="303"/>
    </row>
    <row r="97" spans="1:13">
      <c r="A97" s="812">
        <v>1</v>
      </c>
      <c r="B97" s="813">
        <v>42400</v>
      </c>
      <c r="C97" s="814">
        <f t="shared" si="11"/>
        <v>31</v>
      </c>
      <c r="D97" s="813"/>
      <c r="E97" s="814"/>
      <c r="F97" s="815">
        <f t="shared" ref="F97:F160" si="14">F96</f>
        <v>3.5665000000000002E-2</v>
      </c>
      <c r="G97" s="816"/>
      <c r="H97" s="817">
        <f>-'LSR Prepaid Bill Credits'!N63</f>
        <v>-506260</v>
      </c>
      <c r="I97" s="814">
        <f>(((K96+H97)*C97)+(G97*E97))*(F97/365)</f>
        <v>223003.71242804962</v>
      </c>
      <c r="J97" s="814">
        <f t="shared" si="9"/>
        <v>73843888.953889236</v>
      </c>
      <c r="K97" s="814">
        <f t="shared" si="12"/>
        <v>73620885.241461188</v>
      </c>
      <c r="L97" s="176"/>
      <c r="M97" s="303"/>
    </row>
    <row r="98" spans="1:13">
      <c r="A98" s="812">
        <v>2</v>
      </c>
      <c r="B98" s="813">
        <v>42429</v>
      </c>
      <c r="C98" s="266">
        <f t="shared" si="11"/>
        <v>29</v>
      </c>
      <c r="D98" s="813"/>
      <c r="E98" s="814"/>
      <c r="F98" s="815">
        <f t="shared" si="14"/>
        <v>3.5665000000000002E-2</v>
      </c>
      <c r="G98" s="816"/>
      <c r="H98" s="817">
        <f>-'LSR Prepaid Bill Credits'!N64</f>
        <v>-506260</v>
      </c>
      <c r="I98" s="814">
        <f t="shared" si="13"/>
        <v>207181.80867908135</v>
      </c>
      <c r="J98" s="814">
        <f t="shared" si="9"/>
        <v>73544810.76256831</v>
      </c>
      <c r="K98" s="814">
        <f t="shared" si="12"/>
        <v>73114625.241461188</v>
      </c>
      <c r="L98" s="176"/>
      <c r="M98" s="303"/>
    </row>
    <row r="99" spans="1:13">
      <c r="A99" s="812">
        <v>3</v>
      </c>
      <c r="B99" s="813">
        <v>42460</v>
      </c>
      <c r="C99" s="814">
        <f t="shared" si="11"/>
        <v>31</v>
      </c>
      <c r="D99" s="813"/>
      <c r="E99" s="814"/>
      <c r="F99" s="815">
        <f t="shared" si="14"/>
        <v>3.5665000000000002E-2</v>
      </c>
      <c r="G99" s="816"/>
      <c r="H99" s="817">
        <f>-'LSR Prepaid Bill Credits'!N65</f>
        <v>-506260</v>
      </c>
      <c r="I99" s="814">
        <f t="shared" si="13"/>
        <v>219936.70612722772</v>
      </c>
      <c r="J99" s="814">
        <f t="shared" si="9"/>
        <v>73258487.468695536</v>
      </c>
      <c r="K99" s="814">
        <f t="shared" si="12"/>
        <v>73258487.468695536</v>
      </c>
      <c r="L99" s="176"/>
      <c r="M99" s="303"/>
    </row>
    <row r="100" spans="1:13">
      <c r="A100" s="812">
        <v>1</v>
      </c>
      <c r="B100" s="813">
        <v>42490</v>
      </c>
      <c r="C100" s="814">
        <f t="shared" si="11"/>
        <v>30</v>
      </c>
      <c r="D100" s="813"/>
      <c r="E100" s="814"/>
      <c r="F100" s="815">
        <f t="shared" si="14"/>
        <v>3.5665000000000002E-2</v>
      </c>
      <c r="G100" s="816"/>
      <c r="H100" s="817">
        <f>-'LSR Prepaid Bill Credits'!N66</f>
        <v>-506260</v>
      </c>
      <c r="I100" s="814">
        <f>(((K99+H100)*C100)+(G100*E100))*(F100/365)</f>
        <v>213263.68706885146</v>
      </c>
      <c r="J100" s="814">
        <f>J99+G100+H100+I100</f>
        <v>72965491.155764386</v>
      </c>
      <c r="K100" s="814">
        <f t="shared" si="12"/>
        <v>72752227.468695536</v>
      </c>
      <c r="L100" s="176"/>
      <c r="M100" s="303"/>
    </row>
    <row r="101" spans="1:13">
      <c r="A101" s="812">
        <v>2</v>
      </c>
      <c r="B101" s="813">
        <v>42521</v>
      </c>
      <c r="C101" s="814">
        <f t="shared" si="11"/>
        <v>31</v>
      </c>
      <c r="D101" s="813"/>
      <c r="E101" s="814"/>
      <c r="F101" s="815">
        <f t="shared" si="14"/>
        <v>3.5665000000000002E-2</v>
      </c>
      <c r="G101" s="816"/>
      <c r="H101" s="817">
        <f>-'LSR Prepaid Bill Credits'!N67</f>
        <v>-506260</v>
      </c>
      <c r="I101" s="814">
        <f t="shared" si="13"/>
        <v>218838.97348740225</v>
      </c>
      <c r="J101" s="814">
        <f t="shared" si="9"/>
        <v>72678070.129251793</v>
      </c>
      <c r="K101" s="814">
        <f t="shared" si="12"/>
        <v>72245967.468695536</v>
      </c>
      <c r="L101" s="176"/>
      <c r="M101" s="303"/>
    </row>
    <row r="102" spans="1:13">
      <c r="A102" s="812">
        <v>3</v>
      </c>
      <c r="B102" s="813">
        <v>42551</v>
      </c>
      <c r="C102" s="814">
        <f t="shared" si="11"/>
        <v>30</v>
      </c>
      <c r="D102" s="813"/>
      <c r="E102" s="814"/>
      <c r="F102" s="815">
        <f t="shared" si="14"/>
        <v>3.5665000000000002E-2</v>
      </c>
      <c r="G102" s="816"/>
      <c r="H102" s="817">
        <f>-'LSR Prepaid Bill Credits'!N68</f>
        <v>-506260</v>
      </c>
      <c r="I102" s="814">
        <f t="shared" si="13"/>
        <v>210295.61645515283</v>
      </c>
      <c r="J102" s="814">
        <f t="shared" si="9"/>
        <v>72382105.745706946</v>
      </c>
      <c r="K102" s="814">
        <f t="shared" si="12"/>
        <v>72382105.745706946</v>
      </c>
      <c r="L102" s="176"/>
      <c r="M102" s="303"/>
    </row>
    <row r="103" spans="1:13">
      <c r="A103" s="812">
        <v>1</v>
      </c>
      <c r="B103" s="813">
        <v>42582</v>
      </c>
      <c r="C103" s="814">
        <f t="shared" si="11"/>
        <v>31</v>
      </c>
      <c r="D103" s="813"/>
      <c r="E103" s="814"/>
      <c r="F103" s="815">
        <f t="shared" si="14"/>
        <v>3.5665000000000002E-2</v>
      </c>
      <c r="G103" s="816"/>
      <c r="H103" s="817">
        <f>-'LSR Prepaid Bill Credits'!N69</f>
        <v>-506260</v>
      </c>
      <c r="I103" s="814">
        <f t="shared" si="13"/>
        <v>217717.84436750627</v>
      </c>
      <c r="J103" s="814">
        <f t="shared" si="9"/>
        <v>72093563.59007445</v>
      </c>
      <c r="K103" s="814">
        <f t="shared" si="12"/>
        <v>71875845.745706946</v>
      </c>
      <c r="L103" s="176"/>
      <c r="M103" s="303"/>
    </row>
    <row r="104" spans="1:13">
      <c r="A104" s="812">
        <v>2</v>
      </c>
      <c r="B104" s="813">
        <v>42613</v>
      </c>
      <c r="C104" s="814">
        <f t="shared" si="11"/>
        <v>31</v>
      </c>
      <c r="D104" s="813"/>
      <c r="E104" s="814"/>
      <c r="F104" s="815">
        <f t="shared" si="14"/>
        <v>3.5665000000000002E-2</v>
      </c>
      <c r="G104" s="816"/>
      <c r="H104" s="817">
        <f>-'LSR Prepaid Bill Credits'!N70</f>
        <v>-506260</v>
      </c>
      <c r="I104" s="814">
        <f t="shared" si="13"/>
        <v>216184.34121709532</v>
      </c>
      <c r="J104" s="814">
        <f t="shared" si="9"/>
        <v>71803487.93129155</v>
      </c>
      <c r="K104" s="814">
        <f t="shared" si="12"/>
        <v>71369585.745706946</v>
      </c>
      <c r="L104" s="176"/>
      <c r="M104" s="303"/>
    </row>
    <row r="105" spans="1:13">
      <c r="A105" s="812">
        <v>3</v>
      </c>
      <c r="B105" s="813">
        <v>42643</v>
      </c>
      <c r="C105" s="814">
        <f t="shared" si="11"/>
        <v>30</v>
      </c>
      <c r="D105" s="813"/>
      <c r="E105" s="814"/>
      <c r="F105" s="815">
        <f t="shared" si="14"/>
        <v>3.5665000000000002E-2</v>
      </c>
      <c r="G105" s="816"/>
      <c r="H105" s="817">
        <f>-'LSR Prepaid Bill Credits'!N71</f>
        <v>-506260</v>
      </c>
      <c r="I105" s="814">
        <f>(((K104+H105)*C105)+(G105*E105))*(F105/365)</f>
        <v>207726.61748388808</v>
      </c>
      <c r="J105" s="814">
        <f t="shared" si="9"/>
        <v>71504954.548775434</v>
      </c>
      <c r="K105" s="814">
        <f t="shared" si="12"/>
        <v>71504954.548775434</v>
      </c>
      <c r="L105" s="176"/>
      <c r="M105" s="303"/>
    </row>
    <row r="106" spans="1:13">
      <c r="A106" s="246">
        <v>1</v>
      </c>
      <c r="B106" s="226">
        <v>42674</v>
      </c>
      <c r="C106" s="176">
        <f t="shared" si="11"/>
        <v>31</v>
      </c>
      <c r="F106" s="255">
        <f t="shared" si="14"/>
        <v>3.5665000000000002E-2</v>
      </c>
      <c r="G106" s="247"/>
      <c r="H106" s="251">
        <f>-'LSR Prepaid Bill Credits'!L72</f>
        <v>-506260</v>
      </c>
      <c r="I106" s="204">
        <f t="shared" si="13"/>
        <v>215060.88129738177</v>
      </c>
      <c r="J106" s="204">
        <f t="shared" si="9"/>
        <v>71213755.430072814</v>
      </c>
      <c r="K106" s="176">
        <f t="shared" si="12"/>
        <v>70998694.548775434</v>
      </c>
      <c r="L106" s="176"/>
      <c r="M106" s="303"/>
    </row>
    <row r="107" spans="1:13">
      <c r="A107" s="246">
        <v>2</v>
      </c>
      <c r="B107" s="226">
        <v>42704</v>
      </c>
      <c r="C107" s="176">
        <f t="shared" si="11"/>
        <v>30</v>
      </c>
      <c r="F107" s="255">
        <f t="shared" si="14"/>
        <v>3.5665000000000002E-2</v>
      </c>
      <c r="G107" s="247"/>
      <c r="H107" s="251">
        <f>-'LSR Prepaid Bill Credits'!L73</f>
        <v>-506260</v>
      </c>
      <c r="I107" s="204">
        <f t="shared" si="13"/>
        <v>206639.39820674597</v>
      </c>
      <c r="J107" s="204">
        <f t="shared" si="9"/>
        <v>70914134.828279555</v>
      </c>
      <c r="K107" s="176">
        <f t="shared" si="12"/>
        <v>70492434.548775434</v>
      </c>
      <c r="L107" s="176"/>
      <c r="M107" s="303"/>
    </row>
    <row r="108" spans="1:13">
      <c r="A108" s="246">
        <v>3</v>
      </c>
      <c r="B108" s="226">
        <v>42735</v>
      </c>
      <c r="C108" s="176">
        <f t="shared" si="11"/>
        <v>31</v>
      </c>
      <c r="F108" s="255">
        <f t="shared" si="14"/>
        <v>3.5665000000000002E-2</v>
      </c>
      <c r="G108" s="247"/>
      <c r="H108" s="251">
        <f>-'LSR Prepaid Bill Credits'!L74</f>
        <v>-506260</v>
      </c>
      <c r="I108" s="204">
        <f t="shared" si="13"/>
        <v>211993.87499655987</v>
      </c>
      <c r="J108" s="204">
        <f t="shared" si="9"/>
        <v>70619868.703276113</v>
      </c>
      <c r="K108" s="176">
        <f>IF(A108=3,J108,IF(A108=1,J108-I108,J108-I108-I107))</f>
        <v>70619868.703276113</v>
      </c>
      <c r="L108" s="176"/>
      <c r="M108" s="303"/>
    </row>
    <row r="109" spans="1:13">
      <c r="A109" s="246">
        <v>1</v>
      </c>
      <c r="B109" s="226">
        <v>42766</v>
      </c>
      <c r="C109" s="176">
        <f t="shared" si="11"/>
        <v>31</v>
      </c>
      <c r="F109" s="255">
        <f t="shared" si="14"/>
        <v>3.5665000000000002E-2</v>
      </c>
      <c r="G109" s="247"/>
      <c r="H109" s="251">
        <f>-'LSR Prepaid Bill Credits'!L75</f>
        <v>-506260</v>
      </c>
      <c r="I109" s="204">
        <f t="shared" si="13"/>
        <v>212379.88352458255</v>
      </c>
      <c r="J109" s="204">
        <f t="shared" ref="J109:J172" si="15">J108+G109+H109+I109</f>
        <v>70325988.586800694</v>
      </c>
      <c r="K109" s="176">
        <f t="shared" si="12"/>
        <v>70113608.703276113</v>
      </c>
      <c r="L109" s="176"/>
      <c r="M109" s="303"/>
    </row>
    <row r="110" spans="1:13">
      <c r="A110" s="246">
        <v>2</v>
      </c>
      <c r="B110" s="226">
        <v>42794</v>
      </c>
      <c r="C110" s="176">
        <f t="shared" si="11"/>
        <v>28</v>
      </c>
      <c r="F110" s="255">
        <f t="shared" si="14"/>
        <v>3.5665000000000002E-2</v>
      </c>
      <c r="G110" s="247"/>
      <c r="H110" s="251">
        <f>-'LSR Prepaid Bill Credits'!L76</f>
        <v>-506260</v>
      </c>
      <c r="I110" s="204">
        <f t="shared" si="13"/>
        <v>190441.89195086466</v>
      </c>
      <c r="J110" s="204">
        <f t="shared" si="15"/>
        <v>70010170.478751555</v>
      </c>
      <c r="K110" s="176">
        <f t="shared" si="12"/>
        <v>69607348.703276113</v>
      </c>
      <c r="L110" s="176"/>
      <c r="M110" s="303"/>
    </row>
    <row r="111" spans="1:13">
      <c r="A111" s="246">
        <v>3</v>
      </c>
      <c r="B111" s="226">
        <v>42825</v>
      </c>
      <c r="C111" s="176">
        <f t="shared" si="11"/>
        <v>31</v>
      </c>
      <c r="F111" s="255">
        <f t="shared" si="14"/>
        <v>3.5665000000000002E-2</v>
      </c>
      <c r="G111" s="247"/>
      <c r="H111" s="251">
        <f>-'LSR Prepaid Bill Credits'!L77</f>
        <v>-506260</v>
      </c>
      <c r="I111" s="204">
        <f t="shared" si="13"/>
        <v>209312.87722376062</v>
      </c>
      <c r="J111" s="204">
        <f t="shared" si="15"/>
        <v>69713223.355975315</v>
      </c>
      <c r="K111" s="176">
        <f t="shared" si="12"/>
        <v>69713223.355975315</v>
      </c>
      <c r="L111" s="176"/>
      <c r="M111" s="303"/>
    </row>
    <row r="112" spans="1:13">
      <c r="A112" s="246">
        <v>1</v>
      </c>
      <c r="B112" s="226">
        <v>42855</v>
      </c>
      <c r="C112" s="176">
        <f t="shared" si="11"/>
        <v>30</v>
      </c>
      <c r="F112" s="255">
        <f t="shared" si="14"/>
        <v>3.5665000000000002E-2</v>
      </c>
      <c r="G112" s="247"/>
      <c r="H112" s="251">
        <f>-'LSR Prepaid Bill Credits'!L78</f>
        <v>-506260</v>
      </c>
      <c r="I112" s="204">
        <f t="shared" si="13"/>
        <v>202871.20669239946</v>
      </c>
      <c r="J112" s="204">
        <f t="shared" si="15"/>
        <v>69409834.562667713</v>
      </c>
      <c r="K112" s="176">
        <f t="shared" si="12"/>
        <v>69206963.355975315</v>
      </c>
      <c r="L112" s="176"/>
      <c r="M112" s="303"/>
    </row>
    <row r="113" spans="1:13">
      <c r="A113" s="246">
        <v>2</v>
      </c>
      <c r="B113" s="226">
        <v>42886</v>
      </c>
      <c r="C113" s="176">
        <f t="shared" si="11"/>
        <v>31</v>
      </c>
      <c r="F113" s="255">
        <f t="shared" si="14"/>
        <v>3.5665000000000002E-2</v>
      </c>
      <c r="G113" s="247"/>
      <c r="H113" s="251">
        <f>-'LSR Prepaid Bill Credits'!L79</f>
        <v>-506260</v>
      </c>
      <c r="I113" s="204">
        <f t="shared" si="13"/>
        <v>208100.07709840179</v>
      </c>
      <c r="J113" s="204">
        <f t="shared" si="15"/>
        <v>69111674.639766112</v>
      </c>
      <c r="K113" s="176">
        <f t="shared" si="12"/>
        <v>68700703.355975315</v>
      </c>
      <c r="L113" s="176"/>
      <c r="M113" s="303"/>
    </row>
    <row r="114" spans="1:13">
      <c r="A114" s="246">
        <v>3</v>
      </c>
      <c r="B114" s="226">
        <v>42916</v>
      </c>
      <c r="C114" s="176">
        <f t="shared" si="11"/>
        <v>30</v>
      </c>
      <c r="F114" s="255">
        <f t="shared" si="14"/>
        <v>3.5665000000000002E-2</v>
      </c>
      <c r="G114" s="247"/>
      <c r="H114" s="251">
        <f>-'LSR Prepaid Bill Credits'!L80</f>
        <v>-506260</v>
      </c>
      <c r="I114" s="1227">
        <f t="shared" si="13"/>
        <v>199903.1360787008</v>
      </c>
      <c r="J114" s="204">
        <f t="shared" si="15"/>
        <v>68805317.775844812</v>
      </c>
      <c r="K114" s="176">
        <f t="shared" si="12"/>
        <v>68805317.775844812</v>
      </c>
      <c r="L114" s="176"/>
      <c r="M114" s="303"/>
    </row>
    <row r="115" spans="1:13">
      <c r="A115" s="246">
        <v>1</v>
      </c>
      <c r="B115" s="226">
        <v>42947</v>
      </c>
      <c r="C115" s="176">
        <f t="shared" si="11"/>
        <v>31</v>
      </c>
      <c r="F115" s="255">
        <f t="shared" si="14"/>
        <v>3.5665000000000002E-2</v>
      </c>
      <c r="G115" s="247"/>
      <c r="H115" s="251">
        <f>-'LSR Prepaid Bill Credits'!L81</f>
        <v>-506260</v>
      </c>
      <c r="I115" s="204">
        <f t="shared" si="13"/>
        <v>206883.45962422102</v>
      </c>
      <c r="J115" s="204">
        <f t="shared" si="15"/>
        <v>68505941.235469028</v>
      </c>
      <c r="K115" s="176">
        <f t="shared" si="12"/>
        <v>68299057.775844812</v>
      </c>
      <c r="L115" s="176"/>
      <c r="M115" s="303"/>
    </row>
    <row r="116" spans="1:13">
      <c r="A116" s="246">
        <v>2</v>
      </c>
      <c r="B116" s="226">
        <v>42978</v>
      </c>
      <c r="C116" s="176">
        <f t="shared" si="11"/>
        <v>31</v>
      </c>
      <c r="F116" s="255">
        <f t="shared" si="14"/>
        <v>3.5665000000000002E-2</v>
      </c>
      <c r="G116" s="247"/>
      <c r="H116" s="251">
        <f>-'LSR Prepaid Bill Credits'!L82</f>
        <v>-506260</v>
      </c>
      <c r="I116" s="204">
        <f t="shared" si="13"/>
        <v>205349.95647381005</v>
      </c>
      <c r="J116" s="204">
        <f t="shared" si="15"/>
        <v>68205031.191942841</v>
      </c>
      <c r="K116" s="176">
        <f t="shared" si="12"/>
        <v>67792797.775844812</v>
      </c>
      <c r="L116" s="176"/>
      <c r="M116" s="303"/>
    </row>
    <row r="117" spans="1:13">
      <c r="A117" s="246">
        <v>3</v>
      </c>
      <c r="B117" s="226">
        <v>43008</v>
      </c>
      <c r="C117" s="176">
        <f t="shared" si="11"/>
        <v>30</v>
      </c>
      <c r="F117" s="255">
        <f t="shared" si="14"/>
        <v>3.5665000000000002E-2</v>
      </c>
      <c r="G117" s="247"/>
      <c r="H117" s="251">
        <f>-'LSR Prepaid Bill Credits'!L83</f>
        <v>-506260</v>
      </c>
      <c r="I117" s="204">
        <f t="shared" si="13"/>
        <v>197241.72902264429</v>
      </c>
      <c r="J117" s="204">
        <f t="shared" si="15"/>
        <v>67896012.920965478</v>
      </c>
      <c r="K117" s="176">
        <f t="shared" si="12"/>
        <v>67896012.920965478</v>
      </c>
      <c r="L117" s="176"/>
      <c r="M117" s="303"/>
    </row>
    <row r="118" spans="1:13">
      <c r="A118" s="246">
        <v>1</v>
      </c>
      <c r="B118" s="226">
        <v>43039</v>
      </c>
      <c r="C118" s="176">
        <f t="shared" si="11"/>
        <v>31</v>
      </c>
      <c r="F118" s="255">
        <v>3.56618E-2</v>
      </c>
      <c r="G118" s="247"/>
      <c r="H118" s="251">
        <f>-'LSR Prepaid Bill Credits'!L84</f>
        <v>-500140</v>
      </c>
      <c r="I118" s="204">
        <f t="shared" si="13"/>
        <v>204129.32155868353</v>
      </c>
      <c r="J118" s="204">
        <f t="shared" si="15"/>
        <v>67600002.242524162</v>
      </c>
      <c r="K118" s="176">
        <f t="shared" si="12"/>
        <v>67395872.920965478</v>
      </c>
      <c r="L118" s="176"/>
      <c r="M118" s="303"/>
    </row>
    <row r="119" spans="1:13">
      <c r="A119" s="246">
        <v>2</v>
      </c>
      <c r="B119" s="226">
        <v>43069</v>
      </c>
      <c r="C119" s="176">
        <f t="shared" si="11"/>
        <v>30</v>
      </c>
      <c r="F119" s="255">
        <f t="shared" si="14"/>
        <v>3.56618E-2</v>
      </c>
      <c r="G119" s="247"/>
      <c r="H119" s="251">
        <f>-'LSR Prepaid Bill Credits'!L85</f>
        <v>-500140</v>
      </c>
      <c r="I119" s="204">
        <f t="shared" si="13"/>
        <v>196078.54095459342</v>
      </c>
      <c r="J119" s="204">
        <f t="shared" si="15"/>
        <v>67295940.783478752</v>
      </c>
      <c r="K119" s="176">
        <f t="shared" si="12"/>
        <v>66895732.920965478</v>
      </c>
      <c r="L119" s="176"/>
      <c r="M119" s="303"/>
    </row>
    <row r="120" spans="1:13">
      <c r="A120" s="246">
        <v>3</v>
      </c>
      <c r="B120" s="226">
        <v>43100</v>
      </c>
      <c r="C120" s="176">
        <f t="shared" si="11"/>
        <v>31</v>
      </c>
      <c r="F120" s="255">
        <f t="shared" si="14"/>
        <v>3.56618E-2</v>
      </c>
      <c r="G120" s="247"/>
      <c r="H120" s="251">
        <f>-'LSR Prepaid Bill Credits'!L86</f>
        <v>-500140</v>
      </c>
      <c r="I120" s="204">
        <f t="shared" si="13"/>
        <v>201099.66308080955</v>
      </c>
      <c r="J120" s="204">
        <f t="shared" si="15"/>
        <v>66996900.446559563</v>
      </c>
      <c r="K120" s="176">
        <f t="shared" si="12"/>
        <v>66996900.446559563</v>
      </c>
      <c r="L120" s="176"/>
      <c r="M120" s="303"/>
    </row>
    <row r="121" spans="1:13">
      <c r="A121" s="246">
        <v>1</v>
      </c>
      <c r="B121" s="226">
        <v>43131</v>
      </c>
      <c r="C121" s="176">
        <f t="shared" si="11"/>
        <v>31</v>
      </c>
      <c r="F121" s="255">
        <f t="shared" si="14"/>
        <v>3.56618E-2</v>
      </c>
      <c r="G121" s="247"/>
      <c r="H121" s="251">
        <f>-'LSR Prepaid Bill Credits'!L87</f>
        <v>-500140</v>
      </c>
      <c r="I121" s="204">
        <f t="shared" si="13"/>
        <v>201406.08033557987</v>
      </c>
      <c r="J121" s="204">
        <f t="shared" si="15"/>
        <v>66698166.526895143</v>
      </c>
      <c r="K121" s="176">
        <f t="shared" si="12"/>
        <v>66496760.446559563</v>
      </c>
      <c r="L121" s="176"/>
      <c r="M121" s="303"/>
    </row>
    <row r="122" spans="1:13">
      <c r="A122" s="246">
        <v>2</v>
      </c>
      <c r="B122" s="226">
        <v>43159</v>
      </c>
      <c r="C122" s="176">
        <f t="shared" si="11"/>
        <v>28</v>
      </c>
      <c r="F122" s="255">
        <f t="shared" si="14"/>
        <v>3.56618E-2</v>
      </c>
      <c r="G122" s="247"/>
      <c r="H122" s="251">
        <f>-'LSR Prepaid Bill Credits'!L88</f>
        <v>-500140</v>
      </c>
      <c r="I122" s="204">
        <f t="shared" si="13"/>
        <v>180546.93647438713</v>
      </c>
      <c r="J122" s="204">
        <f t="shared" si="15"/>
        <v>66378573.463369533</v>
      </c>
      <c r="K122" s="176">
        <f t="shared" si="12"/>
        <v>65996620.446559563</v>
      </c>
      <c r="L122" s="176"/>
      <c r="M122" s="303"/>
    </row>
    <row r="123" spans="1:13">
      <c r="A123" s="246">
        <v>3</v>
      </c>
      <c r="B123" s="226">
        <v>43190</v>
      </c>
      <c r="C123" s="176">
        <f t="shared" si="11"/>
        <v>31</v>
      </c>
      <c r="F123" s="255">
        <f t="shared" si="14"/>
        <v>3.56618E-2</v>
      </c>
      <c r="G123" s="247"/>
      <c r="H123" s="251">
        <f>-'LSR Prepaid Bill Credits'!L89</f>
        <v>-500140</v>
      </c>
      <c r="I123" s="204">
        <f t="shared" si="13"/>
        <v>198376.42185770589</v>
      </c>
      <c r="J123" s="204">
        <f t="shared" si="15"/>
        <v>66076809.885227241</v>
      </c>
      <c r="K123" s="176">
        <f t="shared" si="12"/>
        <v>66076809.885227241</v>
      </c>
      <c r="L123" s="176"/>
      <c r="M123" s="303"/>
    </row>
    <row r="124" spans="1:13">
      <c r="A124" s="246">
        <v>1</v>
      </c>
      <c r="B124" s="226">
        <v>43220</v>
      </c>
      <c r="C124" s="176">
        <f t="shared" si="11"/>
        <v>30</v>
      </c>
      <c r="F124" s="255">
        <f t="shared" si="14"/>
        <v>3.56618E-2</v>
      </c>
      <c r="G124" s="247"/>
      <c r="H124" s="251">
        <f>-'LSR Prepaid Bill Credits'!L90</f>
        <v>-500140</v>
      </c>
      <c r="I124" s="204">
        <f t="shared" si="13"/>
        <v>192212.22625586277</v>
      </c>
      <c r="J124" s="204">
        <f t="shared" si="15"/>
        <v>65768882.111483105</v>
      </c>
      <c r="K124" s="176">
        <f t="shared" si="12"/>
        <v>65576669.885227241</v>
      </c>
      <c r="L124" s="176"/>
      <c r="M124" s="303"/>
    </row>
    <row r="125" spans="1:13">
      <c r="A125" s="246">
        <v>2</v>
      </c>
      <c r="B125" s="226">
        <v>43251</v>
      </c>
      <c r="C125" s="176">
        <f t="shared" si="11"/>
        <v>31</v>
      </c>
      <c r="F125" s="255">
        <f t="shared" si="14"/>
        <v>3.56618E-2</v>
      </c>
      <c r="G125" s="247"/>
      <c r="H125" s="251">
        <f>-'LSR Prepaid Bill Credits'!L91</f>
        <v>-500140</v>
      </c>
      <c r="I125" s="204">
        <f t="shared" si="13"/>
        <v>197104.47122545453</v>
      </c>
      <c r="J125" s="204">
        <f t="shared" si="15"/>
        <v>65465846.58270856</v>
      </c>
      <c r="K125" s="176">
        <f t="shared" si="12"/>
        <v>65076529.885227241</v>
      </c>
      <c r="L125" s="176"/>
      <c r="M125" s="303"/>
    </row>
    <row r="126" spans="1:13" s="1257" customFormat="1">
      <c r="A126" s="1260">
        <v>3</v>
      </c>
      <c r="B126" s="1261">
        <v>43281</v>
      </c>
      <c r="C126" s="1258">
        <f t="shared" si="11"/>
        <v>30</v>
      </c>
      <c r="D126" s="1261"/>
      <c r="E126" s="1258"/>
      <c r="F126" s="1262">
        <f t="shared" si="14"/>
        <v>3.56618E-2</v>
      </c>
      <c r="G126" s="1263"/>
      <c r="H126" s="1259">
        <f>-'LSR Prepaid Bill Credits'!L92</f>
        <v>-500140</v>
      </c>
      <c r="I126" s="1258">
        <f t="shared" si="13"/>
        <v>189280.29869662988</v>
      </c>
      <c r="J126" s="1258">
        <f t="shared" si="15"/>
        <v>65154986.88140519</v>
      </c>
      <c r="K126" s="1258">
        <f t="shared" ref="K126:K157" si="16">IF(A126=3,J126,IF(A126=1,J126-I126,J126-I126-I125))</f>
        <v>65154986.88140519</v>
      </c>
      <c r="L126" s="1264"/>
      <c r="M126" s="1265"/>
    </row>
    <row r="127" spans="1:13">
      <c r="A127" s="246">
        <v>1</v>
      </c>
      <c r="B127" s="226">
        <v>43312</v>
      </c>
      <c r="C127" s="176">
        <f t="shared" si="11"/>
        <v>31</v>
      </c>
      <c r="F127" s="255">
        <f t="shared" si="14"/>
        <v>3.56618E-2</v>
      </c>
      <c r="G127" s="247"/>
      <c r="H127" s="251">
        <f>-'LSR Prepaid Bill Credits'!L93</f>
        <v>-500140</v>
      </c>
      <c r="I127" s="204">
        <f t="shared" si="13"/>
        <v>195827.27335335387</v>
      </c>
      <c r="J127" s="204">
        <f t="shared" si="15"/>
        <v>64850674.154758543</v>
      </c>
      <c r="K127" s="176">
        <f t="shared" si="16"/>
        <v>64654846.88140519</v>
      </c>
      <c r="L127" s="176"/>
      <c r="M127" s="303"/>
    </row>
    <row r="128" spans="1:13">
      <c r="A128" s="246">
        <v>2</v>
      </c>
      <c r="B128" s="226">
        <v>43343</v>
      </c>
      <c r="C128" s="176">
        <f t="shared" si="11"/>
        <v>31</v>
      </c>
      <c r="F128" s="255">
        <f t="shared" si="14"/>
        <v>3.56618E-2</v>
      </c>
      <c r="G128" s="247"/>
      <c r="H128" s="251">
        <f>-'LSR Prepaid Bill Credits'!L94</f>
        <v>-500140</v>
      </c>
      <c r="I128" s="204">
        <f t="shared" si="13"/>
        <v>194312.4441144169</v>
      </c>
      <c r="J128" s="204">
        <f t="shared" si="15"/>
        <v>64544846.59887296</v>
      </c>
      <c r="K128" s="176">
        <f t="shared" si="16"/>
        <v>64154706.88140519</v>
      </c>
      <c r="L128" s="176"/>
      <c r="M128" s="303"/>
    </row>
    <row r="129" spans="1:13">
      <c r="A129" s="246">
        <v>3</v>
      </c>
      <c r="B129" s="226">
        <v>43373</v>
      </c>
      <c r="C129" s="176">
        <f t="shared" si="11"/>
        <v>30</v>
      </c>
      <c r="F129" s="255">
        <f t="shared" si="14"/>
        <v>3.56618E-2</v>
      </c>
      <c r="G129" s="247"/>
      <c r="H129" s="251">
        <f>-'LSR Prepaid Bill Credits'!L95</f>
        <v>-500140</v>
      </c>
      <c r="I129" s="204">
        <f t="shared" si="13"/>
        <v>186578.33697627086</v>
      </c>
      <c r="J129" s="204">
        <f t="shared" si="15"/>
        <v>64231284.935849227</v>
      </c>
      <c r="K129" s="176">
        <f t="shared" si="16"/>
        <v>64231284.935849227</v>
      </c>
      <c r="L129" s="176"/>
      <c r="M129" s="303"/>
    </row>
    <row r="130" spans="1:13">
      <c r="A130" s="246">
        <v>1</v>
      </c>
      <c r="B130" s="226">
        <v>43404</v>
      </c>
      <c r="C130" s="176">
        <f t="shared" si="11"/>
        <v>31</v>
      </c>
      <c r="F130" s="255">
        <f t="shared" si="14"/>
        <v>3.56618E-2</v>
      </c>
      <c r="G130" s="247"/>
      <c r="H130" s="251">
        <f>-'LSR Prepaid Bill Credits'!L96</f>
        <v>-500140</v>
      </c>
      <c r="I130" s="204">
        <f t="shared" si="13"/>
        <v>193029.55528403097</v>
      </c>
      <c r="J130" s="204">
        <f t="shared" si="15"/>
        <v>63924174.491133258</v>
      </c>
      <c r="K130" s="176">
        <f t="shared" si="16"/>
        <v>63731144.935849227</v>
      </c>
      <c r="L130" s="176"/>
      <c r="M130" s="303"/>
    </row>
    <row r="131" spans="1:13">
      <c r="A131" s="246">
        <v>2</v>
      </c>
      <c r="B131" s="226">
        <v>43434</v>
      </c>
      <c r="C131" s="176">
        <f t="shared" si="11"/>
        <v>30</v>
      </c>
      <c r="F131" s="255">
        <f t="shared" si="14"/>
        <v>3.56618E-2</v>
      </c>
      <c r="G131" s="247"/>
      <c r="H131" s="251">
        <f>-'LSR Prepaid Bill Credits'!L97</f>
        <v>-500140</v>
      </c>
      <c r="I131" s="204">
        <f t="shared" si="13"/>
        <v>185336.83165654258</v>
      </c>
      <c r="J131" s="204">
        <f t="shared" si="15"/>
        <v>63609371.322789803</v>
      </c>
      <c r="K131" s="176">
        <f t="shared" si="16"/>
        <v>63231004.935849227</v>
      </c>
      <c r="L131" s="176"/>
      <c r="M131" s="303"/>
    </row>
    <row r="132" spans="1:13" s="1257" customFormat="1">
      <c r="A132" s="1260">
        <v>3</v>
      </c>
      <c r="B132" s="1261">
        <v>43465</v>
      </c>
      <c r="C132" s="1258">
        <f t="shared" si="11"/>
        <v>31</v>
      </c>
      <c r="D132" s="1261"/>
      <c r="E132" s="1258"/>
      <c r="F132" s="1262">
        <f t="shared" si="14"/>
        <v>3.56618E-2</v>
      </c>
      <c r="G132" s="1263"/>
      <c r="H132" s="1259">
        <f>-'LSR Prepaid Bill Credits'!L98</f>
        <v>-500140</v>
      </c>
      <c r="I132" s="1258">
        <f t="shared" si="13"/>
        <v>189999.89680615702</v>
      </c>
      <c r="J132" s="1258">
        <f t="shared" si="15"/>
        <v>63299231.219595961</v>
      </c>
      <c r="K132" s="1258">
        <f t="shared" si="16"/>
        <v>63299231.219595961</v>
      </c>
      <c r="L132" s="1258"/>
      <c r="M132" s="1265"/>
    </row>
    <row r="133" spans="1:13">
      <c r="A133" s="246">
        <v>1</v>
      </c>
      <c r="B133" s="226">
        <v>43496</v>
      </c>
      <c r="C133" s="176">
        <f t="shared" si="11"/>
        <v>31</v>
      </c>
      <c r="F133" s="255">
        <f t="shared" si="14"/>
        <v>3.56618E-2</v>
      </c>
      <c r="G133" s="247"/>
      <c r="H133" s="251">
        <f>-'LSR Prepaid Bill Credits'!L99</f>
        <v>-500140</v>
      </c>
      <c r="I133" s="204">
        <f t="shared" si="13"/>
        <v>190206.54128467015</v>
      </c>
      <c r="J133" s="204">
        <f t="shared" si="15"/>
        <v>62989297.760880634</v>
      </c>
      <c r="K133" s="176">
        <f t="shared" si="16"/>
        <v>62799091.219595961</v>
      </c>
      <c r="L133" s="176"/>
      <c r="M133" s="303"/>
    </row>
    <row r="134" spans="1:13">
      <c r="A134" s="246">
        <v>2</v>
      </c>
      <c r="B134" s="226">
        <v>43524</v>
      </c>
      <c r="C134" s="176">
        <f t="shared" ref="C134:C197" si="17">DAY(B134)</f>
        <v>28</v>
      </c>
      <c r="F134" s="255">
        <f t="shared" si="14"/>
        <v>3.56618E-2</v>
      </c>
      <c r="G134" s="247"/>
      <c r="H134" s="251">
        <f>-'LSR Prepaid Bill Credits'!L100</f>
        <v>-500140</v>
      </c>
      <c r="I134" s="204">
        <f t="shared" si="13"/>
        <v>170431.22378324287</v>
      </c>
      <c r="J134" s="204">
        <f t="shared" si="15"/>
        <v>62659588.984663874</v>
      </c>
      <c r="K134" s="176">
        <f t="shared" si="16"/>
        <v>62298951.219595961</v>
      </c>
      <c r="L134" s="176"/>
      <c r="M134" s="303"/>
    </row>
    <row r="135" spans="1:13">
      <c r="A135" s="246">
        <v>3</v>
      </c>
      <c r="B135" s="226">
        <v>43555</v>
      </c>
      <c r="C135" s="176">
        <f t="shared" si="17"/>
        <v>31</v>
      </c>
      <c r="F135" s="255">
        <f t="shared" si="14"/>
        <v>3.56618E-2</v>
      </c>
      <c r="G135" s="247"/>
      <c r="H135" s="251">
        <f>-'LSR Prepaid Bill Credits'!L101</f>
        <v>-500140</v>
      </c>
      <c r="I135" s="204">
        <f t="shared" si="13"/>
        <v>187176.88280679617</v>
      </c>
      <c r="J135" s="204">
        <f t="shared" si="15"/>
        <v>62346625.867470667</v>
      </c>
      <c r="K135" s="176">
        <f t="shared" si="16"/>
        <v>62346625.867470667</v>
      </c>
      <c r="L135" s="176"/>
      <c r="M135" s="303"/>
    </row>
    <row r="136" spans="1:13">
      <c r="A136" s="246">
        <v>1</v>
      </c>
      <c r="B136" s="226">
        <v>43585</v>
      </c>
      <c r="C136" s="176">
        <f t="shared" si="17"/>
        <v>30</v>
      </c>
      <c r="F136" s="255">
        <f t="shared" si="14"/>
        <v>3.56618E-2</v>
      </c>
      <c r="G136" s="247"/>
      <c r="H136" s="251">
        <f>-'LSR Prepaid Bill Credits'!L102</f>
        <v>-500140</v>
      </c>
      <c r="I136" s="204">
        <f t="shared" si="13"/>
        <v>181278.65833221088</v>
      </c>
      <c r="J136" s="204">
        <f t="shared" si="15"/>
        <v>62027764.525802881</v>
      </c>
      <c r="K136" s="176">
        <f t="shared" si="16"/>
        <v>61846485.867470667</v>
      </c>
      <c r="L136" s="176"/>
      <c r="M136" s="303"/>
    </row>
    <row r="137" spans="1:13">
      <c r="A137" s="246">
        <v>2</v>
      </c>
      <c r="B137" s="226">
        <v>43616</v>
      </c>
      <c r="C137" s="176">
        <f t="shared" si="17"/>
        <v>31</v>
      </c>
      <c r="F137" s="255">
        <f t="shared" si="14"/>
        <v>3.56618E-2</v>
      </c>
      <c r="G137" s="247"/>
      <c r="H137" s="251">
        <f>-'LSR Prepaid Bill Credits'!L103</f>
        <v>-500140</v>
      </c>
      <c r="I137" s="204">
        <f t="shared" si="13"/>
        <v>185806.45103768088</v>
      </c>
      <c r="J137" s="204">
        <f t="shared" si="15"/>
        <v>61713430.976840563</v>
      </c>
      <c r="K137" s="176">
        <f t="shared" si="16"/>
        <v>61346345.867470667</v>
      </c>
      <c r="L137" s="176"/>
      <c r="M137" s="303"/>
    </row>
    <row r="138" spans="1:13">
      <c r="A138" s="246">
        <v>3</v>
      </c>
      <c r="B138" s="226">
        <v>43646</v>
      </c>
      <c r="C138" s="176">
        <f t="shared" si="17"/>
        <v>30</v>
      </c>
      <c r="F138" s="255">
        <f t="shared" si="14"/>
        <v>3.56618E-2</v>
      </c>
      <c r="G138" s="247"/>
      <c r="H138" s="251">
        <f>-'LSR Prepaid Bill Credits'!L104</f>
        <v>-500140</v>
      </c>
      <c r="I138" s="204">
        <f t="shared" si="13"/>
        <v>178346.73077297799</v>
      </c>
      <c r="J138" s="204">
        <f t="shared" si="15"/>
        <v>61391637.707613543</v>
      </c>
      <c r="K138" s="176">
        <f t="shared" si="16"/>
        <v>61391637.707613543</v>
      </c>
      <c r="L138" s="176"/>
      <c r="M138" s="303"/>
    </row>
    <row r="139" spans="1:13">
      <c r="A139" s="246">
        <v>1</v>
      </c>
      <c r="B139" s="226">
        <v>43677</v>
      </c>
      <c r="C139" s="176">
        <f t="shared" si="17"/>
        <v>31</v>
      </c>
      <c r="F139" s="255">
        <f t="shared" si="14"/>
        <v>3.56618E-2</v>
      </c>
      <c r="G139" s="247"/>
      <c r="H139" s="251">
        <f>-'LSR Prepaid Bill Credits'!L105</f>
        <v>-500140</v>
      </c>
      <c r="I139" s="204">
        <f t="shared" si="13"/>
        <v>184428.80219570015</v>
      </c>
      <c r="J139" s="204">
        <f t="shared" si="15"/>
        <v>61075926.509809241</v>
      </c>
      <c r="K139" s="176">
        <f t="shared" si="16"/>
        <v>60891497.707613543</v>
      </c>
      <c r="L139" s="176"/>
      <c r="M139" s="303"/>
    </row>
    <row r="140" spans="1:13">
      <c r="A140" s="246">
        <v>2</v>
      </c>
      <c r="B140" s="226">
        <v>43708</v>
      </c>
      <c r="C140" s="176">
        <f t="shared" si="17"/>
        <v>31</v>
      </c>
      <c r="F140" s="255">
        <f t="shared" si="14"/>
        <v>3.56618E-2</v>
      </c>
      <c r="G140" s="247"/>
      <c r="H140" s="251">
        <f>-'LSR Prepaid Bill Credits'!L106</f>
        <v>-500140</v>
      </c>
      <c r="I140" s="204">
        <f t="shared" si="13"/>
        <v>182913.97295676317</v>
      </c>
      <c r="J140" s="204">
        <f t="shared" si="15"/>
        <v>60758700.482766002</v>
      </c>
      <c r="K140" s="176">
        <f t="shared" si="16"/>
        <v>60391357.707613543</v>
      </c>
      <c r="L140" s="176"/>
      <c r="M140" s="303"/>
    </row>
    <row r="141" spans="1:13">
      <c r="A141" s="246">
        <v>3</v>
      </c>
      <c r="B141" s="226">
        <v>43738</v>
      </c>
      <c r="C141" s="176">
        <f t="shared" si="17"/>
        <v>30</v>
      </c>
      <c r="F141" s="255">
        <f t="shared" si="14"/>
        <v>3.56618E-2</v>
      </c>
      <c r="G141" s="247"/>
      <c r="H141" s="251">
        <f>-'LSR Prepaid Bill Credits'!L107</f>
        <v>-500140</v>
      </c>
      <c r="I141" s="204">
        <f t="shared" si="13"/>
        <v>175547.55843660596</v>
      </c>
      <c r="J141" s="204">
        <f t="shared" si="15"/>
        <v>60434108.041202605</v>
      </c>
      <c r="K141" s="176">
        <f t="shared" si="16"/>
        <v>60434108.041202605</v>
      </c>
      <c r="L141" s="176"/>
      <c r="M141" s="303"/>
    </row>
    <row r="142" spans="1:13">
      <c r="A142" s="246">
        <v>1</v>
      </c>
      <c r="B142" s="226">
        <v>43769</v>
      </c>
      <c r="C142" s="176">
        <f t="shared" si="17"/>
        <v>31</v>
      </c>
      <c r="F142" s="255">
        <f t="shared" si="14"/>
        <v>3.56618E-2</v>
      </c>
      <c r="G142" s="247"/>
      <c r="H142" s="251">
        <f>-'LSR Prepaid Bill Credits'!L108</f>
        <v>-531048.65200000012</v>
      </c>
      <c r="I142" s="204">
        <f t="shared" si="13"/>
        <v>181435.00992630637</v>
      </c>
      <c r="J142" s="204">
        <f t="shared" si="15"/>
        <v>60084494.399128906</v>
      </c>
      <c r="K142" s="176">
        <f t="shared" si="16"/>
        <v>59903059.389202602</v>
      </c>
      <c r="L142" s="176"/>
      <c r="M142" s="303"/>
    </row>
    <row r="143" spans="1:13">
      <c r="A143" s="246">
        <v>2</v>
      </c>
      <c r="B143" s="226">
        <v>43799</v>
      </c>
      <c r="C143" s="176">
        <f t="shared" si="17"/>
        <v>30</v>
      </c>
      <c r="F143" s="255">
        <f t="shared" si="14"/>
        <v>3.56618E-2</v>
      </c>
      <c r="G143" s="247"/>
      <c r="H143" s="251">
        <f>-'LSR Prepaid Bill Credits'!L109</f>
        <v>-531048.65200000012</v>
      </c>
      <c r="I143" s="204">
        <f t="shared" si="13"/>
        <v>174025.70732942232</v>
      </c>
      <c r="J143" s="204">
        <f t="shared" si="15"/>
        <v>59727471.454458326</v>
      </c>
      <c r="K143" s="176">
        <f t="shared" si="16"/>
        <v>59372010.7372026</v>
      </c>
      <c r="L143" s="176"/>
      <c r="M143" s="303"/>
    </row>
    <row r="144" spans="1:13">
      <c r="A144" s="246">
        <v>3</v>
      </c>
      <c r="B144" s="226">
        <v>43830</v>
      </c>
      <c r="C144" s="176">
        <f t="shared" si="17"/>
        <v>31</v>
      </c>
      <c r="F144" s="255">
        <f t="shared" si="14"/>
        <v>3.56618E-2</v>
      </c>
      <c r="G144" s="247"/>
      <c r="H144" s="251">
        <f>-'LSR Prepaid Bill Credits'!L110</f>
        <v>-531048.65200000012</v>
      </c>
      <c r="I144" s="204">
        <f t="shared" si="13"/>
        <v>178218.11855449976</v>
      </c>
      <c r="J144" s="204">
        <f t="shared" si="15"/>
        <v>59374640.921012826</v>
      </c>
      <c r="K144" s="176">
        <f t="shared" si="16"/>
        <v>59374640.921012826</v>
      </c>
      <c r="L144" s="176"/>
      <c r="M144" s="303"/>
    </row>
    <row r="145" spans="1:13">
      <c r="A145" s="246">
        <v>1</v>
      </c>
      <c r="B145" s="226">
        <v>43861</v>
      </c>
      <c r="C145" s="176">
        <f t="shared" si="17"/>
        <v>31</v>
      </c>
      <c r="F145" s="255">
        <f t="shared" si="14"/>
        <v>3.56618E-2</v>
      </c>
      <c r="G145" s="247"/>
      <c r="H145" s="251">
        <f>-'LSR Prepaid Bill Credits'!L111</f>
        <v>-531048.65200000012</v>
      </c>
      <c r="I145" s="204">
        <f t="shared" si="13"/>
        <v>178226.0848826069</v>
      </c>
      <c r="J145" s="204">
        <f t="shared" si="15"/>
        <v>59021818.353895433</v>
      </c>
      <c r="K145" s="176">
        <f t="shared" si="16"/>
        <v>58843592.269012824</v>
      </c>
      <c r="L145" s="176"/>
      <c r="M145" s="303"/>
    </row>
    <row r="146" spans="1:13">
      <c r="A146" s="246">
        <v>2</v>
      </c>
      <c r="B146" s="226">
        <v>43890</v>
      </c>
      <c r="C146" s="266">
        <f t="shared" si="17"/>
        <v>29</v>
      </c>
      <c r="F146" s="255">
        <f t="shared" si="14"/>
        <v>3.56618E-2</v>
      </c>
      <c r="G146" s="247"/>
      <c r="H146" s="251">
        <f>-'LSR Prepaid Bill Credits'!L112</f>
        <v>-531048.65200000012</v>
      </c>
      <c r="I146" s="204">
        <f t="shared" si="13"/>
        <v>165222.9527969163</v>
      </c>
      <c r="J146" s="204">
        <f t="shared" si="15"/>
        <v>58655992.654692344</v>
      </c>
      <c r="K146" s="176">
        <f t="shared" si="16"/>
        <v>58312543.617012821</v>
      </c>
      <c r="L146" s="176"/>
      <c r="M146" s="303"/>
    </row>
    <row r="147" spans="1:13">
      <c r="A147" s="246">
        <v>3</v>
      </c>
      <c r="B147" s="226">
        <v>43921</v>
      </c>
      <c r="C147" s="176">
        <f t="shared" si="17"/>
        <v>31</v>
      </c>
      <c r="F147" s="255">
        <f t="shared" si="14"/>
        <v>3.56618E-2</v>
      </c>
      <c r="G147" s="247"/>
      <c r="H147" s="251">
        <f>-'LSR Prepaid Bill Credits'!L113</f>
        <v>-531048.65200000012</v>
      </c>
      <c r="I147" s="204">
        <f t="shared" si="13"/>
        <v>175009.19351080034</v>
      </c>
      <c r="J147" s="204">
        <f t="shared" si="15"/>
        <v>58299953.196203142</v>
      </c>
      <c r="K147" s="176">
        <f t="shared" si="16"/>
        <v>58299953.196203142</v>
      </c>
      <c r="L147" s="176"/>
      <c r="M147" s="303"/>
    </row>
    <row r="148" spans="1:13">
      <c r="A148" s="246">
        <v>1</v>
      </c>
      <c r="B148" s="226">
        <v>43951</v>
      </c>
      <c r="C148" s="176">
        <f t="shared" si="17"/>
        <v>30</v>
      </c>
      <c r="F148" s="255">
        <f t="shared" si="14"/>
        <v>3.56618E-2</v>
      </c>
      <c r="G148" s="247"/>
      <c r="H148" s="251">
        <f>-'LSR Prepaid Bill Credits'!L114</f>
        <v>-531048.65200000012</v>
      </c>
      <c r="I148" s="204">
        <f t="shared" si="13"/>
        <v>169326.8317869422</v>
      </c>
      <c r="J148" s="204">
        <f t="shared" si="15"/>
        <v>57938231.375990085</v>
      </c>
      <c r="K148" s="176">
        <f t="shared" si="16"/>
        <v>57768904.54420314</v>
      </c>
      <c r="L148" s="176"/>
      <c r="M148" s="303"/>
    </row>
    <row r="149" spans="1:13">
      <c r="A149" s="246">
        <v>2</v>
      </c>
      <c r="B149" s="226">
        <v>43982</v>
      </c>
      <c r="C149" s="176">
        <f t="shared" si="17"/>
        <v>31</v>
      </c>
      <c r="F149" s="255">
        <f t="shared" si="14"/>
        <v>3.56618E-2</v>
      </c>
      <c r="G149" s="247"/>
      <c r="H149" s="251">
        <f>-'LSR Prepaid Bill Credits'!L115</f>
        <v>-531048.65200000012</v>
      </c>
      <c r="I149" s="204">
        <f t="shared" si="13"/>
        <v>173362.61382727031</v>
      </c>
      <c r="J149" s="204">
        <f t="shared" si="15"/>
        <v>57580545.337817356</v>
      </c>
      <c r="K149" s="176">
        <f t="shared" si="16"/>
        <v>57237855.892203137</v>
      </c>
      <c r="L149" s="176"/>
      <c r="M149" s="303"/>
    </row>
    <row r="150" spans="1:13">
      <c r="A150" s="246">
        <v>3</v>
      </c>
      <c r="B150" s="226">
        <v>44012</v>
      </c>
      <c r="C150" s="176">
        <f t="shared" si="17"/>
        <v>30</v>
      </c>
      <c r="F150" s="255">
        <f t="shared" si="14"/>
        <v>3.56618E-2</v>
      </c>
      <c r="G150" s="247"/>
      <c r="H150" s="251">
        <f>-'LSR Prepaid Bill Credits'!L116</f>
        <v>-531048.65200000012</v>
      </c>
      <c r="I150" s="204">
        <f t="shared" si="13"/>
        <v>166213.71110454871</v>
      </c>
      <c r="J150" s="204">
        <f t="shared" si="15"/>
        <v>57215710.396921903</v>
      </c>
      <c r="K150" s="176">
        <f t="shared" si="16"/>
        <v>57215710.396921903</v>
      </c>
      <c r="L150" s="176"/>
      <c r="M150" s="303"/>
    </row>
    <row r="151" spans="1:13">
      <c r="A151" s="246">
        <v>1</v>
      </c>
      <c r="B151" s="226">
        <v>44043</v>
      </c>
      <c r="C151" s="176">
        <f t="shared" si="17"/>
        <v>31</v>
      </c>
      <c r="F151" s="255">
        <f t="shared" si="14"/>
        <v>3.56618E-2</v>
      </c>
      <c r="G151" s="247"/>
      <c r="H151" s="251">
        <f>-'LSR Prepaid Bill Credits'!L117</f>
        <v>-531048.65200000012</v>
      </c>
      <c r="I151" s="204">
        <f t="shared" si="13"/>
        <v>171687.09363470337</v>
      </c>
      <c r="J151" s="204">
        <f t="shared" si="15"/>
        <v>56856348.838556603</v>
      </c>
      <c r="K151" s="176">
        <f t="shared" si="16"/>
        <v>56684661.7449219</v>
      </c>
      <c r="L151" s="176"/>
      <c r="M151" s="303"/>
    </row>
    <row r="152" spans="1:13">
      <c r="A152" s="246">
        <v>2</v>
      </c>
      <c r="B152" s="226">
        <v>44074</v>
      </c>
      <c r="C152" s="176">
        <f t="shared" si="17"/>
        <v>31</v>
      </c>
      <c r="F152" s="255">
        <f t="shared" si="14"/>
        <v>3.56618E-2</v>
      </c>
      <c r="G152" s="247"/>
      <c r="H152" s="251">
        <f>-'LSR Prepaid Bill Credits'!L118</f>
        <v>-531048.65200000012</v>
      </c>
      <c r="I152" s="204">
        <f t="shared" si="13"/>
        <v>170078.64794880006</v>
      </c>
      <c r="J152" s="204">
        <f t="shared" si="15"/>
        <v>56495378.834505402</v>
      </c>
      <c r="K152" s="176">
        <f t="shared" si="16"/>
        <v>56153613.092921898</v>
      </c>
      <c r="L152" s="176"/>
      <c r="M152" s="303"/>
    </row>
    <row r="153" spans="1:13">
      <c r="A153" s="246">
        <v>3</v>
      </c>
      <c r="B153" s="226">
        <v>44104</v>
      </c>
      <c r="C153" s="176">
        <f t="shared" si="17"/>
        <v>30</v>
      </c>
      <c r="F153" s="255">
        <f t="shared" si="14"/>
        <v>3.56618E-2</v>
      </c>
      <c r="G153" s="247"/>
      <c r="H153" s="251">
        <f>-'LSR Prepaid Bill Credits'!L119</f>
        <v>-531048.65200000012</v>
      </c>
      <c r="I153" s="204">
        <f t="shared" si="13"/>
        <v>163035.67960925493</v>
      </c>
      <c r="J153" s="204">
        <f t="shared" si="15"/>
        <v>56127365.862114653</v>
      </c>
      <c r="K153" s="176">
        <f t="shared" si="16"/>
        <v>56127365.862114653</v>
      </c>
      <c r="L153" s="176"/>
      <c r="M153" s="303"/>
    </row>
    <row r="154" spans="1:13">
      <c r="A154" s="246">
        <v>1</v>
      </c>
      <c r="B154" s="226">
        <v>44135</v>
      </c>
      <c r="C154" s="176">
        <f t="shared" si="17"/>
        <v>31</v>
      </c>
      <c r="F154" s="255">
        <f t="shared" si="14"/>
        <v>3.56618E-2</v>
      </c>
      <c r="G154" s="247"/>
      <c r="H154" s="251">
        <f>-'LSR Prepaid Bill Credits'!L120</f>
        <v>-531048.65200000012</v>
      </c>
      <c r="I154" s="204">
        <f t="shared" si="13"/>
        <v>168390.70437696893</v>
      </c>
      <c r="J154" s="204">
        <f t="shared" si="15"/>
        <v>55764707.914491616</v>
      </c>
      <c r="K154" s="176">
        <f t="shared" si="16"/>
        <v>55596317.21011465</v>
      </c>
      <c r="L154" s="176"/>
      <c r="M154" s="303"/>
    </row>
    <row r="155" spans="1:13">
      <c r="A155" s="246">
        <v>2</v>
      </c>
      <c r="B155" s="226">
        <v>44165</v>
      </c>
      <c r="C155" s="176">
        <f t="shared" si="17"/>
        <v>30</v>
      </c>
      <c r="F155" s="255">
        <f t="shared" si="14"/>
        <v>3.56618E-2</v>
      </c>
      <c r="G155" s="247"/>
      <c r="H155" s="251">
        <f>-'LSR Prepaid Bill Credits'!L121</f>
        <v>-531048.65200000012</v>
      </c>
      <c r="I155" s="204">
        <f t="shared" si="13"/>
        <v>161402.18583006354</v>
      </c>
      <c r="J155" s="204">
        <f t="shared" si="15"/>
        <v>55395061.448321678</v>
      </c>
      <c r="K155" s="176">
        <f t="shared" si="16"/>
        <v>55065268.558114648</v>
      </c>
      <c r="L155" s="176"/>
      <c r="M155" s="303"/>
    </row>
    <row r="156" spans="1:13">
      <c r="A156" s="246">
        <v>3</v>
      </c>
      <c r="B156" s="226">
        <v>44196</v>
      </c>
      <c r="C156" s="176">
        <f t="shared" si="17"/>
        <v>31</v>
      </c>
      <c r="F156" s="255">
        <f t="shared" si="14"/>
        <v>3.56618E-2</v>
      </c>
      <c r="G156" s="247"/>
      <c r="H156" s="251">
        <f>-'LSR Prepaid Bill Credits'!L122</f>
        <v>-531048.65200000012</v>
      </c>
      <c r="I156" s="204">
        <f t="shared" si="13"/>
        <v>165173.81300516234</v>
      </c>
      <c r="J156" s="204">
        <f t="shared" si="15"/>
        <v>55029186.609326839</v>
      </c>
      <c r="K156" s="176">
        <f t="shared" si="16"/>
        <v>55029186.609326839</v>
      </c>
      <c r="L156" s="176"/>
      <c r="M156" s="303"/>
    </row>
    <row r="157" spans="1:13">
      <c r="A157" s="246">
        <v>1</v>
      </c>
      <c r="B157" s="226">
        <v>44227</v>
      </c>
      <c r="C157" s="176">
        <f t="shared" si="17"/>
        <v>31</v>
      </c>
      <c r="F157" s="255">
        <f t="shared" si="14"/>
        <v>3.56618E-2</v>
      </c>
      <c r="G157" s="247"/>
      <c r="H157" s="251">
        <f>-'LSR Prepaid Bill Credits'!L123</f>
        <v>-531048.65200000012</v>
      </c>
      <c r="I157" s="204">
        <f t="shared" si="13"/>
        <v>165064.52762302614</v>
      </c>
      <c r="J157" s="204">
        <f t="shared" si="15"/>
        <v>54663202.484949864</v>
      </c>
      <c r="K157" s="176">
        <f t="shared" si="16"/>
        <v>54498137.957326837</v>
      </c>
      <c r="L157" s="176"/>
      <c r="M157" s="303"/>
    </row>
    <row r="158" spans="1:13">
      <c r="A158" s="246">
        <v>2</v>
      </c>
      <c r="B158" s="226">
        <v>44255</v>
      </c>
      <c r="C158" s="176">
        <f t="shared" si="17"/>
        <v>28</v>
      </c>
      <c r="F158" s="255">
        <f t="shared" si="14"/>
        <v>3.56618E-2</v>
      </c>
      <c r="G158" s="247"/>
      <c r="H158" s="251">
        <f>-'LSR Prepaid Bill Credits'!L124</f>
        <v>-531048.65200000012</v>
      </c>
      <c r="I158" s="204">
        <f t="shared" si="13"/>
        <v>147637.75142707871</v>
      </c>
      <c r="J158" s="204">
        <f t="shared" si="15"/>
        <v>54279791.584376939</v>
      </c>
      <c r="K158" s="176">
        <f t="shared" ref="K158:K189" si="18">IF(A158=3,J158,IF(A158=1,J158-I158,J158-I158-I157))</f>
        <v>53967089.305326834</v>
      </c>
      <c r="L158" s="176"/>
      <c r="M158" s="303"/>
    </row>
    <row r="159" spans="1:13">
      <c r="A159" s="246">
        <v>3</v>
      </c>
      <c r="B159" s="226">
        <v>44286</v>
      </c>
      <c r="C159" s="176">
        <f t="shared" si="17"/>
        <v>31</v>
      </c>
      <c r="F159" s="255">
        <f t="shared" si="14"/>
        <v>3.56618E-2</v>
      </c>
      <c r="G159" s="247"/>
      <c r="H159" s="251">
        <f>-'LSR Prepaid Bill Credits'!L125</f>
        <v>-531048.65200000012</v>
      </c>
      <c r="I159" s="204">
        <f t="shared" ref="I159:I200" si="19">(((K158+H159)*C159)+(G159*E159))*(F159/365)</f>
        <v>161847.63625121955</v>
      </c>
      <c r="J159" s="204">
        <f t="shared" si="15"/>
        <v>53910590.568628155</v>
      </c>
      <c r="K159" s="176">
        <f t="shared" si="18"/>
        <v>53910590.568628155</v>
      </c>
      <c r="L159" s="176"/>
      <c r="M159" s="303"/>
    </row>
    <row r="160" spans="1:13">
      <c r="A160" s="246">
        <v>1</v>
      </c>
      <c r="B160" s="226">
        <v>44316</v>
      </c>
      <c r="C160" s="176">
        <f t="shared" si="17"/>
        <v>30</v>
      </c>
      <c r="F160" s="255">
        <f t="shared" si="14"/>
        <v>3.56618E-2</v>
      </c>
      <c r="G160" s="247"/>
      <c r="H160" s="251">
        <f>-'LSR Prepaid Bill Credits'!L126</f>
        <v>-531048.65200000012</v>
      </c>
      <c r="I160" s="204">
        <f t="shared" si="19"/>
        <v>156461.14092512958</v>
      </c>
      <c r="J160" s="204">
        <f t="shared" si="15"/>
        <v>53536003.057553284</v>
      </c>
      <c r="K160" s="176">
        <f t="shared" si="18"/>
        <v>53379541.916628152</v>
      </c>
      <c r="L160" s="176"/>
      <c r="M160" s="303"/>
    </row>
    <row r="161" spans="1:13">
      <c r="A161" s="246">
        <v>2</v>
      </c>
      <c r="B161" s="226">
        <v>44347</v>
      </c>
      <c r="C161" s="176">
        <f t="shared" si="17"/>
        <v>31</v>
      </c>
      <c r="F161" s="255">
        <f t="shared" ref="F161:F224" si="20">F160</f>
        <v>3.56618E-2</v>
      </c>
      <c r="G161" s="247"/>
      <c r="H161" s="251">
        <f>-'LSR Prepaid Bill Credits'!L127</f>
        <v>-531048.65200000012</v>
      </c>
      <c r="I161" s="204">
        <f t="shared" si="19"/>
        <v>160068.06660339725</v>
      </c>
      <c r="J161" s="204">
        <f>J160+G161+H161+I161</f>
        <v>53165022.472156681</v>
      </c>
      <c r="K161" s="176">
        <f t="shared" si="18"/>
        <v>52848493.26462815</v>
      </c>
      <c r="L161" s="176"/>
      <c r="M161" s="303"/>
    </row>
    <row r="162" spans="1:13">
      <c r="A162" s="246">
        <v>3</v>
      </c>
      <c r="B162" s="226">
        <v>44377</v>
      </c>
      <c r="C162" s="176">
        <f t="shared" si="17"/>
        <v>30</v>
      </c>
      <c r="F162" s="255">
        <f t="shared" si="20"/>
        <v>3.56618E-2</v>
      </c>
      <c r="G162" s="247"/>
      <c r="H162" s="251">
        <f>-'LSR Prepaid Bill Credits'!L128</f>
        <v>-531048.65200000012</v>
      </c>
      <c r="I162" s="204">
        <f t="shared" si="19"/>
        <v>153348.02024273609</v>
      </c>
      <c r="J162" s="204">
        <f t="shared" si="15"/>
        <v>52787321.840399414</v>
      </c>
      <c r="K162" s="176">
        <f t="shared" si="18"/>
        <v>52787321.840399414</v>
      </c>
      <c r="L162" s="176"/>
      <c r="M162" s="303"/>
    </row>
    <row r="163" spans="1:13">
      <c r="A163" s="246">
        <v>1</v>
      </c>
      <c r="B163" s="226">
        <v>44408</v>
      </c>
      <c r="C163" s="176">
        <f t="shared" si="17"/>
        <v>31</v>
      </c>
      <c r="F163" s="255">
        <f t="shared" si="20"/>
        <v>3.56618E-2</v>
      </c>
      <c r="G163" s="247"/>
      <c r="H163" s="251">
        <f>-'LSR Prepaid Bill Credits'!L129</f>
        <v>-531048.65200000012</v>
      </c>
      <c r="I163" s="204">
        <f t="shared" si="19"/>
        <v>158274.3442709368</v>
      </c>
      <c r="J163" s="204">
        <f t="shared" si="15"/>
        <v>52414547.532670349</v>
      </c>
      <c r="K163" s="176">
        <f t="shared" si="18"/>
        <v>52256273.188399412</v>
      </c>
      <c r="L163" s="176"/>
      <c r="M163" s="303"/>
    </row>
    <row r="164" spans="1:13">
      <c r="A164" s="246">
        <v>2</v>
      </c>
      <c r="B164" s="226">
        <v>44439</v>
      </c>
      <c r="C164" s="176">
        <f t="shared" si="17"/>
        <v>31</v>
      </c>
      <c r="F164" s="255">
        <f t="shared" si="20"/>
        <v>3.56618E-2</v>
      </c>
      <c r="G164" s="247"/>
      <c r="H164" s="251">
        <f>-'LSR Prepaid Bill Credits'!L130</f>
        <v>-531048.65200000012</v>
      </c>
      <c r="I164" s="204">
        <f t="shared" si="19"/>
        <v>156665.89858503349</v>
      </c>
      <c r="J164" s="204">
        <f t="shared" si="15"/>
        <v>52040164.779255383</v>
      </c>
      <c r="K164" s="176">
        <f t="shared" si="18"/>
        <v>51725224.536399409</v>
      </c>
      <c r="L164" s="176"/>
      <c r="M164" s="303"/>
    </row>
    <row r="165" spans="1:13">
      <c r="A165" s="246">
        <v>3</v>
      </c>
      <c r="B165" s="226">
        <v>44469</v>
      </c>
      <c r="C165" s="176">
        <f t="shared" si="17"/>
        <v>30</v>
      </c>
      <c r="F165" s="255">
        <f t="shared" si="20"/>
        <v>3.56618E-2</v>
      </c>
      <c r="G165" s="247"/>
      <c r="H165" s="251">
        <f>-'LSR Prepaid Bill Credits'!L131</f>
        <v>-531048.65200000012</v>
      </c>
      <c r="I165" s="204">
        <f t="shared" si="19"/>
        <v>150055.59957980341</v>
      </c>
      <c r="J165" s="204">
        <f t="shared" si="15"/>
        <v>51659171.726835184</v>
      </c>
      <c r="K165" s="176">
        <f t="shared" si="18"/>
        <v>51659171.726835184</v>
      </c>
      <c r="L165" s="176"/>
      <c r="M165" s="303"/>
    </row>
    <row r="166" spans="1:13">
      <c r="A166" s="246">
        <v>1</v>
      </c>
      <c r="B166" s="226">
        <v>44500</v>
      </c>
      <c r="C166" s="176">
        <f t="shared" si="17"/>
        <v>31</v>
      </c>
      <c r="F166" s="255">
        <f t="shared" si="20"/>
        <v>3.56618E-2</v>
      </c>
      <c r="G166" s="247"/>
      <c r="H166" s="251">
        <f>-'LSR Prepaid Bill Credits'!L132</f>
        <v>-563867.45869360014</v>
      </c>
      <c r="I166" s="204">
        <f t="shared" si="19"/>
        <v>154757.98951846015</v>
      </c>
      <c r="J166" s="204">
        <f t="shared" si="15"/>
        <v>51250062.257660046</v>
      </c>
      <c r="K166" s="176">
        <f t="shared" si="18"/>
        <v>51095304.268141583</v>
      </c>
      <c r="L166" s="176"/>
      <c r="M166" s="303"/>
    </row>
    <row r="167" spans="1:13">
      <c r="A167" s="246">
        <v>2</v>
      </c>
      <c r="B167" s="226">
        <v>44530</v>
      </c>
      <c r="C167" s="176">
        <f t="shared" si="17"/>
        <v>30</v>
      </c>
      <c r="F167" s="255">
        <f t="shared" si="20"/>
        <v>3.56618E-2</v>
      </c>
      <c r="G167" s="247"/>
      <c r="H167" s="251">
        <f>-'LSR Prepaid Bill Credits'!L133</f>
        <v>-563867.45869360014</v>
      </c>
      <c r="I167" s="204">
        <f t="shared" si="19"/>
        <v>148113.04053790454</v>
      </c>
      <c r="J167" s="204">
        <f t="shared" si="15"/>
        <v>50834307.839504346</v>
      </c>
      <c r="K167" s="176">
        <f t="shared" si="18"/>
        <v>50531436.809447981</v>
      </c>
      <c r="L167" s="176"/>
      <c r="M167" s="303"/>
    </row>
    <row r="168" spans="1:13">
      <c r="A168" s="246">
        <v>3</v>
      </c>
      <c r="B168" s="226">
        <v>44561</v>
      </c>
      <c r="C168" s="176">
        <f t="shared" si="17"/>
        <v>31</v>
      </c>
      <c r="F168" s="255">
        <f t="shared" si="20"/>
        <v>3.56618E-2</v>
      </c>
      <c r="G168" s="247"/>
      <c r="H168" s="251">
        <f>-'LSR Prepaid Bill Credits'!L134</f>
        <v>-563867.45869360014</v>
      </c>
      <c r="I168" s="204">
        <f t="shared" si="19"/>
        <v>151342.29425987593</v>
      </c>
      <c r="J168" s="204">
        <f t="shared" si="15"/>
        <v>50421782.675070621</v>
      </c>
      <c r="K168" s="176">
        <f t="shared" si="18"/>
        <v>50421782.675070621</v>
      </c>
      <c r="L168" s="176"/>
      <c r="M168" s="303"/>
    </row>
    <row r="169" spans="1:13">
      <c r="A169" s="246">
        <v>1</v>
      </c>
      <c r="B169" s="226">
        <v>44592</v>
      </c>
      <c r="C169" s="176">
        <f t="shared" si="17"/>
        <v>31</v>
      </c>
      <c r="F169" s="255">
        <f t="shared" si="20"/>
        <v>3.56618E-2</v>
      </c>
      <c r="G169" s="247"/>
      <c r="H169" s="251">
        <f>-'LSR Prepaid Bill Credits'!L135</f>
        <v>-563867.45869360014</v>
      </c>
      <c r="I169" s="204">
        <f t="shared" si="19"/>
        <v>151010.17267606908</v>
      </c>
      <c r="J169" s="204">
        <f t="shared" si="15"/>
        <v>50008925.389053091</v>
      </c>
      <c r="K169" s="176">
        <f t="shared" si="18"/>
        <v>49857915.21637702</v>
      </c>
      <c r="L169" s="176"/>
      <c r="M169" s="303"/>
    </row>
    <row r="170" spans="1:13">
      <c r="A170" s="246">
        <v>2</v>
      </c>
      <c r="B170" s="226">
        <v>44620</v>
      </c>
      <c r="C170" s="176">
        <f t="shared" si="17"/>
        <v>28</v>
      </c>
      <c r="F170" s="255">
        <f t="shared" si="20"/>
        <v>3.56618E-2</v>
      </c>
      <c r="G170" s="247"/>
      <c r="H170" s="251">
        <f>-'LSR Prepaid Bill Credits'!L136</f>
        <v>-563867.45869360014</v>
      </c>
      <c r="I170" s="204">
        <f t="shared" si="19"/>
        <v>134853.71294547597</v>
      </c>
      <c r="J170" s="204">
        <f t="shared" si="15"/>
        <v>49579911.643304966</v>
      </c>
      <c r="K170" s="176">
        <f t="shared" si="18"/>
        <v>49294047.757683419</v>
      </c>
      <c r="L170" s="176"/>
      <c r="M170" s="303"/>
    </row>
    <row r="171" spans="1:13">
      <c r="A171" s="246">
        <v>3</v>
      </c>
      <c r="B171" s="226">
        <v>44651</v>
      </c>
      <c r="C171" s="176">
        <f t="shared" si="17"/>
        <v>31</v>
      </c>
      <c r="F171" s="255">
        <f t="shared" si="20"/>
        <v>3.56618E-2</v>
      </c>
      <c r="G171" s="247"/>
      <c r="H171" s="251">
        <f>-'LSR Prepaid Bill Credits'!L137</f>
        <v>-563867.45869360014</v>
      </c>
      <c r="I171" s="204">
        <f t="shared" si="19"/>
        <v>147594.47741748486</v>
      </c>
      <c r="J171" s="204">
        <f t="shared" si="15"/>
        <v>49163638.662028849</v>
      </c>
      <c r="K171" s="176">
        <f t="shared" si="18"/>
        <v>49163638.662028849</v>
      </c>
      <c r="L171" s="176"/>
      <c r="M171" s="303"/>
    </row>
    <row r="172" spans="1:13">
      <c r="A172" s="246">
        <v>1</v>
      </c>
      <c r="B172" s="226">
        <v>44681</v>
      </c>
      <c r="C172" s="176">
        <f t="shared" si="17"/>
        <v>30</v>
      </c>
      <c r="F172" s="255">
        <f t="shared" si="20"/>
        <v>3.56618E-2</v>
      </c>
      <c r="G172" s="247"/>
      <c r="H172" s="251">
        <f>-'LSR Prepaid Bill Credits'!L138</f>
        <v>-563867.45869360014</v>
      </c>
      <c r="I172" s="204">
        <f t="shared" si="19"/>
        <v>142451.12224924116</v>
      </c>
      <c r="J172" s="204">
        <f t="shared" si="15"/>
        <v>48742222.325584486</v>
      </c>
      <c r="K172" s="176">
        <f t="shared" si="18"/>
        <v>48599771.203335248</v>
      </c>
      <c r="L172" s="176"/>
      <c r="M172" s="303"/>
    </row>
    <row r="173" spans="1:13">
      <c r="A173" s="246">
        <v>2</v>
      </c>
      <c r="B173" s="226">
        <v>44712</v>
      </c>
      <c r="C173" s="176">
        <f t="shared" si="17"/>
        <v>31</v>
      </c>
      <c r="F173" s="255">
        <f t="shared" si="20"/>
        <v>3.56618E-2</v>
      </c>
      <c r="G173" s="247"/>
      <c r="H173" s="251">
        <f>-'LSR Prepaid Bill Credits'!L139</f>
        <v>-563867.45869360014</v>
      </c>
      <c r="I173" s="204">
        <f t="shared" si="19"/>
        <v>145491.64536159043</v>
      </c>
      <c r="J173" s="204">
        <f t="shared" ref="J173:J199" si="21">J172+G173+H173+I173</f>
        <v>48323846.512252472</v>
      </c>
      <c r="K173" s="176">
        <f t="shared" si="18"/>
        <v>48035903.744641647</v>
      </c>
      <c r="L173" s="176"/>
      <c r="M173" s="303"/>
    </row>
    <row r="174" spans="1:13">
      <c r="A174" s="246">
        <v>3</v>
      </c>
      <c r="B174" s="226">
        <v>44742</v>
      </c>
      <c r="C174" s="176">
        <f t="shared" si="17"/>
        <v>30</v>
      </c>
      <c r="F174" s="255">
        <f t="shared" si="20"/>
        <v>3.56618E-2</v>
      </c>
      <c r="G174" s="247"/>
      <c r="H174" s="251">
        <f>-'LSR Prepaid Bill Credits'!L140</f>
        <v>-563867.45869360014</v>
      </c>
      <c r="I174" s="204">
        <f t="shared" si="19"/>
        <v>139145.61070867578</v>
      </c>
      <c r="J174" s="204">
        <f t="shared" si="21"/>
        <v>47899124.664267547</v>
      </c>
      <c r="K174" s="176">
        <f t="shared" si="18"/>
        <v>47899124.664267547</v>
      </c>
      <c r="L174" s="176"/>
      <c r="M174" s="303"/>
    </row>
    <row r="175" spans="1:13">
      <c r="A175" s="246">
        <v>1</v>
      </c>
      <c r="B175" s="226">
        <v>44773</v>
      </c>
      <c r="C175" s="176">
        <f t="shared" si="17"/>
        <v>31</v>
      </c>
      <c r="F175" s="255">
        <f t="shared" si="20"/>
        <v>3.56618E-2</v>
      </c>
      <c r="G175" s="247"/>
      <c r="H175" s="251">
        <f>-'LSR Prepaid Bill Credits'!L141</f>
        <v>-563867.45869360014</v>
      </c>
      <c r="I175" s="204">
        <f t="shared" si="19"/>
        <v>143369.51982965984</v>
      </c>
      <c r="J175" s="204">
        <f t="shared" si="21"/>
        <v>47478626.725403607</v>
      </c>
      <c r="K175" s="176">
        <f t="shared" si="18"/>
        <v>47335257.205573946</v>
      </c>
      <c r="L175" s="176"/>
      <c r="M175" s="303"/>
    </row>
    <row r="176" spans="1:13">
      <c r="A176" s="246">
        <v>2</v>
      </c>
      <c r="B176" s="226">
        <v>44804</v>
      </c>
      <c r="C176" s="176">
        <f t="shared" si="17"/>
        <v>31</v>
      </c>
      <c r="F176" s="255">
        <f t="shared" si="20"/>
        <v>3.56618E-2</v>
      </c>
      <c r="G176" s="247"/>
      <c r="H176" s="251">
        <f>-'LSR Prepaid Bill Credits'!L142</f>
        <v>-563867.45869360014</v>
      </c>
      <c r="I176" s="204">
        <f t="shared" si="19"/>
        <v>141661.67220036773</v>
      </c>
      <c r="J176" s="204">
        <f t="shared" si="21"/>
        <v>47056420.938910373</v>
      </c>
      <c r="K176" s="176">
        <f t="shared" si="18"/>
        <v>46771389.746880345</v>
      </c>
      <c r="L176" s="176"/>
      <c r="M176" s="303"/>
    </row>
    <row r="177" spans="1:13">
      <c r="A177" s="246">
        <v>3</v>
      </c>
      <c r="B177" s="226">
        <v>44834</v>
      </c>
      <c r="C177" s="176">
        <f t="shared" si="17"/>
        <v>30</v>
      </c>
      <c r="F177" s="255">
        <f t="shared" si="20"/>
        <v>3.56618E-2</v>
      </c>
      <c r="G177" s="247"/>
      <c r="H177" s="251">
        <f>-'LSR Prepaid Bill Credits'!L143</f>
        <v>-563867.45869360014</v>
      </c>
      <c r="I177" s="204">
        <f t="shared" si="19"/>
        <v>135439.18506878286</v>
      </c>
      <c r="J177" s="204">
        <f t="shared" si="21"/>
        <v>46627992.665285558</v>
      </c>
      <c r="K177" s="176">
        <f t="shared" si="18"/>
        <v>46627992.665285558</v>
      </c>
      <c r="L177" s="176"/>
      <c r="M177" s="303"/>
    </row>
    <row r="178" spans="1:13">
      <c r="A178" s="246">
        <v>1</v>
      </c>
      <c r="B178" s="226">
        <v>44865</v>
      </c>
      <c r="C178" s="176">
        <f t="shared" si="17"/>
        <v>31</v>
      </c>
      <c r="F178" s="255">
        <f t="shared" si="20"/>
        <v>3.56618E-2</v>
      </c>
      <c r="G178" s="247"/>
      <c r="H178" s="251">
        <f>-'LSR Prepaid Bill Credits'!L144</f>
        <v>-563867.45869360014</v>
      </c>
      <c r="I178" s="204">
        <f t="shared" si="19"/>
        <v>139519.50199744021</v>
      </c>
      <c r="J178" s="204">
        <f t="shared" si="21"/>
        <v>46203644.708589397</v>
      </c>
      <c r="K178" s="176">
        <f t="shared" si="18"/>
        <v>46064125.206591956</v>
      </c>
      <c r="L178" s="176"/>
      <c r="M178" s="303"/>
    </row>
    <row r="179" spans="1:13">
      <c r="A179" s="246">
        <v>2</v>
      </c>
      <c r="B179" s="226">
        <v>44895</v>
      </c>
      <c r="C179" s="176">
        <f t="shared" si="17"/>
        <v>30</v>
      </c>
      <c r="F179" s="255">
        <f t="shared" si="20"/>
        <v>3.56618E-2</v>
      </c>
      <c r="G179" s="247"/>
      <c r="H179" s="251">
        <f>-'LSR Prepaid Bill Credits'!L145</f>
        <v>-563867.45869360014</v>
      </c>
      <c r="I179" s="204">
        <f t="shared" si="19"/>
        <v>133366.11713046589</v>
      </c>
      <c r="J179" s="204">
        <f t="shared" si="21"/>
        <v>45773143.367026262</v>
      </c>
      <c r="K179" s="176">
        <f t="shared" si="18"/>
        <v>45500257.747898355</v>
      </c>
      <c r="L179" s="176"/>
      <c r="M179" s="303"/>
    </row>
    <row r="180" spans="1:13">
      <c r="A180" s="246">
        <v>3</v>
      </c>
      <c r="B180" s="226">
        <v>44926</v>
      </c>
      <c r="C180" s="176">
        <f t="shared" si="17"/>
        <v>31</v>
      </c>
      <c r="F180" s="255">
        <f t="shared" si="20"/>
        <v>3.56618E-2</v>
      </c>
      <c r="G180" s="247"/>
      <c r="H180" s="251">
        <f>-'LSR Prepaid Bill Credits'!L146</f>
        <v>-563867.45869360014</v>
      </c>
      <c r="I180" s="204">
        <f t="shared" si="19"/>
        <v>136103.80673885596</v>
      </c>
      <c r="J180" s="204">
        <f t="shared" si="21"/>
        <v>45345379.715071514</v>
      </c>
      <c r="K180" s="176">
        <f t="shared" si="18"/>
        <v>45345379.715071514</v>
      </c>
      <c r="L180" s="176"/>
      <c r="M180" s="303"/>
    </row>
    <row r="181" spans="1:13">
      <c r="A181" s="246">
        <v>1</v>
      </c>
      <c r="B181" s="226">
        <v>44957</v>
      </c>
      <c r="C181" s="176">
        <f t="shared" si="17"/>
        <v>31</v>
      </c>
      <c r="F181" s="255">
        <f t="shared" si="20"/>
        <v>3.56618E-2</v>
      </c>
      <c r="G181" s="247"/>
      <c r="H181" s="251">
        <f>-'LSR Prepaid Bill Credits'!L147</f>
        <v>-563867.45869360014</v>
      </c>
      <c r="I181" s="204">
        <f t="shared" si="19"/>
        <v>135634.7105406012</v>
      </c>
      <c r="J181" s="204">
        <f t="shared" si="21"/>
        <v>44917146.966918513</v>
      </c>
      <c r="K181" s="176">
        <f t="shared" si="18"/>
        <v>44781512.256377913</v>
      </c>
      <c r="L181" s="176"/>
      <c r="M181" s="303"/>
    </row>
    <row r="182" spans="1:13">
      <c r="A182" s="246">
        <v>2</v>
      </c>
      <c r="B182" s="226">
        <v>44985</v>
      </c>
      <c r="C182" s="176">
        <f t="shared" si="17"/>
        <v>28</v>
      </c>
      <c r="F182" s="255">
        <f t="shared" si="20"/>
        <v>3.56618E-2</v>
      </c>
      <c r="G182" s="247"/>
      <c r="H182" s="251">
        <f>-'LSR Prepaid Bill Credits'!L148</f>
        <v>-563867.45869360014</v>
      </c>
      <c r="I182" s="204">
        <f t="shared" si="19"/>
        <v>120966.19875860173</v>
      </c>
      <c r="J182" s="204">
        <f t="shared" si="21"/>
        <v>44474245.706983514</v>
      </c>
      <c r="K182" s="176">
        <f t="shared" si="18"/>
        <v>44217644.797684312</v>
      </c>
      <c r="L182" s="176"/>
      <c r="M182" s="303"/>
    </row>
    <row r="183" spans="1:13">
      <c r="A183" s="246">
        <v>3</v>
      </c>
      <c r="B183" s="226">
        <v>45016</v>
      </c>
      <c r="C183" s="176">
        <f t="shared" si="17"/>
        <v>31</v>
      </c>
      <c r="F183" s="255">
        <f t="shared" si="20"/>
        <v>3.56618E-2</v>
      </c>
      <c r="G183" s="247"/>
      <c r="H183" s="251">
        <f>-'LSR Prepaid Bill Credits'!L149</f>
        <v>-563867.45869360014</v>
      </c>
      <c r="I183" s="204">
        <f t="shared" si="19"/>
        <v>132219.01528201695</v>
      </c>
      <c r="J183" s="204">
        <f t="shared" si="21"/>
        <v>44042597.263571933</v>
      </c>
      <c r="K183" s="176">
        <f t="shared" si="18"/>
        <v>44042597.263571933</v>
      </c>
      <c r="L183" s="176"/>
      <c r="M183" s="303"/>
    </row>
    <row r="184" spans="1:13">
      <c r="A184" s="246">
        <v>1</v>
      </c>
      <c r="B184" s="226">
        <v>45046</v>
      </c>
      <c r="C184" s="176">
        <f t="shared" si="17"/>
        <v>30</v>
      </c>
      <c r="F184" s="255">
        <f t="shared" si="20"/>
        <v>3.56618E-2</v>
      </c>
      <c r="G184" s="247"/>
      <c r="H184" s="251">
        <f>-'LSR Prepaid Bill Credits'!L150</f>
        <v>-563867.45869360014</v>
      </c>
      <c r="I184" s="204">
        <f t="shared" si="19"/>
        <v>127440.80273059808</v>
      </c>
      <c r="J184" s="204">
        <f t="shared" si="21"/>
        <v>43606170.607608929</v>
      </c>
      <c r="K184" s="176">
        <f t="shared" si="18"/>
        <v>43478729.804878332</v>
      </c>
      <c r="L184" s="176"/>
      <c r="M184" s="303"/>
    </row>
    <row r="185" spans="1:13">
      <c r="A185" s="246">
        <v>2</v>
      </c>
      <c r="B185" s="226">
        <v>45077</v>
      </c>
      <c r="C185" s="176">
        <f t="shared" si="17"/>
        <v>31</v>
      </c>
      <c r="F185" s="255">
        <f t="shared" si="20"/>
        <v>3.56618E-2</v>
      </c>
      <c r="G185" s="247"/>
      <c r="H185" s="251">
        <f>-'LSR Prepaid Bill Credits'!L151</f>
        <v>-563867.45869360014</v>
      </c>
      <c r="I185" s="204">
        <f t="shared" si="19"/>
        <v>129980.98185899257</v>
      </c>
      <c r="J185" s="204">
        <f t="shared" si="21"/>
        <v>43172284.130774319</v>
      </c>
      <c r="K185" s="176">
        <f t="shared" si="18"/>
        <v>42914862.346184731</v>
      </c>
      <c r="L185" s="176"/>
      <c r="M185" s="303"/>
    </row>
    <row r="186" spans="1:13">
      <c r="A186" s="246">
        <v>3</v>
      </c>
      <c r="B186" s="226">
        <v>45107</v>
      </c>
      <c r="C186" s="176">
        <f t="shared" si="17"/>
        <v>30</v>
      </c>
      <c r="F186" s="255">
        <f t="shared" si="20"/>
        <v>3.56618E-2</v>
      </c>
      <c r="G186" s="247"/>
      <c r="H186" s="251">
        <f>-'LSR Prepaid Bill Credits'!L152</f>
        <v>-563867.45869360014</v>
      </c>
      <c r="I186" s="204">
        <f t="shared" si="19"/>
        <v>124135.2911900327</v>
      </c>
      <c r="J186" s="204">
        <f t="shared" si="21"/>
        <v>42732551.963270754</v>
      </c>
      <c r="K186" s="176">
        <f t="shared" si="18"/>
        <v>42732551.963270754</v>
      </c>
      <c r="L186" s="176"/>
      <c r="M186" s="303"/>
    </row>
    <row r="187" spans="1:13">
      <c r="A187" s="246">
        <v>1</v>
      </c>
      <c r="B187" s="226">
        <v>45138</v>
      </c>
      <c r="C187" s="176">
        <f t="shared" si="17"/>
        <v>31</v>
      </c>
      <c r="F187" s="255">
        <f t="shared" si="20"/>
        <v>3.56618E-2</v>
      </c>
      <c r="G187" s="247"/>
      <c r="H187" s="251">
        <f>-'LSR Prepaid Bill Credits'!L153</f>
        <v>-563867.45869360014</v>
      </c>
      <c r="I187" s="204">
        <f t="shared" si="19"/>
        <v>127720.9506439047</v>
      </c>
      <c r="J187" s="204">
        <f t="shared" si="21"/>
        <v>42296405.455221057</v>
      </c>
      <c r="K187" s="176">
        <f t="shared" si="18"/>
        <v>42168684.504577152</v>
      </c>
      <c r="L187" s="176"/>
      <c r="M187" s="303"/>
    </row>
    <row r="188" spans="1:13">
      <c r="A188" s="246">
        <v>2</v>
      </c>
      <c r="B188" s="226">
        <v>45169</v>
      </c>
      <c r="C188" s="176">
        <f t="shared" si="17"/>
        <v>31</v>
      </c>
      <c r="F188" s="255">
        <f t="shared" si="20"/>
        <v>3.56618E-2</v>
      </c>
      <c r="G188" s="247"/>
      <c r="H188" s="251">
        <f>-'LSR Prepaid Bill Credits'!L154</f>
        <v>-563867.45869360014</v>
      </c>
      <c r="I188" s="204">
        <f t="shared" si="19"/>
        <v>126013.10301461257</v>
      </c>
      <c r="J188" s="204">
        <f t="shared" si="21"/>
        <v>41858551.099542066</v>
      </c>
      <c r="K188" s="176">
        <f t="shared" si="18"/>
        <v>41604817.045883551</v>
      </c>
      <c r="L188" s="176"/>
      <c r="M188" s="303"/>
    </row>
    <row r="189" spans="1:13">
      <c r="A189" s="246">
        <v>3</v>
      </c>
      <c r="B189" s="226">
        <v>45199</v>
      </c>
      <c r="C189" s="176">
        <f t="shared" si="17"/>
        <v>30</v>
      </c>
      <c r="F189" s="255">
        <f t="shared" si="20"/>
        <v>3.56618E-2</v>
      </c>
      <c r="G189" s="247"/>
      <c r="H189" s="251">
        <f>-'LSR Prepaid Bill Credits'!L155</f>
        <v>-563867.45869360014</v>
      </c>
      <c r="I189" s="204">
        <f t="shared" si="19"/>
        <v>120295.40843740691</v>
      </c>
      <c r="J189" s="204">
        <f t="shared" si="21"/>
        <v>41414979.049285874</v>
      </c>
      <c r="K189" s="176">
        <f t="shared" si="18"/>
        <v>41414979.049285874</v>
      </c>
      <c r="L189" s="176"/>
      <c r="M189" s="303"/>
    </row>
    <row r="190" spans="1:13">
      <c r="A190" s="246">
        <v>1</v>
      </c>
      <c r="B190" s="226">
        <v>45230</v>
      </c>
      <c r="C190" s="176">
        <f t="shared" si="17"/>
        <v>31</v>
      </c>
      <c r="F190" s="255">
        <f t="shared" si="20"/>
        <v>3.56618E-2</v>
      </c>
      <c r="G190" s="247"/>
      <c r="H190" s="251">
        <f>-'LSR Prepaid Bill Credits'!L156</f>
        <v>-598714.46764086466</v>
      </c>
      <c r="I190" s="204">
        <f t="shared" si="19"/>
        <v>123624.72710133959</v>
      </c>
      <c r="J190" s="204">
        <f t="shared" si="21"/>
        <v>40939889.308746353</v>
      </c>
      <c r="K190" s="176">
        <f t="shared" ref="K190:K199" si="22">IF(A190=3,J190,IF(A190=1,J190-I190,J190-I190-I189))</f>
        <v>40816264.581645012</v>
      </c>
      <c r="L190" s="176"/>
      <c r="M190" s="303"/>
    </row>
    <row r="191" spans="1:13">
      <c r="A191" s="246">
        <v>2</v>
      </c>
      <c r="B191" s="226">
        <v>45260</v>
      </c>
      <c r="C191" s="176">
        <f t="shared" si="17"/>
        <v>30</v>
      </c>
      <c r="F191" s="255">
        <f t="shared" si="20"/>
        <v>3.56618E-2</v>
      </c>
      <c r="G191" s="247"/>
      <c r="H191" s="251">
        <f>-'LSR Prepaid Bill Credits'!L157</f>
        <v>-598714.46764086466</v>
      </c>
      <c r="I191" s="204">
        <f t="shared" si="19"/>
        <v>117881.93660182958</v>
      </c>
      <c r="J191" s="204">
        <f t="shared" si="21"/>
        <v>40459056.777707323</v>
      </c>
      <c r="K191" s="176">
        <f t="shared" si="22"/>
        <v>40217550.11400415</v>
      </c>
      <c r="L191" s="176"/>
      <c r="M191" s="303"/>
    </row>
    <row r="192" spans="1:13">
      <c r="A192" s="246">
        <v>3</v>
      </c>
      <c r="B192" s="226">
        <v>45291</v>
      </c>
      <c r="C192" s="176">
        <f t="shared" si="17"/>
        <v>31</v>
      </c>
      <c r="F192" s="255">
        <f t="shared" si="20"/>
        <v>3.56618E-2</v>
      </c>
      <c r="G192" s="247"/>
      <c r="H192" s="251">
        <f>-'LSR Prepaid Bill Credits'!L158</f>
        <v>-598714.46764086466</v>
      </c>
      <c r="I192" s="204">
        <f t="shared" si="19"/>
        <v>119997.94187577488</v>
      </c>
      <c r="J192" s="204">
        <f t="shared" si="21"/>
        <v>39980340.25194224</v>
      </c>
      <c r="K192" s="176">
        <f t="shared" si="22"/>
        <v>39980340.25194224</v>
      </c>
      <c r="L192" s="176"/>
      <c r="M192" s="303"/>
    </row>
    <row r="193" spans="1:13">
      <c r="A193" s="246">
        <v>1</v>
      </c>
      <c r="B193" s="226">
        <v>45322</v>
      </c>
      <c r="C193" s="176">
        <f t="shared" si="17"/>
        <v>31</v>
      </c>
      <c r="F193" s="255">
        <f t="shared" si="20"/>
        <v>3.56618E-2</v>
      </c>
      <c r="G193" s="247"/>
      <c r="H193" s="251">
        <f>-'LSR Prepaid Bill Credits'!L159</f>
        <v>-598714.46764086466</v>
      </c>
      <c r="I193" s="204">
        <f t="shared" si="19"/>
        <v>119279.47817597965</v>
      </c>
      <c r="J193" s="204">
        <f t="shared" si="21"/>
        <v>39500905.262477361</v>
      </c>
      <c r="K193" s="176">
        <f t="shared" si="22"/>
        <v>39381625.784301378</v>
      </c>
      <c r="L193" s="176"/>
      <c r="M193" s="303"/>
    </row>
    <row r="194" spans="1:13">
      <c r="A194" s="246">
        <v>2</v>
      </c>
      <c r="B194" s="226">
        <v>45351</v>
      </c>
      <c r="C194" s="266">
        <v>29</v>
      </c>
      <c r="F194" s="255">
        <f t="shared" si="20"/>
        <v>3.56618E-2</v>
      </c>
      <c r="G194" s="247"/>
      <c r="H194" s="251">
        <f>-'LSR Prepaid Bill Credits'!L160</f>
        <v>-598714.46764086466</v>
      </c>
      <c r="I194" s="204">
        <f t="shared" si="19"/>
        <v>109887.62843008777</v>
      </c>
      <c r="J194" s="204">
        <f t="shared" si="21"/>
        <v>39012078.42326659</v>
      </c>
      <c r="K194" s="176">
        <f t="shared" si="22"/>
        <v>38782911.316660516</v>
      </c>
      <c r="L194" s="176"/>
      <c r="M194" s="303"/>
    </row>
    <row r="195" spans="1:13">
      <c r="A195" s="246">
        <v>3</v>
      </c>
      <c r="B195" s="226">
        <v>45382</v>
      </c>
      <c r="C195" s="176">
        <f t="shared" si="17"/>
        <v>31</v>
      </c>
      <c r="F195" s="255">
        <f t="shared" si="20"/>
        <v>3.56618E-2</v>
      </c>
      <c r="G195" s="247"/>
      <c r="H195" s="251">
        <f>-'LSR Prepaid Bill Credits'!L161</f>
        <v>-598714.46764086466</v>
      </c>
      <c r="I195" s="204">
        <f t="shared" si="19"/>
        <v>115652.6929504149</v>
      </c>
      <c r="J195" s="204">
        <f t="shared" si="21"/>
        <v>38529016.64857614</v>
      </c>
      <c r="K195" s="176">
        <f t="shared" si="22"/>
        <v>38529016.64857614</v>
      </c>
      <c r="L195" s="176"/>
      <c r="M195" s="303"/>
    </row>
    <row r="196" spans="1:13">
      <c r="A196" s="246">
        <v>1</v>
      </c>
      <c r="B196" s="226">
        <v>45412</v>
      </c>
      <c r="C196" s="176">
        <f t="shared" si="17"/>
        <v>30</v>
      </c>
      <c r="F196" s="255">
        <f t="shared" si="20"/>
        <v>3.56618E-2</v>
      </c>
      <c r="G196" s="247"/>
      <c r="H196" s="251">
        <f>-'LSR Prepaid Bill Credits'!L162</f>
        <v>-598714.46764086466</v>
      </c>
      <c r="I196" s="204">
        <f t="shared" si="19"/>
        <v>111177.76851912968</v>
      </c>
      <c r="J196" s="204">
        <f t="shared" si="21"/>
        <v>38041479.949454412</v>
      </c>
      <c r="K196" s="176">
        <f t="shared" si="22"/>
        <v>37930302.180935279</v>
      </c>
      <c r="L196" s="176"/>
      <c r="M196" s="303"/>
    </row>
    <row r="197" spans="1:13">
      <c r="A197" s="246">
        <v>2</v>
      </c>
      <c r="B197" s="226">
        <v>45443</v>
      </c>
      <c r="C197" s="176">
        <f t="shared" si="17"/>
        <v>31</v>
      </c>
      <c r="F197" s="255">
        <f t="shared" si="20"/>
        <v>3.56618E-2</v>
      </c>
      <c r="G197" s="247"/>
      <c r="H197" s="251">
        <f>-'LSR Prepaid Bill Credits'!L163</f>
        <v>-598714.46764086466</v>
      </c>
      <c r="I197" s="204">
        <f t="shared" si="19"/>
        <v>113070.30152365162</v>
      </c>
      <c r="J197" s="204">
        <f t="shared" si="21"/>
        <v>37555835.783337198</v>
      </c>
      <c r="K197" s="176">
        <f t="shared" si="22"/>
        <v>37331587.713294417</v>
      </c>
      <c r="L197" s="176"/>
      <c r="M197" s="303"/>
    </row>
    <row r="198" spans="1:13">
      <c r="A198" s="246">
        <v>3</v>
      </c>
      <c r="B198" s="226">
        <v>45473</v>
      </c>
      <c r="C198" s="176">
        <f t="shared" ref="C198:C205" si="23">DAY(B198)</f>
        <v>30</v>
      </c>
      <c r="F198" s="255">
        <f t="shared" si="20"/>
        <v>3.56618E-2</v>
      </c>
      <c r="G198" s="247"/>
      <c r="H198" s="251">
        <f>-'LSR Prepaid Bill Credits'!L164</f>
        <v>-598714.46764086466</v>
      </c>
      <c r="I198" s="204">
        <f t="shared" si="19"/>
        <v>107667.97636535738</v>
      </c>
      <c r="J198" s="204">
        <f t="shared" si="21"/>
        <v>37064789.292061694</v>
      </c>
      <c r="K198" s="176">
        <f t="shared" si="22"/>
        <v>37064789.292061694</v>
      </c>
      <c r="L198" s="176"/>
      <c r="M198" s="303"/>
    </row>
    <row r="199" spans="1:13">
      <c r="A199" s="246">
        <v>1</v>
      </c>
      <c r="B199" s="226">
        <v>45504</v>
      </c>
      <c r="C199" s="176">
        <f t="shared" si="23"/>
        <v>31</v>
      </c>
      <c r="F199" s="255">
        <f t="shared" si="20"/>
        <v>3.56618E-2</v>
      </c>
      <c r="G199" s="247"/>
      <c r="H199" s="251">
        <f>-'LSR Prepaid Bill Credits'!L165</f>
        <v>-598714.46764086466</v>
      </c>
      <c r="I199" s="204">
        <f t="shared" si="19"/>
        <v>110448.8270750122</v>
      </c>
      <c r="J199" s="204">
        <f t="shared" si="21"/>
        <v>36576523.651495844</v>
      </c>
      <c r="K199" s="176">
        <f t="shared" si="22"/>
        <v>36466074.824420832</v>
      </c>
      <c r="L199" s="176"/>
      <c r="M199" s="303"/>
    </row>
    <row r="200" spans="1:13">
      <c r="A200" s="246">
        <v>2</v>
      </c>
      <c r="B200" s="226">
        <v>45535</v>
      </c>
      <c r="C200" s="176">
        <f t="shared" si="23"/>
        <v>31</v>
      </c>
      <c r="F200" s="255">
        <f t="shared" si="20"/>
        <v>3.56618E-2</v>
      </c>
      <c r="G200" s="247"/>
      <c r="H200" s="251">
        <f>-'LSR Prepaid Bill Credits'!L166</f>
        <v>-598714.46764086466</v>
      </c>
      <c r="I200" s="204">
        <f t="shared" si="19"/>
        <v>108635.43446222984</v>
      </c>
      <c r="J200" s="204">
        <f>J199+G200+H200+I200</f>
        <v>36086444.618317209</v>
      </c>
      <c r="K200" s="176">
        <f>IF(A200=3,J200,IF(A200=1,J200-I200,J200-I200-I199))</f>
        <v>35867360.35677997</v>
      </c>
      <c r="L200" s="176"/>
      <c r="M200" s="303"/>
    </row>
    <row r="201" spans="1:13">
      <c r="A201" s="246">
        <v>3</v>
      </c>
      <c r="B201" s="384">
        <v>45565</v>
      </c>
      <c r="C201" s="385">
        <f t="shared" si="23"/>
        <v>30</v>
      </c>
      <c r="D201" s="384"/>
      <c r="E201" s="385"/>
      <c r="F201" s="386">
        <f t="shared" si="20"/>
        <v>3.56618E-2</v>
      </c>
      <c r="G201" s="387"/>
      <c r="H201" s="388">
        <f>-'LSR Prepaid Bill Credits'!L167</f>
        <v>-598714.46764086466</v>
      </c>
      <c r="I201" s="385">
        <f>(((K200+H201)*C201)+(G201*E201))*(F201/365)</f>
        <v>103376.16953172337</v>
      </c>
      <c r="J201" s="385">
        <f>J200+G201+H201+I201</f>
        <v>35591106.320208073</v>
      </c>
      <c r="K201" s="385">
        <f t="shared" ref="K201:K231" si="24">IF(A201=3,J201,IF(A201=1,J201-I201,J201-I201-I200))</f>
        <v>35591106.320208073</v>
      </c>
      <c r="L201" s="176"/>
      <c r="M201" s="303"/>
    </row>
    <row r="202" spans="1:13">
      <c r="A202" s="246">
        <v>1</v>
      </c>
      <c r="B202" s="226">
        <v>45596</v>
      </c>
      <c r="C202" s="176">
        <f t="shared" si="23"/>
        <v>31</v>
      </c>
      <c r="F202" s="255">
        <f t="shared" si="20"/>
        <v>3.56618E-2</v>
      </c>
      <c r="G202" s="247"/>
      <c r="H202" s="251">
        <f>-'LSR Prepaid Bill Credits'!L168</f>
        <v>-598714.46764086466</v>
      </c>
      <c r="I202" s="204">
        <f t="shared" ref="I202:I213" si="25">(((K201+H202)*C202)+(G202*E202))*(F202/365)</f>
        <v>105985.3207474091</v>
      </c>
      <c r="J202" s="204">
        <f t="shared" ref="J202:J213" si="26">J201+G202+H202+I202</f>
        <v>35098377.173314624</v>
      </c>
      <c r="K202" s="204">
        <f t="shared" si="24"/>
        <v>34992391.852567211</v>
      </c>
      <c r="L202" s="176"/>
      <c r="M202" s="303"/>
    </row>
    <row r="203" spans="1:13">
      <c r="A203" s="246">
        <v>2</v>
      </c>
      <c r="B203" s="226">
        <v>45626</v>
      </c>
      <c r="C203" s="176">
        <f t="shared" si="23"/>
        <v>30</v>
      </c>
      <c r="F203" s="255">
        <f t="shared" si="20"/>
        <v>3.56618E-2</v>
      </c>
      <c r="G203" s="247"/>
      <c r="H203" s="251">
        <f>-'LSR Prepaid Bill Credits'!L169</f>
        <v>-598714.46764086466</v>
      </c>
      <c r="I203" s="204">
        <f t="shared" si="25"/>
        <v>100811.54335609041</v>
      </c>
      <c r="J203" s="204">
        <f t="shared" si="26"/>
        <v>34600474.249029852</v>
      </c>
      <c r="K203" s="204">
        <f t="shared" si="24"/>
        <v>34393677.384926349</v>
      </c>
      <c r="L203" s="176"/>
      <c r="M203" s="303"/>
    </row>
    <row r="204" spans="1:13">
      <c r="A204" s="246">
        <v>3</v>
      </c>
      <c r="B204" s="226">
        <v>45657</v>
      </c>
      <c r="C204" s="176">
        <f t="shared" si="23"/>
        <v>31</v>
      </c>
      <c r="F204" s="255">
        <f t="shared" si="20"/>
        <v>3.56618E-2</v>
      </c>
      <c r="G204" s="247"/>
      <c r="H204" s="251">
        <f>-'LSR Prepaid Bill Credits'!L170</f>
        <v>-598714.46764086466</v>
      </c>
      <c r="I204" s="204">
        <f t="shared" si="25"/>
        <v>102358.53552184439</v>
      </c>
      <c r="J204" s="204">
        <f t="shared" si="26"/>
        <v>34104118.316910833</v>
      </c>
      <c r="K204" s="204">
        <f t="shared" si="24"/>
        <v>34104118.316910833</v>
      </c>
      <c r="L204" s="176"/>
      <c r="M204" s="303"/>
    </row>
    <row r="205" spans="1:13">
      <c r="A205" s="246">
        <v>1</v>
      </c>
      <c r="B205" s="226">
        <v>45688</v>
      </c>
      <c r="C205" s="176">
        <f t="shared" si="23"/>
        <v>31</v>
      </c>
      <c r="F205" s="255">
        <f t="shared" si="20"/>
        <v>3.56618E-2</v>
      </c>
      <c r="G205" s="247"/>
      <c r="H205" s="251">
        <f>-'LSR Prepaid Bill Credits'!L171</f>
        <v>-598714.46764086466</v>
      </c>
      <c r="I205" s="204">
        <f t="shared" si="25"/>
        <v>101481.51600205142</v>
      </c>
      <c r="J205" s="204">
        <f t="shared" si="26"/>
        <v>33606885.365272015</v>
      </c>
      <c r="K205" s="204">
        <f t="shared" si="24"/>
        <v>33505403.849269964</v>
      </c>
      <c r="L205" s="176"/>
      <c r="M205" s="303"/>
    </row>
    <row r="206" spans="1:13">
      <c r="A206" s="246">
        <v>2</v>
      </c>
      <c r="B206" s="226">
        <v>45716</v>
      </c>
      <c r="C206" s="204">
        <v>28</v>
      </c>
      <c r="F206" s="255">
        <f t="shared" si="20"/>
        <v>3.56618E-2</v>
      </c>
      <c r="G206" s="247"/>
      <c r="H206" s="251">
        <f>-'LSR Prepaid Bill Credits'!L172</f>
        <v>-598714.46764086466</v>
      </c>
      <c r="I206" s="204">
        <f t="shared" si="25"/>
        <v>90022.821125791379</v>
      </c>
      <c r="J206" s="204">
        <f t="shared" si="26"/>
        <v>33098193.71875694</v>
      </c>
      <c r="K206" s="204">
        <f t="shared" si="24"/>
        <v>32906689.381629098</v>
      </c>
      <c r="L206" s="176"/>
      <c r="M206" s="303"/>
    </row>
    <row r="207" spans="1:13">
      <c r="A207" s="246">
        <v>3</v>
      </c>
      <c r="B207" s="226">
        <v>45747</v>
      </c>
      <c r="C207" s="176">
        <f t="shared" ref="C207:C217" si="27">DAY(B207)</f>
        <v>31</v>
      </c>
      <c r="F207" s="255">
        <f t="shared" si="20"/>
        <v>3.56618E-2</v>
      </c>
      <c r="G207" s="247"/>
      <c r="H207" s="251">
        <f>-'LSR Prepaid Bill Credits'!L173</f>
        <v>-598714.46764086466</v>
      </c>
      <c r="I207" s="204">
        <f t="shared" si="25"/>
        <v>97854.730776486656</v>
      </c>
      <c r="J207" s="204">
        <f t="shared" si="26"/>
        <v>32597333.98189256</v>
      </c>
      <c r="K207" s="204">
        <f t="shared" si="24"/>
        <v>32597333.98189256</v>
      </c>
      <c r="L207" s="176"/>
      <c r="M207" s="303"/>
    </row>
    <row r="208" spans="1:13">
      <c r="A208" s="246">
        <v>1</v>
      </c>
      <c r="B208" s="226">
        <v>45777</v>
      </c>
      <c r="C208" s="176">
        <f t="shared" si="27"/>
        <v>30</v>
      </c>
      <c r="F208" s="255">
        <f t="shared" si="20"/>
        <v>3.56618E-2</v>
      </c>
      <c r="G208" s="247"/>
      <c r="H208" s="251">
        <f>-'LSR Prepaid Bill Credits'!L174</f>
        <v>-598714.46764086466</v>
      </c>
      <c r="I208" s="204">
        <f t="shared" si="25"/>
        <v>93791.37282684994</v>
      </c>
      <c r="J208" s="204">
        <f t="shared" si="26"/>
        <v>32092410.887078542</v>
      </c>
      <c r="K208" s="204">
        <f t="shared" si="24"/>
        <v>31998619.514251694</v>
      </c>
      <c r="L208" s="176"/>
      <c r="M208" s="303"/>
    </row>
    <row r="209" spans="1:13">
      <c r="A209" s="246">
        <v>2</v>
      </c>
      <c r="B209" s="226">
        <v>45808</v>
      </c>
      <c r="C209" s="176">
        <f t="shared" si="27"/>
        <v>31</v>
      </c>
      <c r="F209" s="255">
        <f t="shared" si="20"/>
        <v>3.56618E-2</v>
      </c>
      <c r="G209" s="247"/>
      <c r="H209" s="251">
        <f>-'LSR Prepaid Bill Credits'!L175</f>
        <v>-598714.46764086466</v>
      </c>
      <c r="I209" s="204">
        <f t="shared" si="25"/>
        <v>95104.359308295912</v>
      </c>
      <c r="J209" s="204">
        <f t="shared" si="26"/>
        <v>31588800.778745972</v>
      </c>
      <c r="K209" s="204">
        <f t="shared" si="24"/>
        <v>31399905.046610828</v>
      </c>
      <c r="L209" s="176"/>
      <c r="M209" s="303"/>
    </row>
    <row r="210" spans="1:13">
      <c r="A210" s="246">
        <v>3</v>
      </c>
      <c r="B210" s="226">
        <v>45838</v>
      </c>
      <c r="C210" s="176">
        <f t="shared" si="27"/>
        <v>30</v>
      </c>
      <c r="F210" s="255">
        <f t="shared" si="20"/>
        <v>3.56618E-2</v>
      </c>
      <c r="G210" s="247"/>
      <c r="H210" s="251">
        <f>-'LSR Prepaid Bill Credits'!L176</f>
        <v>-598714.46764086466</v>
      </c>
      <c r="I210" s="204">
        <f t="shared" si="25"/>
        <v>90281.580673077624</v>
      </c>
      <c r="J210" s="204">
        <f t="shared" si="26"/>
        <v>31080367.891778182</v>
      </c>
      <c r="K210" s="204">
        <f t="shared" si="24"/>
        <v>31080367.891778182</v>
      </c>
      <c r="L210" s="176"/>
      <c r="M210" s="303"/>
    </row>
    <row r="211" spans="1:13">
      <c r="A211" s="246">
        <v>1</v>
      </c>
      <c r="B211" s="226">
        <v>45869</v>
      </c>
      <c r="C211" s="176">
        <f t="shared" si="27"/>
        <v>31</v>
      </c>
      <c r="F211" s="255">
        <f t="shared" si="20"/>
        <v>3.56618E-2</v>
      </c>
      <c r="G211" s="247"/>
      <c r="H211" s="251">
        <f>-'LSR Prepaid Bill Credits'!L177</f>
        <v>-598714.46764086466</v>
      </c>
      <c r="I211" s="204">
        <f t="shared" si="25"/>
        <v>92323.149234268232</v>
      </c>
      <c r="J211" s="204">
        <f t="shared" si="26"/>
        <v>30573976.573371585</v>
      </c>
      <c r="K211" s="204">
        <f t="shared" si="24"/>
        <v>30481653.424137317</v>
      </c>
      <c r="L211" s="176"/>
      <c r="M211" s="303"/>
    </row>
    <row r="212" spans="1:13">
      <c r="A212" s="246">
        <v>2</v>
      </c>
      <c r="B212" s="226">
        <v>45900</v>
      </c>
      <c r="C212" s="176">
        <f t="shared" si="27"/>
        <v>31</v>
      </c>
      <c r="F212" s="255">
        <f t="shared" si="20"/>
        <v>3.56618E-2</v>
      </c>
      <c r="G212" s="247"/>
      <c r="H212" s="251">
        <f>-'LSR Prepaid Bill Credits'!L178</f>
        <v>-598714.46764086466</v>
      </c>
      <c r="I212" s="204">
        <f t="shared" si="25"/>
        <v>90509.756621485853</v>
      </c>
      <c r="J212" s="204">
        <f t="shared" si="26"/>
        <v>30065771.862352207</v>
      </c>
      <c r="K212" s="204">
        <f t="shared" si="24"/>
        <v>29882938.956496451</v>
      </c>
      <c r="L212" s="176"/>
      <c r="M212" s="303"/>
    </row>
    <row r="213" spans="1:13">
      <c r="A213" s="246">
        <v>3</v>
      </c>
      <c r="B213" s="226">
        <v>45930</v>
      </c>
      <c r="C213" s="176">
        <f t="shared" si="27"/>
        <v>30</v>
      </c>
      <c r="F213" s="255">
        <f t="shared" si="20"/>
        <v>3.56618E-2</v>
      </c>
      <c r="G213" s="247"/>
      <c r="H213" s="251">
        <f>-'LSR Prepaid Bill Credits'!L179</f>
        <v>-598714.46764086466</v>
      </c>
      <c r="I213" s="204">
        <f t="shared" si="25"/>
        <v>85835.190976164668</v>
      </c>
      <c r="J213" s="204">
        <f t="shared" si="26"/>
        <v>29552892.585687507</v>
      </c>
      <c r="K213" s="204">
        <f t="shared" si="24"/>
        <v>29552892.585687507</v>
      </c>
      <c r="L213" s="176"/>
      <c r="M213" s="303"/>
    </row>
    <row r="214" spans="1:13">
      <c r="A214" s="246">
        <v>1</v>
      </c>
      <c r="B214" s="226">
        <v>45961</v>
      </c>
      <c r="C214" s="176">
        <f t="shared" si="27"/>
        <v>31</v>
      </c>
      <c r="F214" s="255">
        <f t="shared" si="20"/>
        <v>3.56618E-2</v>
      </c>
      <c r="G214" s="247"/>
      <c r="H214" s="251">
        <f>-'LSR Prepaid Bill Credits'!L180</f>
        <v>-635715.02174107009</v>
      </c>
      <c r="I214" s="204">
        <f>(((K213+H214)*C214)+(G214*E214))*(F214/365)</f>
        <v>87584.648461228207</v>
      </c>
      <c r="J214" s="204">
        <f>J213+G214+H214+I214</f>
        <v>29004762.212407663</v>
      </c>
      <c r="K214" s="204">
        <f t="shared" si="24"/>
        <v>28917177.563946437</v>
      </c>
      <c r="L214" s="176"/>
      <c r="M214" s="303"/>
    </row>
    <row r="215" spans="1:13">
      <c r="A215" s="246">
        <v>2</v>
      </c>
      <c r="B215" s="226">
        <v>45991</v>
      </c>
      <c r="C215" s="176">
        <f t="shared" si="27"/>
        <v>30</v>
      </c>
      <c r="F215" s="255">
        <f t="shared" si="20"/>
        <v>3.56618E-2</v>
      </c>
      <c r="G215" s="247"/>
      <c r="H215" s="251">
        <f>-'LSR Prepaid Bill Credits'!L181</f>
        <v>-635715.02174107009</v>
      </c>
      <c r="I215" s="204">
        <f>(((K214+H215)*C215)+(G215*E215))*(F215/365)</f>
        <v>82895.988566105691</v>
      </c>
      <c r="J215" s="204">
        <f>J214+G215+H215+I215</f>
        <v>28451943.179232698</v>
      </c>
      <c r="K215" s="204">
        <f t="shared" si="24"/>
        <v>28281462.542205367</v>
      </c>
      <c r="L215" s="176"/>
      <c r="M215" s="303"/>
    </row>
    <row r="216" spans="1:13">
      <c r="A216" s="246">
        <v>3</v>
      </c>
      <c r="B216" s="226">
        <v>46022</v>
      </c>
      <c r="C216" s="176">
        <f t="shared" si="27"/>
        <v>31</v>
      </c>
      <c r="F216" s="255">
        <f t="shared" si="20"/>
        <v>3.56618E-2</v>
      </c>
      <c r="G216" s="247"/>
      <c r="H216" s="251">
        <f>-'LSR Prepaid Bill Credits'!L182</f>
        <v>-635715.02174107009</v>
      </c>
      <c r="I216" s="204">
        <f>(((K215+H216)*C216)+(G216*E216))*(F216/365)</f>
        <v>83733.727908723566</v>
      </c>
      <c r="J216" s="204">
        <f>J215+G216+H216+I216</f>
        <v>27899961.885400351</v>
      </c>
      <c r="K216" s="204">
        <f t="shared" si="24"/>
        <v>27899961.885400351</v>
      </c>
      <c r="L216" s="176"/>
      <c r="M216" s="303"/>
    </row>
    <row r="217" spans="1:13">
      <c r="A217" s="246">
        <v>1</v>
      </c>
      <c r="B217" s="226">
        <v>46053</v>
      </c>
      <c r="C217" s="176">
        <f t="shared" si="27"/>
        <v>31</v>
      </c>
      <c r="F217" s="255">
        <f t="shared" si="20"/>
        <v>3.56618E-2</v>
      </c>
      <c r="G217" s="247"/>
      <c r="H217" s="251">
        <f>-'LSR Prepaid Bill Credits'!L183</f>
        <v>-635715.02174107009</v>
      </c>
      <c r="I217" s="204">
        <f>(((K216+H217)*C217)+(G217*E217))*(F217/365)</f>
        <v>82578.234747604874</v>
      </c>
      <c r="J217" s="204">
        <f>J216+G217+H217+I217</f>
        <v>27346825.098406885</v>
      </c>
      <c r="K217" s="204">
        <f t="shared" si="24"/>
        <v>27264246.863659281</v>
      </c>
      <c r="L217" s="176"/>
      <c r="M217" s="303"/>
    </row>
    <row r="218" spans="1:13">
      <c r="A218" s="246">
        <v>2</v>
      </c>
      <c r="B218" s="226">
        <v>46081</v>
      </c>
      <c r="C218" s="204">
        <v>28</v>
      </c>
      <c r="F218" s="255">
        <f t="shared" si="20"/>
        <v>3.56618E-2</v>
      </c>
      <c r="G218" s="247"/>
      <c r="H218" s="251">
        <f>-'LSR Prepaid Bill Credits'!L184</f>
        <v>-635715.02174107009</v>
      </c>
      <c r="I218" s="204">
        <f t="shared" ref="I218:I229" si="28">(((K217+H218)*C218)+(G218*E218))*(F218/365)</f>
        <v>72847.667264447475</v>
      </c>
      <c r="J218" s="204">
        <f t="shared" ref="J218:J229" si="29">J217+G218+H218+I218</f>
        <v>26783957.743930262</v>
      </c>
      <c r="K218" s="204">
        <f t="shared" si="24"/>
        <v>26628531.841918211</v>
      </c>
      <c r="L218" s="176"/>
      <c r="M218" s="303"/>
    </row>
    <row r="219" spans="1:13">
      <c r="A219" s="246">
        <v>3</v>
      </c>
      <c r="B219" s="226">
        <v>46112</v>
      </c>
      <c r="C219" s="176">
        <f t="shared" ref="C219:C229" si="30">DAY(B219)</f>
        <v>31</v>
      </c>
      <c r="F219" s="255">
        <f t="shared" si="20"/>
        <v>3.56618E-2</v>
      </c>
      <c r="G219" s="247"/>
      <c r="H219" s="251">
        <f>-'LSR Prepaid Bill Credits'!L185</f>
        <v>-635715.02174107009</v>
      </c>
      <c r="I219" s="204">
        <f t="shared" si="28"/>
        <v>78727.314195100233</v>
      </c>
      <c r="J219" s="204">
        <f t="shared" si="29"/>
        <v>26226970.036384292</v>
      </c>
      <c r="K219" s="204">
        <f t="shared" si="24"/>
        <v>26226970.036384292</v>
      </c>
      <c r="L219" s="176"/>
      <c r="M219" s="303"/>
    </row>
    <row r="220" spans="1:13">
      <c r="A220" s="246">
        <v>1</v>
      </c>
      <c r="B220" s="226">
        <v>46142</v>
      </c>
      <c r="C220" s="176">
        <f t="shared" si="30"/>
        <v>30</v>
      </c>
      <c r="F220" s="255">
        <f t="shared" si="20"/>
        <v>3.56618E-2</v>
      </c>
      <c r="G220" s="247"/>
      <c r="H220" s="251">
        <f>-'LSR Prepaid Bill Credits'!L186</f>
        <v>-635715.02174107009</v>
      </c>
      <c r="I220" s="204">
        <f t="shared" si="28"/>
        <v>75010.702855989352</v>
      </c>
      <c r="J220" s="204">
        <f t="shared" si="29"/>
        <v>25666265.717499211</v>
      </c>
      <c r="K220" s="204">
        <f t="shared" si="24"/>
        <v>25591255.014643222</v>
      </c>
      <c r="L220" s="176"/>
      <c r="M220" s="303"/>
    </row>
    <row r="221" spans="1:13">
      <c r="A221" s="246">
        <v>2</v>
      </c>
      <c r="B221" s="226">
        <v>46173</v>
      </c>
      <c r="C221" s="176">
        <f t="shared" si="30"/>
        <v>31</v>
      </c>
      <c r="F221" s="255">
        <f t="shared" si="20"/>
        <v>3.56618E-2</v>
      </c>
      <c r="G221" s="247"/>
      <c r="H221" s="251">
        <f>-'LSR Prepaid Bill Credits'!L187</f>
        <v>-635715.02174107009</v>
      </c>
      <c r="I221" s="204">
        <f t="shared" si="28"/>
        <v>75585.599341603331</v>
      </c>
      <c r="J221" s="204">
        <f t="shared" si="29"/>
        <v>25106136.295099746</v>
      </c>
      <c r="K221" s="204">
        <f t="shared" si="24"/>
        <v>24955539.992902152</v>
      </c>
      <c r="L221" s="176"/>
      <c r="M221" s="303"/>
    </row>
    <row r="222" spans="1:13">
      <c r="A222" s="246">
        <v>3</v>
      </c>
      <c r="B222" s="226">
        <v>46203</v>
      </c>
      <c r="C222" s="176">
        <f t="shared" si="30"/>
        <v>30</v>
      </c>
      <c r="F222" s="255">
        <f t="shared" si="20"/>
        <v>3.56618E-2</v>
      </c>
      <c r="G222" s="247"/>
      <c r="H222" s="251">
        <f>-'LSR Prepaid Bill Credits'!L188</f>
        <v>-635715.02174107009</v>
      </c>
      <c r="I222" s="204">
        <f t="shared" si="28"/>
        <v>71284.005547113891</v>
      </c>
      <c r="J222" s="204">
        <f t="shared" si="29"/>
        <v>24541705.27890579</v>
      </c>
      <c r="K222" s="204">
        <f t="shared" si="24"/>
        <v>24541705.27890579</v>
      </c>
      <c r="L222" s="176"/>
      <c r="M222" s="303"/>
    </row>
    <row r="223" spans="1:13">
      <c r="A223" s="246">
        <v>1</v>
      </c>
      <c r="B223" s="226">
        <v>46234</v>
      </c>
      <c r="C223" s="176">
        <f t="shared" si="30"/>
        <v>31</v>
      </c>
      <c r="F223" s="255">
        <f t="shared" si="20"/>
        <v>3.56618E-2</v>
      </c>
      <c r="G223" s="247"/>
      <c r="H223" s="251">
        <f>-'LSR Prepaid Bill Credits'!L189</f>
        <v>-635715.02174107009</v>
      </c>
      <c r="I223" s="204">
        <f t="shared" si="28"/>
        <v>72406.712175182634</v>
      </c>
      <c r="J223" s="204">
        <f t="shared" si="29"/>
        <v>23978396.969339903</v>
      </c>
      <c r="K223" s="204">
        <f t="shared" si="24"/>
        <v>23905990.25716472</v>
      </c>
      <c r="L223" s="176"/>
      <c r="M223" s="303"/>
    </row>
    <row r="224" spans="1:13">
      <c r="A224" s="246">
        <v>2</v>
      </c>
      <c r="B224" s="226">
        <v>46265</v>
      </c>
      <c r="C224" s="176">
        <f t="shared" si="30"/>
        <v>31</v>
      </c>
      <c r="F224" s="255">
        <f t="shared" si="20"/>
        <v>3.56618E-2</v>
      </c>
      <c r="G224" s="247"/>
      <c r="H224" s="251">
        <f>-'LSR Prepaid Bill Credits'!L190</f>
        <v>-635715.02174107009</v>
      </c>
      <c r="I224" s="204">
        <f t="shared" si="28"/>
        <v>70481.251898930306</v>
      </c>
      <c r="J224" s="204">
        <f t="shared" si="29"/>
        <v>23413163.199497763</v>
      </c>
      <c r="K224" s="204">
        <f t="shared" si="24"/>
        <v>23270275.235423651</v>
      </c>
      <c r="L224" s="176"/>
      <c r="M224" s="303"/>
    </row>
    <row r="225" spans="1:13">
      <c r="A225" s="246">
        <v>3</v>
      </c>
      <c r="B225" s="226">
        <v>46295</v>
      </c>
      <c r="C225" s="176">
        <f t="shared" si="30"/>
        <v>30</v>
      </c>
      <c r="F225" s="255">
        <f t="shared" ref="F225:F285" si="31">F224</f>
        <v>3.56618E-2</v>
      </c>
      <c r="G225" s="247"/>
      <c r="H225" s="251">
        <f>-'LSR Prepaid Bill Credits'!L191</f>
        <v>-635715.02174107009</v>
      </c>
      <c r="I225" s="204">
        <f t="shared" si="28"/>
        <v>66344.314473559352</v>
      </c>
      <c r="J225" s="204">
        <f t="shared" si="29"/>
        <v>22843792.492230251</v>
      </c>
      <c r="K225" s="204">
        <f t="shared" si="24"/>
        <v>22843792.492230251</v>
      </c>
      <c r="L225" s="176"/>
      <c r="M225" s="303"/>
    </row>
    <row r="226" spans="1:13">
      <c r="A226" s="246">
        <v>1</v>
      </c>
      <c r="B226" s="226">
        <v>46326</v>
      </c>
      <c r="C226" s="176">
        <f t="shared" si="30"/>
        <v>31</v>
      </c>
      <c r="F226" s="255">
        <f t="shared" si="31"/>
        <v>3.56618E-2</v>
      </c>
      <c r="G226" s="247"/>
      <c r="H226" s="251">
        <f>-'LSR Prepaid Bill Credits'!L192</f>
        <v>-635715.02174107009</v>
      </c>
      <c r="I226" s="204">
        <f t="shared" si="28"/>
        <v>67264.056249999514</v>
      </c>
      <c r="J226" s="204">
        <f t="shared" si="29"/>
        <v>22275341.52673918</v>
      </c>
      <c r="K226" s="204">
        <f t="shared" si="24"/>
        <v>22208077.470489182</v>
      </c>
      <c r="L226" s="176"/>
      <c r="M226" s="303"/>
    </row>
    <row r="227" spans="1:13">
      <c r="A227" s="246">
        <v>2</v>
      </c>
      <c r="B227" s="226">
        <v>46356</v>
      </c>
      <c r="C227" s="176">
        <f t="shared" si="30"/>
        <v>30</v>
      </c>
      <c r="F227" s="255">
        <f t="shared" si="31"/>
        <v>3.56618E-2</v>
      </c>
      <c r="G227" s="247"/>
      <c r="H227" s="251">
        <f>-'LSR Prepaid Bill Credits'!L193</f>
        <v>-635715.02174107009</v>
      </c>
      <c r="I227" s="204">
        <f t="shared" si="28"/>
        <v>63230.899329432774</v>
      </c>
      <c r="J227" s="204">
        <f t="shared" si="29"/>
        <v>21702857.404327542</v>
      </c>
      <c r="K227" s="204">
        <f t="shared" si="24"/>
        <v>21572362.448748112</v>
      </c>
      <c r="L227" s="176"/>
      <c r="M227" s="303"/>
    </row>
    <row r="228" spans="1:13">
      <c r="A228" s="246">
        <v>3</v>
      </c>
      <c r="B228" s="226">
        <v>46387</v>
      </c>
      <c r="C228" s="176">
        <f t="shared" si="30"/>
        <v>31</v>
      </c>
      <c r="F228" s="255">
        <f t="shared" si="31"/>
        <v>3.56618E-2</v>
      </c>
      <c r="G228" s="247"/>
      <c r="H228" s="251">
        <f>-'LSR Prepaid Bill Credits'!L194</f>
        <v>-635715.02174107009</v>
      </c>
      <c r="I228" s="204">
        <f t="shared" si="28"/>
        <v>63413.135697494879</v>
      </c>
      <c r="J228" s="204">
        <f t="shared" si="29"/>
        <v>21130555.518283967</v>
      </c>
      <c r="K228" s="204">
        <f t="shared" si="24"/>
        <v>21130555.518283967</v>
      </c>
      <c r="L228" s="176"/>
      <c r="M228" s="303"/>
    </row>
    <row r="229" spans="1:13">
      <c r="A229" s="246">
        <v>1</v>
      </c>
      <c r="B229" s="226">
        <v>46418</v>
      </c>
      <c r="C229" s="176">
        <f t="shared" si="30"/>
        <v>31</v>
      </c>
      <c r="F229" s="255">
        <f t="shared" si="31"/>
        <v>3.56618E-2</v>
      </c>
      <c r="G229" s="247"/>
      <c r="H229" s="251">
        <f>-'LSR Prepaid Bill Credits'!L195</f>
        <v>-635715.02174107009</v>
      </c>
      <c r="I229" s="204">
        <f t="shared" si="28"/>
        <v>62074.986266871281</v>
      </c>
      <c r="J229" s="204">
        <f t="shared" si="29"/>
        <v>20556915.482809767</v>
      </c>
      <c r="K229" s="204">
        <f t="shared" si="24"/>
        <v>20494840.496542897</v>
      </c>
      <c r="L229" s="176"/>
      <c r="M229" s="303"/>
    </row>
    <row r="230" spans="1:13">
      <c r="A230" s="246">
        <v>2</v>
      </c>
      <c r="B230" s="226">
        <v>46446</v>
      </c>
      <c r="C230" s="204">
        <v>28</v>
      </c>
      <c r="F230" s="255">
        <f t="shared" si="31"/>
        <v>3.56618E-2</v>
      </c>
      <c r="G230" s="247"/>
      <c r="H230" s="251">
        <f>-'LSR Prepaid Bill Credits'!L196</f>
        <v>-635715.02174107009</v>
      </c>
      <c r="I230" s="204">
        <f>(((K229+H230)*C230)+(G230*E230))*(F230/365)</f>
        <v>54328.604120559059</v>
      </c>
      <c r="J230" s="204">
        <f>J229+G230+H230+I230</f>
        <v>19975529.065189257</v>
      </c>
      <c r="K230" s="204">
        <f t="shared" si="24"/>
        <v>19859125.474801827</v>
      </c>
      <c r="L230" s="176"/>
      <c r="M230" s="303"/>
    </row>
    <row r="231" spans="1:13">
      <c r="A231" s="246">
        <v>3</v>
      </c>
      <c r="B231" s="226">
        <v>46477</v>
      </c>
      <c r="C231" s="176">
        <f t="shared" ref="C231:C241" si="32">DAY(B231)</f>
        <v>31</v>
      </c>
      <c r="F231" s="255">
        <f t="shared" si="31"/>
        <v>3.56618E-2</v>
      </c>
      <c r="G231" s="247"/>
      <c r="H231" s="251">
        <f>-'LSR Prepaid Bill Credits'!L197</f>
        <v>-635715.02174107009</v>
      </c>
      <c r="I231" s="204">
        <f t="shared" ref="I231:I283" si="33">(((K230+H231)*C231)+(G231*E231))*(F231/365)</f>
        <v>58224.065714366647</v>
      </c>
      <c r="J231" s="204">
        <f>J230+G231+H231+I231</f>
        <v>19398038.109162554</v>
      </c>
      <c r="K231" s="204">
        <f t="shared" si="24"/>
        <v>19398038.109162554</v>
      </c>
      <c r="L231" s="176"/>
      <c r="M231" s="303"/>
    </row>
    <row r="232" spans="1:13">
      <c r="A232" s="246">
        <v>1</v>
      </c>
      <c r="B232" s="343">
        <v>46507</v>
      </c>
      <c r="C232" s="176">
        <f t="shared" si="32"/>
        <v>30</v>
      </c>
      <c r="F232" s="255">
        <f t="shared" si="31"/>
        <v>3.56618E-2</v>
      </c>
      <c r="G232" s="247"/>
      <c r="H232" s="251">
        <f>-'LSR Prepaid Bill Credits'!L198</f>
        <v>-635715.02174107009</v>
      </c>
      <c r="I232" s="204">
        <f t="shared" si="33"/>
        <v>54994.373710603359</v>
      </c>
      <c r="J232" s="204">
        <f t="shared" ref="J232:J283" si="34">J231+G232+H232+I232</f>
        <v>18817317.461132087</v>
      </c>
      <c r="K232" s="204">
        <f t="shared" ref="K232:K283" si="35">IF(A232=3,J232,IF(A232=1,J232-I232,J232-I232-I231))</f>
        <v>18762323.087421484</v>
      </c>
      <c r="L232" s="176"/>
      <c r="M232" s="303"/>
    </row>
    <row r="233" spans="1:13">
      <c r="A233" s="246">
        <v>2</v>
      </c>
      <c r="B233" s="226">
        <v>46538</v>
      </c>
      <c r="C233" s="176">
        <f t="shared" si="32"/>
        <v>31</v>
      </c>
      <c r="F233" s="255">
        <f t="shared" si="31"/>
        <v>3.56618E-2</v>
      </c>
      <c r="G233" s="247"/>
      <c r="H233" s="251">
        <f>-'LSR Prepaid Bill Credits'!L199</f>
        <v>-635715.02174107009</v>
      </c>
      <c r="I233" s="204">
        <f t="shared" si="33"/>
        <v>54902.059224704484</v>
      </c>
      <c r="J233" s="204">
        <f t="shared" si="34"/>
        <v>18236504.498615723</v>
      </c>
      <c r="K233" s="204">
        <f t="shared" si="35"/>
        <v>18126608.065680414</v>
      </c>
      <c r="L233" s="176"/>
      <c r="M233" s="303"/>
    </row>
    <row r="234" spans="1:13">
      <c r="A234" s="246">
        <v>3</v>
      </c>
      <c r="B234" s="226">
        <v>46568</v>
      </c>
      <c r="C234" s="176">
        <f t="shared" si="32"/>
        <v>30</v>
      </c>
      <c r="F234" s="255">
        <f t="shared" si="31"/>
        <v>3.56618E-2</v>
      </c>
      <c r="G234" s="247"/>
      <c r="H234" s="251">
        <f>-'LSR Prepaid Bill Credits'!L200</f>
        <v>-635715.02174107009</v>
      </c>
      <c r="I234" s="204">
        <f t="shared" si="33"/>
        <v>51267.676401727898</v>
      </c>
      <c r="J234" s="204">
        <f t="shared" si="34"/>
        <v>17652057.15327638</v>
      </c>
      <c r="K234" s="204">
        <f t="shared" si="35"/>
        <v>17652057.15327638</v>
      </c>
      <c r="L234" s="176"/>
      <c r="M234" s="303"/>
    </row>
    <row r="235" spans="1:13">
      <c r="A235" s="246">
        <v>1</v>
      </c>
      <c r="B235" s="226">
        <v>46599</v>
      </c>
      <c r="C235" s="176">
        <f t="shared" si="32"/>
        <v>31</v>
      </c>
      <c r="F235" s="255">
        <f t="shared" si="31"/>
        <v>3.56618E-2</v>
      </c>
      <c r="G235" s="247"/>
      <c r="H235" s="251">
        <f>-'LSR Prepaid Bill Credits'!L201</f>
        <v>-635715.02174107009</v>
      </c>
      <c r="I235" s="204">
        <f t="shared" si="33"/>
        <v>51539.274204432782</v>
      </c>
      <c r="J235" s="204">
        <f t="shared" si="34"/>
        <v>17067881.405739743</v>
      </c>
      <c r="K235" s="204">
        <f t="shared" si="35"/>
        <v>17016342.13153531</v>
      </c>
      <c r="L235" s="176"/>
      <c r="M235" s="303"/>
    </row>
    <row r="236" spans="1:13">
      <c r="A236" s="246">
        <v>2</v>
      </c>
      <c r="B236" s="226">
        <v>46630</v>
      </c>
      <c r="C236" s="176">
        <f t="shared" si="32"/>
        <v>31</v>
      </c>
      <c r="F236" s="255">
        <f t="shared" si="31"/>
        <v>3.56618E-2</v>
      </c>
      <c r="G236" s="247"/>
      <c r="H236" s="251">
        <f>-'LSR Prepaid Bill Credits'!L202</f>
        <v>-635715.02174107009</v>
      </c>
      <c r="I236" s="204">
        <f t="shared" si="33"/>
        <v>49613.813928180454</v>
      </c>
      <c r="J236" s="204">
        <f t="shared" si="34"/>
        <v>16481780.197926855</v>
      </c>
      <c r="K236" s="204">
        <f t="shared" si="35"/>
        <v>16380627.10979424</v>
      </c>
      <c r="L236" s="176"/>
      <c r="M236" s="303"/>
    </row>
    <row r="237" spans="1:13">
      <c r="A237" s="246">
        <v>3</v>
      </c>
      <c r="B237" s="226">
        <v>46660</v>
      </c>
      <c r="C237" s="176">
        <f t="shared" si="32"/>
        <v>30</v>
      </c>
      <c r="F237" s="255">
        <f t="shared" si="31"/>
        <v>3.56618E-2</v>
      </c>
      <c r="G237" s="247"/>
      <c r="H237" s="251">
        <f>-'LSR Prepaid Bill Credits'!L203</f>
        <v>-635715.02174107009</v>
      </c>
      <c r="I237" s="204">
        <f t="shared" si="33"/>
        <v>46150.019663156265</v>
      </c>
      <c r="J237" s="204">
        <f t="shared" si="34"/>
        <v>15892215.195848942</v>
      </c>
      <c r="K237" s="204">
        <f t="shared" si="35"/>
        <v>15892215.195848942</v>
      </c>
      <c r="L237" s="176"/>
      <c r="M237" s="303"/>
    </row>
    <row r="238" spans="1:13">
      <c r="A238" s="246">
        <v>1</v>
      </c>
      <c r="B238" s="226">
        <v>46691</v>
      </c>
      <c r="C238" s="176">
        <f t="shared" si="32"/>
        <v>31</v>
      </c>
      <c r="F238" s="255">
        <f t="shared" si="31"/>
        <v>3.56618E-2</v>
      </c>
      <c r="G238" s="247"/>
      <c r="H238" s="251">
        <f>-'LSR Prepaid Bill Credits'!L204</f>
        <v>-675002.21008466824</v>
      </c>
      <c r="I238" s="204">
        <f t="shared" si="33"/>
        <v>46090.053117061863</v>
      </c>
      <c r="J238" s="204">
        <f t="shared" si="34"/>
        <v>15263303.038881335</v>
      </c>
      <c r="K238" s="204">
        <f t="shared" si="35"/>
        <v>15217212.985764274</v>
      </c>
      <c r="L238" s="176"/>
      <c r="M238" s="303"/>
    </row>
    <row r="239" spans="1:13">
      <c r="A239" s="246">
        <v>2</v>
      </c>
      <c r="B239" s="226">
        <v>46721</v>
      </c>
      <c r="C239" s="176">
        <f t="shared" si="32"/>
        <v>30</v>
      </c>
      <c r="F239" s="255">
        <f t="shared" si="31"/>
        <v>3.56618E-2</v>
      </c>
      <c r="G239" s="247"/>
      <c r="H239" s="251">
        <f>-'LSR Prepaid Bill Credits'!L205</f>
        <v>-675002.21008466824</v>
      </c>
      <c r="I239" s="204">
        <f t="shared" si="33"/>
        <v>42624.77360877789</v>
      </c>
      <c r="J239" s="204">
        <f t="shared" si="34"/>
        <v>14630925.602405446</v>
      </c>
      <c r="K239" s="204">
        <f t="shared" si="35"/>
        <v>14542210.775679607</v>
      </c>
      <c r="L239" s="176"/>
      <c r="M239" s="303"/>
    </row>
    <row r="240" spans="1:13">
      <c r="A240" s="246">
        <v>3</v>
      </c>
      <c r="B240" s="226">
        <v>46752</v>
      </c>
      <c r="C240" s="176">
        <f t="shared" si="32"/>
        <v>31</v>
      </c>
      <c r="F240" s="255">
        <f t="shared" si="31"/>
        <v>3.56618E-2</v>
      </c>
      <c r="G240" s="247"/>
      <c r="H240" s="251">
        <f>-'LSR Prepaid Bill Credits'!L206</f>
        <v>-675002.21008466824</v>
      </c>
      <c r="I240" s="204">
        <f t="shared" si="33"/>
        <v>42001.145674412444</v>
      </c>
      <c r="J240" s="204">
        <f t="shared" si="34"/>
        <v>13997924.537995191</v>
      </c>
      <c r="K240" s="204">
        <f t="shared" si="35"/>
        <v>13997924.537995191</v>
      </c>
      <c r="L240" s="176"/>
      <c r="M240" s="303"/>
    </row>
    <row r="241" spans="1:13">
      <c r="A241" s="246">
        <v>1</v>
      </c>
      <c r="B241" s="226">
        <v>46783</v>
      </c>
      <c r="C241" s="176">
        <f t="shared" si="32"/>
        <v>31</v>
      </c>
      <c r="F241" s="255">
        <f t="shared" si="31"/>
        <v>3.56618E-2</v>
      </c>
      <c r="G241" s="247"/>
      <c r="H241" s="251">
        <f>-'LSR Prepaid Bill Credits'!L207</f>
        <v>-675002.21008466824</v>
      </c>
      <c r="I241" s="204">
        <f t="shared" si="33"/>
        <v>40352.605851172229</v>
      </c>
      <c r="J241" s="204">
        <f t="shared" si="34"/>
        <v>13363274.933761695</v>
      </c>
      <c r="K241" s="204">
        <f t="shared" si="35"/>
        <v>13322922.327910524</v>
      </c>
      <c r="L241" s="176"/>
      <c r="M241" s="303"/>
    </row>
    <row r="242" spans="1:13">
      <c r="A242" s="246">
        <v>2</v>
      </c>
      <c r="B242" s="226">
        <v>46811</v>
      </c>
      <c r="C242" s="266">
        <v>29</v>
      </c>
      <c r="F242" s="255">
        <f t="shared" si="31"/>
        <v>3.56618E-2</v>
      </c>
      <c r="G242" s="247"/>
      <c r="H242" s="251">
        <f>-'LSR Prepaid Bill Credits'!L208</f>
        <v>-675002.21008466824</v>
      </c>
      <c r="I242" s="204">
        <f t="shared" si="33"/>
        <v>35836.658444050903</v>
      </c>
      <c r="J242" s="204">
        <f t="shared" si="34"/>
        <v>12724109.382121079</v>
      </c>
      <c r="K242" s="204">
        <f t="shared" si="35"/>
        <v>12647920.117825856</v>
      </c>
      <c r="L242" s="176"/>
      <c r="M242" s="303"/>
    </row>
    <row r="243" spans="1:13">
      <c r="A243" s="246">
        <v>3</v>
      </c>
      <c r="B243" s="226">
        <v>46843</v>
      </c>
      <c r="C243" s="176">
        <f t="shared" ref="C243:C253" si="36">DAY(B243)</f>
        <v>31</v>
      </c>
      <c r="F243" s="255">
        <f t="shared" si="31"/>
        <v>3.56618E-2</v>
      </c>
      <c r="G243" s="247"/>
      <c r="H243" s="251">
        <f>-'LSR Prepaid Bill Credits'!L209</f>
        <v>-675002.21008466824</v>
      </c>
      <c r="I243" s="204">
        <f t="shared" si="33"/>
        <v>36263.69840852281</v>
      </c>
      <c r="J243" s="204">
        <f t="shared" si="34"/>
        <v>12085370.870444935</v>
      </c>
      <c r="K243" s="204">
        <f t="shared" si="35"/>
        <v>12085370.870444935</v>
      </c>
      <c r="L243" s="176"/>
      <c r="M243" s="303"/>
    </row>
    <row r="244" spans="1:13">
      <c r="A244" s="246">
        <v>1</v>
      </c>
      <c r="B244" s="226">
        <v>46873</v>
      </c>
      <c r="C244" s="176">
        <f t="shared" si="36"/>
        <v>30</v>
      </c>
      <c r="F244" s="255">
        <f t="shared" si="31"/>
        <v>3.56618E-2</v>
      </c>
      <c r="G244" s="247"/>
      <c r="H244" s="251">
        <f>-'LSR Prepaid Bill Credits'!L210</f>
        <v>-675002.21008466824</v>
      </c>
      <c r="I244" s="204">
        <f t="shared" si="33"/>
        <v>33445.009733591978</v>
      </c>
      <c r="J244" s="204">
        <f t="shared" si="34"/>
        <v>11443813.670093859</v>
      </c>
      <c r="K244" s="204">
        <f t="shared" si="35"/>
        <v>11410368.660360267</v>
      </c>
      <c r="L244" s="176"/>
      <c r="M244" s="303"/>
    </row>
    <row r="245" spans="1:13">
      <c r="A245" s="246">
        <v>2</v>
      </c>
      <c r="B245" s="226">
        <v>46904</v>
      </c>
      <c r="C245" s="176">
        <f t="shared" si="36"/>
        <v>31</v>
      </c>
      <c r="F245" s="255">
        <f t="shared" si="31"/>
        <v>3.56618E-2</v>
      </c>
      <c r="G245" s="247"/>
      <c r="H245" s="251">
        <f>-'LSR Prepaid Bill Credits'!L211</f>
        <v>-675002.21008466824</v>
      </c>
      <c r="I245" s="204">
        <f t="shared" si="33"/>
        <v>32515.389670053672</v>
      </c>
      <c r="J245" s="204">
        <f t="shared" si="34"/>
        <v>10801326.849679245</v>
      </c>
      <c r="K245" s="204">
        <f t="shared" si="35"/>
        <v>10735366.4502756</v>
      </c>
      <c r="L245" s="176"/>
      <c r="M245" s="303"/>
    </row>
    <row r="246" spans="1:13">
      <c r="A246" s="246">
        <v>3</v>
      </c>
      <c r="B246" s="226">
        <v>46934</v>
      </c>
      <c r="C246" s="176">
        <f t="shared" si="36"/>
        <v>30</v>
      </c>
      <c r="F246" s="255">
        <f t="shared" si="31"/>
        <v>3.56618E-2</v>
      </c>
      <c r="G246" s="247"/>
      <c r="H246" s="251">
        <f>-'LSR Prepaid Bill Credits'!L212</f>
        <v>-675002.21008466824</v>
      </c>
      <c r="I246" s="204">
        <f t="shared" si="33"/>
        <v>29488.002531028029</v>
      </c>
      <c r="J246" s="204">
        <f t="shared" si="34"/>
        <v>10155812.642125605</v>
      </c>
      <c r="K246" s="204">
        <f t="shared" si="35"/>
        <v>10155812.642125605</v>
      </c>
      <c r="L246" s="176"/>
      <c r="M246" s="303"/>
    </row>
    <row r="247" spans="1:13">
      <c r="A247" s="246">
        <v>1</v>
      </c>
      <c r="B247" s="226">
        <v>46965</v>
      </c>
      <c r="C247" s="176">
        <f t="shared" si="36"/>
        <v>31</v>
      </c>
      <c r="F247" s="255">
        <f t="shared" si="31"/>
        <v>3.56618E-2</v>
      </c>
      <c r="G247" s="247"/>
      <c r="H247" s="251">
        <f>-'LSR Prepaid Bill Credits'!L213</f>
        <v>-675002.21008466824</v>
      </c>
      <c r="I247" s="204">
        <f t="shared" si="33"/>
        <v>28715.577340893378</v>
      </c>
      <c r="J247" s="204">
        <f t="shared" si="34"/>
        <v>9509526.0093818307</v>
      </c>
      <c r="K247" s="204">
        <f t="shared" si="35"/>
        <v>9480810.4320409372</v>
      </c>
      <c r="L247" s="176"/>
      <c r="M247" s="303"/>
    </row>
    <row r="248" spans="1:13">
      <c r="A248" s="246">
        <v>2</v>
      </c>
      <c r="B248" s="226">
        <v>46996</v>
      </c>
      <c r="C248" s="176">
        <f t="shared" si="36"/>
        <v>31</v>
      </c>
      <c r="F248" s="255">
        <f t="shared" si="31"/>
        <v>3.56618E-2</v>
      </c>
      <c r="G248" s="247"/>
      <c r="H248" s="251">
        <f>-'LSR Prepaid Bill Credits'!L214</f>
        <v>-675002.21008466824</v>
      </c>
      <c r="I248" s="204">
        <f t="shared" si="33"/>
        <v>26671.123619568669</v>
      </c>
      <c r="J248" s="204">
        <f t="shared" si="34"/>
        <v>8861194.9229167327</v>
      </c>
      <c r="K248" s="204">
        <f t="shared" si="35"/>
        <v>8805808.2219562698</v>
      </c>
      <c r="L248" s="176"/>
      <c r="M248" s="303"/>
    </row>
    <row r="249" spans="1:13">
      <c r="A249" s="246">
        <v>3</v>
      </c>
      <c r="B249" s="226">
        <v>47026</v>
      </c>
      <c r="C249" s="176">
        <f t="shared" si="36"/>
        <v>30</v>
      </c>
      <c r="F249" s="255">
        <f t="shared" si="31"/>
        <v>3.56618E-2</v>
      </c>
      <c r="G249" s="247"/>
      <c r="H249" s="251">
        <f>-'LSR Prepaid Bill Credits'!L215</f>
        <v>-675002.21008466824</v>
      </c>
      <c r="I249" s="204">
        <f t="shared" si="33"/>
        <v>23832.261191848986</v>
      </c>
      <c r="J249" s="204">
        <f t="shared" si="34"/>
        <v>8210024.974023913</v>
      </c>
      <c r="K249" s="204">
        <f t="shared" si="35"/>
        <v>8210024.974023913</v>
      </c>
      <c r="L249" s="176"/>
      <c r="M249" s="303"/>
    </row>
    <row r="250" spans="1:13">
      <c r="A250" s="246">
        <v>1</v>
      </c>
      <c r="B250" s="226">
        <v>47057</v>
      </c>
      <c r="C250" s="176">
        <f t="shared" si="36"/>
        <v>31</v>
      </c>
      <c r="F250" s="255">
        <f t="shared" si="31"/>
        <v>3.56618E-2</v>
      </c>
      <c r="G250" s="247"/>
      <c r="H250" s="251">
        <f>-'LSR Prepaid Bill Credits'!L216</f>
        <v>-675002.21008466824</v>
      </c>
      <c r="I250" s="204">
        <f t="shared" si="33"/>
        <v>22822.155394231522</v>
      </c>
      <c r="J250" s="204">
        <f t="shared" si="34"/>
        <v>7557844.9193334766</v>
      </c>
      <c r="K250" s="204">
        <f t="shared" si="35"/>
        <v>7535022.7639392447</v>
      </c>
      <c r="L250" s="176"/>
      <c r="M250" s="303"/>
    </row>
    <row r="251" spans="1:13">
      <c r="A251" s="246">
        <v>2</v>
      </c>
      <c r="B251" s="226">
        <v>47087</v>
      </c>
      <c r="C251" s="176">
        <f t="shared" si="36"/>
        <v>30</v>
      </c>
      <c r="F251" s="255">
        <f t="shared" si="31"/>
        <v>3.56618E-2</v>
      </c>
      <c r="G251" s="247"/>
      <c r="H251" s="251">
        <f>-'LSR Prepaid Bill Credits'!L217</f>
        <v>-675002.21008466824</v>
      </c>
      <c r="I251" s="204">
        <f t="shared" si="33"/>
        <v>20107.453231845298</v>
      </c>
      <c r="J251" s="204">
        <f t="shared" si="34"/>
        <v>6902950.1624806533</v>
      </c>
      <c r="K251" s="204">
        <f t="shared" si="35"/>
        <v>6860020.5538545763</v>
      </c>
      <c r="L251" s="176"/>
      <c r="M251" s="303"/>
    </row>
    <row r="252" spans="1:13">
      <c r="A252" s="246">
        <v>3</v>
      </c>
      <c r="B252" s="226">
        <v>47118</v>
      </c>
      <c r="C252" s="176">
        <f t="shared" si="36"/>
        <v>31</v>
      </c>
      <c r="F252" s="255">
        <f t="shared" si="31"/>
        <v>3.56618E-2</v>
      </c>
      <c r="G252" s="247"/>
      <c r="H252" s="251">
        <f>-'LSR Prepaid Bill Credits'!L218</f>
        <v>-675002.21008466824</v>
      </c>
      <c r="I252" s="204">
        <f t="shared" si="33"/>
        <v>18733.247951582096</v>
      </c>
      <c r="J252" s="204">
        <f t="shared" si="34"/>
        <v>6246681.200347567</v>
      </c>
      <c r="K252" s="204">
        <f t="shared" si="35"/>
        <v>6246681.200347567</v>
      </c>
      <c r="L252" s="176"/>
      <c r="M252" s="303"/>
    </row>
    <row r="253" spans="1:13">
      <c r="A253" s="246">
        <v>1</v>
      </c>
      <c r="B253" s="226">
        <v>47149</v>
      </c>
      <c r="C253" s="176">
        <f t="shared" si="36"/>
        <v>31</v>
      </c>
      <c r="F253" s="255">
        <f t="shared" si="31"/>
        <v>3.56618E-2</v>
      </c>
      <c r="G253" s="247"/>
      <c r="H253" s="251">
        <f>-'LSR Prepaid Bill Credits'!L219</f>
        <v>-675002.21008466824</v>
      </c>
      <c r="I253" s="204">
        <f t="shared" si="33"/>
        <v>16875.559332229263</v>
      </c>
      <c r="J253" s="204">
        <f t="shared" si="34"/>
        <v>5588554.5495951278</v>
      </c>
      <c r="K253" s="204">
        <f t="shared" si="35"/>
        <v>5571678.9902628986</v>
      </c>
      <c r="L253" s="176"/>
      <c r="M253" s="303"/>
    </row>
    <row r="254" spans="1:13">
      <c r="A254" s="246">
        <v>2</v>
      </c>
      <c r="B254" s="226">
        <v>47177</v>
      </c>
      <c r="C254" s="204">
        <v>28</v>
      </c>
      <c r="F254" s="255">
        <f t="shared" si="31"/>
        <v>3.56618E-2</v>
      </c>
      <c r="G254" s="247"/>
      <c r="H254" s="251">
        <f>-'LSR Prepaid Bill Credits'!L220</f>
        <v>-675002.21008466824</v>
      </c>
      <c r="I254" s="204">
        <f t="shared" si="33"/>
        <v>13395.8373259783</v>
      </c>
      <c r="J254" s="204">
        <f t="shared" si="34"/>
        <v>4926948.1768364375</v>
      </c>
      <c r="K254" s="204">
        <f t="shared" si="35"/>
        <v>4896676.7801782303</v>
      </c>
      <c r="L254" s="176"/>
      <c r="M254" s="303"/>
    </row>
    <row r="255" spans="1:13">
      <c r="A255" s="246">
        <v>3</v>
      </c>
      <c r="B255" s="226">
        <v>47208</v>
      </c>
      <c r="C255" s="176">
        <f t="shared" ref="C255:C277" si="37">DAY(B255)</f>
        <v>31</v>
      </c>
      <c r="F255" s="255">
        <f t="shared" si="31"/>
        <v>3.56618E-2</v>
      </c>
      <c r="G255" s="247"/>
      <c r="H255" s="251">
        <f>-'LSR Prepaid Bill Credits'!L221</f>
        <v>-675002.21008466824</v>
      </c>
      <c r="I255" s="204">
        <f t="shared" si="33"/>
        <v>12786.651889579836</v>
      </c>
      <c r="J255" s="204">
        <f t="shared" si="34"/>
        <v>4264732.6186413486</v>
      </c>
      <c r="K255" s="204">
        <f t="shared" si="35"/>
        <v>4264732.6186413486</v>
      </c>
      <c r="L255" s="176"/>
      <c r="M255" s="303"/>
    </row>
    <row r="256" spans="1:13">
      <c r="A256" s="246">
        <v>1</v>
      </c>
      <c r="B256" s="226">
        <v>47238</v>
      </c>
      <c r="C256" s="176">
        <f t="shared" si="37"/>
        <v>30</v>
      </c>
      <c r="F256" s="255">
        <f t="shared" si="31"/>
        <v>3.56618E-2</v>
      </c>
      <c r="G256" s="247"/>
      <c r="H256" s="251">
        <f>-'LSR Prepaid Bill Credits'!L222</f>
        <v>-675002.21008466824</v>
      </c>
      <c r="I256" s="204">
        <f t="shared" si="33"/>
        <v>10521.883387715065</v>
      </c>
      <c r="J256" s="204">
        <f t="shared" si="34"/>
        <v>3600252.2919443953</v>
      </c>
      <c r="K256" s="204">
        <f t="shared" si="35"/>
        <v>3589730.4085566802</v>
      </c>
      <c r="L256" s="176"/>
      <c r="M256" s="303"/>
    </row>
    <row r="257" spans="1:13">
      <c r="A257" s="246">
        <v>2</v>
      </c>
      <c r="B257" s="226">
        <v>47269</v>
      </c>
      <c r="C257" s="176">
        <f t="shared" si="37"/>
        <v>31</v>
      </c>
      <c r="F257" s="255">
        <f t="shared" si="31"/>
        <v>3.56618E-2</v>
      </c>
      <c r="G257" s="247"/>
      <c r="H257" s="251">
        <f>-'LSR Prepaid Bill Credits'!L223</f>
        <v>-675002.21008466824</v>
      </c>
      <c r="I257" s="204">
        <f t="shared" si="33"/>
        <v>8828.1591126475214</v>
      </c>
      <c r="J257" s="204">
        <f t="shared" si="34"/>
        <v>2934078.2409723746</v>
      </c>
      <c r="K257" s="204">
        <f t="shared" si="35"/>
        <v>2914728.1984720118</v>
      </c>
      <c r="L257" s="176"/>
      <c r="M257" s="303"/>
    </row>
    <row r="258" spans="1:13">
      <c r="A258" s="246">
        <v>3</v>
      </c>
      <c r="B258" s="226">
        <v>47299</v>
      </c>
      <c r="C258" s="176">
        <f t="shared" si="37"/>
        <v>30</v>
      </c>
      <c r="F258" s="255">
        <f t="shared" si="31"/>
        <v>3.56618E-2</v>
      </c>
      <c r="G258" s="247"/>
      <c r="H258" s="251">
        <f>-'LSR Prepaid Bill Credits'!L224</f>
        <v>-675002.21008466824</v>
      </c>
      <c r="I258" s="204">
        <f t="shared" si="33"/>
        <v>6564.8761851511035</v>
      </c>
      <c r="J258" s="204">
        <f t="shared" si="34"/>
        <v>2265640.9070728575</v>
      </c>
      <c r="K258" s="204">
        <f t="shared" si="35"/>
        <v>2265640.9070728575</v>
      </c>
      <c r="L258" s="176"/>
      <c r="M258" s="303"/>
    </row>
    <row r="259" spans="1:13">
      <c r="A259" s="246">
        <v>1</v>
      </c>
      <c r="B259" s="226">
        <v>47330</v>
      </c>
      <c r="C259" s="176">
        <f t="shared" si="37"/>
        <v>31</v>
      </c>
      <c r="F259" s="255">
        <f t="shared" si="31"/>
        <v>3.56618E-2</v>
      </c>
      <c r="G259" s="247"/>
      <c r="H259" s="251">
        <f>-'LSR Prepaid Bill Credits'!L225</f>
        <v>-675002.21008466824</v>
      </c>
      <c r="I259" s="204">
        <f t="shared" si="33"/>
        <v>4817.7430455119329</v>
      </c>
      <c r="J259" s="204">
        <f t="shared" si="34"/>
        <v>1595456.440033701</v>
      </c>
      <c r="K259" s="204">
        <f t="shared" si="35"/>
        <v>1590638.6969881891</v>
      </c>
      <c r="L259" s="176"/>
      <c r="M259" s="303"/>
    </row>
    <row r="260" spans="1:13">
      <c r="A260" s="246">
        <v>2</v>
      </c>
      <c r="B260" s="226">
        <v>47361</v>
      </c>
      <c r="C260" s="176">
        <f t="shared" si="37"/>
        <v>31</v>
      </c>
      <c r="F260" s="255">
        <f t="shared" si="31"/>
        <v>3.56618E-2</v>
      </c>
      <c r="G260" s="247"/>
      <c r="H260" s="251">
        <f>-'LSR Prepaid Bill Credits'!L226</f>
        <v>-675002.21008466824</v>
      </c>
      <c r="I260" s="204">
        <f t="shared" si="33"/>
        <v>2773.2893241872202</v>
      </c>
      <c r="J260" s="204">
        <f t="shared" si="34"/>
        <v>923227.51927321998</v>
      </c>
      <c r="K260" s="204">
        <f t="shared" si="35"/>
        <v>915636.48690352088</v>
      </c>
      <c r="L260" s="176"/>
      <c r="M260" s="303"/>
    </row>
    <row r="261" spans="1:13">
      <c r="A261" s="246">
        <v>3</v>
      </c>
      <c r="B261" s="226">
        <v>47391</v>
      </c>
      <c r="C261" s="176">
        <f t="shared" si="37"/>
        <v>30</v>
      </c>
      <c r="F261" s="255">
        <f t="shared" si="31"/>
        <v>3.56618E-2</v>
      </c>
      <c r="G261" s="247"/>
      <c r="H261" s="251">
        <f>-'LSR Prepaid Bill Credits'!L227</f>
        <v>-675002.21008466824</v>
      </c>
      <c r="I261" s="204">
        <f t="shared" si="33"/>
        <v>705.32477696371711</v>
      </c>
      <c r="J261" s="204">
        <f t="shared" si="34"/>
        <v>248930.63396551544</v>
      </c>
      <c r="K261" s="204">
        <f t="shared" si="35"/>
        <v>248930.63396551544</v>
      </c>
      <c r="L261" s="176"/>
      <c r="M261" s="303"/>
    </row>
    <row r="262" spans="1:13">
      <c r="A262" s="246">
        <v>1</v>
      </c>
      <c r="B262" s="226">
        <v>47422</v>
      </c>
      <c r="C262" s="176">
        <f t="shared" si="37"/>
        <v>31</v>
      </c>
      <c r="F262" s="255">
        <f t="shared" si="31"/>
        <v>3.56618E-2</v>
      </c>
      <c r="G262" s="247"/>
      <c r="H262" s="251">
        <f>-'LSR Prepaid Bill Credits'!L228</f>
        <v>-716717.3466679008</v>
      </c>
      <c r="I262" s="204">
        <f t="shared" si="33"/>
        <v>-1416.8372655412265</v>
      </c>
      <c r="J262" s="204">
        <f t="shared" si="34"/>
        <v>-469203.54996792664</v>
      </c>
      <c r="K262" s="204">
        <f t="shared" si="35"/>
        <v>-467786.71270238538</v>
      </c>
      <c r="L262" s="176"/>
      <c r="M262" s="303"/>
    </row>
    <row r="263" spans="1:13">
      <c r="A263" s="246">
        <v>2</v>
      </c>
      <c r="B263" s="226">
        <v>47452</v>
      </c>
      <c r="C263" s="176">
        <f t="shared" si="37"/>
        <v>30</v>
      </c>
      <c r="F263" s="255">
        <f t="shared" si="31"/>
        <v>3.56618E-2</v>
      </c>
      <c r="G263" s="247"/>
      <c r="H263" s="251">
        <f>-'LSR Prepaid Bill Credits'!L229</f>
        <v>-716717.3466679008</v>
      </c>
      <c r="I263" s="204">
        <f t="shared" si="33"/>
        <v>-3471.9079614617485</v>
      </c>
      <c r="J263" s="204">
        <f t="shared" si="34"/>
        <v>-1189392.8045972891</v>
      </c>
      <c r="K263" s="204">
        <f t="shared" si="35"/>
        <v>-1184504.0593702861</v>
      </c>
      <c r="L263" s="176"/>
      <c r="M263" s="303"/>
    </row>
    <row r="264" spans="1:13">
      <c r="A264" s="246">
        <v>3</v>
      </c>
      <c r="B264" s="226">
        <v>47483</v>
      </c>
      <c r="C264" s="176">
        <f t="shared" si="37"/>
        <v>31</v>
      </c>
      <c r="F264" s="255">
        <f t="shared" si="31"/>
        <v>3.56618E-2</v>
      </c>
      <c r="G264" s="247"/>
      <c r="H264" s="251">
        <f>-'LSR Prepaid Bill Credits'!L230</f>
        <v>-716717.3466679008</v>
      </c>
      <c r="I264" s="204">
        <f t="shared" si="33"/>
        <v>-5758.4391881463862</v>
      </c>
      <c r="J264" s="204">
        <f t="shared" si="34"/>
        <v>-1911868.5904533365</v>
      </c>
      <c r="K264" s="204">
        <f t="shared" si="35"/>
        <v>-1911868.5904533365</v>
      </c>
      <c r="L264" s="176"/>
      <c r="M264" s="303"/>
    </row>
    <row r="265" spans="1:13">
      <c r="A265" s="246">
        <v>1</v>
      </c>
      <c r="B265" s="226">
        <v>47514</v>
      </c>
      <c r="C265" s="176">
        <f t="shared" si="37"/>
        <v>31</v>
      </c>
      <c r="F265" s="255">
        <f t="shared" si="31"/>
        <v>3.56618E-2</v>
      </c>
      <c r="G265" s="247"/>
      <c r="H265" s="251">
        <f>-'LSR Prepaid Bill Credits'!L231</f>
        <v>-716717.3466679008</v>
      </c>
      <c r="I265" s="204">
        <f t="shared" si="33"/>
        <v>-7961.4884524529698</v>
      </c>
      <c r="J265" s="204">
        <f t="shared" si="34"/>
        <v>-2636547.4255736903</v>
      </c>
      <c r="K265" s="204">
        <f t="shared" si="35"/>
        <v>-2628585.9371212372</v>
      </c>
      <c r="L265" s="176"/>
      <c r="M265" s="303"/>
    </row>
    <row r="266" spans="1:13">
      <c r="A266" s="246">
        <v>2</v>
      </c>
      <c r="B266" s="226">
        <v>47542</v>
      </c>
      <c r="C266" s="204">
        <v>28</v>
      </c>
      <c r="F266" s="255">
        <f t="shared" si="31"/>
        <v>3.56618E-2</v>
      </c>
      <c r="G266" s="247"/>
      <c r="H266" s="251">
        <f>-'LSR Prepaid Bill Credits'!L232</f>
        <v>-716717.3466679008</v>
      </c>
      <c r="I266" s="204">
        <f t="shared" si="33"/>
        <v>-9151.7452769404954</v>
      </c>
      <c r="J266" s="204">
        <f t="shared" si="34"/>
        <v>-3362416.5175185315</v>
      </c>
      <c r="K266" s="204">
        <f t="shared" si="35"/>
        <v>-3345303.2837891378</v>
      </c>
      <c r="L266" s="176"/>
      <c r="M266" s="303"/>
    </row>
    <row r="267" spans="1:13">
      <c r="A267" s="246">
        <v>3</v>
      </c>
      <c r="B267" s="226">
        <v>47573</v>
      </c>
      <c r="C267" s="176">
        <f t="shared" si="37"/>
        <v>31</v>
      </c>
      <c r="F267" s="255">
        <f t="shared" si="31"/>
        <v>3.56618E-2</v>
      </c>
      <c r="G267" s="247"/>
      <c r="H267" s="251">
        <f>-'LSR Prepaid Bill Credits'!L233</f>
        <v>-716717.3466679008</v>
      </c>
      <c r="I267" s="204">
        <f t="shared" si="33"/>
        <v>-12303.090375058129</v>
      </c>
      <c r="J267" s="204">
        <f t="shared" si="34"/>
        <v>-4091436.9545614906</v>
      </c>
      <c r="K267" s="204">
        <f t="shared" si="35"/>
        <v>-4091436.9545614906</v>
      </c>
      <c r="L267" s="176"/>
      <c r="M267" s="303"/>
    </row>
    <row r="268" spans="1:13">
      <c r="A268" s="246">
        <v>1</v>
      </c>
      <c r="B268" s="226">
        <v>47603</v>
      </c>
      <c r="C268" s="176">
        <f t="shared" si="37"/>
        <v>30</v>
      </c>
      <c r="F268" s="255">
        <f t="shared" si="31"/>
        <v>3.56618E-2</v>
      </c>
      <c r="G268" s="247"/>
      <c r="H268" s="251">
        <f>-'LSR Prepaid Bill Credits'!L234</f>
        <v>-716717.3466679008</v>
      </c>
      <c r="I268" s="204">
        <f t="shared" si="33"/>
        <v>-14093.214004897176</v>
      </c>
      <c r="J268" s="204">
        <f t="shared" si="34"/>
        <v>-4822247.5152342888</v>
      </c>
      <c r="K268" s="204">
        <f t="shared" si="35"/>
        <v>-4808154.3012293912</v>
      </c>
      <c r="L268" s="176"/>
      <c r="M268" s="303"/>
    </row>
    <row r="269" spans="1:13">
      <c r="A269" s="246">
        <v>2</v>
      </c>
      <c r="B269" s="226">
        <v>47634</v>
      </c>
      <c r="C269" s="176">
        <f t="shared" si="37"/>
        <v>31</v>
      </c>
      <c r="F269" s="255">
        <f t="shared" si="31"/>
        <v>3.56618E-2</v>
      </c>
      <c r="G269" s="247"/>
      <c r="H269" s="251">
        <f>-'LSR Prepaid Bill Credits'!L235</f>
        <v>-716717.3466679008</v>
      </c>
      <c r="I269" s="204">
        <f t="shared" si="33"/>
        <v>-16733.788766362992</v>
      </c>
      <c r="J269" s="204">
        <f t="shared" si="34"/>
        <v>-5555698.6506685521</v>
      </c>
      <c r="K269" s="204">
        <f t="shared" si="35"/>
        <v>-5524871.6478972919</v>
      </c>
      <c r="L269" s="176"/>
      <c r="M269" s="303"/>
    </row>
    <row r="270" spans="1:13">
      <c r="A270" s="246">
        <v>3</v>
      </c>
      <c r="B270" s="226">
        <v>47664</v>
      </c>
      <c r="C270" s="176">
        <f t="shared" si="37"/>
        <v>30</v>
      </c>
      <c r="F270" s="255">
        <f t="shared" si="31"/>
        <v>3.56618E-2</v>
      </c>
      <c r="G270" s="247"/>
      <c r="H270" s="251">
        <f>-'LSR Prepaid Bill Credits'!L236</f>
        <v>-716717.3466679008</v>
      </c>
      <c r="I270" s="204">
        <f t="shared" si="33"/>
        <v>-18294.764252579589</v>
      </c>
      <c r="J270" s="204">
        <f t="shared" si="34"/>
        <v>-6290710.7615890326</v>
      </c>
      <c r="K270" s="204">
        <f t="shared" si="35"/>
        <v>-6290710.7615890326</v>
      </c>
      <c r="L270" s="176"/>
      <c r="M270" s="303"/>
    </row>
    <row r="271" spans="1:13">
      <c r="A271" s="246">
        <v>1</v>
      </c>
      <c r="B271" s="226">
        <v>47695</v>
      </c>
      <c r="C271" s="176">
        <f t="shared" si="37"/>
        <v>31</v>
      </c>
      <c r="F271" s="255">
        <f t="shared" si="31"/>
        <v>3.56618E-2</v>
      </c>
      <c r="G271" s="247"/>
      <c r="H271" s="251">
        <f>-'LSR Prepaid Bill Credits'!L237</f>
        <v>-716717.3466679008</v>
      </c>
      <c r="I271" s="204">
        <f t="shared" si="33"/>
        <v>-21224.171208334657</v>
      </c>
      <c r="J271" s="204">
        <f t="shared" si="34"/>
        <v>-7028652.2794652684</v>
      </c>
      <c r="K271" s="204">
        <f t="shared" si="35"/>
        <v>-7007428.1082569333</v>
      </c>
      <c r="L271" s="176"/>
      <c r="M271" s="303"/>
    </row>
    <row r="272" spans="1:13">
      <c r="A272" s="246">
        <v>2</v>
      </c>
      <c r="B272" s="226">
        <v>47726</v>
      </c>
      <c r="C272" s="176">
        <f t="shared" si="37"/>
        <v>31</v>
      </c>
      <c r="F272" s="255">
        <f t="shared" si="31"/>
        <v>3.56618E-2</v>
      </c>
      <c r="G272" s="247"/>
      <c r="H272" s="251">
        <f>-'LSR Prepaid Bill Credits'!L238</f>
        <v>-716717.3466679008</v>
      </c>
      <c r="I272" s="204">
        <f t="shared" si="33"/>
        <v>-23394.97216963724</v>
      </c>
      <c r="J272" s="204">
        <f t="shared" si="34"/>
        <v>-7768764.5983028067</v>
      </c>
      <c r="K272" s="204">
        <f t="shared" si="35"/>
        <v>-7724145.454924834</v>
      </c>
      <c r="L272" s="176"/>
      <c r="M272" s="303"/>
    </row>
    <row r="273" spans="1:13">
      <c r="A273" s="246">
        <v>3</v>
      </c>
      <c r="B273" s="226">
        <v>47756</v>
      </c>
      <c r="C273" s="176">
        <f t="shared" si="37"/>
        <v>30</v>
      </c>
      <c r="F273" s="255">
        <f t="shared" si="31"/>
        <v>3.56618E-2</v>
      </c>
      <c r="G273" s="247"/>
      <c r="H273" s="251">
        <f>-'LSR Prepaid Bill Credits'!L239</f>
        <v>-716717.3466679008</v>
      </c>
      <c r="I273" s="204">
        <f t="shared" si="33"/>
        <v>-24741.070771877246</v>
      </c>
      <c r="J273" s="204">
        <f t="shared" si="34"/>
        <v>-8510223.0157425851</v>
      </c>
      <c r="K273" s="204">
        <f t="shared" si="35"/>
        <v>-8510223.0157425851</v>
      </c>
      <c r="L273" s="176"/>
      <c r="M273" s="303"/>
    </row>
    <row r="274" spans="1:13">
      <c r="A274" s="246">
        <v>1</v>
      </c>
      <c r="B274" s="226">
        <v>47787</v>
      </c>
      <c r="C274" s="176">
        <f t="shared" si="37"/>
        <v>31</v>
      </c>
      <c r="F274" s="255">
        <f t="shared" si="31"/>
        <v>3.56618E-2</v>
      </c>
      <c r="G274" s="247"/>
      <c r="H274" s="251">
        <f>-'LSR Prepaid Bill Credits'!L240</f>
        <v>-716717.3466679008</v>
      </c>
      <c r="I274" s="204">
        <f t="shared" si="33"/>
        <v>-27946.653030965801</v>
      </c>
      <c r="J274" s="204">
        <f t="shared" si="34"/>
        <v>-9254887.0154414512</v>
      </c>
      <c r="K274" s="204">
        <f t="shared" si="35"/>
        <v>-9226940.3624104857</v>
      </c>
      <c r="L274" s="176"/>
      <c r="M274" s="303"/>
    </row>
    <row r="275" spans="1:13">
      <c r="A275" s="246">
        <v>2</v>
      </c>
      <c r="B275" s="226">
        <v>47817</v>
      </c>
      <c r="C275" s="176">
        <f t="shared" si="37"/>
        <v>30</v>
      </c>
      <c r="F275" s="255">
        <f t="shared" si="31"/>
        <v>3.56618E-2</v>
      </c>
      <c r="G275" s="247"/>
      <c r="H275" s="251">
        <f>-'LSR Prepaid Bill Credits'!L241</f>
        <v>-716717.3466679008</v>
      </c>
      <c r="I275" s="204">
        <f t="shared" si="33"/>
        <v>-29145.923218324242</v>
      </c>
      <c r="J275" s="204">
        <f t="shared" si="34"/>
        <v>-10000750.285327677</v>
      </c>
      <c r="K275" s="204">
        <f t="shared" si="35"/>
        <v>-9943657.7090783864</v>
      </c>
      <c r="L275" s="176"/>
      <c r="M275" s="303"/>
    </row>
    <row r="276" spans="1:13">
      <c r="A276" s="246">
        <v>3</v>
      </c>
      <c r="B276" s="226">
        <v>47848</v>
      </c>
      <c r="C276" s="176">
        <f t="shared" si="37"/>
        <v>31</v>
      </c>
      <c r="F276" s="255">
        <f t="shared" si="31"/>
        <v>3.56618E-2</v>
      </c>
      <c r="G276" s="247"/>
      <c r="H276" s="251">
        <f>-'LSR Prepaid Bill Credits'!L242</f>
        <v>-716717.3466679008</v>
      </c>
      <c r="I276" s="204">
        <f t="shared" si="33"/>
        <v>-32288.254953570959</v>
      </c>
      <c r="J276" s="204">
        <f t="shared" si="34"/>
        <v>-10749755.886949148</v>
      </c>
      <c r="K276" s="204">
        <f t="shared" si="35"/>
        <v>-10749755.886949148</v>
      </c>
      <c r="L276" s="176"/>
      <c r="M276" s="303"/>
    </row>
    <row r="277" spans="1:13">
      <c r="A277" s="246">
        <v>1</v>
      </c>
      <c r="B277" s="226">
        <v>47879</v>
      </c>
      <c r="C277" s="176">
        <f t="shared" si="37"/>
        <v>31</v>
      </c>
      <c r="F277" s="255">
        <f t="shared" si="31"/>
        <v>3.56618E-2</v>
      </c>
      <c r="G277" s="247"/>
      <c r="H277" s="251">
        <f>-'LSR Prepaid Bill Credits'!L243</f>
        <v>-716717.3466679008</v>
      </c>
      <c r="I277" s="204">
        <f t="shared" si="33"/>
        <v>-34729.773506960926</v>
      </c>
      <c r="J277" s="204">
        <f t="shared" si="34"/>
        <v>-11501203.00712401</v>
      </c>
      <c r="K277" s="204">
        <f t="shared" si="35"/>
        <v>-11466473.233617049</v>
      </c>
      <c r="L277" s="176"/>
      <c r="M277" s="303"/>
    </row>
    <row r="278" spans="1:13">
      <c r="A278" s="246">
        <v>2</v>
      </c>
      <c r="B278" s="226">
        <v>47907</v>
      </c>
      <c r="C278" s="204">
        <v>28</v>
      </c>
      <c r="F278" s="255">
        <f t="shared" si="31"/>
        <v>3.56618E-2</v>
      </c>
      <c r="G278" s="247"/>
      <c r="H278" s="251">
        <f>-'LSR Prepaid Bill Credits'!L244</f>
        <v>-716717.3466679008</v>
      </c>
      <c r="I278" s="204">
        <f t="shared" si="33"/>
        <v>-33329.5511326251</v>
      </c>
      <c r="J278" s="204">
        <f t="shared" si="34"/>
        <v>-12251249.904924536</v>
      </c>
      <c r="K278" s="204">
        <f t="shared" si="35"/>
        <v>-12183190.580284949</v>
      </c>
      <c r="L278" s="176"/>
      <c r="M278" s="303"/>
    </row>
    <row r="279" spans="1:13">
      <c r="A279" s="246">
        <v>3</v>
      </c>
      <c r="B279" s="226">
        <v>47938</v>
      </c>
      <c r="C279" s="176">
        <f t="shared" ref="C279:C285" si="38">DAY(B279)</f>
        <v>31</v>
      </c>
      <c r="F279" s="255">
        <f t="shared" si="31"/>
        <v>3.56618E-2</v>
      </c>
      <c r="G279" s="247"/>
      <c r="H279" s="251">
        <f>-'LSR Prepaid Bill Credits'!L245</f>
        <v>-716717.3466679008</v>
      </c>
      <c r="I279" s="204">
        <f t="shared" si="33"/>
        <v>-39071.375429566084</v>
      </c>
      <c r="J279" s="204">
        <f t="shared" si="34"/>
        <v>-13007038.627022004</v>
      </c>
      <c r="K279" s="204">
        <f t="shared" si="35"/>
        <v>-13007038.627022004</v>
      </c>
      <c r="L279" s="176"/>
      <c r="M279" s="303"/>
    </row>
    <row r="280" spans="1:13">
      <c r="A280" s="246">
        <v>1</v>
      </c>
      <c r="B280" s="226">
        <v>47968</v>
      </c>
      <c r="C280" s="176">
        <f t="shared" si="38"/>
        <v>30</v>
      </c>
      <c r="F280" s="255">
        <f t="shared" si="31"/>
        <v>3.56618E-2</v>
      </c>
      <c r="G280" s="247"/>
      <c r="H280" s="251">
        <f>-'LSR Prepaid Bill Credits'!L246</f>
        <v>-716717.3466679008</v>
      </c>
      <c r="I280" s="204">
        <f t="shared" si="33"/>
        <v>-40225.795132811065</v>
      </c>
      <c r="J280" s="204">
        <f t="shared" si="34"/>
        <v>-13763981.768822715</v>
      </c>
      <c r="K280" s="204">
        <f t="shared" si="35"/>
        <v>-13723755.973689904</v>
      </c>
      <c r="L280" s="176"/>
      <c r="M280" s="303"/>
    </row>
    <row r="281" spans="1:13">
      <c r="A281" s="246">
        <v>2</v>
      </c>
      <c r="B281" s="226">
        <v>47999</v>
      </c>
      <c r="C281" s="176">
        <f t="shared" si="38"/>
        <v>31</v>
      </c>
      <c r="F281" s="255">
        <f t="shared" si="31"/>
        <v>3.56618E-2</v>
      </c>
      <c r="G281" s="247"/>
      <c r="H281" s="251">
        <f>-'LSR Prepaid Bill Credits'!L247</f>
        <v>-716717.3466679008</v>
      </c>
      <c r="I281" s="204">
        <f t="shared" si="33"/>
        <v>-43737.455931874014</v>
      </c>
      <c r="J281" s="204">
        <f t="shared" si="34"/>
        <v>-14524436.571422489</v>
      </c>
      <c r="K281" s="204">
        <f t="shared" si="35"/>
        <v>-14440473.320357805</v>
      </c>
      <c r="L281" s="176"/>
      <c r="M281" s="303"/>
    </row>
    <row r="282" spans="1:13">
      <c r="A282" s="246">
        <v>3</v>
      </c>
      <c r="B282" s="226">
        <v>48029</v>
      </c>
      <c r="C282" s="176">
        <f t="shared" si="38"/>
        <v>30</v>
      </c>
      <c r="F282" s="255">
        <f t="shared" si="31"/>
        <v>3.56618E-2</v>
      </c>
      <c r="G282" s="247"/>
      <c r="H282" s="251">
        <f>-'LSR Prepaid Bill Credits'!L248</f>
        <v>-716717.3466679008</v>
      </c>
      <c r="I282" s="204">
        <f t="shared" si="33"/>
        <v>-44427.345380493476</v>
      </c>
      <c r="J282" s="204">
        <f t="shared" si="34"/>
        <v>-15285581.263470884</v>
      </c>
      <c r="K282" s="204">
        <f t="shared" si="35"/>
        <v>-15285581.263470884</v>
      </c>
      <c r="L282" s="176"/>
      <c r="M282" s="303"/>
    </row>
    <row r="283" spans="1:13">
      <c r="A283" s="246">
        <v>1</v>
      </c>
      <c r="B283" s="226">
        <v>48060</v>
      </c>
      <c r="C283" s="176">
        <f t="shared" si="38"/>
        <v>31</v>
      </c>
      <c r="F283" s="255">
        <f t="shared" si="31"/>
        <v>3.56618E-2</v>
      </c>
      <c r="G283" s="247"/>
      <c r="H283" s="251">
        <f>-'LSR Prepaid Bill Credits'!L249</f>
        <v>-716717.3466679008</v>
      </c>
      <c r="I283" s="204">
        <f t="shared" si="33"/>
        <v>-48467.928629661554</v>
      </c>
      <c r="J283" s="204">
        <f t="shared" si="34"/>
        <v>-16050766.538768446</v>
      </c>
      <c r="K283" s="204">
        <f t="shared" si="35"/>
        <v>-16002298.610138785</v>
      </c>
      <c r="L283" s="176"/>
      <c r="M283" s="303"/>
    </row>
    <row r="284" spans="1:13">
      <c r="A284" s="246">
        <v>2</v>
      </c>
      <c r="B284" s="226">
        <v>48091</v>
      </c>
      <c r="C284" s="176">
        <f t="shared" si="38"/>
        <v>31</v>
      </c>
      <c r="F284" s="255">
        <f t="shared" si="31"/>
        <v>3.56618E-2</v>
      </c>
      <c r="G284" s="247"/>
      <c r="H284" s="251">
        <f>-'LSR Prepaid Bill Credits'!L250</f>
        <v>-476931</v>
      </c>
      <c r="I284" s="204"/>
      <c r="J284" s="204"/>
      <c r="K284" s="204"/>
      <c r="L284" s="176"/>
      <c r="M284" s="303"/>
    </row>
    <row r="285" spans="1:13">
      <c r="A285" s="246">
        <v>3</v>
      </c>
      <c r="B285" s="226">
        <v>48121</v>
      </c>
      <c r="C285" s="176">
        <f t="shared" si="38"/>
        <v>30</v>
      </c>
      <c r="F285" s="255">
        <f t="shared" si="31"/>
        <v>3.56618E-2</v>
      </c>
      <c r="G285" s="247"/>
      <c r="H285" s="251"/>
      <c r="I285" s="204"/>
      <c r="J285" s="204"/>
      <c r="K285" s="204"/>
      <c r="L285" s="176"/>
      <c r="M285" s="303"/>
    </row>
    <row r="286" spans="1:13">
      <c r="A286" s="246"/>
      <c r="B286" s="343"/>
      <c r="F286" s="255"/>
      <c r="G286" s="247"/>
      <c r="H286" s="251"/>
      <c r="I286" s="204"/>
      <c r="J286" s="204"/>
      <c r="K286" s="204"/>
      <c r="L286" s="176"/>
      <c r="M286" s="303"/>
    </row>
    <row r="287" spans="1:13">
      <c r="A287" s="246"/>
      <c r="B287" s="343"/>
      <c r="F287" s="255"/>
      <c r="G287" s="247"/>
      <c r="H287" s="251"/>
      <c r="I287" s="204"/>
      <c r="J287" s="204"/>
      <c r="K287" s="204"/>
      <c r="L287" s="176"/>
      <c r="M287" s="303"/>
    </row>
    <row r="288" spans="1:13" ht="16.5" thickBot="1">
      <c r="A288" s="268" t="s">
        <v>595</v>
      </c>
      <c r="F288" s="267"/>
      <c r="G288" s="389">
        <f>SUM(G5:G285)</f>
        <v>77273856.370000005</v>
      </c>
      <c r="H288" s="390">
        <f>SUM(H5:H285)</f>
        <v>-132740949.07053868</v>
      </c>
      <c r="I288" s="389">
        <f>SUM(I5:I285)</f>
        <v>38939395.161770344</v>
      </c>
      <c r="J288" s="204"/>
      <c r="K288" s="176"/>
      <c r="L288" s="176"/>
      <c r="M288" s="303"/>
    </row>
    <row r="289" spans="1:13" ht="15.75" thickTop="1">
      <c r="A289" s="269" t="s">
        <v>596</v>
      </c>
      <c r="F289" s="267"/>
      <c r="G289" s="247"/>
      <c r="H289" s="251"/>
      <c r="I289" s="204"/>
      <c r="J289" s="204"/>
      <c r="K289" s="176"/>
      <c r="L289" s="176"/>
      <c r="M289" s="303"/>
    </row>
    <row r="290" spans="1:13">
      <c r="A290" s="269" t="s">
        <v>597</v>
      </c>
      <c r="F290" s="267"/>
      <c r="G290" s="247"/>
      <c r="H290" s="251"/>
      <c r="I290" s="204"/>
      <c r="J290" s="204"/>
      <c r="K290" s="176"/>
      <c r="L290" s="176"/>
      <c r="M290" s="303"/>
    </row>
    <row r="291" spans="1:13">
      <c r="A291" s="269" t="s">
        <v>598</v>
      </c>
      <c r="F291" s="267"/>
      <c r="G291" s="247"/>
      <c r="H291" s="251"/>
      <c r="I291" s="204"/>
      <c r="J291" s="204"/>
      <c r="K291" s="176"/>
      <c r="L291" s="176"/>
      <c r="M291" s="303"/>
    </row>
    <row r="292" spans="1:13">
      <c r="F292" s="267"/>
      <c r="G292" s="247"/>
      <c r="H292" s="251"/>
      <c r="I292" s="204"/>
      <c r="J292" s="204"/>
      <c r="K292" s="176"/>
      <c r="L292" s="176"/>
      <c r="M292" s="303"/>
    </row>
    <row r="293" spans="1:13" ht="15.75">
      <c r="A293" s="270" t="s">
        <v>599</v>
      </c>
      <c r="F293" s="267"/>
      <c r="G293" s="247"/>
      <c r="H293" s="248"/>
      <c r="I293" s="247"/>
      <c r="J293" s="247"/>
      <c r="K293" s="249"/>
      <c r="L293" s="249"/>
      <c r="M293" s="303"/>
    </row>
    <row r="294" spans="1:13">
      <c r="A294" s="269" t="s">
        <v>600</v>
      </c>
      <c r="F294" s="267"/>
      <c r="G294" s="247"/>
      <c r="H294" s="248" t="s">
        <v>601</v>
      </c>
      <c r="K294" s="249"/>
      <c r="L294" s="249"/>
      <c r="M294" s="303"/>
    </row>
    <row r="295" spans="1:13">
      <c r="A295" s="271" t="s">
        <v>602</v>
      </c>
      <c r="F295" s="267"/>
      <c r="G295" s="247"/>
      <c r="H295" s="248" t="s">
        <v>603</v>
      </c>
      <c r="K295" s="249"/>
      <c r="L295" s="249"/>
    </row>
    <row r="296" spans="1:13">
      <c r="F296" s="267"/>
      <c r="G296" s="247"/>
      <c r="H296" s="248"/>
      <c r="K296" s="249"/>
      <c r="L296" s="249"/>
    </row>
    <row r="297" spans="1:13">
      <c r="A297" s="272" t="s">
        <v>604</v>
      </c>
      <c r="F297" s="267"/>
      <c r="G297" s="247"/>
      <c r="H297" s="248" t="s">
        <v>605</v>
      </c>
      <c r="K297" s="249"/>
      <c r="L297" s="249"/>
    </row>
    <row r="298" spans="1:13">
      <c r="A298" s="271" t="s">
        <v>606</v>
      </c>
      <c r="F298" s="267"/>
      <c r="G298" s="247"/>
      <c r="H298" s="248" t="s">
        <v>607</v>
      </c>
      <c r="K298" s="249"/>
      <c r="L298" s="249"/>
    </row>
    <row r="299" spans="1:13">
      <c r="F299" s="267"/>
      <c r="G299" s="247"/>
      <c r="H299" s="248"/>
      <c r="K299" s="249"/>
      <c r="L299" s="249"/>
    </row>
    <row r="300" spans="1:13">
      <c r="A300" s="272" t="s">
        <v>608</v>
      </c>
      <c r="F300" s="267"/>
      <c r="G300" s="247"/>
      <c r="H300" s="248" t="s">
        <v>609</v>
      </c>
      <c r="K300" s="249"/>
      <c r="L300" s="249"/>
    </row>
    <row r="301" spans="1:13">
      <c r="F301" s="267"/>
      <c r="G301" s="247"/>
      <c r="H301" s="248"/>
      <c r="K301" s="249"/>
      <c r="L301" s="249"/>
    </row>
    <row r="302" spans="1:13">
      <c r="A302" s="272" t="s">
        <v>610</v>
      </c>
      <c r="F302" s="267"/>
      <c r="H302" s="273" t="s">
        <v>611</v>
      </c>
      <c r="K302" s="249"/>
      <c r="L302" s="249"/>
    </row>
    <row r="303" spans="1:13">
      <c r="F303" s="267"/>
      <c r="G303" s="247"/>
      <c r="H303" s="248"/>
      <c r="I303" s="247"/>
      <c r="J303" s="247"/>
      <c r="K303" s="249"/>
      <c r="L303" s="249"/>
    </row>
    <row r="304" spans="1:13">
      <c r="F304" s="267"/>
      <c r="G304" s="247"/>
      <c r="H304" s="248"/>
      <c r="I304" s="247"/>
      <c r="J304" s="247"/>
      <c r="K304" s="249"/>
      <c r="L304" s="249"/>
    </row>
    <row r="305" spans="6:12">
      <c r="F305" s="267"/>
      <c r="G305" s="247"/>
      <c r="H305" s="248"/>
      <c r="I305" s="247"/>
      <c r="J305" s="247"/>
      <c r="K305" s="249"/>
      <c r="L305" s="249"/>
    </row>
    <row r="306" spans="6:12">
      <c r="F306" s="267"/>
      <c r="G306" s="247"/>
      <c r="H306" s="248"/>
      <c r="I306" s="247"/>
      <c r="J306" s="247"/>
      <c r="K306" s="249"/>
      <c r="L306" s="249"/>
    </row>
    <row r="307" spans="6:12">
      <c r="F307" s="267"/>
      <c r="G307" s="247"/>
      <c r="H307" s="248"/>
      <c r="I307" s="247"/>
      <c r="J307" s="247"/>
      <c r="K307" s="249"/>
      <c r="L307" s="249"/>
    </row>
    <row r="308" spans="6:12">
      <c r="F308" s="267"/>
      <c r="G308" s="247"/>
      <c r="H308" s="248"/>
      <c r="I308" s="247"/>
      <c r="J308" s="247"/>
      <c r="K308" s="249"/>
      <c r="L308" s="249"/>
    </row>
    <row r="309" spans="6:12">
      <c r="F309" s="267"/>
      <c r="G309" s="247"/>
      <c r="H309" s="248"/>
      <c r="I309" s="247"/>
      <c r="J309" s="247"/>
      <c r="K309" s="249"/>
      <c r="L309" s="249"/>
    </row>
    <row r="310" spans="6:12">
      <c r="F310" s="267"/>
      <c r="G310" s="247"/>
      <c r="H310" s="248"/>
      <c r="I310" s="247"/>
      <c r="J310" s="247"/>
      <c r="K310" s="249"/>
      <c r="L310" s="249"/>
    </row>
    <row r="311" spans="6:12">
      <c r="F311" s="267"/>
      <c r="G311" s="247"/>
      <c r="H311" s="248"/>
      <c r="I311" s="247"/>
      <c r="J311" s="247"/>
      <c r="K311" s="249"/>
      <c r="L311" s="249"/>
    </row>
    <row r="312" spans="6:12">
      <c r="F312" s="267"/>
      <c r="G312" s="247"/>
      <c r="H312" s="248"/>
      <c r="I312" s="247"/>
      <c r="J312" s="247"/>
      <c r="K312" s="249"/>
      <c r="L312" s="249"/>
    </row>
    <row r="313" spans="6:12">
      <c r="F313" s="267"/>
      <c r="G313" s="247"/>
      <c r="H313" s="248"/>
      <c r="I313" s="247"/>
      <c r="J313" s="247"/>
      <c r="K313" s="249"/>
      <c r="L313" s="249"/>
    </row>
    <row r="314" spans="6:12">
      <c r="F314" s="267"/>
      <c r="G314" s="247"/>
      <c r="H314" s="248"/>
      <c r="I314" s="247"/>
      <c r="J314" s="247"/>
      <c r="K314" s="249"/>
      <c r="L314" s="249"/>
    </row>
    <row r="315" spans="6:12">
      <c r="F315" s="267"/>
      <c r="G315" s="247"/>
      <c r="H315" s="248"/>
      <c r="I315" s="247"/>
      <c r="J315" s="247"/>
      <c r="K315" s="249"/>
      <c r="L315" s="249"/>
    </row>
    <row r="316" spans="6:12">
      <c r="F316" s="267"/>
      <c r="G316" s="247"/>
      <c r="H316" s="248"/>
      <c r="I316" s="247"/>
      <c r="J316" s="247"/>
      <c r="K316" s="249"/>
      <c r="L316" s="249"/>
    </row>
    <row r="317" spans="6:12">
      <c r="F317" s="274"/>
      <c r="G317" s="247"/>
      <c r="H317" s="248"/>
      <c r="I317" s="247"/>
      <c r="J317" s="247"/>
      <c r="K317" s="249"/>
      <c r="L317" s="249"/>
    </row>
    <row r="318" spans="6:12">
      <c r="F318" s="274"/>
      <c r="G318" s="247"/>
      <c r="H318" s="248"/>
      <c r="I318" s="247"/>
      <c r="J318" s="247"/>
      <c r="K318" s="249"/>
      <c r="L318" s="249"/>
    </row>
    <row r="319" spans="6:12">
      <c r="F319" s="274"/>
      <c r="G319" s="247"/>
      <c r="H319" s="248"/>
      <c r="I319" s="247"/>
      <c r="J319" s="247"/>
      <c r="K319" s="249"/>
      <c r="L319" s="249"/>
    </row>
    <row r="320" spans="6:12">
      <c r="F320" s="274"/>
      <c r="G320" s="247"/>
      <c r="H320" s="248"/>
      <c r="I320" s="247"/>
      <c r="J320" s="247"/>
      <c r="K320" s="249"/>
      <c r="L320" s="249"/>
    </row>
    <row r="321" spans="6:6">
      <c r="F321" s="274"/>
    </row>
    <row r="322" spans="6:6">
      <c r="F322" s="274"/>
    </row>
  </sheetData>
  <pageMargins left="0.2" right="0.2" top="0.5" bottom="0.5" header="0.3" footer="0"/>
  <pageSetup scale="70" fitToHeight="0" orientation="portrait" r:id="rId1"/>
  <headerFooter>
    <oddFooter>&amp;RPage &amp;P of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459"/>
  <sheetViews>
    <sheetView zoomScale="88" zoomScaleNormal="88" workbookViewId="0">
      <pane xSplit="3" ySplit="8" topLeftCell="D127" activePane="bottomRight" state="frozen"/>
      <selection activeCell="E62" sqref="E62"/>
      <selection pane="topRight" activeCell="E62" sqref="E62"/>
      <selection pane="bottomLeft" activeCell="E62" sqref="E62"/>
      <selection pane="bottomRight" activeCell="L393" sqref="L393"/>
    </sheetView>
  </sheetViews>
  <sheetFormatPr defaultColWidth="9.28515625" defaultRowHeight="12.75" outlineLevelRow="1" outlineLevelCol="1"/>
  <cols>
    <col min="1" max="1" width="2.42578125" style="166" customWidth="1"/>
    <col min="2" max="2" width="22.42578125" style="166" customWidth="1"/>
    <col min="3" max="3" width="2.7109375" style="166" customWidth="1"/>
    <col min="4" max="4" width="14.7109375" style="166" customWidth="1"/>
    <col min="5" max="5" width="11" style="166" customWidth="1"/>
    <col min="6" max="6" width="15.85546875" style="166" bestFit="1" customWidth="1"/>
    <col min="7" max="7" width="15.42578125" style="166" bestFit="1" customWidth="1"/>
    <col min="8" max="8" width="13.5703125" style="166" customWidth="1"/>
    <col min="9" max="9" width="16.5703125" style="166" bestFit="1" customWidth="1"/>
    <col min="10" max="10" width="16.28515625" style="166" bestFit="1" customWidth="1"/>
    <col min="11" max="11" width="15.140625" style="166" customWidth="1"/>
    <col min="12" max="12" width="24.140625" style="166" bestFit="1" customWidth="1"/>
    <col min="13" max="13" width="18.28515625" style="166" bestFit="1" customWidth="1"/>
    <col min="14" max="14" width="19" style="166" hidden="1" customWidth="1"/>
    <col min="15" max="16" width="14.42578125" style="166" hidden="1" customWidth="1"/>
    <col min="17" max="20" width="0" style="166" hidden="1" customWidth="1"/>
    <col min="21" max="21" width="19.140625" style="166" bestFit="1" customWidth="1"/>
    <col min="22" max="22" width="15.140625" style="166" bestFit="1" customWidth="1"/>
    <col min="23" max="23" width="16.140625" style="166" bestFit="1" customWidth="1"/>
    <col min="24" max="24" width="18.28515625" style="365" customWidth="1" outlineLevel="1"/>
    <col min="25" max="25" width="15.42578125" style="365" bestFit="1" customWidth="1" outlineLevel="1"/>
    <col min="26" max="26" width="12.140625" style="166" customWidth="1" outlineLevel="1"/>
    <col min="27" max="27" width="17.28515625" style="166" customWidth="1"/>
    <col min="28" max="28" width="12.140625" style="166" bestFit="1" customWidth="1"/>
    <col min="29" max="16384" width="9.28515625" style="166"/>
  </cols>
  <sheetData>
    <row r="1" spans="1:23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310"/>
      <c r="K1" s="62"/>
    </row>
    <row r="2" spans="1:23">
      <c r="A2" s="62"/>
      <c r="B2" s="63" t="s">
        <v>213</v>
      </c>
      <c r="C2" s="62"/>
      <c r="D2" s="62"/>
      <c r="E2" s="62"/>
      <c r="F2" s="62"/>
      <c r="G2" s="62"/>
      <c r="H2" s="62"/>
      <c r="I2" s="136"/>
      <c r="J2" s="31"/>
      <c r="K2" s="31"/>
      <c r="L2" s="172"/>
      <c r="M2" s="172"/>
      <c r="U2" s="172"/>
    </row>
    <row r="3" spans="1:23">
      <c r="A3" s="62"/>
      <c r="B3" s="63" t="s">
        <v>214</v>
      </c>
      <c r="C3" s="62"/>
      <c r="D3" s="62"/>
      <c r="E3" s="62"/>
      <c r="F3" s="62"/>
      <c r="G3" s="62"/>
      <c r="H3" s="62"/>
      <c r="I3" s="62"/>
      <c r="J3" s="62"/>
      <c r="K3" s="62"/>
    </row>
    <row r="4" spans="1:23">
      <c r="A4" s="62"/>
      <c r="B4" s="63" t="s">
        <v>215</v>
      </c>
      <c r="C4" s="62"/>
      <c r="D4" s="62"/>
      <c r="E4" s="62"/>
      <c r="F4" s="62"/>
      <c r="G4" s="62"/>
      <c r="H4" s="62"/>
      <c r="I4" s="62"/>
      <c r="J4" s="62"/>
      <c r="K4" s="62"/>
    </row>
    <row r="5" spans="1:23">
      <c r="A5" s="65"/>
      <c r="B5" s="65"/>
      <c r="C5" s="65"/>
      <c r="D5" s="1056" t="s">
        <v>635</v>
      </c>
      <c r="E5" s="1056" t="s">
        <v>636</v>
      </c>
      <c r="F5" s="1056"/>
      <c r="G5" s="1056"/>
      <c r="H5" s="1056" t="s">
        <v>637</v>
      </c>
      <c r="I5" s="1057"/>
      <c r="J5" s="80"/>
      <c r="K5" s="80"/>
      <c r="L5" s="168"/>
      <c r="M5" s="168"/>
      <c r="N5" s="168"/>
      <c r="O5" s="168"/>
      <c r="P5" s="168"/>
      <c r="Q5" s="168"/>
      <c r="R5" s="168"/>
      <c r="S5" s="168"/>
      <c r="U5" s="168"/>
      <c r="V5" s="168"/>
      <c r="W5" s="168"/>
    </row>
    <row r="6" spans="1:23">
      <c r="A6" s="702"/>
      <c r="B6" s="702"/>
      <c r="C6" s="702"/>
      <c r="D6" s="127" t="s">
        <v>216</v>
      </c>
      <c r="E6" s="127" t="s">
        <v>217</v>
      </c>
      <c r="F6" s="127" t="s">
        <v>218</v>
      </c>
      <c r="G6" s="703" t="s">
        <v>219</v>
      </c>
      <c r="H6" s="127" t="s">
        <v>19</v>
      </c>
      <c r="I6" s="704" t="s">
        <v>20</v>
      </c>
      <c r="J6" s="704" t="s">
        <v>116</v>
      </c>
      <c r="K6" s="704" t="s">
        <v>16</v>
      </c>
      <c r="L6" s="127" t="s">
        <v>19</v>
      </c>
      <c r="M6" s="127" t="s">
        <v>24</v>
      </c>
      <c r="N6" s="127" t="s">
        <v>20</v>
      </c>
      <c r="O6" s="703" t="s">
        <v>117</v>
      </c>
      <c r="P6" s="127" t="s">
        <v>118</v>
      </c>
      <c r="Q6" s="787"/>
      <c r="R6" s="787"/>
      <c r="S6" s="787"/>
      <c r="T6" s="787"/>
      <c r="U6" s="127" t="s">
        <v>20</v>
      </c>
      <c r="V6" s="703" t="s">
        <v>117</v>
      </c>
      <c r="W6" s="705" t="s">
        <v>118</v>
      </c>
    </row>
    <row r="7" spans="1:23">
      <c r="A7" s="65"/>
      <c r="B7" s="86" t="s">
        <v>17</v>
      </c>
      <c r="C7" s="86"/>
      <c r="D7" s="83" t="s">
        <v>2</v>
      </c>
      <c r="E7" s="83" t="s">
        <v>113</v>
      </c>
      <c r="F7" s="83" t="s">
        <v>160</v>
      </c>
      <c r="G7" s="85" t="s">
        <v>220</v>
      </c>
      <c r="H7" s="83" t="s">
        <v>3</v>
      </c>
      <c r="I7" s="87" t="s">
        <v>3</v>
      </c>
      <c r="J7" s="87" t="s">
        <v>3</v>
      </c>
      <c r="K7" s="87" t="s">
        <v>23</v>
      </c>
      <c r="L7" s="83" t="s">
        <v>24</v>
      </c>
      <c r="M7" s="83" t="s">
        <v>221</v>
      </c>
      <c r="N7" s="85" t="s">
        <v>24</v>
      </c>
      <c r="O7" s="83" t="s">
        <v>18</v>
      </c>
      <c r="P7" s="83" t="s">
        <v>117</v>
      </c>
      <c r="Q7" s="168"/>
      <c r="R7" s="168"/>
      <c r="S7" s="168"/>
      <c r="T7" s="168"/>
      <c r="U7" s="85" t="s">
        <v>24</v>
      </c>
      <c r="V7" s="83" t="s">
        <v>18</v>
      </c>
      <c r="W7" s="707" t="s">
        <v>117</v>
      </c>
    </row>
    <row r="8" spans="1:23">
      <c r="A8" s="65"/>
      <c r="B8" s="86"/>
      <c r="C8" s="86"/>
      <c r="D8" s="1058" t="s">
        <v>30</v>
      </c>
      <c r="E8" s="1058" t="s">
        <v>31</v>
      </c>
      <c r="F8" s="1058" t="s">
        <v>108</v>
      </c>
      <c r="G8" s="1058"/>
      <c r="H8" s="1058" t="s">
        <v>830</v>
      </c>
      <c r="I8" s="85" t="s">
        <v>831</v>
      </c>
      <c r="J8" s="87" t="s">
        <v>33</v>
      </c>
      <c r="K8" s="85" t="s">
        <v>222</v>
      </c>
      <c r="L8" s="87" t="s">
        <v>223</v>
      </c>
      <c r="M8" s="85" t="s">
        <v>224</v>
      </c>
      <c r="N8" s="85" t="s">
        <v>225</v>
      </c>
      <c r="O8" s="87" t="s">
        <v>95</v>
      </c>
      <c r="P8" s="87" t="s">
        <v>226</v>
      </c>
      <c r="Q8" s="168"/>
      <c r="R8" s="168"/>
      <c r="S8" s="168"/>
      <c r="T8" s="168"/>
      <c r="U8" s="85" t="s">
        <v>227</v>
      </c>
      <c r="V8" s="87" t="s">
        <v>95</v>
      </c>
      <c r="W8" s="708" t="s">
        <v>226</v>
      </c>
    </row>
    <row r="9" spans="1:23">
      <c r="A9" s="65"/>
      <c r="B9" s="88"/>
      <c r="C9" s="88"/>
      <c r="D9" s="1054" t="s">
        <v>228</v>
      </c>
      <c r="E9" s="1054" t="s">
        <v>229</v>
      </c>
      <c r="F9" s="1059"/>
      <c r="G9" s="1059"/>
      <c r="H9" s="1054" t="s">
        <v>230</v>
      </c>
      <c r="I9" s="775" t="s">
        <v>832</v>
      </c>
      <c r="J9" s="79"/>
      <c r="K9" s="89"/>
      <c r="L9" s="79" t="s">
        <v>231</v>
      </c>
      <c r="M9" s="79" t="s">
        <v>232</v>
      </c>
      <c r="N9" s="89"/>
      <c r="O9" s="79"/>
      <c r="P9" s="79"/>
      <c r="Q9" s="168"/>
      <c r="R9" s="168"/>
      <c r="S9" s="168"/>
      <c r="T9" s="168"/>
      <c r="U9" s="1054" t="s">
        <v>640</v>
      </c>
      <c r="V9" s="167"/>
      <c r="W9" s="788"/>
    </row>
    <row r="10" spans="1:23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87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789"/>
    </row>
    <row r="11" spans="1:23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87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789"/>
    </row>
    <row r="12" spans="1:23" hidden="1">
      <c r="A12" s="65"/>
      <c r="B12" s="86"/>
      <c r="C12" s="86"/>
      <c r="D12" s="87"/>
      <c r="E12" s="87"/>
      <c r="F12" s="87"/>
      <c r="G12" s="87"/>
      <c r="H12" s="87"/>
      <c r="I12" s="87"/>
      <c r="J12" s="87"/>
      <c r="K12" s="87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789"/>
    </row>
    <row r="13" spans="1:23" hidden="1">
      <c r="A13" s="65"/>
      <c r="B13" s="86"/>
      <c r="C13" s="86"/>
      <c r="D13" s="87"/>
      <c r="E13" s="87"/>
      <c r="F13" s="87"/>
      <c r="G13" s="87"/>
      <c r="H13" s="87"/>
      <c r="I13" s="87"/>
      <c r="J13" s="87"/>
      <c r="K13" s="87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789"/>
    </row>
    <row r="14" spans="1:23" hidden="1">
      <c r="A14" s="65"/>
      <c r="B14" s="86"/>
      <c r="C14" s="86"/>
      <c r="D14" s="87"/>
      <c r="E14" s="87"/>
      <c r="F14" s="87"/>
      <c r="G14" s="87"/>
      <c r="H14" s="87"/>
      <c r="I14" s="87"/>
      <c r="J14" s="87"/>
      <c r="K14" s="87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789"/>
    </row>
    <row r="15" spans="1:23" hidden="1">
      <c r="A15" s="65"/>
      <c r="B15" s="86"/>
      <c r="C15" s="86"/>
      <c r="D15" s="87"/>
      <c r="E15" s="87"/>
      <c r="F15" s="87"/>
      <c r="G15" s="87"/>
      <c r="H15" s="87"/>
      <c r="I15" s="87"/>
      <c r="J15" s="87"/>
      <c r="K15" s="87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789"/>
    </row>
    <row r="16" spans="1:23" hidden="1">
      <c r="A16" s="65"/>
      <c r="B16" s="86"/>
      <c r="C16" s="86"/>
      <c r="D16" s="87"/>
      <c r="E16" s="87"/>
      <c r="F16" s="87"/>
      <c r="G16" s="87"/>
      <c r="H16" s="87"/>
      <c r="I16" s="87"/>
      <c r="J16" s="87"/>
      <c r="K16" s="87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789"/>
    </row>
    <row r="17" spans="1:23" hidden="1">
      <c r="A17" s="65"/>
      <c r="B17" s="86"/>
      <c r="C17" s="86"/>
      <c r="D17" s="87"/>
      <c r="E17" s="87"/>
      <c r="F17" s="87"/>
      <c r="G17" s="87"/>
      <c r="H17" s="87"/>
      <c r="I17" s="87"/>
      <c r="J17" s="87"/>
      <c r="K17" s="87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789"/>
    </row>
    <row r="18" spans="1:23" hidden="1">
      <c r="A18" s="65"/>
      <c r="B18" s="86"/>
      <c r="C18" s="86"/>
      <c r="D18" s="87"/>
      <c r="E18" s="87"/>
      <c r="F18" s="87"/>
      <c r="G18" s="87"/>
      <c r="H18" s="87"/>
      <c r="I18" s="87"/>
      <c r="J18" s="87"/>
      <c r="K18" s="87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789"/>
    </row>
    <row r="19" spans="1:23" hidden="1">
      <c r="A19" s="65"/>
      <c r="B19" s="86"/>
      <c r="C19" s="86"/>
      <c r="D19" s="87"/>
      <c r="E19" s="87"/>
      <c r="F19" s="87"/>
      <c r="G19" s="87"/>
      <c r="H19" s="87"/>
      <c r="I19" s="87"/>
      <c r="J19" s="87"/>
      <c r="K19" s="87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789"/>
    </row>
    <row r="20" spans="1:23" hidden="1">
      <c r="A20" s="65"/>
      <c r="B20" s="86"/>
      <c r="C20" s="86"/>
      <c r="D20" s="87"/>
      <c r="E20" s="87"/>
      <c r="F20" s="87"/>
      <c r="G20" s="87"/>
      <c r="H20" s="87"/>
      <c r="I20" s="87"/>
      <c r="J20" s="87"/>
      <c r="K20" s="87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789"/>
    </row>
    <row r="21" spans="1:23" hidden="1">
      <c r="A21" s="65"/>
      <c r="B21" s="86"/>
      <c r="C21" s="86"/>
      <c r="D21" s="87"/>
      <c r="E21" s="87"/>
      <c r="F21" s="87"/>
      <c r="G21" s="87"/>
      <c r="H21" s="87"/>
      <c r="I21" s="87"/>
      <c r="J21" s="87"/>
      <c r="K21" s="87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789"/>
    </row>
    <row r="22" spans="1:23" hidden="1" outlineLevel="1">
      <c r="A22" s="65"/>
      <c r="B22" s="29" t="s">
        <v>39</v>
      </c>
      <c r="C22" s="86"/>
      <c r="D22" s="147"/>
      <c r="E22" s="147"/>
      <c r="F22" s="147"/>
      <c r="G22" s="147"/>
      <c r="H22" s="147"/>
      <c r="I22" s="145"/>
      <c r="J22" s="145"/>
      <c r="K22" s="147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90"/>
    </row>
    <row r="23" spans="1:23" hidden="1" outlineLevel="1">
      <c r="A23" s="65"/>
      <c r="B23" s="169" t="s">
        <v>40</v>
      </c>
      <c r="C23" s="86"/>
      <c r="D23" s="145">
        <f>'LSR Prepaid BPA interest'!G6</f>
        <v>500000</v>
      </c>
      <c r="E23" s="147"/>
      <c r="F23" s="147"/>
      <c r="G23" s="147"/>
      <c r="H23" s="147"/>
      <c r="I23" s="771"/>
      <c r="J23" s="771"/>
      <c r="K23" s="147"/>
      <c r="L23" s="556"/>
      <c r="M23" s="556"/>
      <c r="N23" s="777">
        <f t="shared" ref="N23:N86" si="0">N22+L23</f>
        <v>0</v>
      </c>
      <c r="O23" s="556">
        <f>($N$22+N23+SUM($N$22:N23)*2)/24</f>
        <v>0</v>
      </c>
      <c r="P23" s="777">
        <f t="shared" ref="P23:P34" si="1">K23+O23</f>
        <v>0</v>
      </c>
      <c r="Q23" s="776"/>
      <c r="R23" s="776"/>
      <c r="S23" s="776"/>
      <c r="T23" s="776"/>
      <c r="U23" s="776"/>
      <c r="V23" s="776"/>
      <c r="W23" s="790"/>
    </row>
    <row r="24" spans="1:23" hidden="1" outlineLevel="1">
      <c r="A24" s="65"/>
      <c r="B24" s="29" t="s">
        <v>41</v>
      </c>
      <c r="C24" s="86"/>
      <c r="D24" s="145">
        <f>D23</f>
        <v>500000</v>
      </c>
      <c r="E24" s="147"/>
      <c r="F24" s="147"/>
      <c r="G24" s="147"/>
      <c r="H24" s="147"/>
      <c r="I24" s="771"/>
      <c r="J24" s="771"/>
      <c r="K24" s="147"/>
      <c r="L24" s="556"/>
      <c r="M24" s="556"/>
      <c r="N24" s="777">
        <f t="shared" si="0"/>
        <v>0</v>
      </c>
      <c r="O24" s="556">
        <f>($N$22+N24+SUM($N$22:N24)*2)/24</f>
        <v>0</v>
      </c>
      <c r="P24" s="777">
        <f t="shared" si="1"/>
        <v>0</v>
      </c>
      <c r="Q24" s="776"/>
      <c r="R24" s="776"/>
      <c r="S24" s="776"/>
      <c r="T24" s="776"/>
      <c r="U24" s="776"/>
      <c r="V24" s="776"/>
      <c r="W24" s="790"/>
    </row>
    <row r="25" spans="1:23" hidden="1" outlineLevel="1">
      <c r="A25" s="65"/>
      <c r="B25" s="29" t="s">
        <v>42</v>
      </c>
      <c r="C25" s="86"/>
      <c r="D25" s="145">
        <f>D24</f>
        <v>500000</v>
      </c>
      <c r="E25" s="147"/>
      <c r="F25" s="147"/>
      <c r="G25" s="147"/>
      <c r="H25" s="147"/>
      <c r="I25" s="771"/>
      <c r="J25" s="771"/>
      <c r="K25" s="147"/>
      <c r="L25" s="556"/>
      <c r="M25" s="556"/>
      <c r="N25" s="777">
        <f t="shared" si="0"/>
        <v>0</v>
      </c>
      <c r="O25" s="556">
        <f>($N$22+N25+SUM($N$22:N25)*2)/24</f>
        <v>0</v>
      </c>
      <c r="P25" s="777">
        <f t="shared" si="1"/>
        <v>0</v>
      </c>
      <c r="Q25" s="776"/>
      <c r="R25" s="776"/>
      <c r="S25" s="776"/>
      <c r="T25" s="776"/>
      <c r="U25" s="776"/>
      <c r="V25" s="776"/>
      <c r="W25" s="790"/>
    </row>
    <row r="26" spans="1:23" hidden="1" outlineLevel="1">
      <c r="A26" s="65"/>
      <c r="B26" s="29" t="s">
        <v>43</v>
      </c>
      <c r="C26" s="86"/>
      <c r="D26" s="145">
        <f>D25</f>
        <v>500000</v>
      </c>
      <c r="E26" s="147"/>
      <c r="F26" s="147"/>
      <c r="G26" s="147"/>
      <c r="H26" s="147"/>
      <c r="I26" s="771"/>
      <c r="J26" s="771"/>
      <c r="K26" s="147"/>
      <c r="L26" s="556"/>
      <c r="M26" s="556"/>
      <c r="N26" s="777">
        <f t="shared" si="0"/>
        <v>0</v>
      </c>
      <c r="O26" s="556">
        <f>($N$22+N26+SUM($N$22:N26)*2)/24</f>
        <v>0</v>
      </c>
      <c r="P26" s="777">
        <f t="shared" si="1"/>
        <v>0</v>
      </c>
      <c r="Q26" s="776"/>
      <c r="R26" s="776"/>
      <c r="S26" s="776"/>
      <c r="T26" s="776"/>
      <c r="U26" s="776"/>
      <c r="V26" s="776"/>
      <c r="W26" s="790"/>
    </row>
    <row r="27" spans="1:23" hidden="1" outlineLevel="1">
      <c r="A27" s="65"/>
      <c r="B27" s="29" t="s">
        <v>44</v>
      </c>
      <c r="C27" s="86"/>
      <c r="D27" s="145">
        <f>D26</f>
        <v>500000</v>
      </c>
      <c r="E27" s="147"/>
      <c r="F27" s="147"/>
      <c r="G27" s="147"/>
      <c r="H27" s="147"/>
      <c r="I27" s="771"/>
      <c r="J27" s="771"/>
      <c r="K27" s="147"/>
      <c r="L27" s="556"/>
      <c r="M27" s="556"/>
      <c r="N27" s="777">
        <f t="shared" si="0"/>
        <v>0</v>
      </c>
      <c r="O27" s="556">
        <f>($N$22+N27+SUM($N$22:N27)*2)/24</f>
        <v>0</v>
      </c>
      <c r="P27" s="777">
        <f t="shared" si="1"/>
        <v>0</v>
      </c>
      <c r="Q27" s="776"/>
      <c r="R27" s="776"/>
      <c r="S27" s="776"/>
      <c r="T27" s="776"/>
      <c r="U27" s="776"/>
      <c r="V27" s="776"/>
      <c r="W27" s="790"/>
    </row>
    <row r="28" spans="1:23" hidden="1" outlineLevel="1">
      <c r="A28" s="65"/>
      <c r="B28" s="29" t="s">
        <v>45</v>
      </c>
      <c r="C28" s="86"/>
      <c r="D28" s="145">
        <f>D27</f>
        <v>500000</v>
      </c>
      <c r="E28" s="147"/>
      <c r="F28" s="147"/>
      <c r="G28" s="147"/>
      <c r="H28" s="147"/>
      <c r="I28" s="771"/>
      <c r="J28" s="771"/>
      <c r="K28" s="147"/>
      <c r="L28" s="556"/>
      <c r="M28" s="556"/>
      <c r="N28" s="777">
        <f t="shared" si="0"/>
        <v>0</v>
      </c>
      <c r="O28" s="556">
        <f>($N$22+N28+SUM($N$22:N28)*2)/24</f>
        <v>0</v>
      </c>
      <c r="P28" s="777">
        <f t="shared" si="1"/>
        <v>0</v>
      </c>
      <c r="Q28" s="776"/>
      <c r="R28" s="776"/>
      <c r="S28" s="776"/>
      <c r="T28" s="776"/>
      <c r="U28" s="776"/>
      <c r="V28" s="776"/>
      <c r="W28" s="790"/>
    </row>
    <row r="29" spans="1:23" hidden="1" outlineLevel="1">
      <c r="A29" s="65"/>
      <c r="B29" s="171" t="s">
        <v>46</v>
      </c>
      <c r="C29" s="86"/>
      <c r="D29" s="145">
        <f>+D28+'LSR Prepaid BPA interest'!G12+'LSR Prepaid BPA interest'!G13</f>
        <v>13700000</v>
      </c>
      <c r="E29" s="147"/>
      <c r="F29" s="147"/>
      <c r="G29" s="147"/>
      <c r="H29" s="147"/>
      <c r="I29" s="771"/>
      <c r="J29" s="771"/>
      <c r="K29" s="147"/>
      <c r="L29" s="556"/>
      <c r="M29" s="556"/>
      <c r="N29" s="777">
        <f t="shared" si="0"/>
        <v>0</v>
      </c>
      <c r="O29" s="556">
        <f>($N$22+N29+SUM($N$22:N29)*2)/24</f>
        <v>0</v>
      </c>
      <c r="P29" s="777">
        <f t="shared" si="1"/>
        <v>0</v>
      </c>
      <c r="Q29" s="776"/>
      <c r="R29" s="776"/>
      <c r="S29" s="776"/>
      <c r="T29" s="776"/>
      <c r="U29" s="776"/>
      <c r="V29" s="776"/>
      <c r="W29" s="790"/>
    </row>
    <row r="30" spans="1:23" hidden="1" outlineLevel="1">
      <c r="A30" s="65"/>
      <c r="B30" s="29" t="s">
        <v>47</v>
      </c>
      <c r="C30" s="86"/>
      <c r="D30" s="145">
        <f>D29</f>
        <v>13700000</v>
      </c>
      <c r="E30" s="147"/>
      <c r="F30" s="147"/>
      <c r="G30" s="147"/>
      <c r="H30" s="147"/>
      <c r="I30" s="771"/>
      <c r="J30" s="771"/>
      <c r="K30" s="147"/>
      <c r="L30" s="556"/>
      <c r="M30" s="556"/>
      <c r="N30" s="777">
        <f t="shared" si="0"/>
        <v>0</v>
      </c>
      <c r="O30" s="556">
        <f>($N$22+N30+SUM($N$22:N30)*2)/24</f>
        <v>0</v>
      </c>
      <c r="P30" s="777">
        <f t="shared" si="1"/>
        <v>0</v>
      </c>
      <c r="Q30" s="776"/>
      <c r="R30" s="776"/>
      <c r="S30" s="776"/>
      <c r="T30" s="776"/>
      <c r="U30" s="776"/>
      <c r="V30" s="776"/>
      <c r="W30" s="790"/>
    </row>
    <row r="31" spans="1:23" hidden="1" outlineLevel="1">
      <c r="A31" s="65"/>
      <c r="B31" s="29" t="s">
        <v>48</v>
      </c>
      <c r="C31" s="86"/>
      <c r="D31" s="145">
        <f>D30</f>
        <v>13700000</v>
      </c>
      <c r="E31" s="147"/>
      <c r="F31" s="147"/>
      <c r="G31" s="147"/>
      <c r="H31" s="147"/>
      <c r="I31" s="771"/>
      <c r="J31" s="771"/>
      <c r="K31" s="147"/>
      <c r="L31" s="556"/>
      <c r="M31" s="556"/>
      <c r="N31" s="777">
        <f t="shared" si="0"/>
        <v>0</v>
      </c>
      <c r="O31" s="556">
        <f>($N$22+N31+SUM($N$22:N31)*2)/24</f>
        <v>0</v>
      </c>
      <c r="P31" s="777">
        <f t="shared" si="1"/>
        <v>0</v>
      </c>
      <c r="Q31" s="776"/>
      <c r="R31" s="776"/>
      <c r="S31" s="776"/>
      <c r="T31" s="776"/>
      <c r="U31" s="776"/>
      <c r="V31" s="776"/>
      <c r="W31" s="790"/>
    </row>
    <row r="32" spans="1:23" hidden="1" outlineLevel="1">
      <c r="A32" s="65"/>
      <c r="B32" s="29" t="s">
        <v>49</v>
      </c>
      <c r="C32" s="86"/>
      <c r="D32" s="145">
        <f>D31</f>
        <v>13700000</v>
      </c>
      <c r="E32" s="147"/>
      <c r="F32" s="147"/>
      <c r="G32" s="147"/>
      <c r="H32" s="147"/>
      <c r="I32" s="771"/>
      <c r="J32" s="771"/>
      <c r="K32" s="147"/>
      <c r="L32" s="556"/>
      <c r="M32" s="556"/>
      <c r="N32" s="777">
        <f t="shared" si="0"/>
        <v>0</v>
      </c>
      <c r="O32" s="556">
        <f>($N$22+N32+SUM($N$22:N32)*2)/24</f>
        <v>0</v>
      </c>
      <c r="P32" s="777">
        <f t="shared" si="1"/>
        <v>0</v>
      </c>
      <c r="Q32" s="776"/>
      <c r="R32" s="776"/>
      <c r="S32" s="776"/>
      <c r="T32" s="776"/>
      <c r="U32" s="776"/>
      <c r="V32" s="776"/>
      <c r="W32" s="790"/>
    </row>
    <row r="33" spans="1:28" hidden="1" outlineLevel="1">
      <c r="A33" s="65"/>
      <c r="B33" s="30" t="s">
        <v>50</v>
      </c>
      <c r="C33" s="65"/>
      <c r="D33" s="145">
        <f>+D32+'LSR Prepaid BPA interest'!G17</f>
        <v>17200000</v>
      </c>
      <c r="E33" s="147"/>
      <c r="F33" s="147"/>
      <c r="G33" s="147"/>
      <c r="H33" s="147"/>
      <c r="I33" s="771"/>
      <c r="J33" s="771"/>
      <c r="K33" s="147"/>
      <c r="L33" s="556"/>
      <c r="M33" s="556"/>
      <c r="N33" s="777">
        <f t="shared" si="0"/>
        <v>0</v>
      </c>
      <c r="O33" s="556">
        <f>($N$22+N33+SUM($N$22:N33)*2)/24</f>
        <v>0</v>
      </c>
      <c r="P33" s="777">
        <f t="shared" si="1"/>
        <v>0</v>
      </c>
      <c r="Q33" s="776"/>
      <c r="R33" s="776"/>
      <c r="S33" s="776"/>
      <c r="T33" s="776"/>
      <c r="U33" s="776"/>
      <c r="V33" s="776"/>
      <c r="W33" s="790"/>
    </row>
    <row r="34" spans="1:28" s="793" customFormat="1" hidden="1" outlineLevel="1">
      <c r="A34" s="66"/>
      <c r="B34" s="29" t="s">
        <v>51</v>
      </c>
      <c r="C34" s="717"/>
      <c r="D34" s="145">
        <f>D33</f>
        <v>17200000</v>
      </c>
      <c r="E34" s="147"/>
      <c r="F34" s="147"/>
      <c r="G34" s="147"/>
      <c r="H34" s="147"/>
      <c r="I34" s="771"/>
      <c r="J34" s="771"/>
      <c r="K34" s="147"/>
      <c r="L34" s="556"/>
      <c r="M34" s="556"/>
      <c r="N34" s="777">
        <f t="shared" si="0"/>
        <v>0</v>
      </c>
      <c r="O34" s="556">
        <f>($N$22+N34+SUM($N$22:N34)*2)/24</f>
        <v>0</v>
      </c>
      <c r="P34" s="777">
        <f t="shared" si="1"/>
        <v>0</v>
      </c>
      <c r="Q34" s="791"/>
      <c r="R34" s="791"/>
      <c r="S34" s="791"/>
      <c r="T34" s="791"/>
      <c r="U34" s="791"/>
      <c r="V34" s="791"/>
      <c r="W34" s="792"/>
      <c r="X34" s="365"/>
      <c r="Y34" s="365"/>
    </row>
    <row r="35" spans="1:28" hidden="1" outlineLevel="1">
      <c r="A35" s="65"/>
      <c r="B35" s="29" t="s">
        <v>52</v>
      </c>
      <c r="C35" s="108"/>
      <c r="D35" s="145">
        <f>D34+'LSR Prepaid BPA interest'!G19</f>
        <v>27700000</v>
      </c>
      <c r="E35" s="147"/>
      <c r="F35" s="147"/>
      <c r="G35" s="147"/>
      <c r="H35" s="147"/>
      <c r="I35" s="771"/>
      <c r="J35" s="556"/>
      <c r="K35" s="147"/>
      <c r="L35" s="556"/>
      <c r="M35" s="556"/>
      <c r="N35" s="777">
        <f t="shared" si="0"/>
        <v>0</v>
      </c>
      <c r="O35" s="556">
        <f>(N23+N35+SUM(N24:N34)*2)/24</f>
        <v>0</v>
      </c>
      <c r="P35" s="777"/>
      <c r="Q35" s="776"/>
      <c r="R35" s="776"/>
      <c r="S35" s="776"/>
      <c r="T35" s="776"/>
      <c r="U35" s="776"/>
      <c r="V35" s="776"/>
      <c r="W35" s="790"/>
    </row>
    <row r="36" spans="1:28" hidden="1" outlineLevel="1">
      <c r="A36" s="65"/>
      <c r="B36" s="29" t="s">
        <v>53</v>
      </c>
      <c r="C36" s="108"/>
      <c r="D36" s="145">
        <f>+D35+'LSR Prepaid BPA interest'!G20</f>
        <v>38200000</v>
      </c>
      <c r="E36" s="147"/>
      <c r="F36" s="147"/>
      <c r="G36" s="147"/>
      <c r="H36" s="147"/>
      <c r="I36" s="771"/>
      <c r="J36" s="556"/>
      <c r="K36" s="147"/>
      <c r="L36" s="556"/>
      <c r="M36" s="556"/>
      <c r="N36" s="777">
        <f t="shared" si="0"/>
        <v>0</v>
      </c>
      <c r="O36" s="556">
        <f t="shared" ref="O36:O99" si="2">(N24+N36+SUM(N25:N35)*2)/24</f>
        <v>0</v>
      </c>
      <c r="P36" s="777"/>
      <c r="Q36" s="776"/>
      <c r="R36" s="776"/>
      <c r="S36" s="776"/>
      <c r="T36" s="776"/>
      <c r="U36" s="776"/>
      <c r="V36" s="776"/>
      <c r="W36" s="790"/>
    </row>
    <row r="37" spans="1:28" hidden="1" outlineLevel="1">
      <c r="A37" s="65"/>
      <c r="B37" s="29" t="s">
        <v>54</v>
      </c>
      <c r="C37" s="108"/>
      <c r="D37" s="145">
        <f>D36</f>
        <v>38200000</v>
      </c>
      <c r="E37" s="147"/>
      <c r="F37" s="147"/>
      <c r="G37" s="147"/>
      <c r="H37" s="147"/>
      <c r="I37" s="771"/>
      <c r="J37" s="556"/>
      <c r="K37" s="147"/>
      <c r="L37" s="556"/>
      <c r="M37" s="556"/>
      <c r="N37" s="777">
        <f t="shared" si="0"/>
        <v>0</v>
      </c>
      <c r="O37" s="556">
        <f t="shared" si="2"/>
        <v>0</v>
      </c>
      <c r="P37" s="777"/>
      <c r="Q37" s="776"/>
      <c r="R37" s="776"/>
      <c r="S37" s="776"/>
      <c r="T37" s="776"/>
      <c r="U37" s="776"/>
      <c r="V37" s="776"/>
      <c r="W37" s="790"/>
    </row>
    <row r="38" spans="1:28" hidden="1" outlineLevel="1">
      <c r="A38" s="65"/>
      <c r="B38" s="29" t="s">
        <v>55</v>
      </c>
      <c r="C38" s="715"/>
      <c r="D38" s="145">
        <f t="shared" ref="D38:D45" si="3">D37</f>
        <v>38200000</v>
      </c>
      <c r="E38" s="147"/>
      <c r="F38" s="147"/>
      <c r="G38" s="147"/>
      <c r="H38" s="147"/>
      <c r="I38" s="771"/>
      <c r="J38" s="556"/>
      <c r="K38" s="147"/>
      <c r="L38" s="556"/>
      <c r="M38" s="556"/>
      <c r="N38" s="777">
        <f t="shared" si="0"/>
        <v>0</v>
      </c>
      <c r="O38" s="556">
        <f t="shared" si="2"/>
        <v>0</v>
      </c>
      <c r="P38" s="777"/>
      <c r="Q38" s="776"/>
      <c r="R38" s="776"/>
      <c r="S38" s="776"/>
      <c r="T38" s="776"/>
      <c r="U38" s="776"/>
      <c r="V38" s="776"/>
      <c r="W38" s="790"/>
    </row>
    <row r="39" spans="1:28" hidden="1" outlineLevel="1">
      <c r="A39" s="65"/>
      <c r="B39" s="29" t="s">
        <v>56</v>
      </c>
      <c r="C39" s="108"/>
      <c r="D39" s="145">
        <f t="shared" si="3"/>
        <v>38200000</v>
      </c>
      <c r="E39" s="147"/>
      <c r="F39" s="147"/>
      <c r="G39" s="147"/>
      <c r="H39" s="147"/>
      <c r="I39" s="771"/>
      <c r="J39" s="556"/>
      <c r="K39" s="147"/>
      <c r="L39" s="556"/>
      <c r="M39" s="556"/>
      <c r="N39" s="777">
        <f t="shared" si="0"/>
        <v>0</v>
      </c>
      <c r="O39" s="556">
        <f t="shared" si="2"/>
        <v>0</v>
      </c>
      <c r="P39" s="777"/>
      <c r="Q39" s="776"/>
      <c r="R39" s="776"/>
      <c r="S39" s="776"/>
      <c r="T39" s="776"/>
      <c r="U39" s="776"/>
      <c r="V39" s="776"/>
      <c r="W39" s="790"/>
    </row>
    <row r="40" spans="1:28" hidden="1" outlineLevel="1">
      <c r="A40" s="65"/>
      <c r="B40" s="29" t="s">
        <v>57</v>
      </c>
      <c r="C40" s="108"/>
      <c r="D40" s="145">
        <f t="shared" si="3"/>
        <v>38200000</v>
      </c>
      <c r="E40" s="147"/>
      <c r="F40" s="147"/>
      <c r="G40" s="147"/>
      <c r="H40" s="147"/>
      <c r="I40" s="771"/>
      <c r="J40" s="556"/>
      <c r="K40" s="147"/>
      <c r="L40" s="556"/>
      <c r="M40" s="556"/>
      <c r="N40" s="777">
        <f t="shared" si="0"/>
        <v>0</v>
      </c>
      <c r="O40" s="556">
        <f t="shared" si="2"/>
        <v>0</v>
      </c>
      <c r="P40" s="777"/>
      <c r="Q40" s="776"/>
      <c r="R40" s="776"/>
      <c r="S40" s="776"/>
      <c r="T40" s="776"/>
      <c r="U40" s="776"/>
      <c r="V40" s="776"/>
      <c r="W40" s="790"/>
    </row>
    <row r="41" spans="1:28" hidden="1" outlineLevel="1">
      <c r="A41" s="65"/>
      <c r="B41" s="29" t="s">
        <v>58</v>
      </c>
      <c r="C41" s="108"/>
      <c r="D41" s="145">
        <f t="shared" si="3"/>
        <v>38200000</v>
      </c>
      <c r="E41" s="147"/>
      <c r="F41" s="147"/>
      <c r="G41" s="147"/>
      <c r="H41" s="147"/>
      <c r="I41" s="771"/>
      <c r="J41" s="556"/>
      <c r="K41" s="147"/>
      <c r="L41" s="556"/>
      <c r="M41" s="556"/>
      <c r="N41" s="777">
        <f t="shared" si="0"/>
        <v>0</v>
      </c>
      <c r="O41" s="556">
        <f t="shared" si="2"/>
        <v>0</v>
      </c>
      <c r="P41" s="777"/>
      <c r="Q41" s="776"/>
      <c r="R41" s="776"/>
      <c r="S41" s="776"/>
      <c r="T41" s="776"/>
      <c r="U41" s="776"/>
      <c r="V41" s="776"/>
      <c r="W41" s="790"/>
    </row>
    <row r="42" spans="1:28" hidden="1" outlineLevel="1">
      <c r="A42" s="65"/>
      <c r="B42" s="29" t="s">
        <v>59</v>
      </c>
      <c r="C42" s="108"/>
      <c r="D42" s="145">
        <f t="shared" si="3"/>
        <v>38200000</v>
      </c>
      <c r="E42" s="147"/>
      <c r="F42" s="147"/>
      <c r="G42" s="147"/>
      <c r="H42" s="147"/>
      <c r="I42" s="771"/>
      <c r="J42" s="556"/>
      <c r="K42" s="147"/>
      <c r="L42" s="556"/>
      <c r="M42" s="556"/>
      <c r="N42" s="777">
        <f t="shared" si="0"/>
        <v>0</v>
      </c>
      <c r="O42" s="556">
        <f t="shared" si="2"/>
        <v>0</v>
      </c>
      <c r="P42" s="777"/>
      <c r="Q42" s="776"/>
      <c r="R42" s="776"/>
      <c r="S42" s="776"/>
      <c r="T42" s="776"/>
      <c r="U42" s="776"/>
      <c r="V42" s="776"/>
      <c r="W42" s="790"/>
    </row>
    <row r="43" spans="1:28" hidden="1" outlineLevel="1">
      <c r="A43" s="65"/>
      <c r="B43" s="29" t="s">
        <v>60</v>
      </c>
      <c r="C43" s="108"/>
      <c r="D43" s="145">
        <f t="shared" si="3"/>
        <v>38200000</v>
      </c>
      <c r="E43" s="147"/>
      <c r="F43" s="147"/>
      <c r="G43" s="147"/>
      <c r="H43" s="147"/>
      <c r="I43" s="771"/>
      <c r="J43" s="556"/>
      <c r="K43" s="147"/>
      <c r="L43" s="556"/>
      <c r="M43" s="556"/>
      <c r="N43" s="777">
        <f t="shared" si="0"/>
        <v>0</v>
      </c>
      <c r="O43" s="556">
        <f t="shared" si="2"/>
        <v>0</v>
      </c>
      <c r="P43" s="777"/>
      <c r="Q43" s="776"/>
      <c r="R43" s="776"/>
      <c r="S43" s="776"/>
      <c r="T43" s="776"/>
      <c r="U43" s="776"/>
      <c r="V43" s="776"/>
      <c r="W43" s="790"/>
    </row>
    <row r="44" spans="1:28" hidden="1" outlineLevel="1">
      <c r="A44" s="65"/>
      <c r="B44" s="29" t="s">
        <v>233</v>
      </c>
      <c r="C44" s="108"/>
      <c r="D44" s="145">
        <f t="shared" si="3"/>
        <v>38200000</v>
      </c>
      <c r="E44" s="147"/>
      <c r="F44" s="147"/>
      <c r="G44" s="147"/>
      <c r="H44" s="147"/>
      <c r="I44" s="771"/>
      <c r="J44" s="556"/>
      <c r="K44" s="147"/>
      <c r="L44" s="556"/>
      <c r="M44" s="556"/>
      <c r="N44" s="777">
        <f t="shared" si="0"/>
        <v>0</v>
      </c>
      <c r="O44" s="556">
        <f t="shared" si="2"/>
        <v>0</v>
      </c>
      <c r="P44" s="777"/>
      <c r="Q44" s="776"/>
      <c r="R44" s="776"/>
      <c r="S44" s="776"/>
      <c r="T44" s="776"/>
      <c r="U44" s="776"/>
      <c r="V44" s="776"/>
      <c r="W44" s="790"/>
      <c r="Z44" s="794"/>
      <c r="AA44" s="98"/>
      <c r="AB44" s="794"/>
    </row>
    <row r="45" spans="1:28" hidden="1" outlineLevel="1">
      <c r="A45" s="65"/>
      <c r="B45" s="171" t="s">
        <v>234</v>
      </c>
      <c r="C45" s="108"/>
      <c r="D45" s="145">
        <f t="shared" si="3"/>
        <v>38200000</v>
      </c>
      <c r="E45" s="147"/>
      <c r="F45" s="147"/>
      <c r="G45" s="147"/>
      <c r="H45" s="147"/>
      <c r="I45" s="771"/>
      <c r="J45" s="556"/>
      <c r="K45" s="147"/>
      <c r="L45" s="556"/>
      <c r="M45" s="556"/>
      <c r="N45" s="777">
        <f t="shared" si="0"/>
        <v>0</v>
      </c>
      <c r="O45" s="556">
        <f t="shared" si="2"/>
        <v>0</v>
      </c>
      <c r="P45" s="777"/>
      <c r="Q45" s="776"/>
      <c r="R45" s="776"/>
      <c r="S45" s="776"/>
      <c r="T45" s="776"/>
      <c r="U45" s="776"/>
      <c r="V45" s="776"/>
      <c r="W45" s="790"/>
      <c r="Z45" s="794"/>
      <c r="AA45" s="98"/>
    </row>
    <row r="46" spans="1:28" hidden="1" outlineLevel="1">
      <c r="A46" s="65"/>
      <c r="B46" s="30" t="s">
        <v>61</v>
      </c>
      <c r="C46" s="108"/>
      <c r="D46" s="145">
        <f>+D45+'LSR Prepaid BPA interest'!G30</f>
        <v>48200000</v>
      </c>
      <c r="E46" s="147"/>
      <c r="F46" s="147"/>
      <c r="G46" s="147"/>
      <c r="H46" s="147"/>
      <c r="I46" s="771"/>
      <c r="J46" s="556"/>
      <c r="K46" s="147"/>
      <c r="L46" s="556"/>
      <c r="M46" s="556"/>
      <c r="N46" s="777">
        <f t="shared" si="0"/>
        <v>0</v>
      </c>
      <c r="O46" s="556">
        <f t="shared" si="2"/>
        <v>0</v>
      </c>
      <c r="P46" s="777"/>
      <c r="Q46" s="776"/>
      <c r="R46" s="776"/>
      <c r="S46" s="776"/>
      <c r="T46" s="776"/>
      <c r="U46" s="776"/>
      <c r="V46" s="776"/>
      <c r="W46" s="790"/>
      <c r="Z46" s="794"/>
      <c r="AA46" s="98"/>
    </row>
    <row r="47" spans="1:28" hidden="1" outlineLevel="1">
      <c r="A47" s="65"/>
      <c r="B47" s="29" t="s">
        <v>62</v>
      </c>
      <c r="C47" s="108"/>
      <c r="D47" s="145">
        <f>D46+'LSR Prepaid BPA interest'!G31</f>
        <v>58200000</v>
      </c>
      <c r="E47" s="147"/>
      <c r="F47" s="147"/>
      <c r="G47" s="147"/>
      <c r="H47" s="147"/>
      <c r="I47" s="771"/>
      <c r="J47" s="556"/>
      <c r="K47" s="147"/>
      <c r="L47" s="556"/>
      <c r="M47" s="556"/>
      <c r="N47" s="777">
        <f t="shared" si="0"/>
        <v>0</v>
      </c>
      <c r="O47" s="556">
        <f t="shared" si="2"/>
        <v>0</v>
      </c>
      <c r="P47" s="777"/>
      <c r="Q47" s="776"/>
      <c r="R47" s="776"/>
      <c r="S47" s="776"/>
      <c r="T47" s="776"/>
      <c r="U47" s="776"/>
      <c r="V47" s="776"/>
      <c r="W47" s="790"/>
      <c r="AA47" s="98"/>
    </row>
    <row r="48" spans="1:28" hidden="1" outlineLevel="1">
      <c r="A48" s="65"/>
      <c r="B48" s="29" t="s">
        <v>63</v>
      </c>
      <c r="C48" s="108"/>
      <c r="D48" s="145">
        <f>D47</f>
        <v>58200000</v>
      </c>
      <c r="E48" s="147"/>
      <c r="F48" s="147"/>
      <c r="G48" s="147"/>
      <c r="H48" s="147"/>
      <c r="I48" s="771"/>
      <c r="J48" s="556"/>
      <c r="K48" s="147"/>
      <c r="L48" s="556"/>
      <c r="M48" s="556"/>
      <c r="N48" s="777">
        <f t="shared" si="0"/>
        <v>0</v>
      </c>
      <c r="O48" s="556">
        <f t="shared" si="2"/>
        <v>0</v>
      </c>
      <c r="P48" s="777"/>
      <c r="Q48" s="776"/>
      <c r="R48" s="776"/>
      <c r="S48" s="776"/>
      <c r="T48" s="776"/>
      <c r="U48" s="776"/>
      <c r="V48" s="776"/>
      <c r="W48" s="790"/>
      <c r="AA48" s="98"/>
    </row>
    <row r="49" spans="1:27" hidden="1" outlineLevel="1">
      <c r="A49" s="65"/>
      <c r="B49" s="29" t="s">
        <v>64</v>
      </c>
      <c r="C49" s="108"/>
      <c r="D49" s="145">
        <f>+D48</f>
        <v>58200000</v>
      </c>
      <c r="E49" s="145">
        <v>2013270</v>
      </c>
      <c r="F49" s="145">
        <f>F48+E49</f>
        <v>2013270</v>
      </c>
      <c r="G49" s="145"/>
      <c r="H49" s="145"/>
      <c r="I49" s="772"/>
      <c r="J49" s="773"/>
      <c r="K49" s="145">
        <f t="shared" ref="K49:K112" si="4">F49+I49</f>
        <v>2013270</v>
      </c>
      <c r="L49" s="773"/>
      <c r="M49" s="773"/>
      <c r="N49" s="777"/>
      <c r="O49" s="773"/>
      <c r="P49" s="777"/>
      <c r="Q49" s="776"/>
      <c r="R49" s="776"/>
      <c r="S49" s="776"/>
      <c r="T49" s="776"/>
      <c r="U49" s="777"/>
      <c r="V49" s="776"/>
      <c r="W49" s="790"/>
      <c r="Z49" s="172"/>
      <c r="AA49" s="98"/>
    </row>
    <row r="50" spans="1:27" hidden="1" outlineLevel="1">
      <c r="A50" s="65"/>
      <c r="B50" s="29" t="s">
        <v>65</v>
      </c>
      <c r="C50" s="108"/>
      <c r="D50" s="145">
        <f>+D49+'LSR Prepaid BPA interest'!G34</f>
        <v>72600000</v>
      </c>
      <c r="E50" s="145">
        <v>578988</v>
      </c>
      <c r="F50" s="145">
        <f>F49+E50</f>
        <v>2592258</v>
      </c>
      <c r="G50" s="145"/>
      <c r="H50" s="145"/>
      <c r="I50" s="772"/>
      <c r="J50" s="773"/>
      <c r="K50" s="145">
        <f t="shared" si="4"/>
        <v>2592258</v>
      </c>
      <c r="L50" s="773"/>
      <c r="M50" s="773"/>
      <c r="N50" s="777"/>
      <c r="O50" s="773"/>
      <c r="P50" s="777"/>
      <c r="Q50" s="776"/>
      <c r="R50" s="776"/>
      <c r="S50" s="776"/>
      <c r="T50" s="776"/>
      <c r="U50" s="777"/>
      <c r="V50" s="776"/>
      <c r="W50" s="790"/>
      <c r="Z50" s="172"/>
      <c r="AA50" s="98"/>
    </row>
    <row r="51" spans="1:27" hidden="1" outlineLevel="1">
      <c r="A51" s="65"/>
      <c r="B51" s="29" t="s">
        <v>66</v>
      </c>
      <c r="C51" s="108"/>
      <c r="D51" s="145">
        <f>D50</f>
        <v>72600000</v>
      </c>
      <c r="E51" s="145">
        <v>643129</v>
      </c>
      <c r="F51" s="145">
        <f>F50+E51</f>
        <v>3235387</v>
      </c>
      <c r="G51" s="145"/>
      <c r="H51" s="145"/>
      <c r="I51" s="772"/>
      <c r="J51" s="773"/>
      <c r="K51" s="774">
        <f t="shared" si="4"/>
        <v>3235387</v>
      </c>
      <c r="L51" s="773"/>
      <c r="M51" s="773"/>
      <c r="N51" s="777"/>
      <c r="O51" s="773"/>
      <c r="P51" s="777"/>
      <c r="Q51" s="776"/>
      <c r="R51" s="776"/>
      <c r="S51" s="776"/>
      <c r="T51" s="776"/>
      <c r="U51" s="777"/>
      <c r="V51" s="776"/>
      <c r="W51" s="790"/>
      <c r="Z51" s="172"/>
      <c r="AA51" s="98"/>
    </row>
    <row r="52" spans="1:27" hidden="1" outlineLevel="1">
      <c r="A52" s="65"/>
      <c r="B52" s="29" t="s">
        <v>67</v>
      </c>
      <c r="C52" s="108"/>
      <c r="D52" s="145">
        <f>D51</f>
        <v>72600000</v>
      </c>
      <c r="E52" s="145">
        <v>643129</v>
      </c>
      <c r="F52" s="145">
        <f t="shared" ref="F52:F59" si="5">F51+E52</f>
        <v>3878516</v>
      </c>
      <c r="G52" s="145"/>
      <c r="H52" s="145"/>
      <c r="I52" s="772"/>
      <c r="J52" s="773"/>
      <c r="K52" s="774">
        <f t="shared" si="4"/>
        <v>3878516</v>
      </c>
      <c r="L52" s="773"/>
      <c r="M52" s="773"/>
      <c r="N52" s="777"/>
      <c r="O52" s="773"/>
      <c r="P52" s="777"/>
      <c r="Q52" s="776"/>
      <c r="R52" s="776"/>
      <c r="S52" s="776"/>
      <c r="T52" s="776"/>
      <c r="U52" s="777"/>
      <c r="V52" s="776"/>
      <c r="W52" s="790"/>
      <c r="Z52" s="172"/>
      <c r="AA52" s="98"/>
    </row>
    <row r="53" spans="1:27" hidden="1" outlineLevel="1">
      <c r="A53" s="65"/>
      <c r="B53" s="29" t="s">
        <v>68</v>
      </c>
      <c r="C53" s="108"/>
      <c r="D53" s="145">
        <f>D52</f>
        <v>72600000</v>
      </c>
      <c r="E53" s="145">
        <v>643129</v>
      </c>
      <c r="F53" s="145">
        <f t="shared" si="5"/>
        <v>4521645</v>
      </c>
      <c r="G53" s="145"/>
      <c r="H53" s="145"/>
      <c r="I53" s="772"/>
      <c r="J53" s="773"/>
      <c r="K53" s="774">
        <f t="shared" si="4"/>
        <v>4521645</v>
      </c>
      <c r="L53" s="773"/>
      <c r="M53" s="773"/>
      <c r="N53" s="777"/>
      <c r="O53" s="773"/>
      <c r="P53" s="777"/>
      <c r="Q53" s="776"/>
      <c r="R53" s="776"/>
      <c r="S53" s="776"/>
      <c r="T53" s="776"/>
      <c r="U53" s="777"/>
      <c r="V53" s="776"/>
      <c r="W53" s="790"/>
      <c r="Z53" s="172"/>
      <c r="AA53" s="98"/>
    </row>
    <row r="54" spans="1:27" hidden="1" outlineLevel="1">
      <c r="A54" s="65"/>
      <c r="B54" s="29" t="s">
        <v>69</v>
      </c>
      <c r="C54" s="108"/>
      <c r="D54" s="145">
        <f>D53</f>
        <v>72600000</v>
      </c>
      <c r="E54" s="145">
        <v>643129</v>
      </c>
      <c r="F54" s="145">
        <f>F53+E54</f>
        <v>5164774</v>
      </c>
      <c r="G54" s="145"/>
      <c r="H54" s="145"/>
      <c r="I54" s="772"/>
      <c r="J54" s="773"/>
      <c r="K54" s="774">
        <f t="shared" si="4"/>
        <v>5164774</v>
      </c>
      <c r="L54" s="773"/>
      <c r="M54" s="773"/>
      <c r="N54" s="777"/>
      <c r="O54" s="773"/>
      <c r="P54" s="777"/>
      <c r="Q54" s="776"/>
      <c r="R54" s="776"/>
      <c r="S54" s="776"/>
      <c r="T54" s="776"/>
      <c r="U54" s="777"/>
      <c r="V54" s="776"/>
      <c r="W54" s="790"/>
      <c r="Z54" s="172"/>
      <c r="AA54" s="98"/>
    </row>
    <row r="55" spans="1:27" hidden="1" outlineLevel="1">
      <c r="A55" s="65"/>
      <c r="B55" s="171" t="s">
        <v>235</v>
      </c>
      <c r="C55" s="108"/>
      <c r="D55" s="145">
        <f>+D54+'LSR Prepaid BPA interest'!G39</f>
        <v>90800000</v>
      </c>
      <c r="E55" s="145">
        <v>726650</v>
      </c>
      <c r="F55" s="145">
        <f t="shared" si="5"/>
        <v>5891424</v>
      </c>
      <c r="G55" s="145"/>
      <c r="H55" s="145"/>
      <c r="I55" s="772"/>
      <c r="J55" s="773"/>
      <c r="K55" s="774">
        <f t="shared" si="4"/>
        <v>5891424</v>
      </c>
      <c r="L55" s="773"/>
      <c r="M55" s="773"/>
      <c r="N55" s="777"/>
      <c r="O55" s="773"/>
      <c r="P55" s="777"/>
      <c r="Q55" s="776"/>
      <c r="R55" s="776"/>
      <c r="S55" s="776"/>
      <c r="T55" s="776"/>
      <c r="U55" s="777"/>
      <c r="V55" s="776"/>
      <c r="W55" s="790"/>
      <c r="Z55" s="172"/>
    </row>
    <row r="56" spans="1:27" hidden="1" outlineLevel="1">
      <c r="A56" s="65"/>
      <c r="B56" s="171" t="s">
        <v>236</v>
      </c>
      <c r="C56" s="108"/>
      <c r="D56" s="145">
        <f>D55</f>
        <v>90800000</v>
      </c>
      <c r="E56" s="774">
        <v>795269.76923076937</v>
      </c>
      <c r="F56" s="145">
        <f t="shared" si="5"/>
        <v>6686693.769230769</v>
      </c>
      <c r="G56" s="145"/>
      <c r="H56" s="145"/>
      <c r="I56" s="772"/>
      <c r="J56" s="773"/>
      <c r="K56" s="774">
        <f t="shared" si="4"/>
        <v>6686693.769230769</v>
      </c>
      <c r="L56" s="773"/>
      <c r="M56" s="773"/>
      <c r="N56" s="777"/>
      <c r="O56" s="773"/>
      <c r="P56" s="777"/>
      <c r="Q56" s="776"/>
      <c r="R56" s="776"/>
      <c r="S56" s="776"/>
      <c r="T56" s="776"/>
      <c r="U56" s="777"/>
      <c r="V56" s="776"/>
      <c r="W56" s="790"/>
      <c r="Z56" s="172"/>
    </row>
    <row r="57" spans="1:27" hidden="1" outlineLevel="1">
      <c r="A57" s="65"/>
      <c r="B57" s="29" t="s">
        <v>70</v>
      </c>
      <c r="C57" s="108"/>
      <c r="D57" s="145">
        <f t="shared" ref="D57:D69" si="6">D56</f>
        <v>90800000</v>
      </c>
      <c r="E57" s="774">
        <f>(((D56+D57)/2)*6.9%/65%)/12</f>
        <v>803230.76923076937</v>
      </c>
      <c r="F57" s="145">
        <f t="shared" si="5"/>
        <v>7489924.538461538</v>
      </c>
      <c r="G57" s="145"/>
      <c r="H57" s="145"/>
      <c r="I57" s="772"/>
      <c r="J57" s="773"/>
      <c r="K57" s="774">
        <f t="shared" si="4"/>
        <v>7489924.538461538</v>
      </c>
      <c r="L57" s="773"/>
      <c r="M57" s="773"/>
      <c r="N57" s="777"/>
      <c r="O57" s="773"/>
      <c r="P57" s="777"/>
      <c r="Q57" s="776"/>
      <c r="R57" s="776"/>
      <c r="S57" s="776"/>
      <c r="T57" s="776"/>
      <c r="U57" s="777"/>
      <c r="V57" s="776"/>
      <c r="W57" s="790"/>
      <c r="Z57" s="172"/>
    </row>
    <row r="58" spans="1:27" hidden="1" outlineLevel="1">
      <c r="A58" s="65"/>
      <c r="B58" s="30" t="s">
        <v>71</v>
      </c>
      <c r="C58" s="108"/>
      <c r="D58" s="145">
        <f t="shared" si="6"/>
        <v>90800000</v>
      </c>
      <c r="E58" s="774">
        <f>(((D57+D58)/2)*6.9%/65%)/12</f>
        <v>803230.76923076937</v>
      </c>
      <c r="F58" s="145">
        <f t="shared" si="5"/>
        <v>8293155.307692307</v>
      </c>
      <c r="G58" s="773">
        <f>(F46+F58+SUM(F47:F57)*2)/24</f>
        <v>3801705.8301282045</v>
      </c>
      <c r="H58" s="145"/>
      <c r="I58" s="772"/>
      <c r="J58" s="773"/>
      <c r="K58" s="774">
        <f>F58+I58</f>
        <v>8293155.307692307</v>
      </c>
      <c r="L58" s="773"/>
      <c r="M58" s="773"/>
      <c r="N58" s="777"/>
      <c r="O58" s="773"/>
      <c r="P58" s="777"/>
      <c r="Q58" s="776"/>
      <c r="R58" s="776"/>
      <c r="S58" s="776"/>
      <c r="T58" s="776"/>
      <c r="U58" s="777"/>
      <c r="V58" s="776"/>
      <c r="W58" s="790"/>
      <c r="Z58" s="172"/>
    </row>
    <row r="59" spans="1:27" hidden="1" outlineLevel="1">
      <c r="A59" s="65"/>
      <c r="B59" s="29" t="s">
        <v>72</v>
      </c>
      <c r="C59" s="108"/>
      <c r="D59" s="145">
        <f t="shared" si="6"/>
        <v>90800000</v>
      </c>
      <c r="E59" s="774">
        <f>(((D58+D59)/2)*6.9%/65%)/12</f>
        <v>803230.76923076937</v>
      </c>
      <c r="F59" s="145">
        <f t="shared" si="5"/>
        <v>9096386.0769230761</v>
      </c>
      <c r="G59" s="773">
        <f t="shared" ref="G59:G68" si="7">(F47+F59+SUM(F48:F58)*2)/24</f>
        <v>4526270.054487179</v>
      </c>
      <c r="H59" s="145"/>
      <c r="I59" s="772"/>
      <c r="J59" s="773"/>
      <c r="K59" s="774">
        <f t="shared" si="4"/>
        <v>9096386.0769230761</v>
      </c>
      <c r="L59" s="773"/>
      <c r="M59" s="773"/>
      <c r="N59" s="777"/>
      <c r="O59" s="773"/>
      <c r="P59" s="777"/>
      <c r="Q59" s="776"/>
      <c r="R59" s="776"/>
      <c r="S59" s="776"/>
      <c r="T59" s="776"/>
      <c r="U59" s="777"/>
      <c r="V59" s="776"/>
      <c r="W59" s="790"/>
      <c r="Z59" s="172"/>
    </row>
    <row r="60" spans="1:27" hidden="1" outlineLevel="1">
      <c r="A60" s="66"/>
      <c r="B60" s="29" t="s">
        <v>73</v>
      </c>
      <c r="C60" s="717"/>
      <c r="D60" s="145">
        <f t="shared" si="6"/>
        <v>90800000</v>
      </c>
      <c r="E60" s="774">
        <v>843038</v>
      </c>
      <c r="F60" s="145">
        <f>F59+E60</f>
        <v>9939424.0769230761</v>
      </c>
      <c r="G60" s="773">
        <f t="shared" si="7"/>
        <v>5319428.8108974351</v>
      </c>
      <c r="H60" s="145"/>
      <c r="I60" s="772"/>
      <c r="J60" s="773"/>
      <c r="K60" s="774">
        <f t="shared" si="4"/>
        <v>9939424.0769230761</v>
      </c>
      <c r="L60" s="773"/>
      <c r="M60" s="773"/>
      <c r="N60" s="777"/>
      <c r="O60" s="773"/>
      <c r="P60" s="777"/>
      <c r="Q60" s="776"/>
      <c r="R60" s="776"/>
      <c r="S60" s="776"/>
      <c r="T60" s="776"/>
      <c r="U60" s="777"/>
      <c r="V60" s="776"/>
      <c r="W60" s="790"/>
      <c r="Z60" s="172"/>
    </row>
    <row r="61" spans="1:27" hidden="1" outlineLevel="1">
      <c r="A61" s="65"/>
      <c r="B61" s="29" t="s">
        <v>74</v>
      </c>
      <c r="C61" s="108"/>
      <c r="D61" s="145">
        <f t="shared" si="6"/>
        <v>90800000</v>
      </c>
      <c r="E61" s="774">
        <v>882846.15384615399</v>
      </c>
      <c r="F61" s="145">
        <f t="shared" ref="F61:F66" si="8">F60+E61</f>
        <v>10822270.23076923</v>
      </c>
      <c r="G61" s="773">
        <f t="shared" si="7"/>
        <v>6100613.1570512801</v>
      </c>
      <c r="H61" s="145"/>
      <c r="I61" s="772"/>
      <c r="J61" s="773"/>
      <c r="K61" s="774">
        <f t="shared" si="4"/>
        <v>10822270.23076923</v>
      </c>
      <c r="L61" s="773"/>
      <c r="M61" s="773"/>
      <c r="N61" s="777"/>
      <c r="O61" s="773"/>
      <c r="P61" s="777"/>
      <c r="Q61" s="776"/>
      <c r="R61" s="776"/>
      <c r="S61" s="776"/>
      <c r="T61" s="776"/>
      <c r="U61" s="777"/>
      <c r="V61" s="773"/>
      <c r="W61" s="778">
        <f>G61+J61+V61</f>
        <v>6100613.1570512801</v>
      </c>
      <c r="Z61" s="172"/>
    </row>
    <row r="62" spans="1:27" hidden="1" outlineLevel="1">
      <c r="A62" s="65"/>
      <c r="B62" s="29" t="s">
        <v>75</v>
      </c>
      <c r="C62" s="108"/>
      <c r="D62" s="145">
        <f t="shared" si="6"/>
        <v>90800000</v>
      </c>
      <c r="E62" s="774">
        <v>882846.15384615399</v>
      </c>
      <c r="F62" s="145">
        <f t="shared" si="8"/>
        <v>11705116.384615384</v>
      </c>
      <c r="G62" s="773">
        <f t="shared" si="7"/>
        <v>6847357.2660256401</v>
      </c>
      <c r="H62" s="145"/>
      <c r="I62" s="772"/>
      <c r="J62" s="773"/>
      <c r="K62" s="774">
        <f t="shared" si="4"/>
        <v>11705116.384615384</v>
      </c>
      <c r="L62" s="773"/>
      <c r="M62" s="773"/>
      <c r="N62" s="777"/>
      <c r="O62" s="773"/>
      <c r="P62" s="777"/>
      <c r="Q62" s="776"/>
      <c r="R62" s="776"/>
      <c r="S62" s="776"/>
      <c r="T62" s="776"/>
      <c r="U62" s="777"/>
      <c r="V62" s="773"/>
      <c r="W62" s="778">
        <f t="shared" ref="W62:W125" si="9">G62+J62+V62</f>
        <v>6847357.2660256401</v>
      </c>
      <c r="Z62" s="172"/>
    </row>
    <row r="63" spans="1:27" hidden="1" outlineLevel="1">
      <c r="A63" s="65"/>
      <c r="B63" s="29" t="s">
        <v>76</v>
      </c>
      <c r="C63" s="108"/>
      <c r="D63" s="145">
        <f t="shared" si="6"/>
        <v>90800000</v>
      </c>
      <c r="E63" s="774">
        <v>882846.15384615399</v>
      </c>
      <c r="F63" s="145">
        <f t="shared" si="8"/>
        <v>12587962.538461538</v>
      </c>
      <c r="G63" s="773">
        <f t="shared" si="7"/>
        <v>7616750.3461538441</v>
      </c>
      <c r="H63" s="145"/>
      <c r="I63" s="772"/>
      <c r="J63" s="773"/>
      <c r="K63" s="774">
        <f t="shared" si="4"/>
        <v>12587962.538461538</v>
      </c>
      <c r="L63" s="773"/>
      <c r="M63" s="773"/>
      <c r="N63" s="777"/>
      <c r="O63" s="773"/>
      <c r="P63" s="777"/>
      <c r="Q63" s="776"/>
      <c r="R63" s="776"/>
      <c r="S63" s="776"/>
      <c r="T63" s="776"/>
      <c r="U63" s="777"/>
      <c r="V63" s="773"/>
      <c r="W63" s="778">
        <f t="shared" si="9"/>
        <v>7616750.3461538441</v>
      </c>
      <c r="Z63" s="172"/>
    </row>
    <row r="64" spans="1:27" hidden="1" outlineLevel="1">
      <c r="A64" s="65"/>
      <c r="B64" s="171" t="s">
        <v>77</v>
      </c>
      <c r="C64" s="108"/>
      <c r="D64" s="145">
        <f t="shared" si="6"/>
        <v>90800000</v>
      </c>
      <c r="E64" s="774">
        <v>882846.15384615399</v>
      </c>
      <c r="F64" s="145">
        <f t="shared" si="8"/>
        <v>13470808.692307692</v>
      </c>
      <c r="G64" s="773">
        <f t="shared" si="7"/>
        <v>8406119.8557692282</v>
      </c>
      <c r="H64" s="145"/>
      <c r="I64" s="772"/>
      <c r="J64" s="773"/>
      <c r="K64" s="774">
        <f t="shared" si="4"/>
        <v>13470808.692307692</v>
      </c>
      <c r="L64" s="773"/>
      <c r="M64" s="773"/>
      <c r="N64" s="777"/>
      <c r="O64" s="773"/>
      <c r="P64" s="777"/>
      <c r="Q64" s="776"/>
      <c r="R64" s="776"/>
      <c r="S64" s="776"/>
      <c r="T64" s="776"/>
      <c r="U64" s="777"/>
      <c r="V64" s="773"/>
      <c r="W64" s="778">
        <f t="shared" si="9"/>
        <v>8406119.8557692282</v>
      </c>
      <c r="X64" s="336">
        <f>F64+I64+U64</f>
        <v>13470808.692307692</v>
      </c>
      <c r="Z64" s="172"/>
    </row>
    <row r="65" spans="1:26" hidden="1" outlineLevel="1">
      <c r="A65" s="65"/>
      <c r="B65" s="29" t="s">
        <v>78</v>
      </c>
      <c r="C65" s="108"/>
      <c r="D65" s="145">
        <f t="shared" si="6"/>
        <v>90800000</v>
      </c>
      <c r="E65" s="774">
        <v>882846.15384615399</v>
      </c>
      <c r="F65" s="145">
        <f t="shared" si="8"/>
        <v>14353654.846153846</v>
      </c>
      <c r="G65" s="773">
        <f t="shared" si="7"/>
        <v>9215465.7948717959</v>
      </c>
      <c r="H65" s="145"/>
      <c r="I65" s="772"/>
      <c r="J65" s="773"/>
      <c r="K65" s="774">
        <f t="shared" si="4"/>
        <v>14353654.846153846</v>
      </c>
      <c r="L65" s="773"/>
      <c r="M65" s="773"/>
      <c r="N65" s="777"/>
      <c r="O65" s="773"/>
      <c r="P65" s="777"/>
      <c r="Q65" s="776"/>
      <c r="R65" s="776"/>
      <c r="S65" s="776"/>
      <c r="T65" s="776"/>
      <c r="U65" s="777"/>
      <c r="V65" s="773"/>
      <c r="W65" s="778">
        <f t="shared" si="9"/>
        <v>9215465.7948717959</v>
      </c>
      <c r="X65" s="336">
        <f t="shared" ref="X65:X128" si="10">F65+I65+U65</f>
        <v>14353654.846153846</v>
      </c>
      <c r="Z65" s="172"/>
    </row>
    <row r="66" spans="1:26" hidden="1" outlineLevel="1">
      <c r="A66" s="168"/>
      <c r="B66" s="29" t="s">
        <v>79</v>
      </c>
      <c r="C66" s="168"/>
      <c r="D66" s="145">
        <f t="shared" si="6"/>
        <v>90800000</v>
      </c>
      <c r="E66" s="774">
        <v>882846.15384615399</v>
      </c>
      <c r="F66" s="145">
        <f t="shared" si="8"/>
        <v>15236501</v>
      </c>
      <c r="G66" s="773">
        <f t="shared" si="7"/>
        <v>10044788.163461538</v>
      </c>
      <c r="H66" s="145"/>
      <c r="I66" s="772"/>
      <c r="J66" s="773"/>
      <c r="K66" s="774">
        <f t="shared" si="4"/>
        <v>15236501</v>
      </c>
      <c r="L66" s="773"/>
      <c r="M66" s="773"/>
      <c r="N66" s="777"/>
      <c r="O66" s="773"/>
      <c r="P66" s="777"/>
      <c r="Q66" s="776"/>
      <c r="R66" s="776"/>
      <c r="S66" s="776"/>
      <c r="T66" s="776"/>
      <c r="U66" s="777"/>
      <c r="V66" s="773"/>
      <c r="W66" s="778">
        <f t="shared" si="9"/>
        <v>10044788.163461538</v>
      </c>
      <c r="X66" s="336">
        <f t="shared" si="10"/>
        <v>15236501</v>
      </c>
      <c r="Z66" s="172"/>
    </row>
    <row r="67" spans="1:26" hidden="1" outlineLevel="1">
      <c r="A67" s="168"/>
      <c r="B67" s="29" t="s">
        <v>80</v>
      </c>
      <c r="C67" s="168"/>
      <c r="D67" s="145">
        <f t="shared" si="6"/>
        <v>90800000</v>
      </c>
      <c r="E67" s="774">
        <v>882846.15384615399</v>
      </c>
      <c r="F67" s="145">
        <f>F66+E67</f>
        <v>16119347.153846154</v>
      </c>
      <c r="G67" s="773">
        <f t="shared" si="7"/>
        <v>10890606.919871794</v>
      </c>
      <c r="H67" s="145"/>
      <c r="I67" s="772"/>
      <c r="J67" s="773"/>
      <c r="K67" s="774">
        <f t="shared" si="4"/>
        <v>16119347.153846154</v>
      </c>
      <c r="L67" s="773"/>
      <c r="M67" s="773">
        <f t="shared" ref="M67:M115" si="11">-L67+L66</f>
        <v>0</v>
      </c>
      <c r="N67" s="777">
        <f t="shared" si="0"/>
        <v>0</v>
      </c>
      <c r="O67" s="773">
        <f t="shared" si="2"/>
        <v>0</v>
      </c>
      <c r="P67" s="777"/>
      <c r="Q67" s="776"/>
      <c r="R67" s="776"/>
      <c r="S67" s="776"/>
      <c r="T67" s="776"/>
      <c r="U67" s="777">
        <f t="shared" ref="U67:U114" si="12">U66-M67</f>
        <v>0</v>
      </c>
      <c r="V67" s="773">
        <f>(U55+U67+SUM(U56:U66)*2)/24</f>
        <v>0</v>
      </c>
      <c r="W67" s="778">
        <f t="shared" si="9"/>
        <v>10890606.919871794</v>
      </c>
      <c r="X67" s="336">
        <f t="shared" si="10"/>
        <v>16119347.153846154</v>
      </c>
      <c r="Z67" s="172"/>
    </row>
    <row r="68" spans="1:26" hidden="1" outlineLevel="1">
      <c r="A68" s="168"/>
      <c r="B68" s="171" t="s">
        <v>81</v>
      </c>
      <c r="C68" s="168"/>
      <c r="D68" s="145">
        <f t="shared" si="6"/>
        <v>90800000</v>
      </c>
      <c r="E68" s="774">
        <v>882846.15384615399</v>
      </c>
      <c r="F68" s="145">
        <f>F67+E68</f>
        <v>17002193.307692308</v>
      </c>
      <c r="G68" s="773">
        <f t="shared" si="7"/>
        <v>11746582.865384616</v>
      </c>
      <c r="H68" s="145"/>
      <c r="I68" s="772"/>
      <c r="J68" s="773">
        <f>(I56+I68+SUM(I57:I67)*2)/24</f>
        <v>0</v>
      </c>
      <c r="K68" s="774">
        <f t="shared" si="4"/>
        <v>17002193.307692308</v>
      </c>
      <c r="L68" s="773"/>
      <c r="M68" s="773">
        <f t="shared" si="11"/>
        <v>0</v>
      </c>
      <c r="N68" s="777">
        <f t="shared" si="0"/>
        <v>0</v>
      </c>
      <c r="O68" s="773">
        <f t="shared" si="2"/>
        <v>0</v>
      </c>
      <c r="P68" s="777"/>
      <c r="Q68" s="776"/>
      <c r="R68" s="776"/>
      <c r="S68" s="776"/>
      <c r="T68" s="776"/>
      <c r="U68" s="777">
        <f t="shared" si="12"/>
        <v>0</v>
      </c>
      <c r="V68" s="773">
        <f t="shared" ref="V68:V125" si="13">(U56+U68+SUM(U57:U67)*2)/24</f>
        <v>0</v>
      </c>
      <c r="W68" s="778">
        <f t="shared" si="9"/>
        <v>11746582.865384616</v>
      </c>
      <c r="X68" s="336">
        <f t="shared" si="10"/>
        <v>17002193.307692308</v>
      </c>
      <c r="Z68" s="172"/>
    </row>
    <row r="69" spans="1:26" hidden="1" outlineLevel="1">
      <c r="A69" s="168"/>
      <c r="B69" s="29" t="s">
        <v>82</v>
      </c>
      <c r="C69" s="168"/>
      <c r="D69" s="145">
        <f t="shared" si="6"/>
        <v>90800000</v>
      </c>
      <c r="E69" s="774">
        <v>370226</v>
      </c>
      <c r="F69" s="145">
        <f>F68+E69</f>
        <v>17372419.307692308</v>
      </c>
      <c r="G69" s="773">
        <f>(F57+F69+SUM(F58:F68)*2)/24</f>
        <v>12588165.961538462</v>
      </c>
      <c r="H69" s="145">
        <f t="shared" ref="H69:H85" si="14">F69/300</f>
        <v>57908.064358974363</v>
      </c>
      <c r="I69" s="772">
        <f>I68-H69</f>
        <v>-57908.064358974363</v>
      </c>
      <c r="J69" s="773">
        <f>(I57+I69+SUM(I58:I68)*2)/24</f>
        <v>-2412.836014957265</v>
      </c>
      <c r="K69" s="774">
        <f t="shared" si="4"/>
        <v>17314511.243333332</v>
      </c>
      <c r="L69" s="773">
        <f>-K69*35%</f>
        <v>-6060078.9351666663</v>
      </c>
      <c r="M69" s="773">
        <f>-L69+L68</f>
        <v>6060078.9351666663</v>
      </c>
      <c r="N69" s="777">
        <f t="shared" si="0"/>
        <v>-6060078.9351666663</v>
      </c>
      <c r="O69" s="773">
        <f t="shared" si="2"/>
        <v>-252503.28896527775</v>
      </c>
      <c r="P69" s="777">
        <f t="shared" ref="P69:P132" si="15">K69+O69</f>
        <v>17062007.954368055</v>
      </c>
      <c r="Q69" s="776"/>
      <c r="R69" s="776"/>
      <c r="S69" s="776"/>
      <c r="T69" s="776"/>
      <c r="U69" s="777">
        <f t="shared" si="12"/>
        <v>-6060078.9351666663</v>
      </c>
      <c r="V69" s="773">
        <f t="shared" si="13"/>
        <v>-252503.28896527775</v>
      </c>
      <c r="W69" s="778">
        <f t="shared" si="9"/>
        <v>12333249.836558226</v>
      </c>
      <c r="X69" s="336">
        <f>F69+I69+U69</f>
        <v>11254432.308166666</v>
      </c>
      <c r="Y69" s="173">
        <f>G69+J69</f>
        <v>12585753.125523504</v>
      </c>
      <c r="Z69" s="797"/>
    </row>
    <row r="70" spans="1:26" hidden="1" outlineLevel="1">
      <c r="A70" s="168"/>
      <c r="B70" s="29" t="s">
        <v>83</v>
      </c>
      <c r="C70" s="168"/>
      <c r="D70" s="145">
        <f>'LSR Prepaid Principal'!O56</f>
        <v>0</v>
      </c>
      <c r="E70" s="145"/>
      <c r="F70" s="145">
        <f t="shared" ref="F70:F133" si="16">F69</f>
        <v>17372419.307692308</v>
      </c>
      <c r="G70" s="773">
        <f t="shared" ref="G70:G133" si="17">(F58+F70+SUM(F59:F69)*2)/24</f>
        <v>13378239.243589744</v>
      </c>
      <c r="H70" s="145">
        <f t="shared" si="14"/>
        <v>57908.064358974363</v>
      </c>
      <c r="I70" s="772">
        <f>I69-H70</f>
        <v>-115816.12871794873</v>
      </c>
      <c r="J70" s="773">
        <f>(I58+I70+SUM(I59:I69)*2)/24</f>
        <v>-9651.3440598290599</v>
      </c>
      <c r="K70" s="774">
        <f t="shared" si="4"/>
        <v>17256603.17897436</v>
      </c>
      <c r="L70" s="773">
        <f>-K70*35%</f>
        <v>-6039811.1126410253</v>
      </c>
      <c r="M70" s="773">
        <f t="shared" si="11"/>
        <v>-20267.82252564095</v>
      </c>
      <c r="N70" s="777">
        <f t="shared" si="0"/>
        <v>-12099890.047807692</v>
      </c>
      <c r="O70" s="773">
        <f t="shared" si="2"/>
        <v>-1009168.6632558759</v>
      </c>
      <c r="P70" s="777">
        <f t="shared" si="15"/>
        <v>16247434.515718484</v>
      </c>
      <c r="Q70" s="776"/>
      <c r="R70" s="776"/>
      <c r="S70" s="776"/>
      <c r="T70" s="776"/>
      <c r="U70" s="777">
        <f t="shared" si="12"/>
        <v>-6039811.1126410253</v>
      </c>
      <c r="V70" s="773">
        <f t="shared" si="13"/>
        <v>-756665.37429059821</v>
      </c>
      <c r="W70" s="778">
        <f t="shared" si="9"/>
        <v>12611922.525239317</v>
      </c>
      <c r="X70" s="336">
        <f t="shared" si="10"/>
        <v>11216792.066333335</v>
      </c>
      <c r="Y70" s="173">
        <f t="shared" ref="Y70:Y133" si="18">G70+J70</f>
        <v>13368587.899529915</v>
      </c>
      <c r="Z70" s="797"/>
    </row>
    <row r="71" spans="1:26" hidden="1" outlineLevel="1">
      <c r="A71" s="168"/>
      <c r="B71" s="171" t="s">
        <v>90</v>
      </c>
      <c r="C71" s="168"/>
      <c r="D71" s="145">
        <f>'LSR Prepaid Principal'!O57</f>
        <v>0</v>
      </c>
      <c r="E71" s="145"/>
      <c r="F71" s="145">
        <f t="shared" si="16"/>
        <v>17372419.307692308</v>
      </c>
      <c r="G71" s="773">
        <f t="shared" si="17"/>
        <v>14101376.628205128</v>
      </c>
      <c r="H71" s="145">
        <f t="shared" si="14"/>
        <v>57908.064358974363</v>
      </c>
      <c r="I71" s="772">
        <f t="shared" ref="I71:I129" si="19">I70-H71</f>
        <v>-173724.19307692308</v>
      </c>
      <c r="J71" s="773">
        <f t="shared" ref="J71:J134" si="20">(I59+I71+SUM(I60:I70)*2)/24</f>
        <v>-21715.524134615385</v>
      </c>
      <c r="K71" s="774">
        <f t="shared" si="4"/>
        <v>17198695.114615384</v>
      </c>
      <c r="L71" s="773">
        <f t="shared" ref="L71:L91" si="21">-K71*35%</f>
        <v>-6019543.2901153844</v>
      </c>
      <c r="M71" s="773">
        <f>-L71+L70</f>
        <v>-20267.82252564095</v>
      </c>
      <c r="N71" s="777">
        <f t="shared" si="0"/>
        <v>-18119433.337923076</v>
      </c>
      <c r="O71" s="773">
        <f t="shared" si="2"/>
        <v>-2268307.1376613248</v>
      </c>
      <c r="P71" s="777">
        <f t="shared" si="15"/>
        <v>14930387.97695406</v>
      </c>
      <c r="Q71" s="776"/>
      <c r="R71" s="776"/>
      <c r="S71" s="776"/>
      <c r="T71" s="776"/>
      <c r="U71" s="777">
        <f>U70-M71</f>
        <v>-6019543.2901153844</v>
      </c>
      <c r="V71" s="773">
        <f>(U59+U71+SUM(U60:U70)*2)/24</f>
        <v>-1259138.4744054487</v>
      </c>
      <c r="W71" s="778">
        <f t="shared" si="9"/>
        <v>12820522.629665064</v>
      </c>
      <c r="X71" s="336">
        <f>F71+I71+U71</f>
        <v>11179151.8245</v>
      </c>
      <c r="Y71" s="173">
        <f t="shared" si="18"/>
        <v>14079661.104070513</v>
      </c>
      <c r="Z71" s="797"/>
    </row>
    <row r="72" spans="1:26" hidden="1" outlineLevel="1">
      <c r="A72" s="168"/>
      <c r="B72" s="171" t="s">
        <v>91</v>
      </c>
      <c r="C72" s="168"/>
      <c r="D72" s="145">
        <f>'LSR Prepaid Principal'!O58</f>
        <v>0</v>
      </c>
      <c r="E72" s="145"/>
      <c r="F72" s="145">
        <f t="shared" si="16"/>
        <v>17372419.307692308</v>
      </c>
      <c r="G72" s="773">
        <f t="shared" si="17"/>
        <v>14755919.48076923</v>
      </c>
      <c r="H72" s="145">
        <f t="shared" si="14"/>
        <v>57908.064358974363</v>
      </c>
      <c r="I72" s="772">
        <f>I71-H72</f>
        <v>-231632.25743589745</v>
      </c>
      <c r="J72" s="773">
        <f>(I60+I72+SUM(I61:I71)*2)/24</f>
        <v>-38605.37623931624</v>
      </c>
      <c r="K72" s="774">
        <f t="shared" si="4"/>
        <v>17140787.050256409</v>
      </c>
      <c r="L72" s="773">
        <f t="shared" si="21"/>
        <v>-5999275.4675897425</v>
      </c>
      <c r="M72" s="773">
        <f t="shared" si="11"/>
        <v>-20267.822525641881</v>
      </c>
      <c r="N72" s="777">
        <f t="shared" si="0"/>
        <v>-24118708.805512819</v>
      </c>
      <c r="O72" s="773">
        <f t="shared" si="2"/>
        <v>-4028229.7269711532</v>
      </c>
      <c r="P72" s="777">
        <f t="shared" si="15"/>
        <v>13112557.323285256</v>
      </c>
      <c r="Q72" s="776"/>
      <c r="R72" s="776"/>
      <c r="S72" s="776"/>
      <c r="T72" s="776"/>
      <c r="U72" s="777">
        <f t="shared" si="12"/>
        <v>-5999275.4675897425</v>
      </c>
      <c r="V72" s="773">
        <f t="shared" si="13"/>
        <v>-1759922.5893098291</v>
      </c>
      <c r="W72" s="778">
        <f t="shared" si="9"/>
        <v>12957391.515220085</v>
      </c>
      <c r="X72" s="336">
        <f t="shared" si="10"/>
        <v>11141511.582666665</v>
      </c>
      <c r="Y72" s="173">
        <f t="shared" si="18"/>
        <v>14717314.104529914</v>
      </c>
      <c r="Z72" s="797"/>
    </row>
    <row r="73" spans="1:26" hidden="1" outlineLevel="1">
      <c r="A73" s="168"/>
      <c r="B73" s="171" t="s">
        <v>237</v>
      </c>
      <c r="C73" s="168"/>
      <c r="D73" s="145">
        <f>'LSR Prepaid Principal'!O59</f>
        <v>0</v>
      </c>
      <c r="E73" s="145"/>
      <c r="F73" s="145">
        <f t="shared" si="16"/>
        <v>17372419.307692308</v>
      </c>
      <c r="G73" s="773">
        <f t="shared" si="17"/>
        <v>15338550.493589744</v>
      </c>
      <c r="H73" s="145">
        <f t="shared" si="14"/>
        <v>57908.064358974363</v>
      </c>
      <c r="I73" s="772">
        <f t="shared" si="19"/>
        <v>-289540.32179487182</v>
      </c>
      <c r="J73" s="773">
        <f t="shared" si="20"/>
        <v>-60320.900373931625</v>
      </c>
      <c r="K73" s="774">
        <f>F73+I73</f>
        <v>17082878.985897437</v>
      </c>
      <c r="L73" s="773">
        <f t="shared" si="21"/>
        <v>-5979007.6450641025</v>
      </c>
      <c r="M73" s="773">
        <f t="shared" si="11"/>
        <v>-20267.822525640018</v>
      </c>
      <c r="N73" s="777">
        <f t="shared" si="0"/>
        <v>-30097716.450576924</v>
      </c>
      <c r="O73" s="773">
        <f t="shared" si="2"/>
        <v>-6287247.4459748929</v>
      </c>
      <c r="P73" s="777">
        <f t="shared" si="15"/>
        <v>10795631.539922543</v>
      </c>
      <c r="Q73" s="776"/>
      <c r="R73" s="776"/>
      <c r="S73" s="776"/>
      <c r="T73" s="776"/>
      <c r="U73" s="777">
        <f t="shared" si="12"/>
        <v>-5979007.6450641025</v>
      </c>
      <c r="V73" s="773">
        <f t="shared" si="13"/>
        <v>-2259017.7190037393</v>
      </c>
      <c r="W73" s="778">
        <f t="shared" si="9"/>
        <v>13019211.874212073</v>
      </c>
      <c r="X73" s="336">
        <f t="shared" si="10"/>
        <v>11103871.340833334</v>
      </c>
      <c r="Y73" s="173">
        <f t="shared" si="18"/>
        <v>15278229.593215812</v>
      </c>
      <c r="Z73" s="797"/>
    </row>
    <row r="74" spans="1:26" hidden="1" outlineLevel="1">
      <c r="A74" s="168"/>
      <c r="B74" s="29" t="s">
        <v>238</v>
      </c>
      <c r="C74" s="168"/>
      <c r="D74" s="145">
        <f>'LSR Prepaid Principal'!O60</f>
        <v>0</v>
      </c>
      <c r="E74" s="145"/>
      <c r="F74" s="145">
        <f t="shared" si="16"/>
        <v>17372419.307692308</v>
      </c>
      <c r="G74" s="773">
        <f t="shared" si="17"/>
        <v>15847610.993589746</v>
      </c>
      <c r="H74" s="145">
        <f t="shared" si="14"/>
        <v>57908.064358974363</v>
      </c>
      <c r="I74" s="772">
        <f t="shared" si="19"/>
        <v>-347448.38615384616</v>
      </c>
      <c r="J74" s="773">
        <f t="shared" si="20"/>
        <v>-86862.096538461556</v>
      </c>
      <c r="K74" s="774">
        <f t="shared" si="4"/>
        <v>17024970.921538461</v>
      </c>
      <c r="L74" s="773">
        <f t="shared" si="21"/>
        <v>-5958739.8225384606</v>
      </c>
      <c r="M74" s="773">
        <f>-L74+L73</f>
        <v>-20267.822525641881</v>
      </c>
      <c r="N74" s="777">
        <f t="shared" si="0"/>
        <v>-36056456.273115382</v>
      </c>
      <c r="O74" s="773">
        <f t="shared" si="2"/>
        <v>-9043671.3094620723</v>
      </c>
      <c r="P74" s="777">
        <f t="shared" si="15"/>
        <v>7981299.6120763887</v>
      </c>
      <c r="Q74" s="776"/>
      <c r="R74" s="776"/>
      <c r="S74" s="776"/>
      <c r="T74" s="776"/>
      <c r="U74" s="777">
        <f t="shared" si="12"/>
        <v>-5958739.8225384606</v>
      </c>
      <c r="V74" s="773">
        <f t="shared" si="13"/>
        <v>-2756423.8634871794</v>
      </c>
      <c r="W74" s="778">
        <f t="shared" si="9"/>
        <v>13004325.033564106</v>
      </c>
      <c r="X74" s="336">
        <f t="shared" si="10"/>
        <v>11066231.098999999</v>
      </c>
      <c r="Y74" s="173">
        <f t="shared" si="18"/>
        <v>15760748.897051284</v>
      </c>
      <c r="Z74" s="797"/>
    </row>
    <row r="75" spans="1:26" hidden="1" outlineLevel="1">
      <c r="A75" s="168"/>
      <c r="B75" s="29" t="s">
        <v>239</v>
      </c>
      <c r="C75" s="168"/>
      <c r="D75" s="145">
        <f>'LSR Prepaid Principal'!O61</f>
        <v>0</v>
      </c>
      <c r="E75" s="145"/>
      <c r="F75" s="145">
        <f t="shared" si="16"/>
        <v>17372419.307692308</v>
      </c>
      <c r="G75" s="773">
        <f t="shared" si="17"/>
        <v>16283100.980769232</v>
      </c>
      <c r="H75" s="145">
        <f t="shared" si="14"/>
        <v>57908.064358974363</v>
      </c>
      <c r="I75" s="772">
        <f t="shared" si="19"/>
        <v>-405356.45051282051</v>
      </c>
      <c r="J75" s="773">
        <f>(I63+I75+SUM(I64:I74)*2)/24</f>
        <v>-118228.96473290598</v>
      </c>
      <c r="K75" s="774">
        <f t="shared" si="4"/>
        <v>16967062.857179489</v>
      </c>
      <c r="L75" s="773">
        <f t="shared" si="21"/>
        <v>-5938472.0000128206</v>
      </c>
      <c r="M75" s="773">
        <f t="shared" si="11"/>
        <v>-20267.822525640018</v>
      </c>
      <c r="N75" s="777">
        <f t="shared" si="0"/>
        <v>-41994928.273128204</v>
      </c>
      <c r="O75" s="773">
        <f t="shared" si="2"/>
        <v>-12295812.332222221</v>
      </c>
      <c r="P75" s="777">
        <f t="shared" si="15"/>
        <v>4671250.5249572676</v>
      </c>
      <c r="Q75" s="776"/>
      <c r="R75" s="776"/>
      <c r="S75" s="776"/>
      <c r="T75" s="776"/>
      <c r="U75" s="777">
        <f t="shared" si="12"/>
        <v>-5938472.0000128206</v>
      </c>
      <c r="V75" s="773">
        <f t="shared" si="13"/>
        <v>-3252141.0227601491</v>
      </c>
      <c r="W75" s="778">
        <f t="shared" si="9"/>
        <v>12912730.993276177</v>
      </c>
      <c r="X75" s="336">
        <f t="shared" si="10"/>
        <v>11028590.857166668</v>
      </c>
      <c r="Y75" s="173">
        <f t="shared" si="18"/>
        <v>16164872.016036326</v>
      </c>
      <c r="Z75" s="797"/>
    </row>
    <row r="76" spans="1:26" hidden="1" outlineLevel="1">
      <c r="A76" s="168"/>
      <c r="B76" s="29" t="s">
        <v>240</v>
      </c>
      <c r="C76" s="168"/>
      <c r="D76" s="145">
        <f>'LSR Prepaid Principal'!O62</f>
        <v>0</v>
      </c>
      <c r="E76" s="145"/>
      <c r="F76" s="145">
        <f t="shared" si="16"/>
        <v>17372419.307692308</v>
      </c>
      <c r="G76" s="773">
        <f t="shared" si="17"/>
        <v>16645020.455128206</v>
      </c>
      <c r="H76" s="145">
        <f t="shared" si="14"/>
        <v>57908.064358974363</v>
      </c>
      <c r="I76" s="772">
        <f t="shared" si="19"/>
        <v>-463264.51487179485</v>
      </c>
      <c r="J76" s="773">
        <f t="shared" si="20"/>
        <v>-154421.50495726496</v>
      </c>
      <c r="K76" s="774">
        <f t="shared" si="4"/>
        <v>16909154.792820513</v>
      </c>
      <c r="L76" s="773">
        <f>-K76*35%</f>
        <v>-5918204.1774871796</v>
      </c>
      <c r="M76" s="773">
        <f t="shared" si="11"/>
        <v>-20267.82252564095</v>
      </c>
      <c r="N76" s="777">
        <f t="shared" si="0"/>
        <v>-47913132.450615384</v>
      </c>
      <c r="O76" s="773">
        <f t="shared" si="2"/>
        <v>-16041981.529044872</v>
      </c>
      <c r="P76" s="777">
        <f t="shared" si="15"/>
        <v>867173.2637756411</v>
      </c>
      <c r="Q76" s="776"/>
      <c r="R76" s="776"/>
      <c r="S76" s="776"/>
      <c r="T76" s="776"/>
      <c r="U76" s="777">
        <f t="shared" si="12"/>
        <v>-5918204.1774871796</v>
      </c>
      <c r="V76" s="773">
        <f t="shared" si="13"/>
        <v>-3746169.1968226493</v>
      </c>
      <c r="W76" s="778">
        <f t="shared" si="9"/>
        <v>12744429.753348293</v>
      </c>
      <c r="X76" s="336">
        <f t="shared" si="10"/>
        <v>10990950.615333334</v>
      </c>
      <c r="Y76" s="173">
        <f t="shared" si="18"/>
        <v>16490598.950170942</v>
      </c>
      <c r="Z76" s="797"/>
    </row>
    <row r="77" spans="1:26" hidden="1" outlineLevel="1">
      <c r="A77" s="168"/>
      <c r="B77" s="29" t="s">
        <v>241</v>
      </c>
      <c r="C77" s="168"/>
      <c r="D77" s="145">
        <f>'LSR Prepaid Principal'!O63</f>
        <v>0</v>
      </c>
      <c r="E77" s="145"/>
      <c r="F77" s="145">
        <f t="shared" si="16"/>
        <v>17372419.307692308</v>
      </c>
      <c r="G77" s="773">
        <f t="shared" si="17"/>
        <v>16933369.416666668</v>
      </c>
      <c r="H77" s="145">
        <f t="shared" si="14"/>
        <v>57908.064358974363</v>
      </c>
      <c r="I77" s="772">
        <f>I76-H77</f>
        <v>-521172.57923076919</v>
      </c>
      <c r="J77" s="773">
        <f t="shared" si="20"/>
        <v>-195439.71721153846</v>
      </c>
      <c r="K77" s="774">
        <f>F77+I77</f>
        <v>16851246.728461538</v>
      </c>
      <c r="L77" s="773">
        <f t="shared" si="21"/>
        <v>-5897936.3549615378</v>
      </c>
      <c r="M77" s="773">
        <f t="shared" si="11"/>
        <v>-20267.822525641881</v>
      </c>
      <c r="N77" s="777">
        <f t="shared" si="0"/>
        <v>-53811068.805576921</v>
      </c>
      <c r="O77" s="773">
        <f t="shared" si="2"/>
        <v>-20280489.914719548</v>
      </c>
      <c r="P77" s="777">
        <f t="shared" si="15"/>
        <v>-3429243.1862580106</v>
      </c>
      <c r="Q77" s="776"/>
      <c r="R77" s="776"/>
      <c r="S77" s="776"/>
      <c r="T77" s="776"/>
      <c r="U77" s="777">
        <f t="shared" si="12"/>
        <v>-5897936.3549615378</v>
      </c>
      <c r="V77" s="773">
        <f t="shared" si="13"/>
        <v>-4238508.3856746797</v>
      </c>
      <c r="W77" s="778">
        <f>G77+J77+V77</f>
        <v>12499421.313780449</v>
      </c>
      <c r="X77" s="336">
        <f t="shared" si="10"/>
        <v>10953310.373500001</v>
      </c>
      <c r="Y77" s="173">
        <f>G77+J77</f>
        <v>16737929.699455129</v>
      </c>
      <c r="Z77" s="797"/>
    </row>
    <row r="78" spans="1:26" hidden="1" outlineLevel="1">
      <c r="A78" s="168"/>
      <c r="B78" s="29" t="s">
        <v>242</v>
      </c>
      <c r="C78" s="168"/>
      <c r="D78" s="145">
        <f>'LSR Prepaid Principal'!O64</f>
        <v>0</v>
      </c>
      <c r="E78" s="145"/>
      <c r="F78" s="145">
        <f t="shared" si="16"/>
        <v>17372419.307692308</v>
      </c>
      <c r="G78" s="773">
        <f t="shared" si="17"/>
        <v>17148147.865384616</v>
      </c>
      <c r="H78" s="145">
        <f t="shared" si="14"/>
        <v>57908.064358974363</v>
      </c>
      <c r="I78" s="772">
        <f t="shared" si="19"/>
        <v>-579080.64358974353</v>
      </c>
      <c r="J78" s="773">
        <f t="shared" si="20"/>
        <v>-241283.60149572647</v>
      </c>
      <c r="K78" s="774">
        <f t="shared" si="4"/>
        <v>16793338.664102565</v>
      </c>
      <c r="L78" s="773">
        <f>-K78*35%</f>
        <v>-5877668.5324358977</v>
      </c>
      <c r="M78" s="773">
        <f t="shared" si="11"/>
        <v>-20267.822525640018</v>
      </c>
      <c r="N78" s="777">
        <f t="shared" si="0"/>
        <v>-59688737.338012815</v>
      </c>
      <c r="O78" s="773">
        <f t="shared" si="2"/>
        <v>-25009648.504035786</v>
      </c>
      <c r="P78" s="777">
        <f t="shared" si="15"/>
        <v>-8216309.8399332203</v>
      </c>
      <c r="Q78" s="776"/>
      <c r="R78" s="776"/>
      <c r="S78" s="776"/>
      <c r="T78" s="776"/>
      <c r="U78" s="777">
        <f t="shared" si="12"/>
        <v>-5877668.5324358977</v>
      </c>
      <c r="V78" s="773">
        <f t="shared" si="13"/>
        <v>-4729158.5893162386</v>
      </c>
      <c r="W78" s="778">
        <f t="shared" si="9"/>
        <v>12177705.67457265</v>
      </c>
      <c r="X78" s="336">
        <f t="shared" si="10"/>
        <v>10915670.131666668</v>
      </c>
      <c r="Y78" s="173">
        <f t="shared" si="18"/>
        <v>16906864.263888888</v>
      </c>
      <c r="Z78" s="797"/>
    </row>
    <row r="79" spans="1:26" hidden="1" outlineLevel="1">
      <c r="A79" s="168"/>
      <c r="B79" s="29" t="s">
        <v>243</v>
      </c>
      <c r="C79" s="168"/>
      <c r="D79" s="145">
        <f>'LSR Prepaid Principal'!O65</f>
        <v>0</v>
      </c>
      <c r="E79" s="145"/>
      <c r="F79" s="145">
        <f t="shared" si="16"/>
        <v>17372419.307692308</v>
      </c>
      <c r="G79" s="773">
        <f t="shared" si="17"/>
        <v>17289355.801282052</v>
      </c>
      <c r="H79" s="145">
        <f t="shared" si="14"/>
        <v>57908.064358974363</v>
      </c>
      <c r="I79" s="772">
        <f t="shared" si="19"/>
        <v>-636988.70794871787</v>
      </c>
      <c r="J79" s="773">
        <f t="shared" si="20"/>
        <v>-291953.15780982905</v>
      </c>
      <c r="K79" s="774">
        <f t="shared" si="4"/>
        <v>16735430.59974359</v>
      </c>
      <c r="L79" s="773">
        <f t="shared" si="21"/>
        <v>-5857400.7099102559</v>
      </c>
      <c r="M79" s="773">
        <f t="shared" si="11"/>
        <v>-20267.822525641881</v>
      </c>
      <c r="N79" s="777">
        <f t="shared" si="0"/>
        <v>-65546138.047923073</v>
      </c>
      <c r="O79" s="773">
        <f t="shared" si="2"/>
        <v>-30227768.311783116</v>
      </c>
      <c r="P79" s="777">
        <f t="shared" si="15"/>
        <v>-13492337.712039527</v>
      </c>
      <c r="Q79" s="776"/>
      <c r="R79" s="776"/>
      <c r="S79" s="776"/>
      <c r="T79" s="776"/>
      <c r="U79" s="777">
        <f t="shared" si="12"/>
        <v>-5857400.7099102559</v>
      </c>
      <c r="V79" s="773">
        <f t="shared" si="13"/>
        <v>-5218119.8077473287</v>
      </c>
      <c r="W79" s="778">
        <f t="shared" si="9"/>
        <v>11779282.835724896</v>
      </c>
      <c r="X79" s="336">
        <f t="shared" si="10"/>
        <v>10878029.889833335</v>
      </c>
      <c r="Y79" s="173">
        <f t="shared" si="18"/>
        <v>16997402.643472224</v>
      </c>
      <c r="Z79" s="797"/>
    </row>
    <row r="80" spans="1:26" hidden="1" outlineLevel="1">
      <c r="A80" s="168"/>
      <c r="B80" s="169" t="s">
        <v>244</v>
      </c>
      <c r="C80" s="168"/>
      <c r="D80" s="145">
        <f>'LSR Prepaid Principal'!O66</f>
        <v>0</v>
      </c>
      <c r="E80" s="145"/>
      <c r="F80" s="145">
        <f t="shared" si="16"/>
        <v>17372419.307692308</v>
      </c>
      <c r="G80" s="773">
        <f t="shared" si="17"/>
        <v>17356993.22435898</v>
      </c>
      <c r="H80" s="145">
        <f t="shared" si="14"/>
        <v>57908.064358974363</v>
      </c>
      <c r="I80" s="772">
        <f t="shared" si="19"/>
        <v>-694896.77230769221</v>
      </c>
      <c r="J80" s="773">
        <f t="shared" si="20"/>
        <v>-347448.38615384611</v>
      </c>
      <c r="K80" s="774">
        <f t="shared" si="4"/>
        <v>16677522.535384616</v>
      </c>
      <c r="L80" s="773">
        <f t="shared" si="21"/>
        <v>-5837132.8873846149</v>
      </c>
      <c r="M80" s="773">
        <f t="shared" si="11"/>
        <v>-20267.82252564095</v>
      </c>
      <c r="N80" s="777">
        <f t="shared" si="0"/>
        <v>-71383270.935307682</v>
      </c>
      <c r="O80" s="773">
        <f t="shared" si="2"/>
        <v>-35933160.352751069</v>
      </c>
      <c r="P80" s="777">
        <f t="shared" si="15"/>
        <v>-19255637.817366451</v>
      </c>
      <c r="Q80" s="776"/>
      <c r="R80" s="776"/>
      <c r="S80" s="776"/>
      <c r="T80" s="776"/>
      <c r="U80" s="777">
        <f t="shared" si="12"/>
        <v>-5837132.8873846149</v>
      </c>
      <c r="V80" s="773">
        <f t="shared" si="13"/>
        <v>-5705392.0409679487</v>
      </c>
      <c r="W80" s="778">
        <f t="shared" si="9"/>
        <v>11304152.797237184</v>
      </c>
      <c r="X80" s="336">
        <f>F80+I80+U80</f>
        <v>10840389.648000002</v>
      </c>
      <c r="Y80" s="173">
        <f t="shared" si="18"/>
        <v>17009544.838205133</v>
      </c>
      <c r="Z80" s="797"/>
    </row>
    <row r="81" spans="1:26" hidden="1" outlineLevel="1">
      <c r="A81" s="168"/>
      <c r="B81" s="29" t="s">
        <v>245</v>
      </c>
      <c r="C81" s="168"/>
      <c r="D81" s="145">
        <f>'LSR Prepaid Principal'!O67</f>
        <v>0</v>
      </c>
      <c r="E81" s="145"/>
      <c r="F81" s="145">
        <f t="shared" si="16"/>
        <v>17372419.307692308</v>
      </c>
      <c r="G81" s="773">
        <f t="shared" si="17"/>
        <v>17372419.307692312</v>
      </c>
      <c r="H81" s="145">
        <f t="shared" si="14"/>
        <v>57908.064358974363</v>
      </c>
      <c r="I81" s="772">
        <f t="shared" si="19"/>
        <v>-752804.83666666655</v>
      </c>
      <c r="J81" s="773">
        <f t="shared" si="20"/>
        <v>-405356.45051282045</v>
      </c>
      <c r="K81" s="774">
        <f t="shared" si="4"/>
        <v>16619614.471025642</v>
      </c>
      <c r="L81" s="773">
        <f t="shared" si="21"/>
        <v>-5816865.064858974</v>
      </c>
      <c r="M81" s="773">
        <f t="shared" si="11"/>
        <v>-20267.82252564095</v>
      </c>
      <c r="N81" s="777">
        <f t="shared" si="0"/>
        <v>-77200136.000166655</v>
      </c>
      <c r="O81" s="773">
        <f t="shared" si="2"/>
        <v>-41871632.352763891</v>
      </c>
      <c r="P81" s="777">
        <f t="shared" si="15"/>
        <v>-25252017.881738249</v>
      </c>
      <c r="Q81" s="776"/>
      <c r="R81" s="776"/>
      <c r="S81" s="776"/>
      <c r="T81" s="776"/>
      <c r="U81" s="777">
        <f t="shared" si="12"/>
        <v>-5816865.064858974</v>
      </c>
      <c r="V81" s="773">
        <f t="shared" si="13"/>
        <v>-5938472.0000128197</v>
      </c>
      <c r="W81" s="778">
        <f t="shared" si="9"/>
        <v>11028590.857166674</v>
      </c>
      <c r="X81" s="336">
        <f t="shared" si="10"/>
        <v>10802749.406166669</v>
      </c>
      <c r="Y81" s="173">
        <f>G81+J81</f>
        <v>16967062.857179493</v>
      </c>
      <c r="Z81" s="797"/>
    </row>
    <row r="82" spans="1:26" hidden="1" outlineLevel="1">
      <c r="A82" s="168"/>
      <c r="B82" s="29" t="s">
        <v>246</v>
      </c>
      <c r="C82" s="168"/>
      <c r="D82" s="145"/>
      <c r="E82" s="145"/>
      <c r="F82" s="145">
        <f t="shared" si="16"/>
        <v>17372419.307692308</v>
      </c>
      <c r="G82" s="773">
        <f t="shared" si="17"/>
        <v>17372419.307692312</v>
      </c>
      <c r="H82" s="145">
        <f t="shared" si="14"/>
        <v>57908.064358974363</v>
      </c>
      <c r="I82" s="772">
        <f t="shared" si="19"/>
        <v>-810712.90102564089</v>
      </c>
      <c r="J82" s="773">
        <f t="shared" si="20"/>
        <v>-463264.51487179479</v>
      </c>
      <c r="K82" s="774">
        <f>F82+I82</f>
        <v>16561706.406666666</v>
      </c>
      <c r="L82" s="773">
        <f t="shared" si="21"/>
        <v>-5796597.242333333</v>
      </c>
      <c r="M82" s="773">
        <f t="shared" si="11"/>
        <v>-20267.82252564095</v>
      </c>
      <c r="N82" s="777">
        <f t="shared" si="0"/>
        <v>-82996733.242499992</v>
      </c>
      <c r="O82" s="773">
        <f t="shared" si="2"/>
        <v>-47789836.530251063</v>
      </c>
      <c r="P82" s="777">
        <f t="shared" si="15"/>
        <v>-31228130.123584397</v>
      </c>
      <c r="Q82" s="776"/>
      <c r="R82" s="776"/>
      <c r="S82" s="776"/>
      <c r="T82" s="776"/>
      <c r="U82" s="777">
        <f t="shared" si="12"/>
        <v>-5796597.242333333</v>
      </c>
      <c r="V82" s="773">
        <f t="shared" si="13"/>
        <v>-5918204.1774871796</v>
      </c>
      <c r="W82" s="778">
        <f t="shared" si="9"/>
        <v>10990950.615333337</v>
      </c>
      <c r="X82" s="336">
        <f t="shared" si="10"/>
        <v>10765109.164333332</v>
      </c>
      <c r="Y82" s="173">
        <f t="shared" si="18"/>
        <v>16909154.792820517</v>
      </c>
      <c r="Z82" s="797"/>
    </row>
    <row r="83" spans="1:26" hidden="1" outlineLevel="1">
      <c r="A83" s="168"/>
      <c r="B83" s="29" t="s">
        <v>247</v>
      </c>
      <c r="C83" s="168"/>
      <c r="D83" s="145"/>
      <c r="E83" s="145"/>
      <c r="F83" s="145">
        <f t="shared" si="16"/>
        <v>17372419.307692308</v>
      </c>
      <c r="G83" s="773">
        <f t="shared" si="17"/>
        <v>17372419.307692312</v>
      </c>
      <c r="H83" s="145">
        <f t="shared" si="14"/>
        <v>57908.064358974363</v>
      </c>
      <c r="I83" s="772">
        <f t="shared" si="19"/>
        <v>-868620.96538461524</v>
      </c>
      <c r="J83" s="773">
        <f t="shared" si="20"/>
        <v>-521172.57923076913</v>
      </c>
      <c r="K83" s="774">
        <f t="shared" si="4"/>
        <v>16503798.342307692</v>
      </c>
      <c r="L83" s="773">
        <f t="shared" si="21"/>
        <v>-5776329.4198076921</v>
      </c>
      <c r="M83" s="773">
        <f t="shared" si="11"/>
        <v>-20267.82252564095</v>
      </c>
      <c r="N83" s="777">
        <f t="shared" si="0"/>
        <v>-88773062.66230768</v>
      </c>
      <c r="O83" s="773">
        <f t="shared" si="2"/>
        <v>-53687772.8852126</v>
      </c>
      <c r="P83" s="777">
        <f t="shared" si="15"/>
        <v>-37183974.542904906</v>
      </c>
      <c r="Q83" s="776"/>
      <c r="R83" s="776"/>
      <c r="S83" s="776"/>
      <c r="T83" s="776"/>
      <c r="U83" s="777">
        <f t="shared" si="12"/>
        <v>-5776329.4198076921</v>
      </c>
      <c r="V83" s="773">
        <f t="shared" si="13"/>
        <v>-5897936.3549615378</v>
      </c>
      <c r="W83" s="778">
        <f t="shared" si="9"/>
        <v>10953310.373500004</v>
      </c>
      <c r="X83" s="336">
        <f t="shared" si="10"/>
        <v>10727468.922499999</v>
      </c>
      <c r="Y83" s="173">
        <f t="shared" si="18"/>
        <v>16851246.728461541</v>
      </c>
      <c r="Z83" s="797"/>
    </row>
    <row r="84" spans="1:26" hidden="1" outlineLevel="1">
      <c r="A84" s="168"/>
      <c r="B84" s="29" t="s">
        <v>248</v>
      </c>
      <c r="C84" s="168"/>
      <c r="D84" s="145"/>
      <c r="E84" s="145"/>
      <c r="F84" s="145">
        <f t="shared" si="16"/>
        <v>17372419.307692308</v>
      </c>
      <c r="G84" s="773">
        <f t="shared" si="17"/>
        <v>17372419.307692312</v>
      </c>
      <c r="H84" s="145">
        <f t="shared" si="14"/>
        <v>57908.064358974363</v>
      </c>
      <c r="I84" s="772">
        <f t="shared" si="19"/>
        <v>-926529.02974358958</v>
      </c>
      <c r="J84" s="773">
        <f t="shared" si="20"/>
        <v>-579080.64358974353</v>
      </c>
      <c r="K84" s="774">
        <f t="shared" si="4"/>
        <v>16445890.277948719</v>
      </c>
      <c r="L84" s="773">
        <f t="shared" si="21"/>
        <v>-5756061.5972820511</v>
      </c>
      <c r="M84" s="773">
        <f t="shared" si="11"/>
        <v>-20267.82252564095</v>
      </c>
      <c r="N84" s="777">
        <f t="shared" si="0"/>
        <v>-94529124.259589732</v>
      </c>
      <c r="O84" s="773">
        <f t="shared" si="2"/>
        <v>-59565441.417648494</v>
      </c>
      <c r="P84" s="777">
        <f t="shared" si="15"/>
        <v>-43119551.139699772</v>
      </c>
      <c r="Q84" s="776"/>
      <c r="R84" s="776"/>
      <c r="S84" s="776"/>
      <c r="T84" s="776"/>
      <c r="U84" s="777">
        <f t="shared" si="12"/>
        <v>-5756061.5972820511</v>
      </c>
      <c r="V84" s="773">
        <f t="shared" si="13"/>
        <v>-5877668.5324358977</v>
      </c>
      <c r="W84" s="778">
        <f t="shared" si="9"/>
        <v>10915670.131666671</v>
      </c>
      <c r="X84" s="336">
        <f t="shared" si="10"/>
        <v>10689828.680666666</v>
      </c>
      <c r="Y84" s="173">
        <f t="shared" si="18"/>
        <v>16793338.664102569</v>
      </c>
      <c r="Z84" s="797"/>
    </row>
    <row r="85" spans="1:26" hidden="1" outlineLevel="1">
      <c r="A85" s="168"/>
      <c r="B85" s="29" t="s">
        <v>249</v>
      </c>
      <c r="C85" s="168"/>
      <c r="D85" s="145"/>
      <c r="E85" s="145"/>
      <c r="F85" s="145">
        <f t="shared" si="16"/>
        <v>17372419.307692308</v>
      </c>
      <c r="G85" s="773">
        <f>(F73+F85+SUM(F74:F84)*2)/24</f>
        <v>17372419.307692312</v>
      </c>
      <c r="H85" s="145">
        <f t="shared" si="14"/>
        <v>57908.064358974363</v>
      </c>
      <c r="I85" s="772">
        <f t="shared" si="19"/>
        <v>-984437.09410256392</v>
      </c>
      <c r="J85" s="773">
        <f t="shared" si="20"/>
        <v>-636988.70794871787</v>
      </c>
      <c r="K85" s="774">
        <f t="shared" si="4"/>
        <v>16387982.213589745</v>
      </c>
      <c r="L85" s="773">
        <f t="shared" si="21"/>
        <v>-5735793.7747564102</v>
      </c>
      <c r="M85" s="773">
        <f t="shared" si="11"/>
        <v>-20267.82252564095</v>
      </c>
      <c r="N85" s="777">
        <f t="shared" si="0"/>
        <v>-100264918.03434615</v>
      </c>
      <c r="O85" s="773">
        <f t="shared" si="2"/>
        <v>-65422842.12755876</v>
      </c>
      <c r="P85" s="777">
        <f t="shared" si="15"/>
        <v>-49034859.913969018</v>
      </c>
      <c r="Q85" s="776"/>
      <c r="R85" s="776"/>
      <c r="S85" s="776"/>
      <c r="T85" s="776"/>
      <c r="U85" s="777">
        <f t="shared" si="12"/>
        <v>-5735793.7747564102</v>
      </c>
      <c r="V85" s="773">
        <f t="shared" si="13"/>
        <v>-5857400.7099102559</v>
      </c>
      <c r="W85" s="778">
        <f t="shared" si="9"/>
        <v>10878029.889833339</v>
      </c>
      <c r="X85" s="336">
        <f t="shared" si="10"/>
        <v>10652188.438833334</v>
      </c>
      <c r="Y85" s="173">
        <f t="shared" si="18"/>
        <v>16735430.599743593</v>
      </c>
      <c r="Z85" s="797"/>
    </row>
    <row r="86" spans="1:26" hidden="1" outlineLevel="1">
      <c r="A86" s="168"/>
      <c r="B86" s="29" t="s">
        <v>250</v>
      </c>
      <c r="C86" s="168"/>
      <c r="D86" s="145"/>
      <c r="E86" s="774"/>
      <c r="F86" s="145">
        <f>F85+E86</f>
        <v>17372419.307692308</v>
      </c>
      <c r="G86" s="773">
        <f>(F74+F86+SUM(F75:F85)*2)/24</f>
        <v>17372419.307692312</v>
      </c>
      <c r="H86" s="145">
        <f>H85</f>
        <v>57908.064358974363</v>
      </c>
      <c r="I86" s="772">
        <f>I85-H86</f>
        <v>-1042345.1584615383</v>
      </c>
      <c r="J86" s="773">
        <f t="shared" si="20"/>
        <v>-694896.77230769221</v>
      </c>
      <c r="K86" s="774">
        <f>F86+I86</f>
        <v>16330074.149230769</v>
      </c>
      <c r="L86" s="773">
        <f t="shared" si="21"/>
        <v>-5715525.9522307692</v>
      </c>
      <c r="M86" s="773">
        <f>-20268</f>
        <v>-20268</v>
      </c>
      <c r="N86" s="777">
        <f t="shared" si="0"/>
        <v>-105980443.98657691</v>
      </c>
      <c r="O86" s="773">
        <f t="shared" si="2"/>
        <v>-71259975.014943361</v>
      </c>
      <c r="P86" s="777">
        <f t="shared" si="15"/>
        <v>-54929900.865712591</v>
      </c>
      <c r="Q86" s="776"/>
      <c r="R86" s="776"/>
      <c r="S86" s="776"/>
      <c r="T86" s="776"/>
      <c r="U86" s="777">
        <f t="shared" si="12"/>
        <v>-5715525.7747564102</v>
      </c>
      <c r="V86" s="773">
        <f t="shared" si="13"/>
        <v>-5837132.8799898503</v>
      </c>
      <c r="W86" s="778">
        <f t="shared" si="9"/>
        <v>10840389.65539477</v>
      </c>
      <c r="X86" s="336">
        <f t="shared" si="10"/>
        <v>10614548.374474358</v>
      </c>
      <c r="Y86" s="173">
        <f t="shared" si="18"/>
        <v>16677522.53538462</v>
      </c>
      <c r="Z86" s="797"/>
    </row>
    <row r="87" spans="1:26" hidden="1" outlineLevel="1">
      <c r="A87" s="168"/>
      <c r="B87" s="29" t="s">
        <v>251</v>
      </c>
      <c r="C87" s="168"/>
      <c r="D87" s="145"/>
      <c r="E87" s="774">
        <v>-96421</v>
      </c>
      <c r="F87" s="145">
        <f>F86+E87</f>
        <v>17275998.307692308</v>
      </c>
      <c r="G87" s="773">
        <f t="shared" si="17"/>
        <v>17368401.766025644</v>
      </c>
      <c r="H87" s="145">
        <v>57586</v>
      </c>
      <c r="I87" s="772">
        <f>I86-H87</f>
        <v>-1099931.1584615381</v>
      </c>
      <c r="J87" s="773">
        <f>(I75+I87+SUM(I76:I86)*2)/24</f>
        <v>-752791.4173183759</v>
      </c>
      <c r="K87" s="774">
        <f>F87+I87</f>
        <v>16176067.149230771</v>
      </c>
      <c r="L87" s="773">
        <f t="shared" si="21"/>
        <v>-5661623.502230769</v>
      </c>
      <c r="M87" s="773">
        <f>-53902.45</f>
        <v>-53902.45</v>
      </c>
      <c r="N87" s="777">
        <f t="shared" ref="N87:N92" si="22">N86+L87</f>
        <v>-111642067.48880768</v>
      </c>
      <c r="O87" s="773">
        <f t="shared" si="2"/>
        <v>-77075438.636990905</v>
      </c>
      <c r="P87" s="777">
        <f t="shared" si="15"/>
        <v>-60899371.487760134</v>
      </c>
      <c r="Q87" s="776"/>
      <c r="R87" s="776"/>
      <c r="S87" s="776"/>
      <c r="T87" s="776"/>
      <c r="U87" s="777">
        <f t="shared" si="12"/>
        <v>-5661623.32475641</v>
      </c>
      <c r="V87" s="773">
        <f t="shared" si="13"/>
        <v>-5815463.599863247</v>
      </c>
      <c r="W87" s="778">
        <f t="shared" si="9"/>
        <v>10800146.74884402</v>
      </c>
      <c r="X87" s="336">
        <f>F87+I87+U87</f>
        <v>10514443.824474361</v>
      </c>
      <c r="Y87" s="173">
        <f>G87+J87</f>
        <v>16615610.348707268</v>
      </c>
      <c r="Z87" s="797"/>
    </row>
    <row r="88" spans="1:26" hidden="1" outlineLevel="1">
      <c r="A88" s="168"/>
      <c r="B88" s="29" t="s">
        <v>252</v>
      </c>
      <c r="C88" s="168"/>
      <c r="D88" s="145"/>
      <c r="E88" s="145"/>
      <c r="F88" s="145">
        <f>F87+E88</f>
        <v>17275998.307692308</v>
      </c>
      <c r="G88" s="773">
        <f t="shared" si="17"/>
        <v>17360366.682692312</v>
      </c>
      <c r="H88" s="145">
        <v>57586</v>
      </c>
      <c r="I88" s="772">
        <f t="shared" si="19"/>
        <v>-1157517.1584615381</v>
      </c>
      <c r="J88" s="773">
        <f t="shared" si="20"/>
        <v>-810659.2236324785</v>
      </c>
      <c r="K88" s="774">
        <f t="shared" si="4"/>
        <v>16118481.149230771</v>
      </c>
      <c r="L88" s="773">
        <f t="shared" si="21"/>
        <v>-5641468.4022307694</v>
      </c>
      <c r="M88" s="773">
        <f>-20155</f>
        <v>-20155</v>
      </c>
      <c r="N88" s="777">
        <f t="shared" si="22"/>
        <v>-117283535.89103845</v>
      </c>
      <c r="O88" s="773">
        <f t="shared" si="2"/>
        <v>-82867836.247661844</v>
      </c>
      <c r="P88" s="777">
        <f t="shared" si="15"/>
        <v>-66749355.098431073</v>
      </c>
      <c r="Q88" s="776"/>
      <c r="R88" s="776"/>
      <c r="S88" s="776"/>
      <c r="T88" s="776"/>
      <c r="U88" s="777">
        <f t="shared" si="12"/>
        <v>-5641468.32475641</v>
      </c>
      <c r="V88" s="773">
        <f>(U76+U88+SUM(U77:U87)*2)/24</f>
        <v>-5792397.5778637817</v>
      </c>
      <c r="W88" s="778">
        <f>G88+J88+V88</f>
        <v>10757309.881196052</v>
      </c>
      <c r="X88" s="336">
        <f t="shared" si="10"/>
        <v>10477012.824474361</v>
      </c>
      <c r="Y88" s="173">
        <f t="shared" si="18"/>
        <v>16549707.459059833</v>
      </c>
      <c r="Z88" s="797"/>
    </row>
    <row r="89" spans="1:26" hidden="1" outlineLevel="1">
      <c r="A89" s="168"/>
      <c r="B89" s="29" t="s">
        <v>253</v>
      </c>
      <c r="C89" s="168"/>
      <c r="D89" s="145"/>
      <c r="E89" s="145"/>
      <c r="F89" s="145">
        <f t="shared" si="16"/>
        <v>17275998.307692308</v>
      </c>
      <c r="G89" s="773">
        <f t="shared" si="17"/>
        <v>17352331.59935898</v>
      </c>
      <c r="H89" s="145">
        <f>57285-603</f>
        <v>56682</v>
      </c>
      <c r="I89" s="772">
        <f t="shared" si="19"/>
        <v>-1214199.1584615381</v>
      </c>
      <c r="J89" s="773">
        <f t="shared" si="20"/>
        <v>-868462.52458333306</v>
      </c>
      <c r="K89" s="774">
        <f t="shared" si="4"/>
        <v>16061799.149230771</v>
      </c>
      <c r="L89" s="773">
        <f t="shared" si="21"/>
        <v>-5621629.7022307692</v>
      </c>
      <c r="M89" s="773">
        <f t="shared" si="11"/>
        <v>-19838.700000000186</v>
      </c>
      <c r="N89" s="777">
        <f t="shared" si="22"/>
        <v>-122905165.59326921</v>
      </c>
      <c r="O89" s="773">
        <f t="shared" si="2"/>
        <v>-88637190.423833326</v>
      </c>
      <c r="P89" s="777">
        <f t="shared" si="15"/>
        <v>-72575391.274602562</v>
      </c>
      <c r="Q89" s="776"/>
      <c r="R89" s="776"/>
      <c r="S89" s="776"/>
      <c r="T89" s="776"/>
      <c r="U89" s="777">
        <f t="shared" si="12"/>
        <v>-5621629.6247564098</v>
      </c>
      <c r="V89" s="773">
        <f t="shared" si="13"/>
        <v>-5769354.1369081186</v>
      </c>
      <c r="W89" s="778">
        <f t="shared" si="9"/>
        <v>10714514.93786753</v>
      </c>
      <c r="X89" s="336">
        <f t="shared" si="10"/>
        <v>10440169.52447436</v>
      </c>
      <c r="Y89" s="173">
        <f t="shared" si="18"/>
        <v>16483869.074775647</v>
      </c>
      <c r="Z89" s="797"/>
    </row>
    <row r="90" spans="1:26" hidden="1" outlineLevel="1">
      <c r="A90" s="168"/>
      <c r="B90" s="29" t="s">
        <v>254</v>
      </c>
      <c r="C90" s="168"/>
      <c r="D90" s="145"/>
      <c r="E90" s="145"/>
      <c r="F90" s="145">
        <f t="shared" si="16"/>
        <v>17275998.307692308</v>
      </c>
      <c r="G90" s="773">
        <f>(F78+F90+SUM(F79:F89)*2)/24</f>
        <v>17344296.516025644</v>
      </c>
      <c r="H90" s="145">
        <f>57285</f>
        <v>57285</v>
      </c>
      <c r="I90" s="772">
        <f>I89-H90</f>
        <v>-1271484.1584615381</v>
      </c>
      <c r="J90" s="773">
        <f>(I78+I90+SUM(I79:I89)*2)/24</f>
        <v>-926188.77850427327</v>
      </c>
      <c r="K90" s="774">
        <f>F90+I90</f>
        <v>16004514.149230771</v>
      </c>
      <c r="L90" s="773">
        <f t="shared" si="21"/>
        <v>-5601579.9522307692</v>
      </c>
      <c r="M90" s="773">
        <f t="shared" si="11"/>
        <v>-20049.75</v>
      </c>
      <c r="N90" s="777">
        <f t="shared" si="22"/>
        <v>-128506745.54549998</v>
      </c>
      <c r="O90" s="773">
        <f t="shared" si="2"/>
        <v>-94383528.131965801</v>
      </c>
      <c r="P90" s="777">
        <f t="shared" si="15"/>
        <v>-78379013.982735038</v>
      </c>
      <c r="Q90" s="776"/>
      <c r="R90" s="776"/>
      <c r="S90" s="776"/>
      <c r="T90" s="776"/>
      <c r="U90" s="777">
        <f>U89-M90</f>
        <v>-5601579.8747564098</v>
      </c>
      <c r="V90" s="773">
        <f>(U78+U90+SUM(U79:U89)*2)/24</f>
        <v>-5746337.6624129275</v>
      </c>
      <c r="W90" s="778">
        <f t="shared" si="9"/>
        <v>10671770.075108442</v>
      </c>
      <c r="X90" s="336">
        <f t="shared" si="10"/>
        <v>10402934.27447436</v>
      </c>
      <c r="Y90" s="173">
        <f>G90+J90</f>
        <v>16418107.737521371</v>
      </c>
      <c r="Z90" s="797"/>
    </row>
    <row r="91" spans="1:26" hidden="1" outlineLevel="1">
      <c r="A91" s="168"/>
      <c r="B91" s="29" t="s">
        <v>255</v>
      </c>
      <c r="C91" s="168"/>
      <c r="D91" s="145"/>
      <c r="E91" s="145"/>
      <c r="F91" s="145">
        <f t="shared" si="16"/>
        <v>17275998.307692308</v>
      </c>
      <c r="G91" s="773">
        <f t="shared" si="17"/>
        <v>17336261.432692312</v>
      </c>
      <c r="H91" s="145">
        <f t="shared" ref="H91:H154" si="23">H90</f>
        <v>57285</v>
      </c>
      <c r="I91" s="772">
        <f t="shared" si="19"/>
        <v>-1328769.1584615381</v>
      </c>
      <c r="J91" s="773">
        <f t="shared" si="20"/>
        <v>-983863.11039529892</v>
      </c>
      <c r="K91" s="774">
        <f t="shared" si="4"/>
        <v>15947229.149230771</v>
      </c>
      <c r="L91" s="773">
        <f t="shared" si="21"/>
        <v>-5581530.2022307692</v>
      </c>
      <c r="M91" s="773">
        <f t="shared" si="11"/>
        <v>-20049.75</v>
      </c>
      <c r="N91" s="777">
        <f t="shared" si="22"/>
        <v>-134088275.74773075</v>
      </c>
      <c r="O91" s="773">
        <f t="shared" si="2"/>
        <v>-100106867.54476975</v>
      </c>
      <c r="P91" s="777">
        <f t="shared" si="15"/>
        <v>-84159638.395538986</v>
      </c>
      <c r="Q91" s="776"/>
      <c r="R91" s="776"/>
      <c r="S91" s="776"/>
      <c r="T91" s="776"/>
      <c r="U91" s="777">
        <f t="shared" si="12"/>
        <v>-5581530.1247564098</v>
      </c>
      <c r="V91" s="773">
        <f t="shared" si="13"/>
        <v>-5723339.3606282054</v>
      </c>
      <c r="W91" s="778">
        <f t="shared" si="9"/>
        <v>10629058.961668808</v>
      </c>
      <c r="X91" s="336">
        <f t="shared" si="10"/>
        <v>10365699.02447436</v>
      </c>
      <c r="Y91" s="173">
        <f t="shared" si="18"/>
        <v>16352398.322297012</v>
      </c>
      <c r="Z91" s="797"/>
    </row>
    <row r="92" spans="1:26" hidden="1" outlineLevel="1">
      <c r="A92" s="168"/>
      <c r="B92" s="29" t="s">
        <v>256</v>
      </c>
      <c r="C92" s="168"/>
      <c r="D92" s="145"/>
      <c r="E92" s="145"/>
      <c r="F92" s="145">
        <f t="shared" si="16"/>
        <v>17275998.307692308</v>
      </c>
      <c r="G92" s="773">
        <f t="shared" si="17"/>
        <v>17328226.34935898</v>
      </c>
      <c r="H92" s="145">
        <f t="shared" si="23"/>
        <v>57285</v>
      </c>
      <c r="I92" s="772">
        <f t="shared" si="19"/>
        <v>-1386054.1584615381</v>
      </c>
      <c r="J92" s="773">
        <f t="shared" si="20"/>
        <v>-1041485.5202564099</v>
      </c>
      <c r="K92" s="774">
        <f t="shared" si="4"/>
        <v>15889944.149230771</v>
      </c>
      <c r="L92" s="773">
        <f>-K92*35%</f>
        <v>-5561480.4522307692</v>
      </c>
      <c r="M92" s="773">
        <f t="shared" si="11"/>
        <v>-20049.75</v>
      </c>
      <c r="N92" s="777">
        <f t="shared" si="22"/>
        <v>-139649756.19996151</v>
      </c>
      <c r="O92" s="773">
        <f t="shared" si="2"/>
        <v>-105807226.83495565</v>
      </c>
      <c r="P92" s="777">
        <f t="shared" si="15"/>
        <v>-89917282.685724884</v>
      </c>
      <c r="Q92" s="776"/>
      <c r="R92" s="776"/>
      <c r="S92" s="776"/>
      <c r="T92" s="776"/>
      <c r="U92" s="777">
        <f t="shared" si="12"/>
        <v>-5561480.3747564098</v>
      </c>
      <c r="V92" s="773">
        <f t="shared" si="13"/>
        <v>-5700359.2315539531</v>
      </c>
      <c r="W92" s="778">
        <f t="shared" si="9"/>
        <v>10586381.597548617</v>
      </c>
      <c r="X92" s="336">
        <f t="shared" si="10"/>
        <v>10328463.77447436</v>
      </c>
      <c r="Y92" s="173">
        <f t="shared" si="18"/>
        <v>16286740.82910257</v>
      </c>
      <c r="Z92" s="797"/>
    </row>
    <row r="93" spans="1:26" hidden="1" outlineLevel="1">
      <c r="A93" s="168"/>
      <c r="B93" s="29" t="s">
        <v>257</v>
      </c>
      <c r="C93" s="168"/>
      <c r="D93" s="145"/>
      <c r="E93" s="145"/>
      <c r="F93" s="145">
        <f t="shared" si="16"/>
        <v>17275998.307692308</v>
      </c>
      <c r="G93" s="773">
        <f t="shared" si="17"/>
        <v>17320191.266025644</v>
      </c>
      <c r="H93" s="145">
        <f t="shared" si="23"/>
        <v>57285</v>
      </c>
      <c r="I93" s="772">
        <f t="shared" si="19"/>
        <v>-1443339.1584615381</v>
      </c>
      <c r="J93" s="773">
        <f t="shared" si="20"/>
        <v>-1099056.0080876064</v>
      </c>
      <c r="K93" s="774">
        <f>F93+I93</f>
        <v>15832659.149230771</v>
      </c>
      <c r="L93" s="773">
        <f>-K93*35%</f>
        <v>-5541430.7022307692</v>
      </c>
      <c r="M93" s="773">
        <f t="shared" si="11"/>
        <v>-20049.75</v>
      </c>
      <c r="N93" s="777"/>
      <c r="O93" s="773">
        <f t="shared" si="2"/>
        <v>-105434991.38764262</v>
      </c>
      <c r="P93" s="777">
        <f t="shared" si="15"/>
        <v>-89602332.238411844</v>
      </c>
      <c r="Q93" s="776"/>
      <c r="R93" s="776"/>
      <c r="S93" s="776"/>
      <c r="T93" s="776"/>
      <c r="U93" s="777">
        <f t="shared" si="12"/>
        <v>-5541430.6247564098</v>
      </c>
      <c r="V93" s="773">
        <f t="shared" si="13"/>
        <v>-5677397.2751901718</v>
      </c>
      <c r="W93" s="778">
        <f t="shared" si="9"/>
        <v>10543737.982747864</v>
      </c>
      <c r="X93" s="336">
        <f t="shared" si="10"/>
        <v>10291228.52447436</v>
      </c>
      <c r="Y93" s="173">
        <f t="shared" si="18"/>
        <v>16221135.257938037</v>
      </c>
      <c r="Z93" s="797"/>
    </row>
    <row r="94" spans="1:26" hidden="1" outlineLevel="1">
      <c r="A94" s="168"/>
      <c r="B94" s="29" t="s">
        <v>258</v>
      </c>
      <c r="C94" s="168"/>
      <c r="D94" s="145"/>
      <c r="E94" s="145"/>
      <c r="F94" s="145">
        <f t="shared" si="16"/>
        <v>17275998.307692308</v>
      </c>
      <c r="G94" s="773">
        <f t="shared" si="17"/>
        <v>17312156.182692312</v>
      </c>
      <c r="H94" s="145">
        <f t="shared" si="23"/>
        <v>57285</v>
      </c>
      <c r="I94" s="772">
        <f t="shared" si="19"/>
        <v>-1500624.1584615381</v>
      </c>
      <c r="J94" s="773">
        <f t="shared" si="20"/>
        <v>-1156574.5738888883</v>
      </c>
      <c r="K94" s="774">
        <f t="shared" si="4"/>
        <v>15775374.149230771</v>
      </c>
      <c r="L94" s="773">
        <f t="shared" ref="L94:L157" si="24">-K94*35%</f>
        <v>-5521380.9522307692</v>
      </c>
      <c r="M94" s="773">
        <f t="shared" si="11"/>
        <v>-20049.75</v>
      </c>
      <c r="N94" s="777"/>
      <c r="O94" s="773">
        <f t="shared" si="2"/>
        <v>-98760121.835864827</v>
      </c>
      <c r="P94" s="777">
        <f t="shared" si="15"/>
        <v>-82984747.686634064</v>
      </c>
      <c r="Q94" s="776"/>
      <c r="R94" s="776"/>
      <c r="S94" s="776"/>
      <c r="T94" s="776"/>
      <c r="U94" s="777">
        <f t="shared" si="12"/>
        <v>-5521380.8747564098</v>
      </c>
      <c r="V94" s="773">
        <f t="shared" si="13"/>
        <v>-5654453.4915368594</v>
      </c>
      <c r="W94" s="778">
        <f t="shared" si="9"/>
        <v>10501128.117266564</v>
      </c>
      <c r="X94" s="336">
        <f t="shared" si="10"/>
        <v>10253993.27447436</v>
      </c>
      <c r="Y94" s="173">
        <f t="shared" si="18"/>
        <v>16155581.608803423</v>
      </c>
      <c r="Z94" s="797"/>
    </row>
    <row r="95" spans="1:26" hidden="1" outlineLevel="1">
      <c r="A95" s="168"/>
      <c r="B95" s="29" t="s">
        <v>259</v>
      </c>
      <c r="C95" s="168"/>
      <c r="D95" s="145"/>
      <c r="E95" s="145"/>
      <c r="F95" s="145">
        <f t="shared" si="16"/>
        <v>17275998.307692308</v>
      </c>
      <c r="G95" s="773">
        <f t="shared" si="17"/>
        <v>17304121.09935898</v>
      </c>
      <c r="H95" s="145">
        <f t="shared" si="23"/>
        <v>57285</v>
      </c>
      <c r="I95" s="772">
        <f t="shared" si="19"/>
        <v>-1557909.1584615381</v>
      </c>
      <c r="J95" s="773">
        <f t="shared" si="20"/>
        <v>-1214041.217660256</v>
      </c>
      <c r="K95" s="774">
        <f t="shared" si="4"/>
        <v>15718089.149230771</v>
      </c>
      <c r="L95" s="773">
        <f t="shared" si="24"/>
        <v>-5501331.2022307692</v>
      </c>
      <c r="M95" s="773">
        <f t="shared" si="11"/>
        <v>-20049.75</v>
      </c>
      <c r="N95" s="777"/>
      <c r="O95" s="773">
        <f t="shared" si="2"/>
        <v>-91603047.006497845</v>
      </c>
      <c r="P95" s="777">
        <f t="shared" si="15"/>
        <v>-75884957.857267082</v>
      </c>
      <c r="Q95" s="776"/>
      <c r="R95" s="776"/>
      <c r="S95" s="776"/>
      <c r="T95" s="776"/>
      <c r="U95" s="777">
        <f t="shared" si="12"/>
        <v>-5501331.1247564098</v>
      </c>
      <c r="V95" s="773">
        <f t="shared" si="13"/>
        <v>-5631527.8805940179</v>
      </c>
      <c r="W95" s="778">
        <f t="shared" si="9"/>
        <v>10458552.001104705</v>
      </c>
      <c r="X95" s="336">
        <f t="shared" si="10"/>
        <v>10216758.02447436</v>
      </c>
      <c r="Y95" s="173">
        <f t="shared" si="18"/>
        <v>16090079.881698724</v>
      </c>
      <c r="Z95" s="797"/>
    </row>
    <row r="96" spans="1:26" hidden="1" outlineLevel="1">
      <c r="A96" s="168"/>
      <c r="B96" s="29" t="s">
        <v>260</v>
      </c>
      <c r="C96" s="168"/>
      <c r="D96" s="145"/>
      <c r="E96" s="145"/>
      <c r="F96" s="145">
        <f t="shared" si="16"/>
        <v>17275998.307692308</v>
      </c>
      <c r="G96" s="773">
        <f t="shared" si="17"/>
        <v>17296086.016025644</v>
      </c>
      <c r="H96" s="145">
        <f t="shared" si="23"/>
        <v>57285</v>
      </c>
      <c r="I96" s="772">
        <f t="shared" si="19"/>
        <v>-1615194.1584615381</v>
      </c>
      <c r="J96" s="773">
        <f t="shared" si="20"/>
        <v>-1271455.939401709</v>
      </c>
      <c r="K96" s="774">
        <f t="shared" si="4"/>
        <v>15660804.149230771</v>
      </c>
      <c r="L96" s="773">
        <f t="shared" si="24"/>
        <v>-5481281.4522307692</v>
      </c>
      <c r="M96" s="773">
        <f t="shared" si="11"/>
        <v>-20049.75</v>
      </c>
      <c r="N96" s="777"/>
      <c r="O96" s="773">
        <f t="shared" si="2"/>
        <v>-83965455.884752125</v>
      </c>
      <c r="P96" s="777">
        <f t="shared" si="15"/>
        <v>-68304651.735521346</v>
      </c>
      <c r="Q96" s="776"/>
      <c r="R96" s="776"/>
      <c r="S96" s="776"/>
      <c r="T96" s="776"/>
      <c r="U96" s="777">
        <f t="shared" si="12"/>
        <v>-5481281.3747564098</v>
      </c>
      <c r="V96" s="773">
        <f t="shared" si="13"/>
        <v>-5608620.4423616454</v>
      </c>
      <c r="W96" s="778">
        <f t="shared" si="9"/>
        <v>10416009.63426229</v>
      </c>
      <c r="X96" s="336">
        <f t="shared" si="10"/>
        <v>10179522.77447436</v>
      </c>
      <c r="Y96" s="173">
        <f t="shared" si="18"/>
        <v>16024630.076623935</v>
      </c>
      <c r="Z96" s="797"/>
    </row>
    <row r="97" spans="1:26" hidden="1" outlineLevel="1">
      <c r="A97" s="168"/>
      <c r="B97" s="29" t="s">
        <v>261</v>
      </c>
      <c r="C97" s="168"/>
      <c r="D97" s="145"/>
      <c r="E97" s="145"/>
      <c r="F97" s="145">
        <f t="shared" si="16"/>
        <v>17275998.307692308</v>
      </c>
      <c r="G97" s="773">
        <f t="shared" si="17"/>
        <v>17288050.932692312</v>
      </c>
      <c r="H97" s="145">
        <f t="shared" si="23"/>
        <v>57285</v>
      </c>
      <c r="I97" s="772">
        <f t="shared" si="19"/>
        <v>-1672479.1584615381</v>
      </c>
      <c r="J97" s="773">
        <f t="shared" si="20"/>
        <v>-1328818.7391132473</v>
      </c>
      <c r="K97" s="774">
        <f t="shared" si="4"/>
        <v>15603519.149230771</v>
      </c>
      <c r="L97" s="773">
        <f t="shared" si="24"/>
        <v>-5461231.7022307692</v>
      </c>
      <c r="M97" s="773">
        <f t="shared" si="11"/>
        <v>-20049.75</v>
      </c>
      <c r="N97" s="777"/>
      <c r="O97" s="773">
        <f t="shared" si="2"/>
        <v>-75849037.455838129</v>
      </c>
      <c r="P97" s="777">
        <f t="shared" si="15"/>
        <v>-60245518.306607358</v>
      </c>
      <c r="Q97" s="776"/>
      <c r="R97" s="776"/>
      <c r="S97" s="776"/>
      <c r="T97" s="776"/>
      <c r="U97" s="777">
        <f t="shared" si="12"/>
        <v>-5461231.6247564098</v>
      </c>
      <c r="V97" s="773">
        <f t="shared" si="13"/>
        <v>-5585731.1768397437</v>
      </c>
      <c r="W97" s="778">
        <f t="shared" si="9"/>
        <v>10373501.01673932</v>
      </c>
      <c r="X97" s="336">
        <f t="shared" si="10"/>
        <v>10142287.52447436</v>
      </c>
      <c r="Y97" s="173">
        <f t="shared" si="18"/>
        <v>15959232.193579065</v>
      </c>
      <c r="Z97" s="797"/>
    </row>
    <row r="98" spans="1:26" hidden="1" outlineLevel="1">
      <c r="A98" s="168"/>
      <c r="B98" s="29" t="s">
        <v>262</v>
      </c>
      <c r="C98" s="168"/>
      <c r="D98" s="145"/>
      <c r="E98" s="145"/>
      <c r="F98" s="145">
        <f t="shared" si="16"/>
        <v>17275998.307692308</v>
      </c>
      <c r="G98" s="773">
        <f t="shared" si="17"/>
        <v>17280015.84935898</v>
      </c>
      <c r="H98" s="145">
        <f t="shared" si="23"/>
        <v>57285</v>
      </c>
      <c r="I98" s="772">
        <f t="shared" si="19"/>
        <v>-1729764.1584615381</v>
      </c>
      <c r="J98" s="773">
        <f t="shared" si="20"/>
        <v>-1386129.6167948712</v>
      </c>
      <c r="K98" s="774">
        <f t="shared" si="4"/>
        <v>15546234.149230771</v>
      </c>
      <c r="L98" s="773">
        <f t="shared" si="24"/>
        <v>-5441181.9522307692</v>
      </c>
      <c r="M98" s="773">
        <f t="shared" si="11"/>
        <v>-20049.75</v>
      </c>
      <c r="N98" s="777"/>
      <c r="O98" s="773">
        <f t="shared" si="2"/>
        <v>-67255480.704966351</v>
      </c>
      <c r="P98" s="777">
        <f t="shared" si="15"/>
        <v>-51709246.555735581</v>
      </c>
      <c r="Q98" s="776"/>
      <c r="R98" s="776"/>
      <c r="S98" s="776"/>
      <c r="T98" s="776"/>
      <c r="U98" s="777">
        <f t="shared" si="12"/>
        <v>-5441181.8747564098</v>
      </c>
      <c r="V98" s="773">
        <f t="shared" si="13"/>
        <v>-5562860.0914230766</v>
      </c>
      <c r="W98" s="778">
        <f t="shared" si="9"/>
        <v>10331026.141141031</v>
      </c>
      <c r="X98" s="336">
        <f t="shared" si="10"/>
        <v>10105052.27447436</v>
      </c>
      <c r="Y98" s="173">
        <f t="shared" si="18"/>
        <v>15893886.232564108</v>
      </c>
      <c r="Z98" s="797"/>
    </row>
    <row r="99" spans="1:26" hidden="1" outlineLevel="1">
      <c r="A99" s="168"/>
      <c r="B99" s="29" t="s">
        <v>263</v>
      </c>
      <c r="C99" s="168"/>
      <c r="D99" s="145"/>
      <c r="E99" s="145"/>
      <c r="F99" s="145">
        <f t="shared" si="16"/>
        <v>17275998.307692308</v>
      </c>
      <c r="G99" s="773">
        <f t="shared" si="17"/>
        <v>17275998.307692312</v>
      </c>
      <c r="H99" s="145">
        <f t="shared" si="23"/>
        <v>57285</v>
      </c>
      <c r="I99" s="772">
        <f t="shared" si="19"/>
        <v>-1787049.1584615381</v>
      </c>
      <c r="J99" s="773">
        <f t="shared" si="20"/>
        <v>-1443401.9917948712</v>
      </c>
      <c r="K99" s="774">
        <f t="shared" si="4"/>
        <v>15488949.149230771</v>
      </c>
      <c r="L99" s="773">
        <f t="shared" si="24"/>
        <v>-5421132.2022307692</v>
      </c>
      <c r="M99" s="773">
        <f t="shared" si="11"/>
        <v>-20049.75</v>
      </c>
      <c r="N99" s="777"/>
      <c r="O99" s="773">
        <f t="shared" si="2"/>
        <v>-58187876.06015864</v>
      </c>
      <c r="P99" s="777">
        <f t="shared" si="15"/>
        <v>-42698926.910927869</v>
      </c>
      <c r="Q99" s="776"/>
      <c r="R99" s="776"/>
      <c r="S99" s="776"/>
      <c r="T99" s="776"/>
      <c r="U99" s="777">
        <f t="shared" si="12"/>
        <v>-5421132.1247564098</v>
      </c>
      <c r="V99" s="773">
        <f t="shared" si="13"/>
        <v>-5541408.6289230771</v>
      </c>
      <c r="W99" s="778">
        <f t="shared" si="9"/>
        <v>10291187.686974363</v>
      </c>
      <c r="X99" s="336">
        <f t="shared" si="10"/>
        <v>10067817.02447436</v>
      </c>
      <c r="Y99" s="173">
        <f t="shared" si="18"/>
        <v>15832596.315897441</v>
      </c>
      <c r="Z99" s="797"/>
    </row>
    <row r="100" spans="1:26" hidden="1" outlineLevel="1">
      <c r="A100" s="168"/>
      <c r="B100" s="29" t="s">
        <v>264</v>
      </c>
      <c r="C100" s="168"/>
      <c r="D100" s="145"/>
      <c r="E100" s="145"/>
      <c r="F100" s="145">
        <f t="shared" si="16"/>
        <v>17275998.307692308</v>
      </c>
      <c r="G100" s="773">
        <f t="shared" si="17"/>
        <v>17275998.307692312</v>
      </c>
      <c r="H100" s="145">
        <f t="shared" si="23"/>
        <v>57285</v>
      </c>
      <c r="I100" s="772">
        <f t="shared" si="19"/>
        <v>-1844334.1584615381</v>
      </c>
      <c r="J100" s="773">
        <f t="shared" si="20"/>
        <v>-1500649.2834615379</v>
      </c>
      <c r="K100" s="774">
        <f t="shared" si="4"/>
        <v>15431664.149230771</v>
      </c>
      <c r="L100" s="773">
        <f t="shared" si="24"/>
        <v>-5401082.4522307692</v>
      </c>
      <c r="M100" s="773">
        <f t="shared" si="11"/>
        <v>-20049.75</v>
      </c>
      <c r="N100" s="777"/>
      <c r="O100" s="773">
        <f t="shared" ref="O100:O163" si="25">(N88+N100+SUM(N89:N99)*2)/24</f>
        <v>-48649309.25266505</v>
      </c>
      <c r="P100" s="777">
        <f t="shared" si="15"/>
        <v>-33217645.10343428</v>
      </c>
      <c r="Q100" s="776"/>
      <c r="R100" s="776"/>
      <c r="S100" s="776"/>
      <c r="T100" s="776"/>
      <c r="U100" s="777">
        <f t="shared" si="12"/>
        <v>-5401082.3747564098</v>
      </c>
      <c r="V100" s="773">
        <f t="shared" si="13"/>
        <v>-5521372.0810064105</v>
      </c>
      <c r="W100" s="778">
        <f t="shared" si="9"/>
        <v>10253976.943224363</v>
      </c>
      <c r="X100" s="336">
        <f t="shared" si="10"/>
        <v>10030581.77447436</v>
      </c>
      <c r="Y100" s="173">
        <f t="shared" si="18"/>
        <v>15775349.024230774</v>
      </c>
      <c r="Z100" s="797"/>
    </row>
    <row r="101" spans="1:26" collapsed="1">
      <c r="A101" s="168"/>
      <c r="B101" s="29" t="s">
        <v>265</v>
      </c>
      <c r="C101" s="168"/>
      <c r="D101" s="145"/>
      <c r="E101" s="145"/>
      <c r="F101" s="145">
        <f t="shared" si="16"/>
        <v>17275998.307692308</v>
      </c>
      <c r="G101" s="773">
        <f t="shared" si="17"/>
        <v>17275998.307692312</v>
      </c>
      <c r="H101" s="145">
        <f t="shared" si="23"/>
        <v>57285</v>
      </c>
      <c r="I101" s="772">
        <f t="shared" si="19"/>
        <v>-1901619.1584615381</v>
      </c>
      <c r="J101" s="773">
        <f t="shared" si="20"/>
        <v>-1557909.1584615379</v>
      </c>
      <c r="K101" s="774">
        <f t="shared" si="4"/>
        <v>15374379.149230771</v>
      </c>
      <c r="L101" s="773">
        <f t="shared" si="24"/>
        <v>-5381032.7022307692</v>
      </c>
      <c r="M101" s="773">
        <f t="shared" si="11"/>
        <v>-20049.75</v>
      </c>
      <c r="N101" s="777"/>
      <c r="O101" s="773">
        <f t="shared" si="25"/>
        <v>-38641446.690818898</v>
      </c>
      <c r="P101" s="777">
        <f t="shared" si="15"/>
        <v>-23267067.541588128</v>
      </c>
      <c r="Q101" s="776"/>
      <c r="R101" s="776"/>
      <c r="S101" s="776"/>
      <c r="T101" s="776"/>
      <c r="U101" s="777">
        <f t="shared" si="12"/>
        <v>-5381032.6247564098</v>
      </c>
      <c r="V101" s="773">
        <f t="shared" si="13"/>
        <v>-5501331.1247564098</v>
      </c>
      <c r="W101" s="778">
        <f t="shared" si="9"/>
        <v>10216758.024474364</v>
      </c>
      <c r="X101" s="336">
        <f t="shared" si="10"/>
        <v>9993346.52447436</v>
      </c>
      <c r="Y101" s="173">
        <f t="shared" si="18"/>
        <v>15718089.149230774</v>
      </c>
      <c r="Z101" s="797"/>
    </row>
    <row r="102" spans="1:26">
      <c r="A102" s="168"/>
      <c r="B102" s="29" t="s">
        <v>266</v>
      </c>
      <c r="C102" s="168"/>
      <c r="D102" s="145"/>
      <c r="E102" s="145"/>
      <c r="F102" s="145">
        <f t="shared" si="16"/>
        <v>17275998.307692308</v>
      </c>
      <c r="G102" s="773">
        <f t="shared" si="17"/>
        <v>17275998.307692312</v>
      </c>
      <c r="H102" s="145">
        <f t="shared" si="23"/>
        <v>57285</v>
      </c>
      <c r="I102" s="772">
        <f t="shared" si="19"/>
        <v>-1958904.1584615381</v>
      </c>
      <c r="J102" s="773">
        <f t="shared" si="20"/>
        <v>-1615194.1584615379</v>
      </c>
      <c r="K102" s="774">
        <f t="shared" si="4"/>
        <v>15317094.149230771</v>
      </c>
      <c r="L102" s="773">
        <f t="shared" si="24"/>
        <v>-5360982.9522307692</v>
      </c>
      <c r="M102" s="773">
        <f t="shared" si="11"/>
        <v>-20049.75</v>
      </c>
      <c r="N102" s="777"/>
      <c r="O102" s="773">
        <f t="shared" si="25"/>
        <v>-28165950.393370192</v>
      </c>
      <c r="P102" s="777">
        <f t="shared" si="15"/>
        <v>-12848856.244139422</v>
      </c>
      <c r="Q102" s="776"/>
      <c r="R102" s="776"/>
      <c r="S102" s="776"/>
      <c r="T102" s="776"/>
      <c r="U102" s="777">
        <f t="shared" si="12"/>
        <v>-5360982.8747564098</v>
      </c>
      <c r="V102" s="773">
        <f t="shared" si="13"/>
        <v>-5481281.3747564098</v>
      </c>
      <c r="W102" s="778">
        <f t="shared" si="9"/>
        <v>10179522.774474364</v>
      </c>
      <c r="X102" s="336">
        <f t="shared" si="10"/>
        <v>9956111.27447436</v>
      </c>
      <c r="Y102" s="173">
        <f t="shared" si="18"/>
        <v>15660804.149230774</v>
      </c>
      <c r="Z102" s="797"/>
    </row>
    <row r="103" spans="1:26">
      <c r="A103" s="168"/>
      <c r="B103" s="29" t="s">
        <v>267</v>
      </c>
      <c r="C103" s="168"/>
      <c r="D103" s="145"/>
      <c r="E103" s="145"/>
      <c r="F103" s="145">
        <f t="shared" si="16"/>
        <v>17275998.307692308</v>
      </c>
      <c r="G103" s="773">
        <f t="shared" si="17"/>
        <v>17275998.307692312</v>
      </c>
      <c r="H103" s="145">
        <f t="shared" si="23"/>
        <v>57285</v>
      </c>
      <c r="I103" s="772">
        <f t="shared" si="19"/>
        <v>-2016189.1584615381</v>
      </c>
      <c r="J103" s="773">
        <f t="shared" si="20"/>
        <v>-1672479.1584615379</v>
      </c>
      <c r="K103" s="774">
        <f t="shared" si="4"/>
        <v>15259809.149230771</v>
      </c>
      <c r="L103" s="773">
        <f t="shared" si="24"/>
        <v>-5340933.2022307692</v>
      </c>
      <c r="M103" s="773">
        <f t="shared" si="11"/>
        <v>-20049.75</v>
      </c>
      <c r="N103" s="777"/>
      <c r="O103" s="773">
        <f>(N91+N103+SUM(N92:N102)*2)/24</f>
        <v>-17224491.172818907</v>
      </c>
      <c r="P103" s="777">
        <f t="shared" si="15"/>
        <v>-1964682.0235881358</v>
      </c>
      <c r="Q103" s="776"/>
      <c r="R103" s="776"/>
      <c r="S103" s="776"/>
      <c r="T103" s="776"/>
      <c r="U103" s="777">
        <f t="shared" si="12"/>
        <v>-5340933.1247564098</v>
      </c>
      <c r="V103" s="773">
        <f t="shared" si="13"/>
        <v>-5461231.6247564098</v>
      </c>
      <c r="W103" s="778">
        <f t="shared" si="9"/>
        <v>10142287.524474364</v>
      </c>
      <c r="X103" s="336">
        <f t="shared" si="10"/>
        <v>9918876.02447436</v>
      </c>
      <c r="Y103" s="173">
        <f t="shared" si="18"/>
        <v>15603519.149230774</v>
      </c>
      <c r="Z103" s="797"/>
    </row>
    <row r="104" spans="1:26">
      <c r="A104" s="168"/>
      <c r="B104" s="29" t="s">
        <v>268</v>
      </c>
      <c r="C104" s="168"/>
      <c r="D104" s="145"/>
      <c r="E104" s="145"/>
      <c r="F104" s="145">
        <f t="shared" si="16"/>
        <v>17275998.307692308</v>
      </c>
      <c r="G104" s="773">
        <f t="shared" si="17"/>
        <v>17275998.307692312</v>
      </c>
      <c r="H104" s="145">
        <f t="shared" si="23"/>
        <v>57285</v>
      </c>
      <c r="I104" s="772">
        <f t="shared" si="19"/>
        <v>-2073474.1584615381</v>
      </c>
      <c r="J104" s="773">
        <f t="shared" si="20"/>
        <v>-1729764.1584615379</v>
      </c>
      <c r="K104" s="774">
        <f t="shared" si="4"/>
        <v>15202524.149230771</v>
      </c>
      <c r="L104" s="773">
        <f t="shared" si="24"/>
        <v>-5320883.4522307692</v>
      </c>
      <c r="M104" s="773">
        <f t="shared" si="11"/>
        <v>-20049.75</v>
      </c>
      <c r="N104" s="777"/>
      <c r="O104" s="773">
        <f t="shared" si="25"/>
        <v>-5818739.8416650631</v>
      </c>
      <c r="P104" s="777">
        <f t="shared" si="15"/>
        <v>9383784.3075657077</v>
      </c>
      <c r="Q104" s="776"/>
      <c r="R104" s="776"/>
      <c r="S104" s="776"/>
      <c r="T104" s="776"/>
      <c r="U104" s="777">
        <f t="shared" si="12"/>
        <v>-5320883.3747564098</v>
      </c>
      <c r="V104" s="773">
        <f t="shared" si="13"/>
        <v>-5441181.8747564098</v>
      </c>
      <c r="W104" s="778">
        <f t="shared" si="9"/>
        <v>10105052.274474364</v>
      </c>
      <c r="X104" s="336">
        <f t="shared" si="10"/>
        <v>9881640.77447436</v>
      </c>
      <c r="Y104" s="173">
        <f t="shared" si="18"/>
        <v>15546234.149230774</v>
      </c>
      <c r="Z104" s="797"/>
    </row>
    <row r="105" spans="1:26">
      <c r="A105" s="168"/>
      <c r="B105" s="29" t="s">
        <v>269</v>
      </c>
      <c r="C105" s="168"/>
      <c r="D105" s="145"/>
      <c r="E105" s="145"/>
      <c r="F105" s="145">
        <f t="shared" si="16"/>
        <v>17275998.307692308</v>
      </c>
      <c r="G105" s="773">
        <f t="shared" si="17"/>
        <v>17275998.307692312</v>
      </c>
      <c r="H105" s="145">
        <f t="shared" si="23"/>
        <v>57285</v>
      </c>
      <c r="I105" s="772">
        <f t="shared" si="19"/>
        <v>-2130759.1584615381</v>
      </c>
      <c r="J105" s="773">
        <f t="shared" si="20"/>
        <v>-1787049.1584615379</v>
      </c>
      <c r="K105" s="774">
        <f t="shared" si="4"/>
        <v>15145239.149230771</v>
      </c>
      <c r="L105" s="773">
        <f t="shared" si="24"/>
        <v>-5300833.7022307692</v>
      </c>
      <c r="M105" s="773">
        <f t="shared" si="11"/>
        <v>-20049.75</v>
      </c>
      <c r="N105" s="777"/>
      <c r="O105" s="773">
        <f t="shared" si="25"/>
        <v>0</v>
      </c>
      <c r="P105" s="777">
        <f t="shared" si="15"/>
        <v>15145239.149230771</v>
      </c>
      <c r="Q105" s="776"/>
      <c r="R105" s="776"/>
      <c r="S105" s="776"/>
      <c r="T105" s="776"/>
      <c r="U105" s="777">
        <f t="shared" si="12"/>
        <v>-5300833.6247564098</v>
      </c>
      <c r="V105" s="773">
        <f t="shared" si="13"/>
        <v>-5421132.1247564098</v>
      </c>
      <c r="W105" s="778">
        <f t="shared" si="9"/>
        <v>10067817.024474364</v>
      </c>
      <c r="X105" s="336">
        <f t="shared" si="10"/>
        <v>9844405.52447436</v>
      </c>
      <c r="Y105" s="173">
        <f t="shared" si="18"/>
        <v>15488949.149230774</v>
      </c>
      <c r="Z105" s="797"/>
    </row>
    <row r="106" spans="1:26">
      <c r="A106" s="168"/>
      <c r="B106" s="29" t="s">
        <v>270</v>
      </c>
      <c r="C106" s="168"/>
      <c r="D106" s="145"/>
      <c r="E106" s="145"/>
      <c r="F106" s="145">
        <f t="shared" si="16"/>
        <v>17275998.307692308</v>
      </c>
      <c r="G106" s="773">
        <f t="shared" si="17"/>
        <v>17275998.307692312</v>
      </c>
      <c r="H106" s="145">
        <f t="shared" si="23"/>
        <v>57285</v>
      </c>
      <c r="I106" s="772">
        <f t="shared" si="19"/>
        <v>-2188044.1584615381</v>
      </c>
      <c r="J106" s="773">
        <f t="shared" si="20"/>
        <v>-1844334.1584615379</v>
      </c>
      <c r="K106" s="774">
        <f t="shared" si="4"/>
        <v>15087954.149230771</v>
      </c>
      <c r="L106" s="773">
        <f t="shared" si="24"/>
        <v>-5280783.9522307692</v>
      </c>
      <c r="M106" s="773">
        <f t="shared" si="11"/>
        <v>-20049.75</v>
      </c>
      <c r="N106" s="777"/>
      <c r="O106" s="773">
        <f t="shared" si="25"/>
        <v>0</v>
      </c>
      <c r="P106" s="777">
        <f t="shared" si="15"/>
        <v>15087954.149230771</v>
      </c>
      <c r="Q106" s="776"/>
      <c r="R106" s="776"/>
      <c r="S106" s="776"/>
      <c r="T106" s="776"/>
      <c r="U106" s="777">
        <f t="shared" si="12"/>
        <v>-5280783.8747564098</v>
      </c>
      <c r="V106" s="773">
        <f t="shared" si="13"/>
        <v>-5401082.3747564098</v>
      </c>
      <c r="W106" s="778">
        <f t="shared" si="9"/>
        <v>10030581.774474364</v>
      </c>
      <c r="X106" s="336">
        <f t="shared" si="10"/>
        <v>9807170.27447436</v>
      </c>
      <c r="Y106" s="173">
        <f t="shared" si="18"/>
        <v>15431664.149230774</v>
      </c>
      <c r="Z106" s="797"/>
    </row>
    <row r="107" spans="1:26">
      <c r="A107" s="168"/>
      <c r="B107" s="29" t="s">
        <v>271</v>
      </c>
      <c r="C107" s="168"/>
      <c r="D107" s="145"/>
      <c r="E107" s="145"/>
      <c r="F107" s="145">
        <f t="shared" si="16"/>
        <v>17275998.307692308</v>
      </c>
      <c r="G107" s="773">
        <f t="shared" si="17"/>
        <v>17275998.307692312</v>
      </c>
      <c r="H107" s="145">
        <f t="shared" si="23"/>
        <v>57285</v>
      </c>
      <c r="I107" s="772">
        <f t="shared" si="19"/>
        <v>-2245329.1584615381</v>
      </c>
      <c r="J107" s="773">
        <f t="shared" si="20"/>
        <v>-1901619.1584615374</v>
      </c>
      <c r="K107" s="774">
        <f t="shared" si="4"/>
        <v>15030669.149230771</v>
      </c>
      <c r="L107" s="773">
        <f t="shared" si="24"/>
        <v>-5260734.2022307692</v>
      </c>
      <c r="M107" s="773">
        <f t="shared" si="11"/>
        <v>-20049.75</v>
      </c>
      <c r="N107" s="777"/>
      <c r="O107" s="773">
        <f t="shared" si="25"/>
        <v>0</v>
      </c>
      <c r="P107" s="777">
        <f t="shared" si="15"/>
        <v>15030669.149230771</v>
      </c>
      <c r="Q107" s="776"/>
      <c r="R107" s="776"/>
      <c r="S107" s="776"/>
      <c r="T107" s="776"/>
      <c r="U107" s="777">
        <f t="shared" si="12"/>
        <v>-5260734.1247564098</v>
      </c>
      <c r="V107" s="773">
        <f t="shared" si="13"/>
        <v>-5381032.6247564098</v>
      </c>
      <c r="W107" s="778">
        <f t="shared" si="9"/>
        <v>9993346.5244743638</v>
      </c>
      <c r="X107" s="336">
        <f t="shared" si="10"/>
        <v>9769935.02447436</v>
      </c>
      <c r="Y107" s="173">
        <f t="shared" si="18"/>
        <v>15374379.149230774</v>
      </c>
      <c r="Z107" s="797"/>
    </row>
    <row r="108" spans="1:26">
      <c r="A108" s="168"/>
      <c r="B108" s="29" t="s">
        <v>272</v>
      </c>
      <c r="C108" s="168"/>
      <c r="D108" s="145"/>
      <c r="E108" s="145"/>
      <c r="F108" s="145">
        <f t="shared" si="16"/>
        <v>17275998.307692308</v>
      </c>
      <c r="G108" s="773">
        <f t="shared" si="17"/>
        <v>17275998.307692312</v>
      </c>
      <c r="H108" s="145">
        <f t="shared" si="23"/>
        <v>57285</v>
      </c>
      <c r="I108" s="772">
        <f t="shared" si="19"/>
        <v>-2302614.1584615381</v>
      </c>
      <c r="J108" s="773">
        <f t="shared" si="20"/>
        <v>-1958904.1584615374</v>
      </c>
      <c r="K108" s="774">
        <f t="shared" si="4"/>
        <v>14973384.149230771</v>
      </c>
      <c r="L108" s="773">
        <f t="shared" si="24"/>
        <v>-5240684.4522307692</v>
      </c>
      <c r="M108" s="773">
        <f t="shared" si="11"/>
        <v>-20049.75</v>
      </c>
      <c r="N108" s="777"/>
      <c r="O108" s="773">
        <f t="shared" si="25"/>
        <v>0</v>
      </c>
      <c r="P108" s="777">
        <f t="shared" si="15"/>
        <v>14973384.149230771</v>
      </c>
      <c r="Q108" s="776"/>
      <c r="R108" s="776"/>
      <c r="S108" s="776"/>
      <c r="T108" s="776"/>
      <c r="U108" s="777">
        <f t="shared" si="12"/>
        <v>-5240684.3747564098</v>
      </c>
      <c r="V108" s="773">
        <f t="shared" si="13"/>
        <v>-5360982.8747564098</v>
      </c>
      <c r="W108" s="778">
        <f t="shared" si="9"/>
        <v>9956111.2744743638</v>
      </c>
      <c r="X108" s="336">
        <f t="shared" si="10"/>
        <v>9732699.77447436</v>
      </c>
      <c r="Y108" s="173">
        <f t="shared" si="18"/>
        <v>15317094.149230774</v>
      </c>
      <c r="Z108" s="797"/>
    </row>
    <row r="109" spans="1:26">
      <c r="A109" s="168"/>
      <c r="B109" s="29" t="s">
        <v>273</v>
      </c>
      <c r="C109" s="168"/>
      <c r="D109" s="145"/>
      <c r="E109" s="145"/>
      <c r="F109" s="145">
        <f t="shared" si="16"/>
        <v>17275998.307692308</v>
      </c>
      <c r="G109" s="773">
        <f t="shared" si="17"/>
        <v>17275998.307692312</v>
      </c>
      <c r="H109" s="145">
        <f t="shared" si="23"/>
        <v>57285</v>
      </c>
      <c r="I109" s="772">
        <f t="shared" si="19"/>
        <v>-2359899.1584615381</v>
      </c>
      <c r="J109" s="773">
        <f t="shared" si="20"/>
        <v>-2016189.1584615374</v>
      </c>
      <c r="K109" s="774">
        <f t="shared" si="4"/>
        <v>14916099.149230771</v>
      </c>
      <c r="L109" s="773">
        <f t="shared" si="24"/>
        <v>-5220634.7022307692</v>
      </c>
      <c r="M109" s="773">
        <f t="shared" si="11"/>
        <v>-20049.75</v>
      </c>
      <c r="N109" s="777"/>
      <c r="O109" s="773">
        <f t="shared" si="25"/>
        <v>0</v>
      </c>
      <c r="P109" s="777">
        <f t="shared" si="15"/>
        <v>14916099.149230771</v>
      </c>
      <c r="Q109" s="776"/>
      <c r="R109" s="776"/>
      <c r="S109" s="776"/>
      <c r="T109" s="776"/>
      <c r="U109" s="777">
        <f t="shared" si="12"/>
        <v>-5220634.6247564098</v>
      </c>
      <c r="V109" s="773">
        <f t="shared" si="13"/>
        <v>-5340933.1247564098</v>
      </c>
      <c r="W109" s="778">
        <f t="shared" si="9"/>
        <v>9918876.0244743638</v>
      </c>
      <c r="X109" s="336">
        <f t="shared" si="10"/>
        <v>9695464.52447436</v>
      </c>
      <c r="Y109" s="173">
        <f t="shared" si="18"/>
        <v>15259809.149230774</v>
      </c>
      <c r="Z109" s="797"/>
    </row>
    <row r="110" spans="1:26">
      <c r="A110" s="168"/>
      <c r="B110" s="29" t="s">
        <v>274</v>
      </c>
      <c r="C110" s="168"/>
      <c r="D110" s="145"/>
      <c r="E110" s="145"/>
      <c r="F110" s="145">
        <f t="shared" si="16"/>
        <v>17275998.307692308</v>
      </c>
      <c r="G110" s="773">
        <f t="shared" si="17"/>
        <v>17275998.307692312</v>
      </c>
      <c r="H110" s="145">
        <f t="shared" si="23"/>
        <v>57285</v>
      </c>
      <c r="I110" s="772">
        <f t="shared" si="19"/>
        <v>-2417184.1584615381</v>
      </c>
      <c r="J110" s="773">
        <f t="shared" si="20"/>
        <v>-2073474.1584615374</v>
      </c>
      <c r="K110" s="774">
        <f t="shared" si="4"/>
        <v>14858814.149230771</v>
      </c>
      <c r="L110" s="773">
        <f t="shared" si="24"/>
        <v>-5200584.9522307692</v>
      </c>
      <c r="M110" s="773">
        <f t="shared" si="11"/>
        <v>-20049.75</v>
      </c>
      <c r="N110" s="777"/>
      <c r="O110" s="773">
        <f t="shared" si="25"/>
        <v>0</v>
      </c>
      <c r="P110" s="777">
        <f t="shared" si="15"/>
        <v>14858814.149230771</v>
      </c>
      <c r="Q110" s="776"/>
      <c r="R110" s="776"/>
      <c r="S110" s="776"/>
      <c r="T110" s="776"/>
      <c r="U110" s="777">
        <f t="shared" si="12"/>
        <v>-5200584.8747564098</v>
      </c>
      <c r="V110" s="773">
        <f t="shared" si="13"/>
        <v>-5320883.3747564098</v>
      </c>
      <c r="W110" s="778">
        <f t="shared" si="9"/>
        <v>9881640.7744743638</v>
      </c>
      <c r="X110" s="336">
        <f t="shared" si="10"/>
        <v>9658229.27447436</v>
      </c>
      <c r="Y110" s="173">
        <f t="shared" si="18"/>
        <v>15202524.149230774</v>
      </c>
      <c r="Z110" s="797"/>
    </row>
    <row r="111" spans="1:26">
      <c r="A111" s="168"/>
      <c r="B111" s="29" t="s">
        <v>275</v>
      </c>
      <c r="C111" s="168"/>
      <c r="D111" s="145"/>
      <c r="E111" s="145"/>
      <c r="F111" s="145">
        <f t="shared" si="16"/>
        <v>17275998.307692308</v>
      </c>
      <c r="G111" s="773">
        <f t="shared" si="17"/>
        <v>17275998.307692312</v>
      </c>
      <c r="H111" s="145">
        <f t="shared" si="23"/>
        <v>57285</v>
      </c>
      <c r="I111" s="772">
        <f t="shared" si="19"/>
        <v>-2474469.1584615381</v>
      </c>
      <c r="J111" s="773">
        <f t="shared" si="20"/>
        <v>-2130759.1584615377</v>
      </c>
      <c r="K111" s="774">
        <f t="shared" si="4"/>
        <v>14801529.149230771</v>
      </c>
      <c r="L111" s="773">
        <f t="shared" si="24"/>
        <v>-5180535.2022307692</v>
      </c>
      <c r="M111" s="773">
        <f t="shared" si="11"/>
        <v>-20049.75</v>
      </c>
      <c r="N111" s="777"/>
      <c r="O111" s="773">
        <f t="shared" si="25"/>
        <v>0</v>
      </c>
      <c r="P111" s="777">
        <f t="shared" si="15"/>
        <v>14801529.149230771</v>
      </c>
      <c r="Q111" s="776"/>
      <c r="R111" s="776"/>
      <c r="S111" s="776"/>
      <c r="T111" s="776"/>
      <c r="U111" s="777">
        <f t="shared" si="12"/>
        <v>-5180535.1247564098</v>
      </c>
      <c r="V111" s="773">
        <f t="shared" si="13"/>
        <v>-5300833.6247564098</v>
      </c>
      <c r="W111" s="778">
        <f t="shared" si="9"/>
        <v>9844405.5244743638</v>
      </c>
      <c r="X111" s="336">
        <f t="shared" si="10"/>
        <v>9620994.02447436</v>
      </c>
      <c r="Y111" s="173">
        <f t="shared" si="18"/>
        <v>15145239.149230774</v>
      </c>
      <c r="Z111" s="797"/>
    </row>
    <row r="112" spans="1:26">
      <c r="A112" s="168"/>
      <c r="B112" s="29" t="s">
        <v>276</v>
      </c>
      <c r="C112" s="168"/>
      <c r="D112" s="145"/>
      <c r="E112" s="145"/>
      <c r="F112" s="145">
        <f t="shared" si="16"/>
        <v>17275998.307692308</v>
      </c>
      <c r="G112" s="773">
        <f t="shared" si="17"/>
        <v>17275998.307692312</v>
      </c>
      <c r="H112" s="145">
        <f t="shared" si="23"/>
        <v>57285</v>
      </c>
      <c r="I112" s="772">
        <f t="shared" si="19"/>
        <v>-2531754.1584615381</v>
      </c>
      <c r="J112" s="773">
        <f t="shared" si="20"/>
        <v>-2188044.1584615377</v>
      </c>
      <c r="K112" s="774">
        <f t="shared" si="4"/>
        <v>14744244.149230771</v>
      </c>
      <c r="L112" s="773">
        <f t="shared" si="24"/>
        <v>-5160485.4522307692</v>
      </c>
      <c r="M112" s="773">
        <f t="shared" si="11"/>
        <v>-20049.75</v>
      </c>
      <c r="N112" s="777"/>
      <c r="O112" s="773">
        <f t="shared" si="25"/>
        <v>0</v>
      </c>
      <c r="P112" s="777">
        <f t="shared" si="15"/>
        <v>14744244.149230771</v>
      </c>
      <c r="Q112" s="776"/>
      <c r="R112" s="776"/>
      <c r="S112" s="776"/>
      <c r="T112" s="776"/>
      <c r="U112" s="777">
        <f t="shared" si="12"/>
        <v>-5160485.3747564098</v>
      </c>
      <c r="V112" s="773">
        <f t="shared" si="13"/>
        <v>-5280783.8747564098</v>
      </c>
      <c r="W112" s="778">
        <f t="shared" si="9"/>
        <v>9807170.2744743638</v>
      </c>
      <c r="X112" s="336">
        <f t="shared" si="10"/>
        <v>9583758.77447436</v>
      </c>
      <c r="Y112" s="173">
        <f t="shared" si="18"/>
        <v>15087954.149230774</v>
      </c>
      <c r="Z112" s="797"/>
    </row>
    <row r="113" spans="1:26">
      <c r="A113" s="168"/>
      <c r="B113" s="29" t="s">
        <v>277</v>
      </c>
      <c r="C113" s="168"/>
      <c r="D113" s="145"/>
      <c r="E113" s="145"/>
      <c r="F113" s="145">
        <f t="shared" si="16"/>
        <v>17275998.307692308</v>
      </c>
      <c r="G113" s="773">
        <f t="shared" si="17"/>
        <v>17275998.307692312</v>
      </c>
      <c r="H113" s="145">
        <f t="shared" si="23"/>
        <v>57285</v>
      </c>
      <c r="I113" s="772">
        <f t="shared" si="19"/>
        <v>-2589039.1584615381</v>
      </c>
      <c r="J113" s="773">
        <f t="shared" si="20"/>
        <v>-2245329.1584615377</v>
      </c>
      <c r="K113" s="774">
        <f t="shared" ref="K113:K176" si="26">F113+I113</f>
        <v>14686959.149230771</v>
      </c>
      <c r="L113" s="773">
        <f t="shared" si="24"/>
        <v>-5140435.7022307692</v>
      </c>
      <c r="M113" s="773">
        <f t="shared" si="11"/>
        <v>-20049.75</v>
      </c>
      <c r="N113" s="777"/>
      <c r="O113" s="773">
        <f t="shared" si="25"/>
        <v>0</v>
      </c>
      <c r="P113" s="777">
        <f t="shared" si="15"/>
        <v>14686959.149230771</v>
      </c>
      <c r="Q113" s="776"/>
      <c r="R113" s="776"/>
      <c r="S113" s="776"/>
      <c r="T113" s="776"/>
      <c r="U113" s="777">
        <f t="shared" si="12"/>
        <v>-5140435.6247564098</v>
      </c>
      <c r="V113" s="773">
        <f t="shared" si="13"/>
        <v>-5260734.1247564098</v>
      </c>
      <c r="W113" s="778">
        <f t="shared" si="9"/>
        <v>9769935.0244743638</v>
      </c>
      <c r="X113" s="336">
        <f t="shared" si="10"/>
        <v>9546523.52447436</v>
      </c>
      <c r="Y113" s="173">
        <f t="shared" si="18"/>
        <v>15030669.149230774</v>
      </c>
      <c r="Z113" s="797"/>
    </row>
    <row r="114" spans="1:26">
      <c r="A114" s="168"/>
      <c r="B114" s="29" t="s">
        <v>278</v>
      </c>
      <c r="C114" s="168"/>
      <c r="D114" s="145"/>
      <c r="E114" s="145"/>
      <c r="F114" s="145">
        <f t="shared" si="16"/>
        <v>17275998.307692308</v>
      </c>
      <c r="G114" s="773">
        <f t="shared" si="17"/>
        <v>17275998.307692312</v>
      </c>
      <c r="H114" s="145">
        <f t="shared" si="23"/>
        <v>57285</v>
      </c>
      <c r="I114" s="772">
        <f t="shared" si="19"/>
        <v>-2646324.1584615381</v>
      </c>
      <c r="J114" s="773">
        <f t="shared" si="20"/>
        <v>-2302614.1584615377</v>
      </c>
      <c r="K114" s="774">
        <f t="shared" si="26"/>
        <v>14629674.149230771</v>
      </c>
      <c r="L114" s="773">
        <f t="shared" si="24"/>
        <v>-5120385.9522307692</v>
      </c>
      <c r="M114" s="773">
        <f t="shared" si="11"/>
        <v>-20049.75</v>
      </c>
      <c r="N114" s="777"/>
      <c r="O114" s="773">
        <f t="shared" si="25"/>
        <v>0</v>
      </c>
      <c r="P114" s="777">
        <f t="shared" si="15"/>
        <v>14629674.149230771</v>
      </c>
      <c r="Q114" s="776"/>
      <c r="R114" s="776"/>
      <c r="S114" s="776"/>
      <c r="T114" s="776"/>
      <c r="U114" s="777">
        <f t="shared" si="12"/>
        <v>-5120385.8747564098</v>
      </c>
      <c r="V114" s="773">
        <f t="shared" si="13"/>
        <v>-5240684.3747564098</v>
      </c>
      <c r="W114" s="778">
        <f t="shared" si="9"/>
        <v>9732699.7744743638</v>
      </c>
      <c r="X114" s="336">
        <f t="shared" si="10"/>
        <v>9509288.27447436</v>
      </c>
      <c r="Y114" s="173">
        <f t="shared" si="18"/>
        <v>14973384.149230774</v>
      </c>
      <c r="Z114" s="797"/>
    </row>
    <row r="115" spans="1:26">
      <c r="A115" s="168"/>
      <c r="B115" s="29" t="s">
        <v>279</v>
      </c>
      <c r="C115" s="168"/>
      <c r="D115" s="145"/>
      <c r="E115" s="145"/>
      <c r="F115" s="145">
        <f t="shared" si="16"/>
        <v>17275998.307692308</v>
      </c>
      <c r="G115" s="773">
        <f t="shared" si="17"/>
        <v>17275998.307692312</v>
      </c>
      <c r="H115" s="145">
        <f t="shared" si="23"/>
        <v>57285</v>
      </c>
      <c r="I115" s="772">
        <f t="shared" si="19"/>
        <v>-2703609.1584615381</v>
      </c>
      <c r="J115" s="773">
        <f t="shared" si="20"/>
        <v>-2359899.1584615377</v>
      </c>
      <c r="K115" s="774">
        <f t="shared" si="26"/>
        <v>14572389.149230771</v>
      </c>
      <c r="L115" s="773">
        <f t="shared" si="24"/>
        <v>-5100336.2022307692</v>
      </c>
      <c r="M115" s="773">
        <f t="shared" si="11"/>
        <v>-20049.75</v>
      </c>
      <c r="N115" s="777"/>
      <c r="O115" s="773">
        <f t="shared" si="25"/>
        <v>0</v>
      </c>
      <c r="P115" s="777">
        <f t="shared" si="15"/>
        <v>14572389.149230771</v>
      </c>
      <c r="Q115" s="776"/>
      <c r="R115" s="776"/>
      <c r="S115" s="776"/>
      <c r="T115" s="776"/>
      <c r="U115" s="777">
        <f t="shared" ref="U115:U178" si="27">U114-M115</f>
        <v>-5100336.1247564098</v>
      </c>
      <c r="V115" s="773">
        <f t="shared" si="13"/>
        <v>-5220634.6247564098</v>
      </c>
      <c r="W115" s="778">
        <f t="shared" si="9"/>
        <v>9695464.5244743638</v>
      </c>
      <c r="X115" s="336">
        <f t="shared" si="10"/>
        <v>9472053.02447436</v>
      </c>
      <c r="Y115" s="173">
        <f t="shared" si="18"/>
        <v>14916099.149230774</v>
      </c>
      <c r="Z115" s="797"/>
    </row>
    <row r="116" spans="1:26">
      <c r="A116" s="168"/>
      <c r="B116" s="29" t="s">
        <v>280</v>
      </c>
      <c r="C116" s="168"/>
      <c r="D116" s="145"/>
      <c r="E116" s="145"/>
      <c r="F116" s="145">
        <f t="shared" si="16"/>
        <v>17275998.307692308</v>
      </c>
      <c r="G116" s="773">
        <f t="shared" si="17"/>
        <v>17275998.307692312</v>
      </c>
      <c r="H116" s="145">
        <f t="shared" si="23"/>
        <v>57285</v>
      </c>
      <c r="I116" s="772">
        <f t="shared" si="19"/>
        <v>-2760894.1584615381</v>
      </c>
      <c r="J116" s="773">
        <f t="shared" si="20"/>
        <v>-2417184.1584615377</v>
      </c>
      <c r="K116" s="774">
        <f t="shared" si="26"/>
        <v>14515104.149230771</v>
      </c>
      <c r="L116" s="773">
        <f t="shared" si="24"/>
        <v>-5080286.4522307692</v>
      </c>
      <c r="M116" s="773">
        <f t="shared" ref="M116:M179" si="28">-L116+L115</f>
        <v>-20049.75</v>
      </c>
      <c r="N116" s="777"/>
      <c r="O116" s="773">
        <f t="shared" si="25"/>
        <v>0</v>
      </c>
      <c r="P116" s="777">
        <f t="shared" si="15"/>
        <v>14515104.149230771</v>
      </c>
      <c r="Q116" s="776"/>
      <c r="R116" s="776"/>
      <c r="S116" s="776"/>
      <c r="T116" s="776"/>
      <c r="U116" s="777">
        <f t="shared" si="27"/>
        <v>-5080286.3747564098</v>
      </c>
      <c r="V116" s="773">
        <f t="shared" si="13"/>
        <v>-5200584.8747564098</v>
      </c>
      <c r="W116" s="778">
        <f t="shared" si="9"/>
        <v>9658229.2744743638</v>
      </c>
      <c r="X116" s="336">
        <f t="shared" si="10"/>
        <v>9434817.77447436</v>
      </c>
      <c r="Y116" s="173">
        <f t="shared" si="18"/>
        <v>14858814.149230774</v>
      </c>
      <c r="Z116" s="797"/>
    </row>
    <row r="117" spans="1:26">
      <c r="A117" s="168"/>
      <c r="B117" s="29" t="s">
        <v>281</v>
      </c>
      <c r="C117" s="168"/>
      <c r="D117" s="145"/>
      <c r="E117" s="145"/>
      <c r="F117" s="145">
        <f t="shared" si="16"/>
        <v>17275998.307692308</v>
      </c>
      <c r="G117" s="773">
        <f t="shared" si="17"/>
        <v>17275998.307692312</v>
      </c>
      <c r="H117" s="145">
        <f t="shared" si="23"/>
        <v>57285</v>
      </c>
      <c r="I117" s="772">
        <f t="shared" si="19"/>
        <v>-2818179.1584615381</v>
      </c>
      <c r="J117" s="773">
        <f t="shared" si="20"/>
        <v>-2474469.1584615377</v>
      </c>
      <c r="K117" s="774">
        <f t="shared" si="26"/>
        <v>14457819.149230771</v>
      </c>
      <c r="L117" s="773">
        <f t="shared" si="24"/>
        <v>-5060236.7022307692</v>
      </c>
      <c r="M117" s="773">
        <f t="shared" si="28"/>
        <v>-20049.75</v>
      </c>
      <c r="N117" s="777"/>
      <c r="O117" s="773">
        <f t="shared" si="25"/>
        <v>0</v>
      </c>
      <c r="P117" s="777">
        <f t="shared" si="15"/>
        <v>14457819.149230771</v>
      </c>
      <c r="Q117" s="776"/>
      <c r="R117" s="776"/>
      <c r="S117" s="776"/>
      <c r="T117" s="776"/>
      <c r="U117" s="777">
        <f t="shared" si="27"/>
        <v>-5060236.6247564098</v>
      </c>
      <c r="V117" s="773">
        <f t="shared" si="13"/>
        <v>-5180535.1247564098</v>
      </c>
      <c r="W117" s="778">
        <f t="shared" si="9"/>
        <v>9620994.0244743638</v>
      </c>
      <c r="X117" s="336">
        <f t="shared" si="10"/>
        <v>9397582.52447436</v>
      </c>
      <c r="Y117" s="173">
        <f t="shared" si="18"/>
        <v>14801529.149230774</v>
      </c>
      <c r="Z117" s="797"/>
    </row>
    <row r="118" spans="1:26">
      <c r="A118" s="168"/>
      <c r="B118" s="29" t="s">
        <v>282</v>
      </c>
      <c r="C118" s="168"/>
      <c r="D118" s="145"/>
      <c r="E118" s="145"/>
      <c r="F118" s="145">
        <f t="shared" si="16"/>
        <v>17275998.307692308</v>
      </c>
      <c r="G118" s="773">
        <f t="shared" si="17"/>
        <v>17275998.307692312</v>
      </c>
      <c r="H118" s="145">
        <f t="shared" si="23"/>
        <v>57285</v>
      </c>
      <c r="I118" s="772">
        <f t="shared" si="19"/>
        <v>-2875464.1584615381</v>
      </c>
      <c r="J118" s="773">
        <f t="shared" si="20"/>
        <v>-2531754.1584615377</v>
      </c>
      <c r="K118" s="774">
        <f t="shared" si="26"/>
        <v>14400534.149230771</v>
      </c>
      <c r="L118" s="773">
        <f t="shared" si="24"/>
        <v>-5040186.9522307692</v>
      </c>
      <c r="M118" s="773">
        <f t="shared" si="28"/>
        <v>-20049.75</v>
      </c>
      <c r="N118" s="777"/>
      <c r="O118" s="773">
        <f t="shared" si="25"/>
        <v>0</v>
      </c>
      <c r="P118" s="777">
        <f t="shared" si="15"/>
        <v>14400534.149230771</v>
      </c>
      <c r="Q118" s="776"/>
      <c r="R118" s="776"/>
      <c r="S118" s="776"/>
      <c r="T118" s="776"/>
      <c r="U118" s="777">
        <f t="shared" si="27"/>
        <v>-5040186.8747564098</v>
      </c>
      <c r="V118" s="773">
        <f t="shared" si="13"/>
        <v>-5160485.3747564098</v>
      </c>
      <c r="W118" s="778">
        <f t="shared" si="9"/>
        <v>9583758.7744743638</v>
      </c>
      <c r="X118" s="336">
        <f t="shared" si="10"/>
        <v>9360347.27447436</v>
      </c>
      <c r="Y118" s="173">
        <f t="shared" si="18"/>
        <v>14744244.149230774</v>
      </c>
      <c r="Z118" s="797"/>
    </row>
    <row r="119" spans="1:26">
      <c r="A119" s="168"/>
      <c r="B119" s="29" t="s">
        <v>283</v>
      </c>
      <c r="C119" s="168"/>
      <c r="D119" s="145"/>
      <c r="E119" s="145"/>
      <c r="F119" s="145">
        <f t="shared" si="16"/>
        <v>17275998.307692308</v>
      </c>
      <c r="G119" s="773">
        <f t="shared" si="17"/>
        <v>17275998.307692312</v>
      </c>
      <c r="H119" s="145">
        <f t="shared" si="23"/>
        <v>57285</v>
      </c>
      <c r="I119" s="772">
        <f t="shared" si="19"/>
        <v>-2932749.1584615381</v>
      </c>
      <c r="J119" s="773">
        <f t="shared" si="20"/>
        <v>-2589039.1584615377</v>
      </c>
      <c r="K119" s="774">
        <f t="shared" si="26"/>
        <v>14343249.149230771</v>
      </c>
      <c r="L119" s="773">
        <f t="shared" si="24"/>
        <v>-5020137.2022307692</v>
      </c>
      <c r="M119" s="773">
        <f t="shared" si="28"/>
        <v>-20049.75</v>
      </c>
      <c r="N119" s="777"/>
      <c r="O119" s="773">
        <f t="shared" si="25"/>
        <v>0</v>
      </c>
      <c r="P119" s="777">
        <f t="shared" si="15"/>
        <v>14343249.149230771</v>
      </c>
      <c r="Q119" s="776"/>
      <c r="R119" s="776"/>
      <c r="S119" s="776"/>
      <c r="T119" s="776"/>
      <c r="U119" s="777">
        <f t="shared" si="27"/>
        <v>-5020137.1247564098</v>
      </c>
      <c r="V119" s="773">
        <f t="shared" si="13"/>
        <v>-5140435.6247564098</v>
      </c>
      <c r="W119" s="778">
        <f t="shared" si="9"/>
        <v>9546523.5244743638</v>
      </c>
      <c r="X119" s="336">
        <f t="shared" si="10"/>
        <v>9323112.02447436</v>
      </c>
      <c r="Y119" s="173">
        <f t="shared" si="18"/>
        <v>14686959.149230774</v>
      </c>
      <c r="Z119" s="797"/>
    </row>
    <row r="120" spans="1:26">
      <c r="A120" s="168"/>
      <c r="B120" s="29" t="s">
        <v>284</v>
      </c>
      <c r="C120" s="168"/>
      <c r="D120" s="145"/>
      <c r="E120" s="145"/>
      <c r="F120" s="145">
        <f t="shared" si="16"/>
        <v>17275998.307692308</v>
      </c>
      <c r="G120" s="773">
        <f t="shared" si="17"/>
        <v>17275998.307692312</v>
      </c>
      <c r="H120" s="145">
        <f t="shared" si="23"/>
        <v>57285</v>
      </c>
      <c r="I120" s="772">
        <f t="shared" si="19"/>
        <v>-2990034.1584615381</v>
      </c>
      <c r="J120" s="773">
        <f t="shared" si="20"/>
        <v>-2646324.1584615377</v>
      </c>
      <c r="K120" s="774">
        <f t="shared" si="26"/>
        <v>14285964.149230771</v>
      </c>
      <c r="L120" s="773">
        <f t="shared" si="24"/>
        <v>-5000087.4522307692</v>
      </c>
      <c r="M120" s="773">
        <f t="shared" si="28"/>
        <v>-20049.75</v>
      </c>
      <c r="N120" s="777"/>
      <c r="O120" s="773">
        <f t="shared" si="25"/>
        <v>0</v>
      </c>
      <c r="P120" s="777">
        <f t="shared" si="15"/>
        <v>14285964.149230771</v>
      </c>
      <c r="Q120" s="776"/>
      <c r="R120" s="776"/>
      <c r="S120" s="776"/>
      <c r="T120" s="776"/>
      <c r="U120" s="777">
        <f t="shared" si="27"/>
        <v>-5000087.3747564098</v>
      </c>
      <c r="V120" s="773">
        <f t="shared" si="13"/>
        <v>-5120385.8747564098</v>
      </c>
      <c r="W120" s="778">
        <f t="shared" si="9"/>
        <v>9509288.2744743638</v>
      </c>
      <c r="X120" s="336">
        <f t="shared" si="10"/>
        <v>9285876.77447436</v>
      </c>
      <c r="Y120" s="173">
        <f t="shared" si="18"/>
        <v>14629674.149230774</v>
      </c>
      <c r="Z120" s="797"/>
    </row>
    <row r="121" spans="1:26">
      <c r="A121" s="168"/>
      <c r="B121" s="29" t="s">
        <v>285</v>
      </c>
      <c r="C121" s="168"/>
      <c r="D121" s="145"/>
      <c r="E121" s="145"/>
      <c r="F121" s="145">
        <f t="shared" si="16"/>
        <v>17275998.307692308</v>
      </c>
      <c r="G121" s="773">
        <f t="shared" si="17"/>
        <v>17275998.307692312</v>
      </c>
      <c r="H121" s="145">
        <f t="shared" si="23"/>
        <v>57285</v>
      </c>
      <c r="I121" s="772">
        <f t="shared" si="19"/>
        <v>-3047319.1584615381</v>
      </c>
      <c r="J121" s="773">
        <f t="shared" si="20"/>
        <v>-2703609.1584615377</v>
      </c>
      <c r="K121" s="774">
        <f t="shared" si="26"/>
        <v>14228679.149230771</v>
      </c>
      <c r="L121" s="773">
        <f t="shared" si="24"/>
        <v>-4980037.7022307692</v>
      </c>
      <c r="M121" s="773">
        <f t="shared" si="28"/>
        <v>-20049.75</v>
      </c>
      <c r="N121" s="777"/>
      <c r="O121" s="773">
        <f t="shared" si="25"/>
        <v>0</v>
      </c>
      <c r="P121" s="777">
        <f t="shared" si="15"/>
        <v>14228679.149230771</v>
      </c>
      <c r="Q121" s="776"/>
      <c r="R121" s="776"/>
      <c r="S121" s="776"/>
      <c r="T121" s="776"/>
      <c r="U121" s="777">
        <f t="shared" si="27"/>
        <v>-4980037.6247564098</v>
      </c>
      <c r="V121" s="773">
        <f t="shared" si="13"/>
        <v>-5100336.1247564098</v>
      </c>
      <c r="W121" s="778">
        <f t="shared" si="9"/>
        <v>9472053.0244743638</v>
      </c>
      <c r="X121" s="336">
        <f t="shared" si="10"/>
        <v>9248641.52447436</v>
      </c>
      <c r="Y121" s="173">
        <f t="shared" si="18"/>
        <v>14572389.149230774</v>
      </c>
      <c r="Z121" s="797"/>
    </row>
    <row r="122" spans="1:26">
      <c r="A122" s="168"/>
      <c r="B122" s="29" t="s">
        <v>286</v>
      </c>
      <c r="C122" s="168"/>
      <c r="D122" s="145"/>
      <c r="E122" s="145"/>
      <c r="F122" s="145">
        <f t="shared" si="16"/>
        <v>17275998.307692308</v>
      </c>
      <c r="G122" s="773">
        <f t="shared" si="17"/>
        <v>17275998.307692312</v>
      </c>
      <c r="H122" s="145">
        <f t="shared" si="23"/>
        <v>57285</v>
      </c>
      <c r="I122" s="772">
        <f t="shared" si="19"/>
        <v>-3104604.1584615381</v>
      </c>
      <c r="J122" s="773">
        <f t="shared" si="20"/>
        <v>-2760894.1584615377</v>
      </c>
      <c r="K122" s="774">
        <f t="shared" si="26"/>
        <v>14171394.149230771</v>
      </c>
      <c r="L122" s="773">
        <f t="shared" si="24"/>
        <v>-4959987.9522307692</v>
      </c>
      <c r="M122" s="773">
        <f t="shared" si="28"/>
        <v>-20049.75</v>
      </c>
      <c r="N122" s="777"/>
      <c r="O122" s="773">
        <f t="shared" si="25"/>
        <v>0</v>
      </c>
      <c r="P122" s="777">
        <f t="shared" si="15"/>
        <v>14171394.149230771</v>
      </c>
      <c r="Q122" s="776"/>
      <c r="R122" s="776"/>
      <c r="S122" s="776"/>
      <c r="T122" s="776"/>
      <c r="U122" s="777">
        <f t="shared" si="27"/>
        <v>-4959987.8747564098</v>
      </c>
      <c r="V122" s="773">
        <f t="shared" si="13"/>
        <v>-5080286.3747564098</v>
      </c>
      <c r="W122" s="778">
        <f t="shared" si="9"/>
        <v>9434817.7744743638</v>
      </c>
      <c r="X122" s="336">
        <f t="shared" si="10"/>
        <v>9211406.27447436</v>
      </c>
      <c r="Y122" s="173">
        <f t="shared" si="18"/>
        <v>14515104.149230774</v>
      </c>
      <c r="Z122" s="797"/>
    </row>
    <row r="123" spans="1:26">
      <c r="A123" s="168"/>
      <c r="B123" s="29" t="s">
        <v>287</v>
      </c>
      <c r="C123" s="168"/>
      <c r="D123" s="145"/>
      <c r="E123" s="145"/>
      <c r="F123" s="145">
        <f t="shared" si="16"/>
        <v>17275998.307692308</v>
      </c>
      <c r="G123" s="773">
        <f t="shared" si="17"/>
        <v>17275998.307692312</v>
      </c>
      <c r="H123" s="145">
        <f t="shared" si="23"/>
        <v>57285</v>
      </c>
      <c r="I123" s="772">
        <f t="shared" si="19"/>
        <v>-3161889.1584615381</v>
      </c>
      <c r="J123" s="773">
        <f t="shared" si="20"/>
        <v>-2818179.1584615377</v>
      </c>
      <c r="K123" s="774">
        <f t="shared" si="26"/>
        <v>14114109.149230771</v>
      </c>
      <c r="L123" s="773">
        <f t="shared" si="24"/>
        <v>-4939938.2022307692</v>
      </c>
      <c r="M123" s="773">
        <f t="shared" si="28"/>
        <v>-20049.75</v>
      </c>
      <c r="N123" s="777"/>
      <c r="O123" s="773">
        <f t="shared" si="25"/>
        <v>0</v>
      </c>
      <c r="P123" s="777">
        <f t="shared" si="15"/>
        <v>14114109.149230771</v>
      </c>
      <c r="Q123" s="776"/>
      <c r="R123" s="776"/>
      <c r="S123" s="776"/>
      <c r="T123" s="776"/>
      <c r="U123" s="777">
        <f t="shared" si="27"/>
        <v>-4939938.1247564098</v>
      </c>
      <c r="V123" s="773">
        <f t="shared" si="13"/>
        <v>-5060236.6247564098</v>
      </c>
      <c r="W123" s="778">
        <f t="shared" si="9"/>
        <v>9397582.5244743638</v>
      </c>
      <c r="X123" s="336">
        <f t="shared" si="10"/>
        <v>9174171.02447436</v>
      </c>
      <c r="Y123" s="173">
        <f t="shared" si="18"/>
        <v>14457819.149230774</v>
      </c>
      <c r="Z123" s="797"/>
    </row>
    <row r="124" spans="1:26">
      <c r="A124" s="168"/>
      <c r="B124" s="29" t="s">
        <v>288</v>
      </c>
      <c r="C124" s="168"/>
      <c r="D124" s="145"/>
      <c r="E124" s="145"/>
      <c r="F124" s="145">
        <f t="shared" si="16"/>
        <v>17275998.307692308</v>
      </c>
      <c r="G124" s="773">
        <f t="shared" si="17"/>
        <v>17275998.307692312</v>
      </c>
      <c r="H124" s="145">
        <f t="shared" si="23"/>
        <v>57285</v>
      </c>
      <c r="I124" s="772">
        <f t="shared" si="19"/>
        <v>-3219174.1584615381</v>
      </c>
      <c r="J124" s="773">
        <f t="shared" si="20"/>
        <v>-2875464.1584615377</v>
      </c>
      <c r="K124" s="774">
        <f t="shared" si="26"/>
        <v>14056824.149230771</v>
      </c>
      <c r="L124" s="773">
        <f t="shared" si="24"/>
        <v>-4919888.4522307692</v>
      </c>
      <c r="M124" s="773">
        <f t="shared" si="28"/>
        <v>-20049.75</v>
      </c>
      <c r="N124" s="777"/>
      <c r="O124" s="773">
        <f t="shared" si="25"/>
        <v>0</v>
      </c>
      <c r="P124" s="777">
        <f t="shared" si="15"/>
        <v>14056824.149230771</v>
      </c>
      <c r="Q124" s="776"/>
      <c r="R124" s="776"/>
      <c r="S124" s="776"/>
      <c r="T124" s="776"/>
      <c r="U124" s="777">
        <f t="shared" si="27"/>
        <v>-4919888.3747564098</v>
      </c>
      <c r="V124" s="773">
        <f t="shared" si="13"/>
        <v>-5040186.8747564098</v>
      </c>
      <c r="W124" s="778">
        <f t="shared" si="9"/>
        <v>9360347.2744743638</v>
      </c>
      <c r="X124" s="336">
        <f t="shared" si="10"/>
        <v>9136935.77447436</v>
      </c>
      <c r="Y124" s="173">
        <f t="shared" si="18"/>
        <v>14400534.149230774</v>
      </c>
      <c r="Z124" s="797"/>
    </row>
    <row r="125" spans="1:26">
      <c r="A125" s="168"/>
      <c r="B125" s="29" t="s">
        <v>289</v>
      </c>
      <c r="C125" s="168"/>
      <c r="D125" s="145"/>
      <c r="E125" s="145"/>
      <c r="F125" s="145">
        <f t="shared" si="16"/>
        <v>17275998.307692308</v>
      </c>
      <c r="G125" s="773">
        <f t="shared" si="17"/>
        <v>17275998.307692312</v>
      </c>
      <c r="H125" s="145">
        <f t="shared" si="23"/>
        <v>57285</v>
      </c>
      <c r="I125" s="772">
        <f t="shared" si="19"/>
        <v>-3276459.1584615381</v>
      </c>
      <c r="J125" s="773">
        <f t="shared" si="20"/>
        <v>-2932749.1584615377</v>
      </c>
      <c r="K125" s="774">
        <f t="shared" si="26"/>
        <v>13999539.149230771</v>
      </c>
      <c r="L125" s="773">
        <f t="shared" si="24"/>
        <v>-4899838.7022307692</v>
      </c>
      <c r="M125" s="773">
        <f t="shared" si="28"/>
        <v>-20049.75</v>
      </c>
      <c r="N125" s="777"/>
      <c r="O125" s="773">
        <f t="shared" si="25"/>
        <v>0</v>
      </c>
      <c r="P125" s="777">
        <f t="shared" si="15"/>
        <v>13999539.149230771</v>
      </c>
      <c r="Q125" s="776"/>
      <c r="R125" s="776"/>
      <c r="S125" s="776"/>
      <c r="T125" s="776"/>
      <c r="U125" s="777">
        <f t="shared" si="27"/>
        <v>-4899838.6247564098</v>
      </c>
      <c r="V125" s="773">
        <f t="shared" si="13"/>
        <v>-5020137.1247564098</v>
      </c>
      <c r="W125" s="778">
        <f t="shared" si="9"/>
        <v>9323112.0244743638</v>
      </c>
      <c r="X125" s="336">
        <f t="shared" si="10"/>
        <v>9099700.52447436</v>
      </c>
      <c r="Y125" s="173">
        <f t="shared" si="18"/>
        <v>14343249.149230774</v>
      </c>
      <c r="Z125" s="797"/>
    </row>
    <row r="126" spans="1:26">
      <c r="A126" s="168"/>
      <c r="B126" s="29" t="s">
        <v>290</v>
      </c>
      <c r="C126" s="168"/>
      <c r="D126" s="145"/>
      <c r="E126" s="145"/>
      <c r="F126" s="145">
        <f t="shared" si="16"/>
        <v>17275998.307692308</v>
      </c>
      <c r="G126" s="773">
        <f t="shared" si="17"/>
        <v>17275998.307692312</v>
      </c>
      <c r="H126" s="145">
        <f t="shared" si="23"/>
        <v>57285</v>
      </c>
      <c r="I126" s="772">
        <f t="shared" si="19"/>
        <v>-3333744.1584615381</v>
      </c>
      <c r="J126" s="773">
        <f t="shared" si="20"/>
        <v>-2990034.1584615377</v>
      </c>
      <c r="K126" s="774">
        <f t="shared" si="26"/>
        <v>13942254.149230771</v>
      </c>
      <c r="L126" s="773">
        <f t="shared" si="24"/>
        <v>-4879788.9522307692</v>
      </c>
      <c r="M126" s="773">
        <f t="shared" si="28"/>
        <v>-20049.75</v>
      </c>
      <c r="N126" s="777"/>
      <c r="O126" s="773">
        <f t="shared" si="25"/>
        <v>0</v>
      </c>
      <c r="P126" s="777">
        <f t="shared" si="15"/>
        <v>13942254.149230771</v>
      </c>
      <c r="Q126" s="776"/>
      <c r="R126" s="776"/>
      <c r="S126" s="776"/>
      <c r="T126" s="776"/>
      <c r="U126" s="777">
        <f t="shared" si="27"/>
        <v>-4879788.8747564098</v>
      </c>
      <c r="V126" s="773">
        <f t="shared" ref="V126:V189" si="29">(U114+U126+SUM(U115:U125)*2)/24</f>
        <v>-5000087.3747564098</v>
      </c>
      <c r="W126" s="778">
        <f t="shared" ref="W126:W189" si="30">G126+J126+V126</f>
        <v>9285876.7744743638</v>
      </c>
      <c r="X126" s="336">
        <f t="shared" si="10"/>
        <v>9062465.27447436</v>
      </c>
      <c r="Y126" s="173">
        <f t="shared" si="18"/>
        <v>14285964.149230774</v>
      </c>
      <c r="Z126" s="797"/>
    </row>
    <row r="127" spans="1:26">
      <c r="A127" s="168"/>
      <c r="B127" s="29" t="s">
        <v>291</v>
      </c>
      <c r="C127" s="168"/>
      <c r="D127" s="145"/>
      <c r="E127" s="145"/>
      <c r="F127" s="145">
        <f t="shared" si="16"/>
        <v>17275998.307692308</v>
      </c>
      <c r="G127" s="773">
        <f t="shared" si="17"/>
        <v>17275998.307692312</v>
      </c>
      <c r="H127" s="145">
        <f t="shared" si="23"/>
        <v>57285</v>
      </c>
      <c r="I127" s="772">
        <f t="shared" si="19"/>
        <v>-3391029.1584615381</v>
      </c>
      <c r="J127" s="773">
        <f t="shared" si="20"/>
        <v>-3047319.1584615377</v>
      </c>
      <c r="K127" s="774">
        <f t="shared" si="26"/>
        <v>13884969.149230771</v>
      </c>
      <c r="L127" s="773">
        <f t="shared" si="24"/>
        <v>-4859739.2022307692</v>
      </c>
      <c r="M127" s="773">
        <f t="shared" si="28"/>
        <v>-20049.75</v>
      </c>
      <c r="N127" s="777"/>
      <c r="O127" s="773">
        <f t="shared" si="25"/>
        <v>0</v>
      </c>
      <c r="P127" s="777">
        <f t="shared" si="15"/>
        <v>13884969.149230771</v>
      </c>
      <c r="Q127" s="776"/>
      <c r="R127" s="776"/>
      <c r="S127" s="776"/>
      <c r="T127" s="776"/>
      <c r="U127" s="777">
        <f t="shared" si="27"/>
        <v>-4859739.1247564098</v>
      </c>
      <c r="V127" s="773">
        <f t="shared" si="29"/>
        <v>-4980037.6247564098</v>
      </c>
      <c r="W127" s="778">
        <f t="shared" si="30"/>
        <v>9248641.5244743638</v>
      </c>
      <c r="X127" s="336">
        <f t="shared" si="10"/>
        <v>9025230.02447436</v>
      </c>
      <c r="Y127" s="173">
        <f t="shared" si="18"/>
        <v>14228679.149230774</v>
      </c>
      <c r="Z127" s="797"/>
    </row>
    <row r="128" spans="1:26">
      <c r="A128" s="168"/>
      <c r="B128" s="29" t="s">
        <v>292</v>
      </c>
      <c r="C128" s="168"/>
      <c r="D128" s="145"/>
      <c r="E128" s="145"/>
      <c r="F128" s="145">
        <f t="shared" si="16"/>
        <v>17275998.307692308</v>
      </c>
      <c r="G128" s="773">
        <f t="shared" si="17"/>
        <v>17275998.307692312</v>
      </c>
      <c r="H128" s="145">
        <f t="shared" si="23"/>
        <v>57285</v>
      </c>
      <c r="I128" s="772">
        <f t="shared" si="19"/>
        <v>-3448314.1584615381</v>
      </c>
      <c r="J128" s="773">
        <f t="shared" si="20"/>
        <v>-3104604.1584615377</v>
      </c>
      <c r="K128" s="774">
        <f t="shared" si="26"/>
        <v>13827684.149230771</v>
      </c>
      <c r="L128" s="773">
        <f t="shared" si="24"/>
        <v>-4839689.4522307692</v>
      </c>
      <c r="M128" s="773">
        <f t="shared" si="28"/>
        <v>-20049.75</v>
      </c>
      <c r="N128" s="777"/>
      <c r="O128" s="773">
        <f t="shared" si="25"/>
        <v>0</v>
      </c>
      <c r="P128" s="777">
        <f t="shared" si="15"/>
        <v>13827684.149230771</v>
      </c>
      <c r="Q128" s="776"/>
      <c r="R128" s="776"/>
      <c r="S128" s="776"/>
      <c r="T128" s="776"/>
      <c r="U128" s="777">
        <f t="shared" si="27"/>
        <v>-4839689.3747564098</v>
      </c>
      <c r="V128" s="773">
        <f t="shared" si="29"/>
        <v>-4959987.8747564098</v>
      </c>
      <c r="W128" s="778">
        <f t="shared" si="30"/>
        <v>9211406.2744743638</v>
      </c>
      <c r="X128" s="336">
        <f t="shared" si="10"/>
        <v>8987994.77447436</v>
      </c>
      <c r="Y128" s="173">
        <f t="shared" si="18"/>
        <v>14171394.149230774</v>
      </c>
      <c r="Z128" s="797"/>
    </row>
    <row r="129" spans="1:26">
      <c r="A129" s="168"/>
      <c r="B129" s="29" t="s">
        <v>293</v>
      </c>
      <c r="C129" s="168"/>
      <c r="D129" s="145"/>
      <c r="E129" s="145"/>
      <c r="F129" s="145">
        <f t="shared" si="16"/>
        <v>17275998.307692308</v>
      </c>
      <c r="G129" s="773">
        <f t="shared" si="17"/>
        <v>17275998.307692312</v>
      </c>
      <c r="H129" s="145">
        <f t="shared" si="23"/>
        <v>57285</v>
      </c>
      <c r="I129" s="772">
        <f t="shared" si="19"/>
        <v>-3505599.1584615381</v>
      </c>
      <c r="J129" s="773">
        <f t="shared" si="20"/>
        <v>-3161889.1584615377</v>
      </c>
      <c r="K129" s="774">
        <f t="shared" si="26"/>
        <v>13770399.149230771</v>
      </c>
      <c r="L129" s="773">
        <f t="shared" si="24"/>
        <v>-4819639.7022307692</v>
      </c>
      <c r="M129" s="773">
        <f t="shared" si="28"/>
        <v>-20049.75</v>
      </c>
      <c r="N129" s="777"/>
      <c r="O129" s="773">
        <f t="shared" si="25"/>
        <v>0</v>
      </c>
      <c r="P129" s="777">
        <f t="shared" si="15"/>
        <v>13770399.149230771</v>
      </c>
      <c r="Q129" s="776"/>
      <c r="R129" s="776"/>
      <c r="S129" s="776"/>
      <c r="T129" s="776"/>
      <c r="U129" s="777">
        <f t="shared" si="27"/>
        <v>-4819639.6247564098</v>
      </c>
      <c r="V129" s="773">
        <f t="shared" si="29"/>
        <v>-4939938.1247564098</v>
      </c>
      <c r="W129" s="778">
        <f t="shared" si="30"/>
        <v>9174171.0244743638</v>
      </c>
      <c r="X129" s="336">
        <f t="shared" ref="X129:X192" si="31">F129+I129+U129</f>
        <v>8950759.52447436</v>
      </c>
      <c r="Y129" s="173">
        <f t="shared" si="18"/>
        <v>14114109.149230774</v>
      </c>
      <c r="Z129" s="797"/>
    </row>
    <row r="130" spans="1:26">
      <c r="A130" s="168"/>
      <c r="B130" s="29" t="s">
        <v>294</v>
      </c>
      <c r="C130" s="168"/>
      <c r="D130" s="145"/>
      <c r="E130" s="145"/>
      <c r="F130" s="145">
        <f t="shared" si="16"/>
        <v>17275998.307692308</v>
      </c>
      <c r="G130" s="773">
        <f t="shared" si="17"/>
        <v>17275998.307692312</v>
      </c>
      <c r="H130" s="145">
        <f t="shared" si="23"/>
        <v>57285</v>
      </c>
      <c r="I130" s="772">
        <f>I129-H130</f>
        <v>-3562884.1584615381</v>
      </c>
      <c r="J130" s="773">
        <f t="shared" si="20"/>
        <v>-3219174.1584615377</v>
      </c>
      <c r="K130" s="774">
        <f t="shared" si="26"/>
        <v>13713114.149230771</v>
      </c>
      <c r="L130" s="773">
        <f t="shared" si="24"/>
        <v>-4799589.9522307692</v>
      </c>
      <c r="M130" s="773">
        <f t="shared" si="28"/>
        <v>-20049.75</v>
      </c>
      <c r="N130" s="777"/>
      <c r="O130" s="773">
        <f t="shared" si="25"/>
        <v>0</v>
      </c>
      <c r="P130" s="777">
        <f t="shared" si="15"/>
        <v>13713114.149230771</v>
      </c>
      <c r="Q130" s="776"/>
      <c r="R130" s="776"/>
      <c r="S130" s="776"/>
      <c r="T130" s="776"/>
      <c r="U130" s="777">
        <f t="shared" si="27"/>
        <v>-4799589.8747564098</v>
      </c>
      <c r="V130" s="773">
        <f t="shared" si="29"/>
        <v>-4919888.3747564098</v>
      </c>
      <c r="W130" s="778">
        <f t="shared" si="30"/>
        <v>9136935.7744743638</v>
      </c>
      <c r="X130" s="336">
        <f t="shared" si="31"/>
        <v>8913524.27447436</v>
      </c>
      <c r="Y130" s="173">
        <f t="shared" si="18"/>
        <v>14056824.149230774</v>
      </c>
      <c r="Z130" s="797"/>
    </row>
    <row r="131" spans="1:26">
      <c r="A131" s="168"/>
      <c r="B131" s="29" t="s">
        <v>295</v>
      </c>
      <c r="C131" s="168"/>
      <c r="D131" s="145"/>
      <c r="E131" s="145"/>
      <c r="F131" s="145">
        <f t="shared" si="16"/>
        <v>17275998.307692308</v>
      </c>
      <c r="G131" s="773">
        <f t="shared" si="17"/>
        <v>17275998.307692312</v>
      </c>
      <c r="H131" s="145">
        <f t="shared" si="23"/>
        <v>57285</v>
      </c>
      <c r="I131" s="772">
        <f t="shared" ref="I131:I194" si="32">I130-H131</f>
        <v>-3620169.1584615381</v>
      </c>
      <c r="J131" s="773">
        <f t="shared" si="20"/>
        <v>-3276459.1584615377</v>
      </c>
      <c r="K131" s="774">
        <f t="shared" si="26"/>
        <v>13655829.149230771</v>
      </c>
      <c r="L131" s="773">
        <f t="shared" si="24"/>
        <v>-4779540.2022307692</v>
      </c>
      <c r="M131" s="773">
        <f t="shared" si="28"/>
        <v>-20049.75</v>
      </c>
      <c r="N131" s="777"/>
      <c r="O131" s="773">
        <f t="shared" si="25"/>
        <v>0</v>
      </c>
      <c r="P131" s="777">
        <f t="shared" si="15"/>
        <v>13655829.149230771</v>
      </c>
      <c r="Q131" s="776"/>
      <c r="R131" s="776"/>
      <c r="S131" s="776"/>
      <c r="T131" s="776"/>
      <c r="U131" s="777">
        <f t="shared" si="27"/>
        <v>-4779540.1247564098</v>
      </c>
      <c r="V131" s="773">
        <f t="shared" si="29"/>
        <v>-4899838.6247564098</v>
      </c>
      <c r="W131" s="778">
        <f t="shared" si="30"/>
        <v>9099700.5244743638</v>
      </c>
      <c r="X131" s="336">
        <f t="shared" si="31"/>
        <v>8876289.02447436</v>
      </c>
      <c r="Y131" s="173">
        <f t="shared" si="18"/>
        <v>13999539.149230774</v>
      </c>
      <c r="Z131" s="797"/>
    </row>
    <row r="132" spans="1:26">
      <c r="A132" s="168"/>
      <c r="B132" s="29" t="s">
        <v>296</v>
      </c>
      <c r="C132" s="168"/>
      <c r="D132" s="145"/>
      <c r="E132" s="145"/>
      <c r="F132" s="145">
        <f t="shared" si="16"/>
        <v>17275998.307692308</v>
      </c>
      <c r="G132" s="773">
        <f t="shared" si="17"/>
        <v>17275998.307692312</v>
      </c>
      <c r="H132" s="145">
        <f t="shared" si="23"/>
        <v>57285</v>
      </c>
      <c r="I132" s="772">
        <f t="shared" si="32"/>
        <v>-3677454.1584615381</v>
      </c>
      <c r="J132" s="773">
        <f t="shared" si="20"/>
        <v>-3333744.1584615377</v>
      </c>
      <c r="K132" s="774">
        <f t="shared" si="26"/>
        <v>13598544.149230771</v>
      </c>
      <c r="L132" s="773">
        <f t="shared" si="24"/>
        <v>-4759490.4522307692</v>
      </c>
      <c r="M132" s="773">
        <f t="shared" si="28"/>
        <v>-20049.75</v>
      </c>
      <c r="N132" s="777"/>
      <c r="O132" s="773">
        <f t="shared" si="25"/>
        <v>0</v>
      </c>
      <c r="P132" s="777">
        <f t="shared" si="15"/>
        <v>13598544.149230771</v>
      </c>
      <c r="Q132" s="776"/>
      <c r="R132" s="776"/>
      <c r="S132" s="776"/>
      <c r="T132" s="776"/>
      <c r="U132" s="777">
        <f t="shared" si="27"/>
        <v>-4759490.3747564098</v>
      </c>
      <c r="V132" s="773">
        <f t="shared" si="29"/>
        <v>-4879788.8747564098</v>
      </c>
      <c r="W132" s="778">
        <f t="shared" si="30"/>
        <v>9062465.2744743638</v>
      </c>
      <c r="X132" s="336">
        <f t="shared" si="31"/>
        <v>8839053.77447436</v>
      </c>
      <c r="Y132" s="173">
        <f t="shared" si="18"/>
        <v>13942254.149230774</v>
      </c>
      <c r="Z132" s="797"/>
    </row>
    <row r="133" spans="1:26">
      <c r="A133" s="168"/>
      <c r="B133" s="29" t="s">
        <v>297</v>
      </c>
      <c r="C133" s="168"/>
      <c r="D133" s="145"/>
      <c r="E133" s="145"/>
      <c r="F133" s="145">
        <f t="shared" si="16"/>
        <v>17275998.307692308</v>
      </c>
      <c r="G133" s="773">
        <f t="shared" si="17"/>
        <v>17275998.307692312</v>
      </c>
      <c r="H133" s="145">
        <f t="shared" si="23"/>
        <v>57285</v>
      </c>
      <c r="I133" s="772">
        <f t="shared" si="32"/>
        <v>-3734739.1584615381</v>
      </c>
      <c r="J133" s="773">
        <f t="shared" si="20"/>
        <v>-3391029.1584615386</v>
      </c>
      <c r="K133" s="774">
        <f t="shared" si="26"/>
        <v>13541259.149230771</v>
      </c>
      <c r="L133" s="773">
        <f t="shared" si="24"/>
        <v>-4739440.7022307692</v>
      </c>
      <c r="M133" s="773">
        <f t="shared" si="28"/>
        <v>-20049.75</v>
      </c>
      <c r="N133" s="777"/>
      <c r="O133" s="773">
        <f t="shared" si="25"/>
        <v>0</v>
      </c>
      <c r="P133" s="777">
        <f t="shared" ref="P133:P196" si="33">K133+O133</f>
        <v>13541259.149230771</v>
      </c>
      <c r="Q133" s="776"/>
      <c r="R133" s="776"/>
      <c r="S133" s="776"/>
      <c r="T133" s="776"/>
      <c r="U133" s="777">
        <f t="shared" si="27"/>
        <v>-4739440.6247564098</v>
      </c>
      <c r="V133" s="773">
        <f t="shared" si="29"/>
        <v>-4859739.1247564098</v>
      </c>
      <c r="W133" s="778">
        <f t="shared" si="30"/>
        <v>9025230.0244743638</v>
      </c>
      <c r="X133" s="336">
        <f t="shared" si="31"/>
        <v>8801818.52447436</v>
      </c>
      <c r="Y133" s="173">
        <f t="shared" si="18"/>
        <v>13884969.149230773</v>
      </c>
      <c r="Z133" s="797"/>
    </row>
    <row r="134" spans="1:26">
      <c r="A134" s="168"/>
      <c r="B134" s="29" t="s">
        <v>298</v>
      </c>
      <c r="C134" s="168"/>
      <c r="D134" s="145"/>
      <c r="E134" s="145"/>
      <c r="F134" s="145">
        <f t="shared" ref="F134:F197" si="34">F133</f>
        <v>17275998.307692308</v>
      </c>
      <c r="G134" s="773">
        <f t="shared" ref="G134:G197" si="35">(F122+F134+SUM(F123:F133)*2)/24</f>
        <v>17275998.307692312</v>
      </c>
      <c r="H134" s="145">
        <f t="shared" si="23"/>
        <v>57285</v>
      </c>
      <c r="I134" s="772">
        <f t="shared" si="32"/>
        <v>-3792024.1584615381</v>
      </c>
      <c r="J134" s="773">
        <f t="shared" si="20"/>
        <v>-3448314.1584615386</v>
      </c>
      <c r="K134" s="774">
        <f t="shared" si="26"/>
        <v>13483974.149230771</v>
      </c>
      <c r="L134" s="773">
        <f t="shared" si="24"/>
        <v>-4719390.9522307692</v>
      </c>
      <c r="M134" s="773">
        <f t="shared" si="28"/>
        <v>-20049.75</v>
      </c>
      <c r="N134" s="777"/>
      <c r="O134" s="773">
        <f t="shared" si="25"/>
        <v>0</v>
      </c>
      <c r="P134" s="777">
        <f t="shared" si="33"/>
        <v>13483974.149230771</v>
      </c>
      <c r="Q134" s="776"/>
      <c r="R134" s="776"/>
      <c r="S134" s="776"/>
      <c r="T134" s="776"/>
      <c r="U134" s="777">
        <f t="shared" si="27"/>
        <v>-4719390.8747564098</v>
      </c>
      <c r="V134" s="773">
        <f t="shared" si="29"/>
        <v>-4839689.3747564098</v>
      </c>
      <c r="W134" s="778">
        <f t="shared" si="30"/>
        <v>8987994.7744743638</v>
      </c>
      <c r="X134" s="336">
        <f t="shared" si="31"/>
        <v>8764583.27447436</v>
      </c>
      <c r="Y134" s="173">
        <f t="shared" ref="Y134:Y165" si="36">G134+J134</f>
        <v>13827684.149230773</v>
      </c>
      <c r="Z134" s="797"/>
    </row>
    <row r="135" spans="1:26">
      <c r="A135" s="168"/>
      <c r="B135" s="29" t="s">
        <v>299</v>
      </c>
      <c r="C135" s="168"/>
      <c r="D135" s="145"/>
      <c r="E135" s="145"/>
      <c r="F135" s="145">
        <f t="shared" si="34"/>
        <v>17275998.307692308</v>
      </c>
      <c r="G135" s="773">
        <f t="shared" si="35"/>
        <v>17275998.307692312</v>
      </c>
      <c r="H135" s="145">
        <f t="shared" si="23"/>
        <v>57285</v>
      </c>
      <c r="I135" s="772">
        <f t="shared" si="32"/>
        <v>-3849309.1584615381</v>
      </c>
      <c r="J135" s="773">
        <f t="shared" ref="J135:J198" si="37">(I123+I135+SUM(I124:I134)*2)/24</f>
        <v>-3505599.1584615386</v>
      </c>
      <c r="K135" s="774">
        <f t="shared" si="26"/>
        <v>13426689.149230771</v>
      </c>
      <c r="L135" s="773">
        <f t="shared" si="24"/>
        <v>-4699341.2022307692</v>
      </c>
      <c r="M135" s="773">
        <f t="shared" si="28"/>
        <v>-20049.75</v>
      </c>
      <c r="N135" s="777"/>
      <c r="O135" s="773">
        <f t="shared" si="25"/>
        <v>0</v>
      </c>
      <c r="P135" s="777">
        <f t="shared" si="33"/>
        <v>13426689.149230771</v>
      </c>
      <c r="Q135" s="776"/>
      <c r="R135" s="776"/>
      <c r="S135" s="776"/>
      <c r="T135" s="776"/>
      <c r="U135" s="777">
        <f t="shared" si="27"/>
        <v>-4699341.1247564098</v>
      </c>
      <c r="V135" s="773">
        <f t="shared" si="29"/>
        <v>-4819639.6247564098</v>
      </c>
      <c r="W135" s="778">
        <f t="shared" si="30"/>
        <v>8950759.5244743638</v>
      </c>
      <c r="X135" s="336">
        <f t="shared" si="31"/>
        <v>8727348.02447436</v>
      </c>
      <c r="Y135" s="173">
        <f t="shared" si="36"/>
        <v>13770399.149230773</v>
      </c>
      <c r="Z135" s="797"/>
    </row>
    <row r="136" spans="1:26">
      <c r="A136" s="168"/>
      <c r="B136" s="29" t="s">
        <v>300</v>
      </c>
      <c r="C136" s="168"/>
      <c r="D136" s="145"/>
      <c r="E136" s="145"/>
      <c r="F136" s="145">
        <f t="shared" si="34"/>
        <v>17275998.307692308</v>
      </c>
      <c r="G136" s="773">
        <f t="shared" si="35"/>
        <v>17275998.307692312</v>
      </c>
      <c r="H136" s="145">
        <f t="shared" si="23"/>
        <v>57285</v>
      </c>
      <c r="I136" s="772">
        <f t="shared" si="32"/>
        <v>-3906594.1584615381</v>
      </c>
      <c r="J136" s="773">
        <f t="shared" si="37"/>
        <v>-3562884.1584615386</v>
      </c>
      <c r="K136" s="774">
        <f t="shared" si="26"/>
        <v>13369404.149230771</v>
      </c>
      <c r="L136" s="773">
        <f t="shared" si="24"/>
        <v>-4679291.4522307692</v>
      </c>
      <c r="M136" s="773">
        <f t="shared" si="28"/>
        <v>-20049.75</v>
      </c>
      <c r="N136" s="777"/>
      <c r="O136" s="773">
        <f t="shared" si="25"/>
        <v>0</v>
      </c>
      <c r="P136" s="777">
        <f t="shared" si="33"/>
        <v>13369404.149230771</v>
      </c>
      <c r="Q136" s="776"/>
      <c r="R136" s="776"/>
      <c r="S136" s="776"/>
      <c r="T136" s="776"/>
      <c r="U136" s="777">
        <f t="shared" si="27"/>
        <v>-4679291.3747564098</v>
      </c>
      <c r="V136" s="773">
        <f t="shared" si="29"/>
        <v>-4799589.8747564098</v>
      </c>
      <c r="W136" s="778">
        <f t="shared" si="30"/>
        <v>8913524.2744743638</v>
      </c>
      <c r="X136" s="336">
        <f t="shared" si="31"/>
        <v>8690112.77447436</v>
      </c>
      <c r="Y136" s="173">
        <f t="shared" si="36"/>
        <v>13713114.149230773</v>
      </c>
      <c r="Z136" s="797"/>
    </row>
    <row r="137" spans="1:26">
      <c r="A137" s="168"/>
      <c r="B137" s="29" t="s">
        <v>301</v>
      </c>
      <c r="C137" s="168"/>
      <c r="D137" s="145"/>
      <c r="E137" s="145"/>
      <c r="F137" s="145">
        <f t="shared" si="34"/>
        <v>17275998.307692308</v>
      </c>
      <c r="G137" s="773">
        <f t="shared" si="35"/>
        <v>17275998.307692312</v>
      </c>
      <c r="H137" s="145">
        <f t="shared" si="23"/>
        <v>57285</v>
      </c>
      <c r="I137" s="772">
        <f t="shared" si="32"/>
        <v>-3963879.1584615381</v>
      </c>
      <c r="J137" s="773">
        <f t="shared" si="37"/>
        <v>-3620169.1584615386</v>
      </c>
      <c r="K137" s="774">
        <f t="shared" si="26"/>
        <v>13312119.149230771</v>
      </c>
      <c r="L137" s="1284">
        <f>H137*21%+L136</f>
        <v>-4667261.6022307696</v>
      </c>
      <c r="M137" s="773">
        <f t="shared" si="28"/>
        <v>-12029.849999999627</v>
      </c>
      <c r="N137" s="777"/>
      <c r="O137" s="773">
        <f t="shared" si="25"/>
        <v>0</v>
      </c>
      <c r="P137" s="777">
        <f t="shared" si="33"/>
        <v>13312119.149230771</v>
      </c>
      <c r="Q137" s="776"/>
      <c r="R137" s="776"/>
      <c r="S137" s="776"/>
      <c r="T137" s="776"/>
      <c r="U137" s="777">
        <f t="shared" si="27"/>
        <v>-4667261.5247564102</v>
      </c>
      <c r="V137" s="773">
        <f t="shared" si="29"/>
        <v>-4779874.2872564094</v>
      </c>
      <c r="W137" s="778">
        <f t="shared" si="30"/>
        <v>8875954.8619743623</v>
      </c>
      <c r="X137" s="336">
        <f t="shared" si="31"/>
        <v>8644857.6244743615</v>
      </c>
      <c r="Y137" s="173">
        <f t="shared" si="36"/>
        <v>13655829.149230773</v>
      </c>
      <c r="Z137" s="797"/>
    </row>
    <row r="138" spans="1:26">
      <c r="A138" s="168"/>
      <c r="B138" s="29" t="s">
        <v>302</v>
      </c>
      <c r="C138" s="168"/>
      <c r="D138" s="145"/>
      <c r="E138" s="145"/>
      <c r="F138" s="145">
        <f t="shared" si="34"/>
        <v>17275998.307692308</v>
      </c>
      <c r="G138" s="773">
        <f t="shared" si="35"/>
        <v>17275998.307692312</v>
      </c>
      <c r="H138" s="145">
        <f t="shared" si="23"/>
        <v>57285</v>
      </c>
      <c r="I138" s="772">
        <f t="shared" si="32"/>
        <v>-4021164.1584615381</v>
      </c>
      <c r="J138" s="773">
        <f t="shared" si="37"/>
        <v>-3677454.1584615386</v>
      </c>
      <c r="K138" s="774">
        <f t="shared" si="26"/>
        <v>13254834.149230771</v>
      </c>
      <c r="L138" s="1284">
        <f t="shared" ref="L138:L153" si="38">H138*21%+L137</f>
        <v>-4655231.75223077</v>
      </c>
      <c r="M138" s="773">
        <f t="shared" si="28"/>
        <v>-12029.849999999627</v>
      </c>
      <c r="N138" s="777"/>
      <c r="O138" s="773">
        <f t="shared" si="25"/>
        <v>0</v>
      </c>
      <c r="P138" s="777">
        <f t="shared" si="33"/>
        <v>13254834.149230771</v>
      </c>
      <c r="Q138" s="776"/>
      <c r="R138" s="776"/>
      <c r="S138" s="776"/>
      <c r="T138" s="776"/>
      <c r="U138" s="777">
        <f t="shared" si="27"/>
        <v>-4655231.6747564105</v>
      </c>
      <c r="V138" s="773">
        <f t="shared" si="29"/>
        <v>-4760827.0247564102</v>
      </c>
      <c r="W138" s="778">
        <f t="shared" si="30"/>
        <v>8837717.1244743615</v>
      </c>
      <c r="X138" s="336">
        <f t="shared" si="31"/>
        <v>8599602.4744743593</v>
      </c>
      <c r="Y138" s="173">
        <f t="shared" si="36"/>
        <v>13598544.149230773</v>
      </c>
      <c r="Z138" s="797"/>
    </row>
    <row r="139" spans="1:26">
      <c r="A139" s="168"/>
      <c r="B139" s="29" t="s">
        <v>303</v>
      </c>
      <c r="C139" s="168"/>
      <c r="D139" s="145"/>
      <c r="E139" s="145"/>
      <c r="F139" s="145">
        <f t="shared" si="34"/>
        <v>17275998.307692308</v>
      </c>
      <c r="G139" s="773">
        <f t="shared" si="35"/>
        <v>17275998.307692312</v>
      </c>
      <c r="H139" s="145">
        <f t="shared" si="23"/>
        <v>57285</v>
      </c>
      <c r="I139" s="772">
        <f t="shared" si="32"/>
        <v>-4078449.1584615381</v>
      </c>
      <c r="J139" s="773">
        <f t="shared" si="37"/>
        <v>-3734739.1584615386</v>
      </c>
      <c r="K139" s="774">
        <f t="shared" si="26"/>
        <v>13197549.149230771</v>
      </c>
      <c r="L139" s="1284">
        <f t="shared" si="38"/>
        <v>-4643201.9022307703</v>
      </c>
      <c r="M139" s="773">
        <f t="shared" si="28"/>
        <v>-12029.849999999627</v>
      </c>
      <c r="N139" s="777"/>
      <c r="O139" s="773">
        <f t="shared" si="25"/>
        <v>0</v>
      </c>
      <c r="P139" s="777">
        <f t="shared" si="33"/>
        <v>13197549.149230771</v>
      </c>
      <c r="Q139" s="776"/>
      <c r="R139" s="776"/>
      <c r="S139" s="776"/>
      <c r="T139" s="776"/>
      <c r="U139" s="777">
        <f t="shared" si="27"/>
        <v>-4643201.8247564109</v>
      </c>
      <c r="V139" s="773">
        <f t="shared" si="29"/>
        <v>-4742448.0872564102</v>
      </c>
      <c r="W139" s="778">
        <f t="shared" si="30"/>
        <v>8798811.0619743615</v>
      </c>
      <c r="X139" s="336">
        <f t="shared" si="31"/>
        <v>8554347.3244743608</v>
      </c>
      <c r="Y139" s="173">
        <f t="shared" si="36"/>
        <v>13541259.149230773</v>
      </c>
      <c r="Z139" s="797"/>
    </row>
    <row r="140" spans="1:26">
      <c r="A140" s="168"/>
      <c r="B140" s="29" t="s">
        <v>304</v>
      </c>
      <c r="C140" s="168"/>
      <c r="D140" s="145"/>
      <c r="E140" s="145"/>
      <c r="F140" s="145">
        <f t="shared" si="34"/>
        <v>17275998.307692308</v>
      </c>
      <c r="G140" s="773">
        <f t="shared" si="35"/>
        <v>17275998.307692312</v>
      </c>
      <c r="H140" s="145">
        <f t="shared" si="23"/>
        <v>57285</v>
      </c>
      <c r="I140" s="772">
        <f t="shared" si="32"/>
        <v>-4135734.1584615381</v>
      </c>
      <c r="J140" s="773">
        <f t="shared" si="37"/>
        <v>-3792024.1584615386</v>
      </c>
      <c r="K140" s="774">
        <f t="shared" si="26"/>
        <v>13140264.149230771</v>
      </c>
      <c r="L140" s="1284">
        <f t="shared" si="38"/>
        <v>-4631172.0522307707</v>
      </c>
      <c r="M140" s="773">
        <f t="shared" si="28"/>
        <v>-12029.849999999627</v>
      </c>
      <c r="N140" s="777"/>
      <c r="O140" s="773">
        <f t="shared" si="25"/>
        <v>0</v>
      </c>
      <c r="P140" s="777">
        <f t="shared" si="33"/>
        <v>13140264.149230771</v>
      </c>
      <c r="Q140" s="776"/>
      <c r="R140" s="776"/>
      <c r="S140" s="776"/>
      <c r="T140" s="776"/>
      <c r="U140" s="777">
        <f t="shared" si="27"/>
        <v>-4631171.9747564113</v>
      </c>
      <c r="V140" s="773">
        <f t="shared" si="29"/>
        <v>-4724737.4747564094</v>
      </c>
      <c r="W140" s="778">
        <f t="shared" si="30"/>
        <v>8759236.6744743623</v>
      </c>
      <c r="X140" s="336">
        <f t="shared" si="31"/>
        <v>8509092.1744743586</v>
      </c>
      <c r="Y140" s="173">
        <f t="shared" si="36"/>
        <v>13483974.149230773</v>
      </c>
      <c r="Z140" s="797"/>
    </row>
    <row r="141" spans="1:26">
      <c r="A141" s="168"/>
      <c r="B141" s="29" t="s">
        <v>305</v>
      </c>
      <c r="C141" s="168"/>
      <c r="D141" s="145"/>
      <c r="E141" s="145"/>
      <c r="F141" s="145">
        <f t="shared" si="34"/>
        <v>17275998.307692308</v>
      </c>
      <c r="G141" s="773">
        <f t="shared" si="35"/>
        <v>17275998.307692312</v>
      </c>
      <c r="H141" s="145">
        <f t="shared" si="23"/>
        <v>57285</v>
      </c>
      <c r="I141" s="772">
        <f t="shared" si="32"/>
        <v>-4193019.1584615381</v>
      </c>
      <c r="J141" s="773">
        <f t="shared" si="37"/>
        <v>-3849309.1584615386</v>
      </c>
      <c r="K141" s="774">
        <f t="shared" si="26"/>
        <v>13082979.149230771</v>
      </c>
      <c r="L141" s="1284">
        <f t="shared" si="38"/>
        <v>-4619142.2022307711</v>
      </c>
      <c r="M141" s="773">
        <f t="shared" si="28"/>
        <v>-12029.849999999627</v>
      </c>
      <c r="N141" s="777"/>
      <c r="O141" s="773">
        <f t="shared" si="25"/>
        <v>0</v>
      </c>
      <c r="P141" s="777">
        <f t="shared" si="33"/>
        <v>13082979.149230771</v>
      </c>
      <c r="Q141" s="776"/>
      <c r="R141" s="776"/>
      <c r="S141" s="776"/>
      <c r="T141" s="776"/>
      <c r="U141" s="777">
        <f t="shared" si="27"/>
        <v>-4619142.1247564116</v>
      </c>
      <c r="V141" s="773">
        <f t="shared" si="29"/>
        <v>-4707695.1872564107</v>
      </c>
      <c r="W141" s="778">
        <f t="shared" si="30"/>
        <v>8718993.9619743619</v>
      </c>
      <c r="X141" s="336">
        <f t="shared" si="31"/>
        <v>8463837.02447436</v>
      </c>
      <c r="Y141" s="173">
        <f t="shared" si="36"/>
        <v>13426689.149230773</v>
      </c>
      <c r="Z141" s="797"/>
    </row>
    <row r="142" spans="1:26" s="1293" customFormat="1">
      <c r="A142" s="1281"/>
      <c r="B142" s="1282" t="s">
        <v>306</v>
      </c>
      <c r="C142" s="1281"/>
      <c r="D142" s="1283"/>
      <c r="E142" s="1283"/>
      <c r="F142" s="1283">
        <f t="shared" si="34"/>
        <v>17275998.307692308</v>
      </c>
      <c r="G142" s="1284">
        <f t="shared" si="35"/>
        <v>17275998.307692312</v>
      </c>
      <c r="H142" s="1283">
        <f t="shared" si="23"/>
        <v>57285</v>
      </c>
      <c r="I142" s="1285">
        <f t="shared" si="32"/>
        <v>-4250304.1584615381</v>
      </c>
      <c r="J142" s="1284">
        <f t="shared" si="37"/>
        <v>-3906594.1584615386</v>
      </c>
      <c r="K142" s="1286">
        <f t="shared" si="26"/>
        <v>13025694.149230771</v>
      </c>
      <c r="L142" s="1284">
        <f t="shared" si="38"/>
        <v>-4607112.3522307714</v>
      </c>
      <c r="M142" s="1284">
        <f t="shared" si="28"/>
        <v>-12029.849999999627</v>
      </c>
      <c r="N142" s="1287"/>
      <c r="O142" s="1284">
        <f t="shared" si="25"/>
        <v>0</v>
      </c>
      <c r="P142" s="1287">
        <f t="shared" si="33"/>
        <v>13025694.149230771</v>
      </c>
      <c r="Q142" s="1288"/>
      <c r="R142" s="1288"/>
      <c r="S142" s="1288"/>
      <c r="T142" s="1288"/>
      <c r="U142" s="1287">
        <f t="shared" si="27"/>
        <v>-4607112.274756412</v>
      </c>
      <c r="V142" s="1284">
        <f t="shared" si="29"/>
        <v>-4691321.2247564113</v>
      </c>
      <c r="W142" s="1289">
        <f t="shared" si="30"/>
        <v>8678082.9244743623</v>
      </c>
      <c r="X142" s="1290">
        <f t="shared" si="31"/>
        <v>8418581.8744743578</v>
      </c>
      <c r="Y142" s="1291">
        <f t="shared" si="36"/>
        <v>13369404.149230773</v>
      </c>
      <c r="Z142" s="1292"/>
    </row>
    <row r="143" spans="1:26">
      <c r="A143" s="168"/>
      <c r="B143" s="29" t="s">
        <v>307</v>
      </c>
      <c r="C143" s="168"/>
      <c r="D143" s="145"/>
      <c r="E143" s="145"/>
      <c r="F143" s="145">
        <f t="shared" si="34"/>
        <v>17275998.307692308</v>
      </c>
      <c r="G143" s="773">
        <f t="shared" si="35"/>
        <v>17275998.307692312</v>
      </c>
      <c r="H143" s="145">
        <f t="shared" si="23"/>
        <v>57285</v>
      </c>
      <c r="I143" s="772">
        <f t="shared" si="32"/>
        <v>-4307589.1584615381</v>
      </c>
      <c r="J143" s="773">
        <f t="shared" si="37"/>
        <v>-3963879.1584615386</v>
      </c>
      <c r="K143" s="774">
        <f t="shared" si="26"/>
        <v>12968409.149230771</v>
      </c>
      <c r="L143" s="1284">
        <f t="shared" si="38"/>
        <v>-4595082.5022307718</v>
      </c>
      <c r="M143" s="773">
        <f t="shared" si="28"/>
        <v>-12029.849999999627</v>
      </c>
      <c r="N143" s="777"/>
      <c r="O143" s="773">
        <f t="shared" si="25"/>
        <v>0</v>
      </c>
      <c r="P143" s="777">
        <f t="shared" si="33"/>
        <v>12968409.149230771</v>
      </c>
      <c r="Q143" s="776"/>
      <c r="R143" s="776"/>
      <c r="S143" s="776"/>
      <c r="T143" s="776"/>
      <c r="U143" s="777">
        <f t="shared" si="27"/>
        <v>-4595082.4247564124</v>
      </c>
      <c r="V143" s="773">
        <f t="shared" si="29"/>
        <v>-4675615.5872564102</v>
      </c>
      <c r="W143" s="778">
        <f t="shared" si="30"/>
        <v>8636503.5619743615</v>
      </c>
      <c r="X143" s="336">
        <f t="shared" si="31"/>
        <v>8373326.7244743584</v>
      </c>
      <c r="Y143" s="173">
        <f t="shared" si="36"/>
        <v>13312119.149230773</v>
      </c>
      <c r="Z143" s="797"/>
    </row>
    <row r="144" spans="1:26">
      <c r="A144" s="168"/>
      <c r="B144" s="29" t="s">
        <v>308</v>
      </c>
      <c r="C144" s="168"/>
      <c r="D144" s="145"/>
      <c r="E144" s="145"/>
      <c r="F144" s="145">
        <f t="shared" si="34"/>
        <v>17275998.307692308</v>
      </c>
      <c r="G144" s="773">
        <f t="shared" si="35"/>
        <v>17275998.307692312</v>
      </c>
      <c r="H144" s="145">
        <f t="shared" si="23"/>
        <v>57285</v>
      </c>
      <c r="I144" s="772">
        <f t="shared" si="32"/>
        <v>-4364874.1584615381</v>
      </c>
      <c r="J144" s="773">
        <f t="shared" si="37"/>
        <v>-4021164.1584615386</v>
      </c>
      <c r="K144" s="774">
        <f t="shared" si="26"/>
        <v>12911124.149230771</v>
      </c>
      <c r="L144" s="1284">
        <f t="shared" si="38"/>
        <v>-4583052.6522307722</v>
      </c>
      <c r="M144" s="773">
        <f t="shared" si="28"/>
        <v>-12029.849999999627</v>
      </c>
      <c r="N144" s="777"/>
      <c r="O144" s="773">
        <f t="shared" si="25"/>
        <v>0</v>
      </c>
      <c r="P144" s="777">
        <f t="shared" si="33"/>
        <v>12911124.149230771</v>
      </c>
      <c r="Q144" s="776"/>
      <c r="R144" s="776"/>
      <c r="S144" s="776"/>
      <c r="T144" s="776"/>
      <c r="U144" s="777">
        <f t="shared" si="27"/>
        <v>-4583052.5747564128</v>
      </c>
      <c r="V144" s="773">
        <f t="shared" si="29"/>
        <v>-4660578.2747564102</v>
      </c>
      <c r="W144" s="778">
        <f t="shared" si="30"/>
        <v>8594255.8744743615</v>
      </c>
      <c r="X144" s="336">
        <f t="shared" si="31"/>
        <v>8328071.574474358</v>
      </c>
      <c r="Y144" s="173">
        <f t="shared" si="36"/>
        <v>13254834.149230773</v>
      </c>
      <c r="Z144" s="797"/>
    </row>
    <row r="145" spans="1:26">
      <c r="A145" s="168"/>
      <c r="B145" s="29" t="s">
        <v>309</v>
      </c>
      <c r="C145" s="168"/>
      <c r="D145" s="145"/>
      <c r="E145" s="145"/>
      <c r="F145" s="145">
        <f t="shared" si="34"/>
        <v>17275998.307692308</v>
      </c>
      <c r="G145" s="773">
        <f t="shared" si="35"/>
        <v>17275998.307692312</v>
      </c>
      <c r="H145" s="145">
        <f t="shared" si="23"/>
        <v>57285</v>
      </c>
      <c r="I145" s="772">
        <f t="shared" si="32"/>
        <v>-4422159.1584615381</v>
      </c>
      <c r="J145" s="773">
        <f t="shared" si="37"/>
        <v>-4078449.1584615386</v>
      </c>
      <c r="K145" s="774">
        <f t="shared" si="26"/>
        <v>12853839.149230771</v>
      </c>
      <c r="L145" s="1284">
        <f t="shared" si="38"/>
        <v>-4571022.8022307726</v>
      </c>
      <c r="M145" s="773">
        <f t="shared" si="28"/>
        <v>-12029.849999999627</v>
      </c>
      <c r="N145" s="777"/>
      <c r="O145" s="773">
        <f t="shared" si="25"/>
        <v>0</v>
      </c>
      <c r="P145" s="777">
        <f t="shared" si="33"/>
        <v>12853839.149230771</v>
      </c>
      <c r="Q145" s="776"/>
      <c r="R145" s="776"/>
      <c r="S145" s="776"/>
      <c r="T145" s="776"/>
      <c r="U145" s="777">
        <f t="shared" si="27"/>
        <v>-4571022.7247564131</v>
      </c>
      <c r="V145" s="773">
        <f t="shared" si="29"/>
        <v>-4646209.2872564113</v>
      </c>
      <c r="W145" s="778">
        <f t="shared" si="30"/>
        <v>8551339.8619743623</v>
      </c>
      <c r="X145" s="336">
        <f t="shared" si="31"/>
        <v>8282816.4244743576</v>
      </c>
      <c r="Y145" s="173">
        <f t="shared" si="36"/>
        <v>13197549.149230773</v>
      </c>
      <c r="Z145" s="797"/>
    </row>
    <row r="146" spans="1:26">
      <c r="A146" s="168"/>
      <c r="B146" s="29" t="s">
        <v>310</v>
      </c>
      <c r="C146" s="168"/>
      <c r="D146" s="145"/>
      <c r="E146" s="145"/>
      <c r="F146" s="145">
        <f t="shared" si="34"/>
        <v>17275998.307692308</v>
      </c>
      <c r="G146" s="773">
        <f t="shared" si="35"/>
        <v>17275998.307692312</v>
      </c>
      <c r="H146" s="145">
        <f t="shared" si="23"/>
        <v>57285</v>
      </c>
      <c r="I146" s="772">
        <f t="shared" si="32"/>
        <v>-4479444.1584615381</v>
      </c>
      <c r="J146" s="773">
        <f t="shared" si="37"/>
        <v>-4135734.1584615386</v>
      </c>
      <c r="K146" s="774">
        <f t="shared" si="26"/>
        <v>12796554.149230771</v>
      </c>
      <c r="L146" s="1284">
        <f t="shared" si="38"/>
        <v>-4558992.9522307729</v>
      </c>
      <c r="M146" s="773">
        <f t="shared" si="28"/>
        <v>-12029.849999999627</v>
      </c>
      <c r="N146" s="777"/>
      <c r="O146" s="773">
        <f t="shared" si="25"/>
        <v>0</v>
      </c>
      <c r="P146" s="777">
        <f t="shared" si="33"/>
        <v>12796554.149230771</v>
      </c>
      <c r="Q146" s="776"/>
      <c r="R146" s="776"/>
      <c r="S146" s="776"/>
      <c r="T146" s="776"/>
      <c r="U146" s="777">
        <f t="shared" si="27"/>
        <v>-4558992.8747564135</v>
      </c>
      <c r="V146" s="773">
        <f t="shared" si="29"/>
        <v>-4632508.6247564116</v>
      </c>
      <c r="W146" s="778">
        <f t="shared" si="30"/>
        <v>8507755.52447436</v>
      </c>
      <c r="X146" s="336">
        <f t="shared" si="31"/>
        <v>8237561.2744743573</v>
      </c>
      <c r="Y146" s="173">
        <f t="shared" si="36"/>
        <v>13140264.149230773</v>
      </c>
      <c r="Z146" s="797"/>
    </row>
    <row r="147" spans="1:26">
      <c r="A147" s="168"/>
      <c r="B147" s="29" t="s">
        <v>311</v>
      </c>
      <c r="C147" s="168"/>
      <c r="D147" s="145"/>
      <c r="E147" s="145"/>
      <c r="F147" s="145">
        <f t="shared" si="34"/>
        <v>17275998.307692308</v>
      </c>
      <c r="G147" s="773">
        <f t="shared" si="35"/>
        <v>17275998.307692312</v>
      </c>
      <c r="H147" s="145">
        <f t="shared" si="23"/>
        <v>57285</v>
      </c>
      <c r="I147" s="772">
        <f t="shared" si="32"/>
        <v>-4536729.1584615381</v>
      </c>
      <c r="J147" s="773">
        <f t="shared" si="37"/>
        <v>-4193019.1584615386</v>
      </c>
      <c r="K147" s="774">
        <f t="shared" si="26"/>
        <v>12739269.149230771</v>
      </c>
      <c r="L147" s="1284">
        <f t="shared" si="38"/>
        <v>-4546963.1022307733</v>
      </c>
      <c r="M147" s="773">
        <f t="shared" si="28"/>
        <v>-12029.849999999627</v>
      </c>
      <c r="N147" s="777"/>
      <c r="O147" s="773">
        <f t="shared" si="25"/>
        <v>0</v>
      </c>
      <c r="P147" s="777">
        <f t="shared" si="33"/>
        <v>12739269.149230771</v>
      </c>
      <c r="Q147" s="776"/>
      <c r="R147" s="776"/>
      <c r="S147" s="776"/>
      <c r="T147" s="776"/>
      <c r="U147" s="777">
        <f t="shared" si="27"/>
        <v>-4546963.0247564139</v>
      </c>
      <c r="V147" s="773">
        <f t="shared" si="29"/>
        <v>-4619476.2872564113</v>
      </c>
      <c r="W147" s="778">
        <f t="shared" si="30"/>
        <v>8463502.8619743623</v>
      </c>
      <c r="X147" s="336">
        <f t="shared" si="31"/>
        <v>8192306.1244743569</v>
      </c>
      <c r="Y147" s="173">
        <f t="shared" si="36"/>
        <v>13082979.149230773</v>
      </c>
      <c r="Z147" s="797"/>
    </row>
    <row r="148" spans="1:26" s="1373" customFormat="1">
      <c r="A148" s="1361"/>
      <c r="B148" s="1362" t="s">
        <v>312</v>
      </c>
      <c r="C148" s="1361"/>
      <c r="D148" s="1363"/>
      <c r="E148" s="1363"/>
      <c r="F148" s="1363">
        <f t="shared" si="34"/>
        <v>17275998.307692308</v>
      </c>
      <c r="G148" s="1364">
        <f t="shared" si="35"/>
        <v>17275998.307692312</v>
      </c>
      <c r="H148" s="1363">
        <f t="shared" si="23"/>
        <v>57285</v>
      </c>
      <c r="I148" s="1365">
        <f t="shared" si="32"/>
        <v>-4594014.1584615381</v>
      </c>
      <c r="J148" s="1364">
        <f t="shared" si="37"/>
        <v>-4250304.1584615381</v>
      </c>
      <c r="K148" s="1366">
        <f t="shared" si="26"/>
        <v>12681984.149230771</v>
      </c>
      <c r="L148" s="1364">
        <f t="shared" si="38"/>
        <v>-4534933.2522307737</v>
      </c>
      <c r="M148" s="1364">
        <f t="shared" si="28"/>
        <v>-12029.849999999627</v>
      </c>
      <c r="N148" s="1367"/>
      <c r="O148" s="1364">
        <f t="shared" si="25"/>
        <v>0</v>
      </c>
      <c r="P148" s="1367">
        <f t="shared" si="33"/>
        <v>12681984.149230771</v>
      </c>
      <c r="Q148" s="1368"/>
      <c r="R148" s="1368"/>
      <c r="S148" s="1368"/>
      <c r="T148" s="1368"/>
      <c r="U148" s="1367">
        <f t="shared" si="27"/>
        <v>-4534933.1747564143</v>
      </c>
      <c r="V148" s="1364">
        <f t="shared" si="29"/>
        <v>-4607112.274756412</v>
      </c>
      <c r="W148" s="1369">
        <f t="shared" si="30"/>
        <v>8418581.8744743615</v>
      </c>
      <c r="X148" s="1370">
        <f t="shared" si="31"/>
        <v>8147050.9744743565</v>
      </c>
      <c r="Y148" s="1371">
        <f t="shared" si="36"/>
        <v>13025694.149230774</v>
      </c>
      <c r="Z148" s="1372"/>
    </row>
    <row r="149" spans="1:26">
      <c r="A149" s="168"/>
      <c r="B149" s="29" t="s">
        <v>313</v>
      </c>
      <c r="C149" s="168"/>
      <c r="D149" s="145"/>
      <c r="E149" s="145"/>
      <c r="F149" s="145">
        <f t="shared" si="34"/>
        <v>17275998.307692308</v>
      </c>
      <c r="G149" s="773">
        <f t="shared" si="35"/>
        <v>17275998.307692312</v>
      </c>
      <c r="H149" s="145">
        <f t="shared" si="23"/>
        <v>57285</v>
      </c>
      <c r="I149" s="772">
        <f t="shared" si="32"/>
        <v>-4651299.1584615381</v>
      </c>
      <c r="J149" s="773">
        <f t="shared" si="37"/>
        <v>-4307589.1584615391</v>
      </c>
      <c r="K149" s="774">
        <f t="shared" si="26"/>
        <v>12624699.149230771</v>
      </c>
      <c r="L149" s="1284">
        <f t="shared" si="38"/>
        <v>-4522903.4022307741</v>
      </c>
      <c r="M149" s="773">
        <f t="shared" si="28"/>
        <v>-12029.849999999627</v>
      </c>
      <c r="N149" s="777"/>
      <c r="O149" s="773">
        <f t="shared" si="25"/>
        <v>0</v>
      </c>
      <c r="P149" s="777">
        <f t="shared" si="33"/>
        <v>12624699.149230771</v>
      </c>
      <c r="Q149" s="776"/>
      <c r="R149" s="776"/>
      <c r="S149" s="776"/>
      <c r="T149" s="776"/>
      <c r="U149" s="777">
        <f t="shared" si="27"/>
        <v>-4522903.3247564146</v>
      </c>
      <c r="V149" s="773">
        <f t="shared" si="29"/>
        <v>-4595082.4247564124</v>
      </c>
      <c r="W149" s="778">
        <f t="shared" si="30"/>
        <v>8373326.7244743602</v>
      </c>
      <c r="X149" s="336">
        <f t="shared" si="31"/>
        <v>8101795.8244743561</v>
      </c>
      <c r="Y149" s="173">
        <f t="shared" si="36"/>
        <v>12968409.149230773</v>
      </c>
      <c r="Z149" s="797"/>
    </row>
    <row r="150" spans="1:26">
      <c r="A150" s="168"/>
      <c r="B150" s="29" t="s">
        <v>314</v>
      </c>
      <c r="C150" s="168"/>
      <c r="D150" s="145"/>
      <c r="E150" s="145"/>
      <c r="F150" s="145">
        <f t="shared" si="34"/>
        <v>17275998.307692308</v>
      </c>
      <c r="G150" s="773">
        <f t="shared" si="35"/>
        <v>17275998.307692312</v>
      </c>
      <c r="H150" s="145">
        <f t="shared" si="23"/>
        <v>57285</v>
      </c>
      <c r="I150" s="772">
        <f t="shared" si="32"/>
        <v>-4708584.1584615381</v>
      </c>
      <c r="J150" s="773">
        <f t="shared" si="37"/>
        <v>-4364874.1584615391</v>
      </c>
      <c r="K150" s="774">
        <f t="shared" si="26"/>
        <v>12567414.149230771</v>
      </c>
      <c r="L150" s="1284">
        <f t="shared" si="38"/>
        <v>-4510873.5522307744</v>
      </c>
      <c r="M150" s="773">
        <f t="shared" si="28"/>
        <v>-12029.849999999627</v>
      </c>
      <c r="N150" s="777"/>
      <c r="O150" s="773">
        <f t="shared" si="25"/>
        <v>0</v>
      </c>
      <c r="P150" s="777">
        <f t="shared" si="33"/>
        <v>12567414.149230771</v>
      </c>
      <c r="Q150" s="776"/>
      <c r="R150" s="776"/>
      <c r="S150" s="776"/>
      <c r="T150" s="776"/>
      <c r="U150" s="777">
        <f t="shared" si="27"/>
        <v>-4510873.474756415</v>
      </c>
      <c r="V150" s="773">
        <f t="shared" si="29"/>
        <v>-4583052.5747564128</v>
      </c>
      <c r="W150" s="778">
        <f t="shared" si="30"/>
        <v>8328071.5744743599</v>
      </c>
      <c r="X150" s="336">
        <f t="shared" si="31"/>
        <v>8056540.6744743558</v>
      </c>
      <c r="Y150" s="173">
        <f t="shared" si="36"/>
        <v>12911124.149230773</v>
      </c>
      <c r="Z150" s="797"/>
    </row>
    <row r="151" spans="1:26">
      <c r="A151" s="168"/>
      <c r="B151" s="29" t="s">
        <v>315</v>
      </c>
      <c r="C151" s="168"/>
      <c r="D151" s="145"/>
      <c r="E151" s="145"/>
      <c r="F151" s="145">
        <f t="shared" si="34"/>
        <v>17275998.307692308</v>
      </c>
      <c r="G151" s="773">
        <f t="shared" si="35"/>
        <v>17275998.307692312</v>
      </c>
      <c r="H151" s="145">
        <f t="shared" si="23"/>
        <v>57285</v>
      </c>
      <c r="I151" s="772">
        <f t="shared" si="32"/>
        <v>-4765869.1584615381</v>
      </c>
      <c r="J151" s="773">
        <f t="shared" si="37"/>
        <v>-4422159.1584615391</v>
      </c>
      <c r="K151" s="774">
        <f t="shared" si="26"/>
        <v>12510129.149230771</v>
      </c>
      <c r="L151" s="1284">
        <f t="shared" si="38"/>
        <v>-4498843.7022307748</v>
      </c>
      <c r="M151" s="773">
        <f t="shared" si="28"/>
        <v>-12029.849999999627</v>
      </c>
      <c r="N151" s="777"/>
      <c r="O151" s="773">
        <f t="shared" si="25"/>
        <v>0</v>
      </c>
      <c r="P151" s="777">
        <f t="shared" si="33"/>
        <v>12510129.149230771</v>
      </c>
      <c r="Q151" s="776"/>
      <c r="R151" s="776"/>
      <c r="S151" s="776"/>
      <c r="T151" s="776"/>
      <c r="U151" s="777">
        <f t="shared" si="27"/>
        <v>-4498843.6247564154</v>
      </c>
      <c r="V151" s="773">
        <f t="shared" si="29"/>
        <v>-4571022.7247564131</v>
      </c>
      <c r="W151" s="778">
        <f t="shared" si="30"/>
        <v>8282816.4244743595</v>
      </c>
      <c r="X151" s="336">
        <f t="shared" si="31"/>
        <v>8011285.5244743554</v>
      </c>
      <c r="Y151" s="173">
        <f t="shared" si="36"/>
        <v>12853839.149230773</v>
      </c>
      <c r="Z151" s="797"/>
    </row>
    <row r="152" spans="1:26">
      <c r="A152" s="168"/>
      <c r="B152" s="29" t="s">
        <v>316</v>
      </c>
      <c r="C152" s="168"/>
      <c r="D152" s="145"/>
      <c r="E152" s="145"/>
      <c r="F152" s="145">
        <f t="shared" si="34"/>
        <v>17275998.307692308</v>
      </c>
      <c r="G152" s="773">
        <f t="shared" si="35"/>
        <v>17275998.307692312</v>
      </c>
      <c r="H152" s="145">
        <f t="shared" si="23"/>
        <v>57285</v>
      </c>
      <c r="I152" s="772">
        <f t="shared" si="32"/>
        <v>-4823154.1584615381</v>
      </c>
      <c r="J152" s="773">
        <f t="shared" si="37"/>
        <v>-4479444.1584615391</v>
      </c>
      <c r="K152" s="774">
        <f t="shared" si="26"/>
        <v>12452844.149230771</v>
      </c>
      <c r="L152" s="1284">
        <f t="shared" si="38"/>
        <v>-4486813.8522307752</v>
      </c>
      <c r="M152" s="773">
        <f t="shared" si="28"/>
        <v>-12029.849999999627</v>
      </c>
      <c r="N152" s="777"/>
      <c r="O152" s="773">
        <f t="shared" si="25"/>
        <v>0</v>
      </c>
      <c r="P152" s="777">
        <f t="shared" si="33"/>
        <v>12452844.149230771</v>
      </c>
      <c r="Q152" s="776"/>
      <c r="R152" s="776"/>
      <c r="S152" s="776"/>
      <c r="T152" s="776"/>
      <c r="U152" s="777">
        <f t="shared" si="27"/>
        <v>-4486813.7747564157</v>
      </c>
      <c r="V152" s="773">
        <f t="shared" si="29"/>
        <v>-4558992.8747564135</v>
      </c>
      <c r="W152" s="778">
        <f t="shared" si="30"/>
        <v>8237561.2744743591</v>
      </c>
      <c r="X152" s="336">
        <f t="shared" si="31"/>
        <v>7966030.374474355</v>
      </c>
      <c r="Y152" s="173">
        <f t="shared" si="36"/>
        <v>12796554.149230773</v>
      </c>
      <c r="Z152" s="797"/>
    </row>
    <row r="153" spans="1:26">
      <c r="A153" s="168"/>
      <c r="B153" s="29" t="s">
        <v>317</v>
      </c>
      <c r="C153" s="168"/>
      <c r="D153" s="145"/>
      <c r="E153" s="145"/>
      <c r="F153" s="145">
        <f t="shared" si="34"/>
        <v>17275998.307692308</v>
      </c>
      <c r="G153" s="773">
        <f t="shared" si="35"/>
        <v>17275998.307692312</v>
      </c>
      <c r="H153" s="145">
        <f t="shared" si="23"/>
        <v>57285</v>
      </c>
      <c r="I153" s="772">
        <f t="shared" si="32"/>
        <v>-4880439.1584615381</v>
      </c>
      <c r="J153" s="773">
        <f t="shared" si="37"/>
        <v>-4536729.1584615391</v>
      </c>
      <c r="K153" s="774">
        <f t="shared" si="26"/>
        <v>12395559.149230771</v>
      </c>
      <c r="L153" s="1284">
        <f t="shared" si="38"/>
        <v>-4474784.0022307755</v>
      </c>
      <c r="M153" s="773">
        <f t="shared" si="28"/>
        <v>-12029.849999999627</v>
      </c>
      <c r="N153" s="777"/>
      <c r="O153" s="773">
        <f t="shared" si="25"/>
        <v>0</v>
      </c>
      <c r="P153" s="777">
        <f t="shared" si="33"/>
        <v>12395559.149230771</v>
      </c>
      <c r="Q153" s="776"/>
      <c r="R153" s="776"/>
      <c r="S153" s="776"/>
      <c r="T153" s="776"/>
      <c r="U153" s="777">
        <f t="shared" si="27"/>
        <v>-4474783.9247564161</v>
      </c>
      <c r="V153" s="773">
        <f t="shared" si="29"/>
        <v>-4546963.0247564139</v>
      </c>
      <c r="W153" s="778">
        <f t="shared" si="30"/>
        <v>8192306.1244743587</v>
      </c>
      <c r="X153" s="336">
        <f t="shared" si="31"/>
        <v>7920775.2244743546</v>
      </c>
      <c r="Y153" s="173">
        <f t="shared" si="36"/>
        <v>12739269.149230773</v>
      </c>
      <c r="Z153" s="797"/>
    </row>
    <row r="154" spans="1:26" hidden="1" outlineLevel="1">
      <c r="A154" s="168"/>
      <c r="B154" s="29" t="s">
        <v>318</v>
      </c>
      <c r="C154" s="168"/>
      <c r="D154" s="145"/>
      <c r="E154" s="145"/>
      <c r="F154" s="145">
        <f t="shared" si="34"/>
        <v>17275998.307692308</v>
      </c>
      <c r="G154" s="773">
        <f t="shared" si="35"/>
        <v>17275998.307692312</v>
      </c>
      <c r="H154" s="145">
        <f t="shared" si="23"/>
        <v>57285</v>
      </c>
      <c r="I154" s="772">
        <f t="shared" si="32"/>
        <v>-4937724.1584615381</v>
      </c>
      <c r="J154" s="773">
        <f t="shared" si="37"/>
        <v>-4594014.1584615391</v>
      </c>
      <c r="K154" s="774">
        <f t="shared" si="26"/>
        <v>12338274.149230771</v>
      </c>
      <c r="L154" s="773">
        <f t="shared" si="24"/>
        <v>-4318395.9522307692</v>
      </c>
      <c r="M154" s="773">
        <f t="shared" si="28"/>
        <v>-156388.05000000633</v>
      </c>
      <c r="N154" s="777"/>
      <c r="O154" s="773">
        <f t="shared" si="25"/>
        <v>0</v>
      </c>
      <c r="P154" s="777">
        <f t="shared" si="33"/>
        <v>12338274.149230771</v>
      </c>
      <c r="Q154" s="776"/>
      <c r="R154" s="776"/>
      <c r="S154" s="776"/>
      <c r="T154" s="776"/>
      <c r="U154" s="777">
        <f t="shared" si="27"/>
        <v>-4318395.8747564098</v>
      </c>
      <c r="V154" s="773">
        <f t="shared" si="29"/>
        <v>-4528918.2497564144</v>
      </c>
      <c r="W154" s="778">
        <f t="shared" si="30"/>
        <v>8153065.8994743582</v>
      </c>
      <c r="X154" s="336">
        <f t="shared" si="31"/>
        <v>8019878.274474361</v>
      </c>
      <c r="Y154" s="173">
        <f t="shared" si="36"/>
        <v>12681984.149230773</v>
      </c>
      <c r="Z154" s="797"/>
    </row>
    <row r="155" spans="1:26" hidden="1" outlineLevel="1">
      <c r="A155" s="168"/>
      <c r="B155" s="29" t="s">
        <v>319</v>
      </c>
      <c r="C155" s="168"/>
      <c r="D155" s="145"/>
      <c r="E155" s="145"/>
      <c r="F155" s="145">
        <f t="shared" si="34"/>
        <v>17275998.307692308</v>
      </c>
      <c r="G155" s="773">
        <f t="shared" si="35"/>
        <v>17275998.307692312</v>
      </c>
      <c r="H155" s="145">
        <f t="shared" ref="H155:H216" si="39">H154</f>
        <v>57285</v>
      </c>
      <c r="I155" s="772">
        <f t="shared" si="32"/>
        <v>-4995009.1584615381</v>
      </c>
      <c r="J155" s="773">
        <f t="shared" si="37"/>
        <v>-4651299.1584615391</v>
      </c>
      <c r="K155" s="774">
        <f t="shared" si="26"/>
        <v>12280989.149230771</v>
      </c>
      <c r="L155" s="773">
        <f t="shared" si="24"/>
        <v>-4298346.2022307692</v>
      </c>
      <c r="M155" s="773">
        <f t="shared" si="28"/>
        <v>-20049.75</v>
      </c>
      <c r="N155" s="777"/>
      <c r="O155" s="773">
        <f t="shared" si="25"/>
        <v>0</v>
      </c>
      <c r="P155" s="777">
        <f t="shared" si="33"/>
        <v>12280989.149230771</v>
      </c>
      <c r="Q155" s="776"/>
      <c r="R155" s="776"/>
      <c r="S155" s="776"/>
      <c r="T155" s="776"/>
      <c r="U155" s="777">
        <f t="shared" si="27"/>
        <v>-4298346.1247564098</v>
      </c>
      <c r="V155" s="773">
        <f t="shared" si="29"/>
        <v>-4504524.3872564137</v>
      </c>
      <c r="W155" s="778">
        <f t="shared" si="30"/>
        <v>8120174.7619743589</v>
      </c>
      <c r="X155" s="336">
        <f t="shared" si="31"/>
        <v>7982643.024474361</v>
      </c>
      <c r="Y155" s="173">
        <f t="shared" si="36"/>
        <v>12624699.149230773</v>
      </c>
      <c r="Z155" s="797"/>
    </row>
    <row r="156" spans="1:26" hidden="1" outlineLevel="1">
      <c r="A156" s="168"/>
      <c r="B156" s="29" t="s">
        <v>320</v>
      </c>
      <c r="C156" s="168"/>
      <c r="D156" s="145"/>
      <c r="E156" s="145"/>
      <c r="F156" s="145">
        <f t="shared" si="34"/>
        <v>17275998.307692308</v>
      </c>
      <c r="G156" s="773">
        <f t="shared" si="35"/>
        <v>17275998.307692312</v>
      </c>
      <c r="H156" s="145">
        <f t="shared" si="39"/>
        <v>57285</v>
      </c>
      <c r="I156" s="772">
        <f t="shared" si="32"/>
        <v>-5052294.1584615381</v>
      </c>
      <c r="J156" s="773">
        <f t="shared" si="37"/>
        <v>-4708584.1584615391</v>
      </c>
      <c r="K156" s="774">
        <f t="shared" si="26"/>
        <v>12223704.149230771</v>
      </c>
      <c r="L156" s="773">
        <f t="shared" si="24"/>
        <v>-4278296.4522307692</v>
      </c>
      <c r="M156" s="773">
        <f t="shared" si="28"/>
        <v>-20049.75</v>
      </c>
      <c r="N156" s="777"/>
      <c r="O156" s="773">
        <f t="shared" si="25"/>
        <v>0</v>
      </c>
      <c r="P156" s="777">
        <f t="shared" si="33"/>
        <v>12223704.149230771</v>
      </c>
      <c r="Q156" s="776"/>
      <c r="R156" s="776"/>
      <c r="S156" s="776"/>
      <c r="T156" s="776"/>
      <c r="U156" s="777">
        <f t="shared" si="27"/>
        <v>-4278296.3747564098</v>
      </c>
      <c r="V156" s="773">
        <f t="shared" si="29"/>
        <v>-4479462.1997564137</v>
      </c>
      <c r="W156" s="778">
        <f t="shared" si="30"/>
        <v>8087951.9494743589</v>
      </c>
      <c r="X156" s="336">
        <f t="shared" si="31"/>
        <v>7945407.774474361</v>
      </c>
      <c r="Y156" s="173">
        <f t="shared" si="36"/>
        <v>12567414.149230773</v>
      </c>
      <c r="Z156" s="797"/>
    </row>
    <row r="157" spans="1:26" hidden="1" outlineLevel="1">
      <c r="A157" s="168"/>
      <c r="B157" s="29" t="s">
        <v>321</v>
      </c>
      <c r="C157" s="168"/>
      <c r="D157" s="145"/>
      <c r="E157" s="145"/>
      <c r="F157" s="145">
        <f t="shared" si="34"/>
        <v>17275998.307692308</v>
      </c>
      <c r="G157" s="773">
        <f t="shared" si="35"/>
        <v>17275998.307692312</v>
      </c>
      <c r="H157" s="145">
        <f t="shared" si="39"/>
        <v>57285</v>
      </c>
      <c r="I157" s="772">
        <f t="shared" si="32"/>
        <v>-5109579.1584615381</v>
      </c>
      <c r="J157" s="773">
        <f t="shared" si="37"/>
        <v>-4765869.1584615391</v>
      </c>
      <c r="K157" s="774">
        <f t="shared" si="26"/>
        <v>12166419.149230771</v>
      </c>
      <c r="L157" s="773">
        <f t="shared" si="24"/>
        <v>-4258246.7022307692</v>
      </c>
      <c r="M157" s="773">
        <f t="shared" si="28"/>
        <v>-20049.75</v>
      </c>
      <c r="N157" s="777"/>
      <c r="O157" s="773">
        <f t="shared" si="25"/>
        <v>0</v>
      </c>
      <c r="P157" s="777">
        <f t="shared" si="33"/>
        <v>12166419.149230771</v>
      </c>
      <c r="Q157" s="776"/>
      <c r="R157" s="776"/>
      <c r="S157" s="776"/>
      <c r="T157" s="776"/>
      <c r="U157" s="777">
        <f t="shared" si="27"/>
        <v>-4258246.6247564098</v>
      </c>
      <c r="V157" s="773">
        <f t="shared" si="29"/>
        <v>-4453731.6872564135</v>
      </c>
      <c r="W157" s="778">
        <f t="shared" si="30"/>
        <v>8056397.4619743591</v>
      </c>
      <c r="X157" s="336">
        <f t="shared" si="31"/>
        <v>7908172.524474361</v>
      </c>
      <c r="Y157" s="173">
        <f t="shared" si="36"/>
        <v>12510129.149230773</v>
      </c>
      <c r="Z157" s="797"/>
    </row>
    <row r="158" spans="1:26" hidden="1" outlineLevel="1">
      <c r="A158" s="168"/>
      <c r="B158" s="29" t="s">
        <v>322</v>
      </c>
      <c r="C158" s="168"/>
      <c r="D158" s="145"/>
      <c r="E158" s="145"/>
      <c r="F158" s="145">
        <f t="shared" si="34"/>
        <v>17275998.307692308</v>
      </c>
      <c r="G158" s="773">
        <f t="shared" si="35"/>
        <v>17275998.307692312</v>
      </c>
      <c r="H158" s="145">
        <f t="shared" si="39"/>
        <v>57285</v>
      </c>
      <c r="I158" s="772">
        <f t="shared" si="32"/>
        <v>-5166864.1584615381</v>
      </c>
      <c r="J158" s="773">
        <f t="shared" si="37"/>
        <v>-4823154.1584615391</v>
      </c>
      <c r="K158" s="774">
        <f t="shared" si="26"/>
        <v>12109134.149230771</v>
      </c>
      <c r="L158" s="773">
        <f t="shared" ref="L158:L221" si="40">-K158*35%</f>
        <v>-4238196.9522307692</v>
      </c>
      <c r="M158" s="773">
        <f t="shared" si="28"/>
        <v>-20049.75</v>
      </c>
      <c r="N158" s="777"/>
      <c r="O158" s="773">
        <f t="shared" si="25"/>
        <v>0</v>
      </c>
      <c r="P158" s="777">
        <f t="shared" si="33"/>
        <v>12109134.149230771</v>
      </c>
      <c r="Q158" s="776"/>
      <c r="R158" s="776"/>
      <c r="S158" s="776"/>
      <c r="T158" s="776"/>
      <c r="U158" s="777">
        <f t="shared" si="27"/>
        <v>-4238196.8747564098</v>
      </c>
      <c r="V158" s="773">
        <f t="shared" si="29"/>
        <v>-4427332.8497564131</v>
      </c>
      <c r="W158" s="778">
        <f t="shared" si="30"/>
        <v>8025511.2994743595</v>
      </c>
      <c r="X158" s="336">
        <f t="shared" si="31"/>
        <v>7870937.274474361</v>
      </c>
      <c r="Y158" s="173">
        <f t="shared" si="36"/>
        <v>12452844.149230773</v>
      </c>
      <c r="Z158" s="797"/>
    </row>
    <row r="159" spans="1:26" hidden="1" outlineLevel="1">
      <c r="A159" s="168"/>
      <c r="B159" s="29" t="s">
        <v>323</v>
      </c>
      <c r="C159" s="168"/>
      <c r="D159" s="145"/>
      <c r="E159" s="145"/>
      <c r="F159" s="145">
        <f t="shared" si="34"/>
        <v>17275998.307692308</v>
      </c>
      <c r="G159" s="773">
        <f t="shared" si="35"/>
        <v>17275998.307692312</v>
      </c>
      <c r="H159" s="145">
        <f t="shared" si="39"/>
        <v>57285</v>
      </c>
      <c r="I159" s="772">
        <f t="shared" si="32"/>
        <v>-5224149.1584615381</v>
      </c>
      <c r="J159" s="773">
        <f t="shared" si="37"/>
        <v>-4880439.1584615391</v>
      </c>
      <c r="K159" s="774">
        <f t="shared" si="26"/>
        <v>12051849.149230771</v>
      </c>
      <c r="L159" s="773">
        <f t="shared" si="40"/>
        <v>-4218147.2022307692</v>
      </c>
      <c r="M159" s="773">
        <f t="shared" si="28"/>
        <v>-20049.75</v>
      </c>
      <c r="N159" s="777"/>
      <c r="O159" s="773">
        <f t="shared" si="25"/>
        <v>0</v>
      </c>
      <c r="P159" s="777">
        <f t="shared" si="33"/>
        <v>12051849.149230771</v>
      </c>
      <c r="Q159" s="776"/>
      <c r="R159" s="776"/>
      <c r="S159" s="776"/>
      <c r="T159" s="776"/>
      <c r="U159" s="777">
        <f t="shared" si="27"/>
        <v>-4218147.1247564098</v>
      </c>
      <c r="V159" s="773">
        <f t="shared" si="29"/>
        <v>-4400265.6872564135</v>
      </c>
      <c r="W159" s="778">
        <f t="shared" si="30"/>
        <v>7995293.4619743591</v>
      </c>
      <c r="X159" s="336">
        <f t="shared" si="31"/>
        <v>7833702.024474361</v>
      </c>
      <c r="Y159" s="173">
        <f t="shared" si="36"/>
        <v>12395559.149230773</v>
      </c>
      <c r="Z159" s="797"/>
    </row>
    <row r="160" spans="1:26" hidden="1" outlineLevel="1">
      <c r="A160" s="168"/>
      <c r="B160" s="29" t="s">
        <v>324</v>
      </c>
      <c r="C160" s="168"/>
      <c r="D160" s="145"/>
      <c r="E160" s="145"/>
      <c r="F160" s="145">
        <f t="shared" si="34"/>
        <v>17275998.307692308</v>
      </c>
      <c r="G160" s="773">
        <f t="shared" si="35"/>
        <v>17275998.307692312</v>
      </c>
      <c r="H160" s="145">
        <f t="shared" si="39"/>
        <v>57285</v>
      </c>
      <c r="I160" s="772">
        <f t="shared" si="32"/>
        <v>-5281434.1584615381</v>
      </c>
      <c r="J160" s="773">
        <f t="shared" si="37"/>
        <v>-4937724.1584615391</v>
      </c>
      <c r="K160" s="774">
        <f t="shared" si="26"/>
        <v>11994564.149230771</v>
      </c>
      <c r="L160" s="773">
        <f t="shared" si="40"/>
        <v>-4198097.4522307692</v>
      </c>
      <c r="M160" s="773">
        <f t="shared" si="28"/>
        <v>-20049.75</v>
      </c>
      <c r="N160" s="777"/>
      <c r="O160" s="773">
        <f t="shared" si="25"/>
        <v>0</v>
      </c>
      <c r="P160" s="777">
        <f t="shared" si="33"/>
        <v>11994564.149230771</v>
      </c>
      <c r="Q160" s="776"/>
      <c r="R160" s="776"/>
      <c r="S160" s="776"/>
      <c r="T160" s="776"/>
      <c r="U160" s="777">
        <f t="shared" si="27"/>
        <v>-4198097.3747564098</v>
      </c>
      <c r="V160" s="773">
        <f t="shared" si="29"/>
        <v>-4372530.1997564128</v>
      </c>
      <c r="W160" s="778">
        <f t="shared" si="30"/>
        <v>7965743.9494743599</v>
      </c>
      <c r="X160" s="336">
        <f t="shared" si="31"/>
        <v>7796466.774474361</v>
      </c>
      <c r="Y160" s="173">
        <f t="shared" si="36"/>
        <v>12338274.149230773</v>
      </c>
      <c r="Z160" s="797"/>
    </row>
    <row r="161" spans="1:26" hidden="1" outlineLevel="1">
      <c r="A161" s="168"/>
      <c r="B161" s="29" t="s">
        <v>325</v>
      </c>
      <c r="C161" s="168"/>
      <c r="D161" s="145"/>
      <c r="E161" s="145"/>
      <c r="F161" s="145">
        <f t="shared" si="34"/>
        <v>17275998.307692308</v>
      </c>
      <c r="G161" s="773">
        <f t="shared" si="35"/>
        <v>17275998.307692312</v>
      </c>
      <c r="H161" s="145">
        <f t="shared" si="39"/>
        <v>57285</v>
      </c>
      <c r="I161" s="772">
        <f t="shared" si="32"/>
        <v>-5338719.1584615381</v>
      </c>
      <c r="J161" s="773">
        <f t="shared" si="37"/>
        <v>-4995009.1584615391</v>
      </c>
      <c r="K161" s="774">
        <f t="shared" si="26"/>
        <v>11937279.149230771</v>
      </c>
      <c r="L161" s="773">
        <f t="shared" si="40"/>
        <v>-4178047.7022307697</v>
      </c>
      <c r="M161" s="773">
        <f t="shared" si="28"/>
        <v>-20049.749999999534</v>
      </c>
      <c r="N161" s="777"/>
      <c r="O161" s="773">
        <f t="shared" si="25"/>
        <v>0</v>
      </c>
      <c r="P161" s="777">
        <f t="shared" si="33"/>
        <v>11937279.149230771</v>
      </c>
      <c r="Q161" s="776"/>
      <c r="R161" s="776"/>
      <c r="S161" s="776"/>
      <c r="T161" s="776"/>
      <c r="U161" s="777">
        <f t="shared" si="27"/>
        <v>-4178047.6247564103</v>
      </c>
      <c r="V161" s="773">
        <f t="shared" si="29"/>
        <v>-4344126.3872564128</v>
      </c>
      <c r="W161" s="778">
        <f t="shared" si="30"/>
        <v>7936862.7619743599</v>
      </c>
      <c r="X161" s="336">
        <f t="shared" si="31"/>
        <v>7759231.52447436</v>
      </c>
      <c r="Y161" s="173">
        <f t="shared" si="36"/>
        <v>12280989.149230773</v>
      </c>
      <c r="Z161" s="797"/>
    </row>
    <row r="162" spans="1:26" hidden="1" outlineLevel="1">
      <c r="A162" s="168"/>
      <c r="B162" s="29" t="s">
        <v>326</v>
      </c>
      <c r="C162" s="168"/>
      <c r="D162" s="145"/>
      <c r="E162" s="145"/>
      <c r="F162" s="145">
        <f t="shared" si="34"/>
        <v>17275998.307692308</v>
      </c>
      <c r="G162" s="773">
        <f t="shared" si="35"/>
        <v>17275998.307692312</v>
      </c>
      <c r="H162" s="145">
        <f t="shared" si="39"/>
        <v>57285</v>
      </c>
      <c r="I162" s="772">
        <f t="shared" si="32"/>
        <v>-5396004.1584615381</v>
      </c>
      <c r="J162" s="773">
        <f t="shared" si="37"/>
        <v>-5052294.1584615391</v>
      </c>
      <c r="K162" s="774">
        <f t="shared" si="26"/>
        <v>11879994.149230771</v>
      </c>
      <c r="L162" s="773">
        <f t="shared" si="40"/>
        <v>-4157997.9522307697</v>
      </c>
      <c r="M162" s="773">
        <f t="shared" si="28"/>
        <v>-20049.75</v>
      </c>
      <c r="N162" s="777"/>
      <c r="O162" s="773">
        <f t="shared" si="25"/>
        <v>0</v>
      </c>
      <c r="P162" s="777">
        <f t="shared" si="33"/>
        <v>11879994.149230771</v>
      </c>
      <c r="Q162" s="776"/>
      <c r="R162" s="776"/>
      <c r="S162" s="776"/>
      <c r="T162" s="776"/>
      <c r="U162" s="777">
        <f t="shared" si="27"/>
        <v>-4157997.8747564103</v>
      </c>
      <c r="V162" s="773">
        <f t="shared" si="29"/>
        <v>-4315054.2497564116</v>
      </c>
      <c r="W162" s="778">
        <f t="shared" si="30"/>
        <v>7908649.899474361</v>
      </c>
      <c r="X162" s="336">
        <f t="shared" si="31"/>
        <v>7721996.27447436</v>
      </c>
      <c r="Y162" s="173">
        <f t="shared" si="36"/>
        <v>12223704.149230773</v>
      </c>
      <c r="Z162" s="797"/>
    </row>
    <row r="163" spans="1:26" hidden="1" outlineLevel="1">
      <c r="A163" s="168"/>
      <c r="B163" s="29" t="s">
        <v>327</v>
      </c>
      <c r="C163" s="168"/>
      <c r="D163" s="145"/>
      <c r="E163" s="145"/>
      <c r="F163" s="145">
        <f t="shared" si="34"/>
        <v>17275998.307692308</v>
      </c>
      <c r="G163" s="773">
        <f t="shared" si="35"/>
        <v>17275998.307692312</v>
      </c>
      <c r="H163" s="145">
        <f t="shared" si="39"/>
        <v>57285</v>
      </c>
      <c r="I163" s="772">
        <f t="shared" si="32"/>
        <v>-5453289.1584615381</v>
      </c>
      <c r="J163" s="773">
        <f t="shared" si="37"/>
        <v>-5109579.1584615391</v>
      </c>
      <c r="K163" s="774">
        <f t="shared" si="26"/>
        <v>11822709.149230771</v>
      </c>
      <c r="L163" s="773">
        <f t="shared" si="40"/>
        <v>-4137948.2022307697</v>
      </c>
      <c r="M163" s="773">
        <f t="shared" si="28"/>
        <v>-20049.75</v>
      </c>
      <c r="N163" s="777"/>
      <c r="O163" s="773">
        <f t="shared" si="25"/>
        <v>0</v>
      </c>
      <c r="P163" s="777">
        <f t="shared" si="33"/>
        <v>11822709.149230771</v>
      </c>
      <c r="Q163" s="776"/>
      <c r="R163" s="776"/>
      <c r="S163" s="776"/>
      <c r="T163" s="776"/>
      <c r="U163" s="777">
        <f t="shared" si="27"/>
        <v>-4137948.1247564103</v>
      </c>
      <c r="V163" s="773">
        <f t="shared" si="29"/>
        <v>-4285313.7872564113</v>
      </c>
      <c r="W163" s="778">
        <f t="shared" si="30"/>
        <v>7881105.3619743614</v>
      </c>
      <c r="X163" s="336">
        <f t="shared" si="31"/>
        <v>7684761.02447436</v>
      </c>
      <c r="Y163" s="173">
        <f t="shared" si="36"/>
        <v>12166419.149230773</v>
      </c>
      <c r="Z163" s="797"/>
    </row>
    <row r="164" spans="1:26" hidden="1" outlineLevel="1">
      <c r="A164" s="168"/>
      <c r="B164" s="29" t="s">
        <v>328</v>
      </c>
      <c r="C164" s="168"/>
      <c r="D164" s="145"/>
      <c r="E164" s="145"/>
      <c r="F164" s="145">
        <f t="shared" si="34"/>
        <v>17275998.307692308</v>
      </c>
      <c r="G164" s="773">
        <f t="shared" si="35"/>
        <v>17275998.307692312</v>
      </c>
      <c r="H164" s="145">
        <f t="shared" si="39"/>
        <v>57285</v>
      </c>
      <c r="I164" s="772">
        <f t="shared" si="32"/>
        <v>-5510574.1584615381</v>
      </c>
      <c r="J164" s="773">
        <f t="shared" si="37"/>
        <v>-5166864.1584615391</v>
      </c>
      <c r="K164" s="774">
        <f t="shared" si="26"/>
        <v>11765424.149230771</v>
      </c>
      <c r="L164" s="773">
        <f t="shared" si="40"/>
        <v>-4117898.4522307697</v>
      </c>
      <c r="M164" s="773">
        <f t="shared" si="28"/>
        <v>-20049.75</v>
      </c>
      <c r="N164" s="777"/>
      <c r="O164" s="773">
        <f t="shared" ref="O164:O227" si="41">(N152+N164+SUM(N153:N163)*2)/24</f>
        <v>0</v>
      </c>
      <c r="P164" s="777">
        <f t="shared" si="33"/>
        <v>11765424.149230771</v>
      </c>
      <c r="Q164" s="776"/>
      <c r="R164" s="776"/>
      <c r="S164" s="776"/>
      <c r="T164" s="776"/>
      <c r="U164" s="777">
        <f t="shared" si="27"/>
        <v>-4117898.3747564103</v>
      </c>
      <c r="V164" s="773">
        <f t="shared" si="29"/>
        <v>-4254904.9997564116</v>
      </c>
      <c r="W164" s="778">
        <f t="shared" si="30"/>
        <v>7854229.149474361</v>
      </c>
      <c r="X164" s="336">
        <f t="shared" si="31"/>
        <v>7647525.77447436</v>
      </c>
      <c r="Y164" s="173">
        <f t="shared" si="36"/>
        <v>12109134.149230773</v>
      </c>
      <c r="Z164" s="797"/>
    </row>
    <row r="165" spans="1:26" hidden="1" outlineLevel="1">
      <c r="A165" s="168"/>
      <c r="B165" s="29" t="s">
        <v>329</v>
      </c>
      <c r="C165" s="168"/>
      <c r="D165" s="145"/>
      <c r="E165" s="145"/>
      <c r="F165" s="145">
        <f t="shared" si="34"/>
        <v>17275998.307692308</v>
      </c>
      <c r="G165" s="773">
        <f t="shared" si="35"/>
        <v>17275998.307692312</v>
      </c>
      <c r="H165" s="145">
        <f t="shared" si="39"/>
        <v>57285</v>
      </c>
      <c r="I165" s="772">
        <f t="shared" si="32"/>
        <v>-5567859.1584615381</v>
      </c>
      <c r="J165" s="773">
        <f t="shared" si="37"/>
        <v>-5224149.1584615391</v>
      </c>
      <c r="K165" s="774">
        <f t="shared" si="26"/>
        <v>11708139.149230771</v>
      </c>
      <c r="L165" s="773">
        <f t="shared" si="40"/>
        <v>-4097848.7022307697</v>
      </c>
      <c r="M165" s="773">
        <f t="shared" si="28"/>
        <v>-20049.75</v>
      </c>
      <c r="N165" s="777"/>
      <c r="O165" s="773">
        <f t="shared" si="41"/>
        <v>0</v>
      </c>
      <c r="P165" s="777">
        <f t="shared" si="33"/>
        <v>11708139.149230771</v>
      </c>
      <c r="Q165" s="776"/>
      <c r="R165" s="776"/>
      <c r="S165" s="776"/>
      <c r="T165" s="776"/>
      <c r="U165" s="777">
        <f t="shared" si="27"/>
        <v>-4097848.6247564103</v>
      </c>
      <c r="V165" s="773">
        <f t="shared" si="29"/>
        <v>-4223827.88725641</v>
      </c>
      <c r="W165" s="778">
        <f t="shared" si="30"/>
        <v>7828021.2619743627</v>
      </c>
      <c r="X165" s="336">
        <f t="shared" si="31"/>
        <v>7610290.52447436</v>
      </c>
      <c r="Y165" s="173">
        <f t="shared" si="36"/>
        <v>12051849.149230773</v>
      </c>
      <c r="Z165" s="797"/>
    </row>
    <row r="166" spans="1:26" hidden="1" outlineLevel="1">
      <c r="A166" s="168"/>
      <c r="B166" s="29" t="s">
        <v>330</v>
      </c>
      <c r="C166" s="168"/>
      <c r="D166" s="145"/>
      <c r="E166" s="145"/>
      <c r="F166" s="145">
        <f t="shared" si="34"/>
        <v>17275998.307692308</v>
      </c>
      <c r="G166" s="773">
        <f t="shared" si="35"/>
        <v>17275998.307692312</v>
      </c>
      <c r="H166" s="145">
        <f t="shared" si="39"/>
        <v>57285</v>
      </c>
      <c r="I166" s="772">
        <f t="shared" si="32"/>
        <v>-5625144.1584615381</v>
      </c>
      <c r="J166" s="773">
        <f t="shared" si="37"/>
        <v>-5281434.1584615391</v>
      </c>
      <c r="K166" s="774">
        <f t="shared" si="26"/>
        <v>11650854.149230771</v>
      </c>
      <c r="L166" s="773">
        <f t="shared" si="40"/>
        <v>-4077798.9522307697</v>
      </c>
      <c r="M166" s="773">
        <f t="shared" si="28"/>
        <v>-20049.75</v>
      </c>
      <c r="N166" s="777"/>
      <c r="O166" s="773">
        <f t="shared" si="41"/>
        <v>0</v>
      </c>
      <c r="P166" s="777">
        <f t="shared" si="33"/>
        <v>11650854.149230771</v>
      </c>
      <c r="Q166" s="776"/>
      <c r="R166" s="776"/>
      <c r="S166" s="776"/>
      <c r="T166" s="776"/>
      <c r="U166" s="777">
        <f t="shared" si="27"/>
        <v>-4077798.8747564103</v>
      </c>
      <c r="V166" s="773">
        <f t="shared" si="29"/>
        <v>-4198097.3747564098</v>
      </c>
      <c r="W166" s="778">
        <f t="shared" si="30"/>
        <v>7796466.7744743628</v>
      </c>
      <c r="X166" s="336">
        <f t="shared" si="31"/>
        <v>7573055.27447436</v>
      </c>
      <c r="Z166" s="797"/>
    </row>
    <row r="167" spans="1:26" hidden="1" outlineLevel="1">
      <c r="A167" s="168"/>
      <c r="B167" s="29" t="s">
        <v>331</v>
      </c>
      <c r="C167" s="168"/>
      <c r="D167" s="145"/>
      <c r="E167" s="145"/>
      <c r="F167" s="145">
        <f t="shared" si="34"/>
        <v>17275998.307692308</v>
      </c>
      <c r="G167" s="773">
        <f t="shared" si="35"/>
        <v>17275998.307692312</v>
      </c>
      <c r="H167" s="145">
        <f t="shared" si="39"/>
        <v>57285</v>
      </c>
      <c r="I167" s="772">
        <f t="shared" si="32"/>
        <v>-5682429.1584615381</v>
      </c>
      <c r="J167" s="773">
        <f t="shared" si="37"/>
        <v>-5338719.1584615391</v>
      </c>
      <c r="K167" s="774">
        <f t="shared" si="26"/>
        <v>11593569.149230771</v>
      </c>
      <c r="L167" s="773">
        <f t="shared" si="40"/>
        <v>-4057749.2022307697</v>
      </c>
      <c r="M167" s="773">
        <f t="shared" si="28"/>
        <v>-20049.75</v>
      </c>
      <c r="N167" s="777"/>
      <c r="O167" s="773">
        <f t="shared" si="41"/>
        <v>0</v>
      </c>
      <c r="P167" s="777">
        <f t="shared" si="33"/>
        <v>11593569.149230771</v>
      </c>
      <c r="Q167" s="776"/>
      <c r="R167" s="776"/>
      <c r="S167" s="776"/>
      <c r="T167" s="776"/>
      <c r="U167" s="777">
        <f t="shared" si="27"/>
        <v>-4057749.1247564103</v>
      </c>
      <c r="V167" s="773">
        <f t="shared" si="29"/>
        <v>-4178047.6247564103</v>
      </c>
      <c r="W167" s="778">
        <f t="shared" si="30"/>
        <v>7759231.5244743619</v>
      </c>
      <c r="X167" s="336">
        <f t="shared" si="31"/>
        <v>7535820.02447436</v>
      </c>
      <c r="Z167" s="797"/>
    </row>
    <row r="168" spans="1:26" hidden="1" outlineLevel="1">
      <c r="A168" s="168"/>
      <c r="B168" s="29" t="s">
        <v>332</v>
      </c>
      <c r="C168" s="168"/>
      <c r="D168" s="145"/>
      <c r="E168" s="145"/>
      <c r="F168" s="145">
        <f t="shared" si="34"/>
        <v>17275998.307692308</v>
      </c>
      <c r="G168" s="773">
        <f t="shared" si="35"/>
        <v>17275998.307692312</v>
      </c>
      <c r="H168" s="145">
        <f t="shared" si="39"/>
        <v>57285</v>
      </c>
      <c r="I168" s="772">
        <f t="shared" si="32"/>
        <v>-5739714.1584615381</v>
      </c>
      <c r="J168" s="773">
        <f t="shared" si="37"/>
        <v>-5396004.1584615391</v>
      </c>
      <c r="K168" s="774">
        <f t="shared" si="26"/>
        <v>11536284.149230771</v>
      </c>
      <c r="L168" s="773">
        <f t="shared" si="40"/>
        <v>-4037699.4522307697</v>
      </c>
      <c r="M168" s="773">
        <f t="shared" si="28"/>
        <v>-20049.75</v>
      </c>
      <c r="N168" s="777"/>
      <c r="O168" s="773">
        <f t="shared" si="41"/>
        <v>0</v>
      </c>
      <c r="P168" s="777">
        <f t="shared" si="33"/>
        <v>11536284.149230771</v>
      </c>
      <c r="Q168" s="776"/>
      <c r="R168" s="776"/>
      <c r="S168" s="776"/>
      <c r="T168" s="776"/>
      <c r="U168" s="777">
        <f t="shared" si="27"/>
        <v>-4037699.3747564103</v>
      </c>
      <c r="V168" s="773">
        <f t="shared" si="29"/>
        <v>-4157997.8747564103</v>
      </c>
      <c r="W168" s="778">
        <f t="shared" si="30"/>
        <v>7721996.2744743619</v>
      </c>
      <c r="X168" s="336">
        <f t="shared" si="31"/>
        <v>7498584.77447436</v>
      </c>
      <c r="Z168" s="797"/>
    </row>
    <row r="169" spans="1:26" hidden="1" outlineLevel="1">
      <c r="A169" s="168"/>
      <c r="B169" s="29" t="s">
        <v>333</v>
      </c>
      <c r="C169" s="168"/>
      <c r="D169" s="145"/>
      <c r="E169" s="145"/>
      <c r="F169" s="145">
        <f t="shared" si="34"/>
        <v>17275998.307692308</v>
      </c>
      <c r="G169" s="773">
        <f t="shared" si="35"/>
        <v>17275998.307692312</v>
      </c>
      <c r="H169" s="145">
        <f t="shared" si="39"/>
        <v>57285</v>
      </c>
      <c r="I169" s="772">
        <f t="shared" si="32"/>
        <v>-5796999.1584615381</v>
      </c>
      <c r="J169" s="773">
        <f t="shared" si="37"/>
        <v>-5453289.1584615391</v>
      </c>
      <c r="K169" s="774">
        <f t="shared" si="26"/>
        <v>11478999.149230771</v>
      </c>
      <c r="L169" s="773">
        <f t="shared" si="40"/>
        <v>-4017649.7022307697</v>
      </c>
      <c r="M169" s="773">
        <f t="shared" si="28"/>
        <v>-20049.75</v>
      </c>
      <c r="N169" s="777"/>
      <c r="O169" s="773">
        <f t="shared" si="41"/>
        <v>0</v>
      </c>
      <c r="P169" s="777">
        <f t="shared" si="33"/>
        <v>11478999.149230771</v>
      </c>
      <c r="Q169" s="776"/>
      <c r="R169" s="776"/>
      <c r="S169" s="776"/>
      <c r="T169" s="776"/>
      <c r="U169" s="777">
        <f t="shared" si="27"/>
        <v>-4017649.6247564103</v>
      </c>
      <c r="V169" s="773">
        <f t="shared" si="29"/>
        <v>-4137948.1247564103</v>
      </c>
      <c r="W169" s="778">
        <f t="shared" si="30"/>
        <v>7684761.0244743619</v>
      </c>
      <c r="X169" s="336">
        <f t="shared" si="31"/>
        <v>7461349.52447436</v>
      </c>
      <c r="Z169" s="797"/>
    </row>
    <row r="170" spans="1:26" hidden="1" outlineLevel="1">
      <c r="A170" s="168"/>
      <c r="B170" s="29" t="s">
        <v>334</v>
      </c>
      <c r="C170" s="168"/>
      <c r="D170" s="145"/>
      <c r="E170" s="145"/>
      <c r="F170" s="145">
        <f t="shared" si="34"/>
        <v>17275998.307692308</v>
      </c>
      <c r="G170" s="773">
        <f t="shared" si="35"/>
        <v>17275998.307692312</v>
      </c>
      <c r="H170" s="145">
        <f t="shared" si="39"/>
        <v>57285</v>
      </c>
      <c r="I170" s="772">
        <f t="shared" si="32"/>
        <v>-5854284.1584615381</v>
      </c>
      <c r="J170" s="773">
        <f t="shared" si="37"/>
        <v>-5510574.1584615391</v>
      </c>
      <c r="K170" s="774">
        <f t="shared" si="26"/>
        <v>11421714.149230771</v>
      </c>
      <c r="L170" s="773">
        <f t="shared" si="40"/>
        <v>-3997599.9522307697</v>
      </c>
      <c r="M170" s="773">
        <f t="shared" si="28"/>
        <v>-20049.75</v>
      </c>
      <c r="N170" s="777"/>
      <c r="O170" s="773">
        <f t="shared" si="41"/>
        <v>0</v>
      </c>
      <c r="P170" s="777">
        <f t="shared" si="33"/>
        <v>11421714.149230771</v>
      </c>
      <c r="Q170" s="776"/>
      <c r="R170" s="776"/>
      <c r="S170" s="776"/>
      <c r="T170" s="776"/>
      <c r="U170" s="777">
        <f t="shared" si="27"/>
        <v>-3997599.8747564103</v>
      </c>
      <c r="V170" s="773">
        <f t="shared" si="29"/>
        <v>-4117898.3747564103</v>
      </c>
      <c r="W170" s="778">
        <f t="shared" si="30"/>
        <v>7647525.7744743619</v>
      </c>
      <c r="X170" s="336">
        <f t="shared" si="31"/>
        <v>7424114.27447436</v>
      </c>
      <c r="Z170" s="797"/>
    </row>
    <row r="171" spans="1:26" hidden="1" outlineLevel="1">
      <c r="A171" s="168"/>
      <c r="B171" s="29" t="s">
        <v>335</v>
      </c>
      <c r="C171" s="168"/>
      <c r="D171" s="145"/>
      <c r="E171" s="145"/>
      <c r="F171" s="145">
        <f t="shared" si="34"/>
        <v>17275998.307692308</v>
      </c>
      <c r="G171" s="773">
        <f t="shared" si="35"/>
        <v>17275998.307692312</v>
      </c>
      <c r="H171" s="145">
        <f t="shared" si="39"/>
        <v>57285</v>
      </c>
      <c r="I171" s="772">
        <f t="shared" si="32"/>
        <v>-5911569.1584615381</v>
      </c>
      <c r="J171" s="773">
        <f t="shared" si="37"/>
        <v>-5567859.1584615391</v>
      </c>
      <c r="K171" s="774">
        <f t="shared" si="26"/>
        <v>11364429.149230771</v>
      </c>
      <c r="L171" s="773">
        <f t="shared" si="40"/>
        <v>-3977550.2022307697</v>
      </c>
      <c r="M171" s="773">
        <f t="shared" si="28"/>
        <v>-20049.75</v>
      </c>
      <c r="N171" s="777"/>
      <c r="O171" s="773">
        <f t="shared" si="41"/>
        <v>0</v>
      </c>
      <c r="P171" s="777">
        <f t="shared" si="33"/>
        <v>11364429.149230771</v>
      </c>
      <c r="Q171" s="776"/>
      <c r="R171" s="776"/>
      <c r="S171" s="776"/>
      <c r="T171" s="776"/>
      <c r="U171" s="777">
        <f t="shared" si="27"/>
        <v>-3977550.1247564103</v>
      </c>
      <c r="V171" s="773">
        <f t="shared" si="29"/>
        <v>-4097848.6247564103</v>
      </c>
      <c r="W171" s="778">
        <f t="shared" si="30"/>
        <v>7610290.5244743619</v>
      </c>
      <c r="X171" s="336">
        <f t="shared" si="31"/>
        <v>7386879.02447436</v>
      </c>
      <c r="Z171" s="797"/>
    </row>
    <row r="172" spans="1:26" hidden="1" outlineLevel="1">
      <c r="A172" s="168"/>
      <c r="B172" s="29" t="s">
        <v>336</v>
      </c>
      <c r="C172" s="168"/>
      <c r="D172" s="145"/>
      <c r="E172" s="145"/>
      <c r="F172" s="145">
        <f t="shared" si="34"/>
        <v>17275998.307692308</v>
      </c>
      <c r="G172" s="773">
        <f t="shared" si="35"/>
        <v>17275998.307692312</v>
      </c>
      <c r="H172" s="145">
        <f t="shared" si="39"/>
        <v>57285</v>
      </c>
      <c r="I172" s="772">
        <f t="shared" si="32"/>
        <v>-5968854.1584615381</v>
      </c>
      <c r="J172" s="773">
        <f t="shared" si="37"/>
        <v>-5625144.1584615381</v>
      </c>
      <c r="K172" s="774">
        <f t="shared" si="26"/>
        <v>11307144.149230771</v>
      </c>
      <c r="L172" s="773">
        <f t="shared" si="40"/>
        <v>-3957500.4522307697</v>
      </c>
      <c r="M172" s="773">
        <f t="shared" si="28"/>
        <v>-20049.75</v>
      </c>
      <c r="N172" s="777"/>
      <c r="O172" s="773">
        <f t="shared" si="41"/>
        <v>0</v>
      </c>
      <c r="P172" s="777">
        <f t="shared" si="33"/>
        <v>11307144.149230771</v>
      </c>
      <c r="Q172" s="776"/>
      <c r="R172" s="776"/>
      <c r="S172" s="776"/>
      <c r="T172" s="776"/>
      <c r="U172" s="777">
        <f t="shared" si="27"/>
        <v>-3957500.3747564103</v>
      </c>
      <c r="V172" s="773">
        <f t="shared" si="29"/>
        <v>-4077798.8747564103</v>
      </c>
      <c r="W172" s="778">
        <f t="shared" si="30"/>
        <v>7573055.2744743638</v>
      </c>
      <c r="X172" s="336">
        <f t="shared" si="31"/>
        <v>7349643.77447436</v>
      </c>
      <c r="Z172" s="797"/>
    </row>
    <row r="173" spans="1:26" hidden="1" outlineLevel="1">
      <c r="A173" s="168"/>
      <c r="B173" s="29" t="s">
        <v>337</v>
      </c>
      <c r="C173" s="168"/>
      <c r="D173" s="145"/>
      <c r="E173" s="145"/>
      <c r="F173" s="145">
        <f t="shared" si="34"/>
        <v>17275998.307692308</v>
      </c>
      <c r="G173" s="773">
        <f t="shared" si="35"/>
        <v>17275998.307692312</v>
      </c>
      <c r="H173" s="145">
        <f t="shared" si="39"/>
        <v>57285</v>
      </c>
      <c r="I173" s="772">
        <f t="shared" si="32"/>
        <v>-6026139.1584615381</v>
      </c>
      <c r="J173" s="773">
        <f t="shared" si="37"/>
        <v>-5682429.1584615381</v>
      </c>
      <c r="K173" s="774">
        <f t="shared" si="26"/>
        <v>11249859.149230771</v>
      </c>
      <c r="L173" s="773">
        <f t="shared" si="40"/>
        <v>-3937450.7022307697</v>
      </c>
      <c r="M173" s="773">
        <f t="shared" si="28"/>
        <v>-20049.75</v>
      </c>
      <c r="N173" s="777"/>
      <c r="O173" s="773">
        <f t="shared" si="41"/>
        <v>0</v>
      </c>
      <c r="P173" s="777">
        <f t="shared" si="33"/>
        <v>11249859.149230771</v>
      </c>
      <c r="Q173" s="776"/>
      <c r="R173" s="776"/>
      <c r="S173" s="776"/>
      <c r="T173" s="776"/>
      <c r="U173" s="777">
        <f t="shared" si="27"/>
        <v>-3937450.6247564103</v>
      </c>
      <c r="V173" s="773">
        <f t="shared" si="29"/>
        <v>-4057749.1247564103</v>
      </c>
      <c r="W173" s="778">
        <f t="shared" si="30"/>
        <v>7535820.0244743638</v>
      </c>
      <c r="X173" s="336">
        <f t="shared" si="31"/>
        <v>7312408.52447436</v>
      </c>
      <c r="Z173" s="797"/>
    </row>
    <row r="174" spans="1:26" hidden="1" outlineLevel="1">
      <c r="A174" s="168"/>
      <c r="B174" s="29" t="s">
        <v>338</v>
      </c>
      <c r="C174" s="168"/>
      <c r="D174" s="145"/>
      <c r="E174" s="145"/>
      <c r="F174" s="145">
        <f t="shared" si="34"/>
        <v>17275998.307692308</v>
      </c>
      <c r="G174" s="773">
        <f t="shared" si="35"/>
        <v>17275998.307692312</v>
      </c>
      <c r="H174" s="145">
        <f t="shared" si="39"/>
        <v>57285</v>
      </c>
      <c r="I174" s="772">
        <f t="shared" si="32"/>
        <v>-6083424.1584615381</v>
      </c>
      <c r="J174" s="773">
        <f t="shared" si="37"/>
        <v>-5739714.15846154</v>
      </c>
      <c r="K174" s="774">
        <f t="shared" si="26"/>
        <v>11192574.149230771</v>
      </c>
      <c r="L174" s="773">
        <f t="shared" si="40"/>
        <v>-3917400.9522307697</v>
      </c>
      <c r="M174" s="773">
        <f t="shared" si="28"/>
        <v>-20049.75</v>
      </c>
      <c r="N174" s="777"/>
      <c r="O174" s="773">
        <f t="shared" si="41"/>
        <v>0</v>
      </c>
      <c r="P174" s="777">
        <f t="shared" si="33"/>
        <v>11192574.149230771</v>
      </c>
      <c r="Q174" s="776"/>
      <c r="R174" s="776"/>
      <c r="S174" s="776"/>
      <c r="T174" s="776"/>
      <c r="U174" s="777">
        <f t="shared" si="27"/>
        <v>-3917400.8747564103</v>
      </c>
      <c r="V174" s="773">
        <f t="shared" si="29"/>
        <v>-4037699.3747564103</v>
      </c>
      <c r="W174" s="778">
        <f t="shared" si="30"/>
        <v>7498584.77447436</v>
      </c>
      <c r="X174" s="336">
        <f t="shared" si="31"/>
        <v>7275173.27447436</v>
      </c>
      <c r="Z174" s="797"/>
    </row>
    <row r="175" spans="1:26" hidden="1" outlineLevel="1">
      <c r="A175" s="168"/>
      <c r="B175" s="29" t="s">
        <v>339</v>
      </c>
      <c r="C175" s="168"/>
      <c r="D175" s="145"/>
      <c r="E175" s="145"/>
      <c r="F175" s="145">
        <f t="shared" si="34"/>
        <v>17275998.307692308</v>
      </c>
      <c r="G175" s="773">
        <f t="shared" si="35"/>
        <v>17275998.307692312</v>
      </c>
      <c r="H175" s="145">
        <f t="shared" si="39"/>
        <v>57285</v>
      </c>
      <c r="I175" s="772">
        <f t="shared" si="32"/>
        <v>-6140709.1584615381</v>
      </c>
      <c r="J175" s="773">
        <f t="shared" si="37"/>
        <v>-5796999.15846154</v>
      </c>
      <c r="K175" s="774">
        <f t="shared" si="26"/>
        <v>11135289.149230771</v>
      </c>
      <c r="L175" s="773">
        <f t="shared" si="40"/>
        <v>-3897351.2022307697</v>
      </c>
      <c r="M175" s="773">
        <f t="shared" si="28"/>
        <v>-20049.75</v>
      </c>
      <c r="N175" s="777"/>
      <c r="O175" s="773">
        <f t="shared" si="41"/>
        <v>0</v>
      </c>
      <c r="P175" s="777">
        <f t="shared" si="33"/>
        <v>11135289.149230771</v>
      </c>
      <c r="Q175" s="776"/>
      <c r="R175" s="776"/>
      <c r="S175" s="776"/>
      <c r="T175" s="776"/>
      <c r="U175" s="777">
        <f t="shared" si="27"/>
        <v>-3897351.1247564103</v>
      </c>
      <c r="V175" s="773">
        <f t="shared" si="29"/>
        <v>-4017649.6247564103</v>
      </c>
      <c r="W175" s="778">
        <f t="shared" si="30"/>
        <v>7461349.52447436</v>
      </c>
      <c r="X175" s="336">
        <f t="shared" si="31"/>
        <v>7237938.02447436</v>
      </c>
      <c r="Z175" s="797"/>
    </row>
    <row r="176" spans="1:26" hidden="1" outlineLevel="1">
      <c r="A176" s="168"/>
      <c r="B176" s="29" t="s">
        <v>340</v>
      </c>
      <c r="C176" s="168"/>
      <c r="D176" s="145"/>
      <c r="E176" s="145"/>
      <c r="F176" s="145">
        <f t="shared" si="34"/>
        <v>17275998.307692308</v>
      </c>
      <c r="G176" s="773">
        <f t="shared" si="35"/>
        <v>17275998.307692312</v>
      </c>
      <c r="H176" s="145">
        <f t="shared" si="39"/>
        <v>57285</v>
      </c>
      <c r="I176" s="772">
        <f t="shared" si="32"/>
        <v>-6197994.1584615381</v>
      </c>
      <c r="J176" s="773">
        <f t="shared" si="37"/>
        <v>-5854284.15846154</v>
      </c>
      <c r="K176" s="774">
        <f t="shared" si="26"/>
        <v>11078004.149230771</v>
      </c>
      <c r="L176" s="773">
        <f t="shared" si="40"/>
        <v>-3877301.4522307697</v>
      </c>
      <c r="M176" s="773">
        <f t="shared" si="28"/>
        <v>-20049.75</v>
      </c>
      <c r="N176" s="777"/>
      <c r="O176" s="773">
        <f t="shared" si="41"/>
        <v>0</v>
      </c>
      <c r="P176" s="777">
        <f t="shared" si="33"/>
        <v>11078004.149230771</v>
      </c>
      <c r="Q176" s="776"/>
      <c r="R176" s="776"/>
      <c r="S176" s="776"/>
      <c r="T176" s="776"/>
      <c r="U176" s="777">
        <f t="shared" si="27"/>
        <v>-3877301.3747564103</v>
      </c>
      <c r="V176" s="773">
        <f t="shared" si="29"/>
        <v>-3997599.8747564103</v>
      </c>
      <c r="W176" s="778">
        <f t="shared" si="30"/>
        <v>7424114.27447436</v>
      </c>
      <c r="X176" s="336">
        <f t="shared" si="31"/>
        <v>7200702.77447436</v>
      </c>
      <c r="Z176" s="797"/>
    </row>
    <row r="177" spans="1:26" hidden="1" outlineLevel="1">
      <c r="A177" s="168"/>
      <c r="B177" s="29" t="s">
        <v>341</v>
      </c>
      <c r="C177" s="168"/>
      <c r="D177" s="145"/>
      <c r="E177" s="145"/>
      <c r="F177" s="145">
        <f t="shared" si="34"/>
        <v>17275998.307692308</v>
      </c>
      <c r="G177" s="773">
        <f t="shared" si="35"/>
        <v>17275998.307692312</v>
      </c>
      <c r="H177" s="145">
        <f t="shared" si="39"/>
        <v>57285</v>
      </c>
      <c r="I177" s="772">
        <f t="shared" si="32"/>
        <v>-6255279.1584615381</v>
      </c>
      <c r="J177" s="773">
        <f t="shared" si="37"/>
        <v>-5911569.15846154</v>
      </c>
      <c r="K177" s="774">
        <f t="shared" ref="K177:K240" si="42">F177+I177</f>
        <v>11020719.149230771</v>
      </c>
      <c r="L177" s="773">
        <f t="shared" si="40"/>
        <v>-3857251.7022307697</v>
      </c>
      <c r="M177" s="773">
        <f t="shared" si="28"/>
        <v>-20049.75</v>
      </c>
      <c r="N177" s="777"/>
      <c r="O177" s="773">
        <f t="shared" si="41"/>
        <v>0</v>
      </c>
      <c r="P177" s="777">
        <f t="shared" si="33"/>
        <v>11020719.149230771</v>
      </c>
      <c r="Q177" s="776"/>
      <c r="R177" s="776"/>
      <c r="S177" s="776"/>
      <c r="T177" s="776"/>
      <c r="U177" s="777">
        <f t="shared" si="27"/>
        <v>-3857251.6247564103</v>
      </c>
      <c r="V177" s="773">
        <f t="shared" si="29"/>
        <v>-3977550.1247564103</v>
      </c>
      <c r="W177" s="778">
        <f t="shared" si="30"/>
        <v>7386879.02447436</v>
      </c>
      <c r="X177" s="336">
        <f t="shared" si="31"/>
        <v>7163467.52447436</v>
      </c>
      <c r="Z177" s="797"/>
    </row>
    <row r="178" spans="1:26" hidden="1" outlineLevel="1">
      <c r="A178" s="168"/>
      <c r="B178" s="29" t="s">
        <v>342</v>
      </c>
      <c r="C178" s="168"/>
      <c r="D178" s="145"/>
      <c r="E178" s="145"/>
      <c r="F178" s="145">
        <f t="shared" si="34"/>
        <v>17275998.307692308</v>
      </c>
      <c r="G178" s="773">
        <f t="shared" si="35"/>
        <v>17275998.307692312</v>
      </c>
      <c r="H178" s="145">
        <f t="shared" si="39"/>
        <v>57285</v>
      </c>
      <c r="I178" s="772">
        <f t="shared" si="32"/>
        <v>-6312564.1584615381</v>
      </c>
      <c r="J178" s="773">
        <f t="shared" si="37"/>
        <v>-5968854.15846154</v>
      </c>
      <c r="K178" s="774">
        <f t="shared" si="42"/>
        <v>10963434.149230771</v>
      </c>
      <c r="L178" s="773">
        <f t="shared" si="40"/>
        <v>-3837201.9522307697</v>
      </c>
      <c r="M178" s="773">
        <f t="shared" si="28"/>
        <v>-20049.75</v>
      </c>
      <c r="N178" s="777"/>
      <c r="O178" s="773">
        <f t="shared" si="41"/>
        <v>0</v>
      </c>
      <c r="P178" s="777">
        <f t="shared" si="33"/>
        <v>10963434.149230771</v>
      </c>
      <c r="Q178" s="776"/>
      <c r="R178" s="776"/>
      <c r="S178" s="776"/>
      <c r="T178" s="776"/>
      <c r="U178" s="777">
        <f t="shared" si="27"/>
        <v>-3837201.8747564103</v>
      </c>
      <c r="V178" s="773">
        <f t="shared" si="29"/>
        <v>-3957500.3747564103</v>
      </c>
      <c r="W178" s="778">
        <f t="shared" si="30"/>
        <v>7349643.77447436</v>
      </c>
      <c r="X178" s="336">
        <f t="shared" si="31"/>
        <v>7126232.27447436</v>
      </c>
      <c r="Z178" s="797"/>
    </row>
    <row r="179" spans="1:26" hidden="1" outlineLevel="1">
      <c r="A179" s="168"/>
      <c r="B179" s="29" t="s">
        <v>343</v>
      </c>
      <c r="C179" s="168"/>
      <c r="D179" s="145"/>
      <c r="E179" s="145"/>
      <c r="F179" s="145">
        <f t="shared" si="34"/>
        <v>17275998.307692308</v>
      </c>
      <c r="G179" s="773">
        <f t="shared" si="35"/>
        <v>17275998.307692312</v>
      </c>
      <c r="H179" s="145">
        <f t="shared" si="39"/>
        <v>57285</v>
      </c>
      <c r="I179" s="772">
        <f t="shared" si="32"/>
        <v>-6369849.1584615381</v>
      </c>
      <c r="J179" s="773">
        <f t="shared" si="37"/>
        <v>-6026139.15846154</v>
      </c>
      <c r="K179" s="774">
        <f t="shared" si="42"/>
        <v>10906149.149230771</v>
      </c>
      <c r="L179" s="773">
        <f t="shared" si="40"/>
        <v>-3817152.2022307697</v>
      </c>
      <c r="M179" s="773">
        <f t="shared" si="28"/>
        <v>-20049.75</v>
      </c>
      <c r="N179" s="777"/>
      <c r="O179" s="773">
        <f t="shared" si="41"/>
        <v>0</v>
      </c>
      <c r="P179" s="777">
        <f t="shared" si="33"/>
        <v>10906149.149230771</v>
      </c>
      <c r="Q179" s="776"/>
      <c r="R179" s="776"/>
      <c r="S179" s="776"/>
      <c r="T179" s="776"/>
      <c r="U179" s="777">
        <f t="shared" ref="U179:U242" si="43">U178-M179</f>
        <v>-3817152.1247564103</v>
      </c>
      <c r="V179" s="773">
        <f t="shared" si="29"/>
        <v>-3937450.6247564103</v>
      </c>
      <c r="W179" s="778">
        <f t="shared" si="30"/>
        <v>7312408.52447436</v>
      </c>
      <c r="X179" s="336">
        <f t="shared" si="31"/>
        <v>7088997.02447436</v>
      </c>
      <c r="Z179" s="797"/>
    </row>
    <row r="180" spans="1:26" hidden="1" outlineLevel="1">
      <c r="A180" s="168"/>
      <c r="B180" s="29" t="s">
        <v>344</v>
      </c>
      <c r="C180" s="168"/>
      <c r="D180" s="145"/>
      <c r="E180" s="145"/>
      <c r="F180" s="145">
        <f t="shared" si="34"/>
        <v>17275998.307692308</v>
      </c>
      <c r="G180" s="773">
        <f t="shared" si="35"/>
        <v>17275998.307692312</v>
      </c>
      <c r="H180" s="145">
        <f t="shared" si="39"/>
        <v>57285</v>
      </c>
      <c r="I180" s="772">
        <f t="shared" si="32"/>
        <v>-6427134.1584615381</v>
      </c>
      <c r="J180" s="773">
        <f t="shared" si="37"/>
        <v>-6083424.15846154</v>
      </c>
      <c r="K180" s="774">
        <f t="shared" si="42"/>
        <v>10848864.149230771</v>
      </c>
      <c r="L180" s="773">
        <f t="shared" si="40"/>
        <v>-3797102.4522307697</v>
      </c>
      <c r="M180" s="773">
        <f t="shared" ref="M180:M243" si="44">-L180+L179</f>
        <v>-20049.75</v>
      </c>
      <c r="N180" s="777"/>
      <c r="O180" s="773">
        <f t="shared" si="41"/>
        <v>0</v>
      </c>
      <c r="P180" s="777">
        <f t="shared" si="33"/>
        <v>10848864.149230771</v>
      </c>
      <c r="Q180" s="776"/>
      <c r="R180" s="776"/>
      <c r="S180" s="776"/>
      <c r="T180" s="776"/>
      <c r="U180" s="777">
        <f t="shared" si="43"/>
        <v>-3797102.3747564103</v>
      </c>
      <c r="V180" s="773">
        <f t="shared" si="29"/>
        <v>-3917400.8747564103</v>
      </c>
      <c r="W180" s="778">
        <f t="shared" si="30"/>
        <v>7275173.27447436</v>
      </c>
      <c r="X180" s="336">
        <f t="shared" si="31"/>
        <v>7051761.77447436</v>
      </c>
      <c r="Z180" s="797"/>
    </row>
    <row r="181" spans="1:26" hidden="1" outlineLevel="1">
      <c r="A181" s="168"/>
      <c r="B181" s="29" t="s">
        <v>345</v>
      </c>
      <c r="C181" s="168"/>
      <c r="D181" s="145"/>
      <c r="E181" s="145"/>
      <c r="F181" s="145">
        <f t="shared" si="34"/>
        <v>17275998.307692308</v>
      </c>
      <c r="G181" s="773">
        <f t="shared" si="35"/>
        <v>17275998.307692312</v>
      </c>
      <c r="H181" s="145">
        <f t="shared" si="39"/>
        <v>57285</v>
      </c>
      <c r="I181" s="772">
        <f t="shared" si="32"/>
        <v>-6484419.1584615381</v>
      </c>
      <c r="J181" s="773">
        <f t="shared" si="37"/>
        <v>-6140709.15846154</v>
      </c>
      <c r="K181" s="774">
        <f t="shared" si="42"/>
        <v>10791579.149230771</v>
      </c>
      <c r="L181" s="773">
        <f t="shared" si="40"/>
        <v>-3777052.7022307697</v>
      </c>
      <c r="M181" s="773">
        <f t="shared" si="44"/>
        <v>-20049.75</v>
      </c>
      <c r="N181" s="777"/>
      <c r="O181" s="773">
        <f t="shared" si="41"/>
        <v>0</v>
      </c>
      <c r="P181" s="777">
        <f t="shared" si="33"/>
        <v>10791579.149230771</v>
      </c>
      <c r="Q181" s="776"/>
      <c r="R181" s="776"/>
      <c r="S181" s="776"/>
      <c r="T181" s="776"/>
      <c r="U181" s="777">
        <f t="shared" si="43"/>
        <v>-3777052.6247564103</v>
      </c>
      <c r="V181" s="773">
        <f t="shared" si="29"/>
        <v>-3897351.1247564103</v>
      </c>
      <c r="W181" s="778">
        <f t="shared" si="30"/>
        <v>7237938.02447436</v>
      </c>
      <c r="X181" s="336">
        <f t="shared" si="31"/>
        <v>7014526.52447436</v>
      </c>
      <c r="Z181" s="797"/>
    </row>
    <row r="182" spans="1:26" hidden="1" outlineLevel="1">
      <c r="A182" s="168"/>
      <c r="B182" s="29" t="s">
        <v>346</v>
      </c>
      <c r="C182" s="168"/>
      <c r="D182" s="145"/>
      <c r="E182" s="145"/>
      <c r="F182" s="145">
        <f t="shared" si="34"/>
        <v>17275998.307692308</v>
      </c>
      <c r="G182" s="773">
        <f t="shared" si="35"/>
        <v>17275998.307692312</v>
      </c>
      <c r="H182" s="145">
        <f t="shared" si="39"/>
        <v>57285</v>
      </c>
      <c r="I182" s="772">
        <f t="shared" si="32"/>
        <v>-6541704.1584615381</v>
      </c>
      <c r="J182" s="773">
        <f t="shared" si="37"/>
        <v>-6197994.15846154</v>
      </c>
      <c r="K182" s="774">
        <f t="shared" si="42"/>
        <v>10734294.149230771</v>
      </c>
      <c r="L182" s="773">
        <f t="shared" si="40"/>
        <v>-3757002.9522307697</v>
      </c>
      <c r="M182" s="773">
        <f t="shared" si="44"/>
        <v>-20049.75</v>
      </c>
      <c r="N182" s="777"/>
      <c r="O182" s="773">
        <f t="shared" si="41"/>
        <v>0</v>
      </c>
      <c r="P182" s="777">
        <f t="shared" si="33"/>
        <v>10734294.149230771</v>
      </c>
      <c r="Q182" s="776"/>
      <c r="R182" s="776"/>
      <c r="S182" s="776"/>
      <c r="T182" s="776"/>
      <c r="U182" s="777">
        <f t="shared" si="43"/>
        <v>-3757002.8747564103</v>
      </c>
      <c r="V182" s="773">
        <f t="shared" si="29"/>
        <v>-3877301.3747564103</v>
      </c>
      <c r="W182" s="778">
        <f t="shared" si="30"/>
        <v>7200702.77447436</v>
      </c>
      <c r="X182" s="336">
        <f t="shared" si="31"/>
        <v>6977291.27447436</v>
      </c>
      <c r="Z182" s="797"/>
    </row>
    <row r="183" spans="1:26" hidden="1" outlineLevel="1">
      <c r="A183" s="168"/>
      <c r="B183" s="29" t="s">
        <v>347</v>
      </c>
      <c r="C183" s="168"/>
      <c r="D183" s="145"/>
      <c r="E183" s="145"/>
      <c r="F183" s="145">
        <f t="shared" si="34"/>
        <v>17275998.307692308</v>
      </c>
      <c r="G183" s="773">
        <f t="shared" si="35"/>
        <v>17275998.307692312</v>
      </c>
      <c r="H183" s="145">
        <f t="shared" si="39"/>
        <v>57285</v>
      </c>
      <c r="I183" s="772">
        <f t="shared" si="32"/>
        <v>-6598989.1584615381</v>
      </c>
      <c r="J183" s="773">
        <f t="shared" si="37"/>
        <v>-6255279.15846154</v>
      </c>
      <c r="K183" s="774">
        <f t="shared" si="42"/>
        <v>10677009.149230771</v>
      </c>
      <c r="L183" s="773">
        <f t="shared" si="40"/>
        <v>-3736953.2022307697</v>
      </c>
      <c r="M183" s="773">
        <f t="shared" si="44"/>
        <v>-20049.75</v>
      </c>
      <c r="N183" s="777"/>
      <c r="O183" s="773">
        <f t="shared" si="41"/>
        <v>0</v>
      </c>
      <c r="P183" s="777">
        <f t="shared" si="33"/>
        <v>10677009.149230771</v>
      </c>
      <c r="Q183" s="776"/>
      <c r="R183" s="776"/>
      <c r="S183" s="776"/>
      <c r="T183" s="776"/>
      <c r="U183" s="777">
        <f t="shared" si="43"/>
        <v>-3736953.1247564103</v>
      </c>
      <c r="V183" s="773">
        <f t="shared" si="29"/>
        <v>-3857251.6247564103</v>
      </c>
      <c r="W183" s="778">
        <f t="shared" si="30"/>
        <v>7163467.52447436</v>
      </c>
      <c r="X183" s="336">
        <f t="shared" si="31"/>
        <v>6940056.02447436</v>
      </c>
      <c r="Z183" s="797"/>
    </row>
    <row r="184" spans="1:26" hidden="1" outlineLevel="1">
      <c r="A184" s="168"/>
      <c r="B184" s="29" t="s">
        <v>348</v>
      </c>
      <c r="C184" s="168"/>
      <c r="D184" s="145"/>
      <c r="E184" s="145"/>
      <c r="F184" s="145">
        <f t="shared" si="34"/>
        <v>17275998.307692308</v>
      </c>
      <c r="G184" s="773">
        <f t="shared" si="35"/>
        <v>17275998.307692312</v>
      </c>
      <c r="H184" s="145">
        <f t="shared" si="39"/>
        <v>57285</v>
      </c>
      <c r="I184" s="772">
        <f t="shared" si="32"/>
        <v>-6656274.1584615381</v>
      </c>
      <c r="J184" s="773">
        <f t="shared" si="37"/>
        <v>-6312564.15846154</v>
      </c>
      <c r="K184" s="774">
        <f t="shared" si="42"/>
        <v>10619724.149230771</v>
      </c>
      <c r="L184" s="773">
        <f t="shared" si="40"/>
        <v>-3716903.4522307697</v>
      </c>
      <c r="M184" s="773">
        <f t="shared" si="44"/>
        <v>-20049.75</v>
      </c>
      <c r="N184" s="777"/>
      <c r="O184" s="773">
        <f t="shared" si="41"/>
        <v>0</v>
      </c>
      <c r="P184" s="777">
        <f t="shared" si="33"/>
        <v>10619724.149230771</v>
      </c>
      <c r="Q184" s="776"/>
      <c r="R184" s="776"/>
      <c r="S184" s="776"/>
      <c r="T184" s="776"/>
      <c r="U184" s="777">
        <f t="shared" si="43"/>
        <v>-3716903.3747564103</v>
      </c>
      <c r="V184" s="773">
        <f t="shared" si="29"/>
        <v>-3837201.8747564103</v>
      </c>
      <c r="W184" s="778">
        <f t="shared" si="30"/>
        <v>7126232.27447436</v>
      </c>
      <c r="X184" s="336">
        <f t="shared" si="31"/>
        <v>6902820.77447436</v>
      </c>
      <c r="Z184" s="797"/>
    </row>
    <row r="185" spans="1:26" hidden="1" outlineLevel="1">
      <c r="A185" s="168"/>
      <c r="B185" s="29" t="s">
        <v>349</v>
      </c>
      <c r="C185" s="168"/>
      <c r="D185" s="145"/>
      <c r="E185" s="145"/>
      <c r="F185" s="145">
        <f t="shared" si="34"/>
        <v>17275998.307692308</v>
      </c>
      <c r="G185" s="773">
        <f t="shared" si="35"/>
        <v>17275998.307692312</v>
      </c>
      <c r="H185" s="145">
        <f t="shared" si="39"/>
        <v>57285</v>
      </c>
      <c r="I185" s="772">
        <f t="shared" si="32"/>
        <v>-6713559.1584615381</v>
      </c>
      <c r="J185" s="773">
        <f t="shared" si="37"/>
        <v>-6369849.15846154</v>
      </c>
      <c r="K185" s="774">
        <f t="shared" si="42"/>
        <v>10562439.149230771</v>
      </c>
      <c r="L185" s="773">
        <f t="shared" si="40"/>
        <v>-3696853.7022307697</v>
      </c>
      <c r="M185" s="773">
        <f t="shared" si="44"/>
        <v>-20049.75</v>
      </c>
      <c r="N185" s="777"/>
      <c r="O185" s="773">
        <f t="shared" si="41"/>
        <v>0</v>
      </c>
      <c r="P185" s="777">
        <f t="shared" si="33"/>
        <v>10562439.149230771</v>
      </c>
      <c r="Q185" s="776"/>
      <c r="R185" s="776"/>
      <c r="S185" s="776"/>
      <c r="T185" s="776"/>
      <c r="U185" s="777">
        <f t="shared" si="43"/>
        <v>-3696853.6247564103</v>
      </c>
      <c r="V185" s="773">
        <f t="shared" si="29"/>
        <v>-3817152.1247564103</v>
      </c>
      <c r="W185" s="778">
        <f t="shared" si="30"/>
        <v>7088997.02447436</v>
      </c>
      <c r="X185" s="336">
        <f t="shared" si="31"/>
        <v>6865585.52447436</v>
      </c>
      <c r="Z185" s="797"/>
    </row>
    <row r="186" spans="1:26" hidden="1" outlineLevel="1">
      <c r="A186" s="168"/>
      <c r="B186" s="29" t="s">
        <v>350</v>
      </c>
      <c r="C186" s="168"/>
      <c r="D186" s="145"/>
      <c r="E186" s="145"/>
      <c r="F186" s="145">
        <f t="shared" si="34"/>
        <v>17275998.307692308</v>
      </c>
      <c r="G186" s="773">
        <f t="shared" si="35"/>
        <v>17275998.307692312</v>
      </c>
      <c r="H186" s="145">
        <f t="shared" si="39"/>
        <v>57285</v>
      </c>
      <c r="I186" s="772">
        <f t="shared" si="32"/>
        <v>-6770844.1584615381</v>
      </c>
      <c r="J186" s="773">
        <f t="shared" si="37"/>
        <v>-6427134.15846154</v>
      </c>
      <c r="K186" s="774">
        <f t="shared" si="42"/>
        <v>10505154.149230771</v>
      </c>
      <c r="L186" s="773">
        <f t="shared" si="40"/>
        <v>-3676803.9522307697</v>
      </c>
      <c r="M186" s="773">
        <f t="shared" si="44"/>
        <v>-20049.75</v>
      </c>
      <c r="N186" s="777"/>
      <c r="O186" s="773">
        <f t="shared" si="41"/>
        <v>0</v>
      </c>
      <c r="P186" s="777">
        <f t="shared" si="33"/>
        <v>10505154.149230771</v>
      </c>
      <c r="Q186" s="776"/>
      <c r="R186" s="776"/>
      <c r="S186" s="776"/>
      <c r="T186" s="776"/>
      <c r="U186" s="777">
        <f t="shared" si="43"/>
        <v>-3676803.8747564103</v>
      </c>
      <c r="V186" s="773">
        <f t="shared" si="29"/>
        <v>-3797102.3747564103</v>
      </c>
      <c r="W186" s="778">
        <f t="shared" si="30"/>
        <v>7051761.77447436</v>
      </c>
      <c r="X186" s="336">
        <f t="shared" si="31"/>
        <v>6828350.27447436</v>
      </c>
      <c r="Z186" s="797"/>
    </row>
    <row r="187" spans="1:26" hidden="1" outlineLevel="1">
      <c r="A187" s="168"/>
      <c r="B187" s="29" t="s">
        <v>351</v>
      </c>
      <c r="C187" s="168"/>
      <c r="D187" s="145"/>
      <c r="E187" s="145"/>
      <c r="F187" s="145">
        <f t="shared" si="34"/>
        <v>17275998.307692308</v>
      </c>
      <c r="G187" s="773">
        <f t="shared" si="35"/>
        <v>17275998.307692312</v>
      </c>
      <c r="H187" s="145">
        <f t="shared" si="39"/>
        <v>57285</v>
      </c>
      <c r="I187" s="772">
        <f t="shared" si="32"/>
        <v>-6828129.1584615381</v>
      </c>
      <c r="J187" s="773">
        <f t="shared" si="37"/>
        <v>-6484419.15846154</v>
      </c>
      <c r="K187" s="774">
        <f t="shared" si="42"/>
        <v>10447869.149230771</v>
      </c>
      <c r="L187" s="773">
        <f t="shared" si="40"/>
        <v>-3656754.2022307697</v>
      </c>
      <c r="M187" s="773">
        <f t="shared" si="44"/>
        <v>-20049.75</v>
      </c>
      <c r="N187" s="777"/>
      <c r="O187" s="773">
        <f t="shared" si="41"/>
        <v>0</v>
      </c>
      <c r="P187" s="777">
        <f t="shared" si="33"/>
        <v>10447869.149230771</v>
      </c>
      <c r="Q187" s="776"/>
      <c r="R187" s="776"/>
      <c r="S187" s="776"/>
      <c r="T187" s="776"/>
      <c r="U187" s="777">
        <f t="shared" si="43"/>
        <v>-3656754.1247564103</v>
      </c>
      <c r="V187" s="773">
        <f t="shared" si="29"/>
        <v>-3777052.6247564103</v>
      </c>
      <c r="W187" s="778">
        <f t="shared" si="30"/>
        <v>7014526.52447436</v>
      </c>
      <c r="X187" s="336">
        <f t="shared" si="31"/>
        <v>6791115.02447436</v>
      </c>
      <c r="Z187" s="797"/>
    </row>
    <row r="188" spans="1:26" hidden="1" outlineLevel="1">
      <c r="A188" s="168"/>
      <c r="B188" s="29" t="s">
        <v>352</v>
      </c>
      <c r="C188" s="168"/>
      <c r="D188" s="145"/>
      <c r="E188" s="145"/>
      <c r="F188" s="145">
        <f t="shared" si="34"/>
        <v>17275998.307692308</v>
      </c>
      <c r="G188" s="773">
        <f t="shared" si="35"/>
        <v>17275998.307692312</v>
      </c>
      <c r="H188" s="145">
        <f t="shared" si="39"/>
        <v>57285</v>
      </c>
      <c r="I188" s="772">
        <f t="shared" si="32"/>
        <v>-6885414.1584615381</v>
      </c>
      <c r="J188" s="773">
        <f t="shared" si="37"/>
        <v>-6541704.15846154</v>
      </c>
      <c r="K188" s="774">
        <f t="shared" si="42"/>
        <v>10390584.149230771</v>
      </c>
      <c r="L188" s="773">
        <f t="shared" si="40"/>
        <v>-3636704.4522307697</v>
      </c>
      <c r="M188" s="773">
        <f t="shared" si="44"/>
        <v>-20049.75</v>
      </c>
      <c r="N188" s="777"/>
      <c r="O188" s="773">
        <f t="shared" si="41"/>
        <v>0</v>
      </c>
      <c r="P188" s="777">
        <f t="shared" si="33"/>
        <v>10390584.149230771</v>
      </c>
      <c r="Q188" s="776"/>
      <c r="R188" s="776"/>
      <c r="S188" s="776"/>
      <c r="T188" s="776"/>
      <c r="U188" s="777">
        <f t="shared" si="43"/>
        <v>-3636704.3747564103</v>
      </c>
      <c r="V188" s="773">
        <f t="shared" si="29"/>
        <v>-3757002.8747564103</v>
      </c>
      <c r="W188" s="778">
        <f t="shared" si="30"/>
        <v>6977291.27447436</v>
      </c>
      <c r="X188" s="336">
        <f t="shared" si="31"/>
        <v>6753879.77447436</v>
      </c>
      <c r="Z188" s="797"/>
    </row>
    <row r="189" spans="1:26" hidden="1" outlineLevel="1">
      <c r="A189" s="168"/>
      <c r="B189" s="29" t="s">
        <v>353</v>
      </c>
      <c r="C189" s="168"/>
      <c r="D189" s="145"/>
      <c r="E189" s="145"/>
      <c r="F189" s="145">
        <f t="shared" si="34"/>
        <v>17275998.307692308</v>
      </c>
      <c r="G189" s="773">
        <f t="shared" si="35"/>
        <v>17275998.307692312</v>
      </c>
      <c r="H189" s="145">
        <f t="shared" si="39"/>
        <v>57285</v>
      </c>
      <c r="I189" s="772">
        <f t="shared" si="32"/>
        <v>-6942699.1584615381</v>
      </c>
      <c r="J189" s="773">
        <f t="shared" si="37"/>
        <v>-6598989.15846154</v>
      </c>
      <c r="K189" s="774">
        <f t="shared" si="42"/>
        <v>10333299.149230771</v>
      </c>
      <c r="L189" s="773">
        <f t="shared" si="40"/>
        <v>-3616654.7022307697</v>
      </c>
      <c r="M189" s="773">
        <f t="shared" si="44"/>
        <v>-20049.75</v>
      </c>
      <c r="N189" s="777"/>
      <c r="O189" s="773">
        <f t="shared" si="41"/>
        <v>0</v>
      </c>
      <c r="P189" s="777">
        <f t="shared" si="33"/>
        <v>10333299.149230771</v>
      </c>
      <c r="Q189" s="776"/>
      <c r="R189" s="776"/>
      <c r="S189" s="776"/>
      <c r="T189" s="776"/>
      <c r="U189" s="777">
        <f t="shared" si="43"/>
        <v>-3616654.6247564103</v>
      </c>
      <c r="V189" s="773">
        <f t="shared" si="29"/>
        <v>-3736953.1247564103</v>
      </c>
      <c r="W189" s="778">
        <f t="shared" si="30"/>
        <v>6940056.02447436</v>
      </c>
      <c r="X189" s="336">
        <f t="shared" si="31"/>
        <v>6716644.52447436</v>
      </c>
      <c r="Z189" s="797"/>
    </row>
    <row r="190" spans="1:26" hidden="1" outlineLevel="1">
      <c r="A190" s="168"/>
      <c r="B190" s="29" t="s">
        <v>354</v>
      </c>
      <c r="C190" s="168"/>
      <c r="D190" s="145"/>
      <c r="E190" s="145"/>
      <c r="F190" s="145">
        <f t="shared" si="34"/>
        <v>17275998.307692308</v>
      </c>
      <c r="G190" s="773">
        <f t="shared" si="35"/>
        <v>17275998.307692312</v>
      </c>
      <c r="H190" s="145">
        <f t="shared" si="39"/>
        <v>57285</v>
      </c>
      <c r="I190" s="772">
        <f t="shared" si="32"/>
        <v>-6999984.1584615381</v>
      </c>
      <c r="J190" s="773">
        <f t="shared" si="37"/>
        <v>-6656274.15846154</v>
      </c>
      <c r="K190" s="774">
        <f t="shared" si="42"/>
        <v>10276014.149230771</v>
      </c>
      <c r="L190" s="773">
        <f t="shared" si="40"/>
        <v>-3596604.9522307697</v>
      </c>
      <c r="M190" s="773">
        <f t="shared" si="44"/>
        <v>-20049.75</v>
      </c>
      <c r="N190" s="777"/>
      <c r="O190" s="773">
        <f t="shared" si="41"/>
        <v>0</v>
      </c>
      <c r="P190" s="777">
        <f t="shared" si="33"/>
        <v>10276014.149230771</v>
      </c>
      <c r="Q190" s="776"/>
      <c r="R190" s="776"/>
      <c r="S190" s="776"/>
      <c r="T190" s="776"/>
      <c r="U190" s="777">
        <f t="shared" si="43"/>
        <v>-3596604.8747564103</v>
      </c>
      <c r="V190" s="773">
        <f t="shared" ref="V190:V253" si="45">(U178+U190+SUM(U179:U189)*2)/24</f>
        <v>-3716903.3747564103</v>
      </c>
      <c r="W190" s="778">
        <f t="shared" ref="W190:W253" si="46">G190+J190+V190</f>
        <v>6902820.77447436</v>
      </c>
      <c r="X190" s="336">
        <f t="shared" si="31"/>
        <v>6679409.27447436</v>
      </c>
      <c r="Z190" s="797"/>
    </row>
    <row r="191" spans="1:26" hidden="1" outlineLevel="1">
      <c r="A191" s="168"/>
      <c r="B191" s="29" t="s">
        <v>355</v>
      </c>
      <c r="C191" s="168"/>
      <c r="D191" s="145"/>
      <c r="E191" s="145"/>
      <c r="F191" s="145">
        <f t="shared" si="34"/>
        <v>17275998.307692308</v>
      </c>
      <c r="G191" s="773">
        <f t="shared" si="35"/>
        <v>17275998.307692312</v>
      </c>
      <c r="H191" s="145">
        <f t="shared" si="39"/>
        <v>57285</v>
      </c>
      <c r="I191" s="772">
        <f t="shared" si="32"/>
        <v>-7057269.1584615381</v>
      </c>
      <c r="J191" s="773">
        <f t="shared" si="37"/>
        <v>-6713559.15846154</v>
      </c>
      <c r="K191" s="774">
        <f t="shared" si="42"/>
        <v>10218729.149230771</v>
      </c>
      <c r="L191" s="773">
        <f t="shared" si="40"/>
        <v>-3576555.2022307697</v>
      </c>
      <c r="M191" s="773">
        <f t="shared" si="44"/>
        <v>-20049.75</v>
      </c>
      <c r="N191" s="777"/>
      <c r="O191" s="773">
        <f t="shared" si="41"/>
        <v>0</v>
      </c>
      <c r="P191" s="777">
        <f t="shared" si="33"/>
        <v>10218729.149230771</v>
      </c>
      <c r="Q191" s="776"/>
      <c r="R191" s="776"/>
      <c r="S191" s="776"/>
      <c r="T191" s="776"/>
      <c r="U191" s="777">
        <f t="shared" si="43"/>
        <v>-3576555.1247564103</v>
      </c>
      <c r="V191" s="773">
        <f t="shared" si="45"/>
        <v>-3696853.6247564103</v>
      </c>
      <c r="W191" s="778">
        <f t="shared" si="46"/>
        <v>6865585.52447436</v>
      </c>
      <c r="X191" s="336">
        <f t="shared" si="31"/>
        <v>6642174.02447436</v>
      </c>
      <c r="Z191" s="797"/>
    </row>
    <row r="192" spans="1:26" hidden="1" outlineLevel="1">
      <c r="A192" s="168"/>
      <c r="B192" s="29" t="s">
        <v>356</v>
      </c>
      <c r="C192" s="168"/>
      <c r="D192" s="145"/>
      <c r="E192" s="145"/>
      <c r="F192" s="145">
        <f t="shared" si="34"/>
        <v>17275998.307692308</v>
      </c>
      <c r="G192" s="773">
        <f t="shared" si="35"/>
        <v>17275998.307692312</v>
      </c>
      <c r="H192" s="145">
        <f t="shared" si="39"/>
        <v>57285</v>
      </c>
      <c r="I192" s="772">
        <f t="shared" si="32"/>
        <v>-7114554.1584615381</v>
      </c>
      <c r="J192" s="773">
        <f t="shared" si="37"/>
        <v>-6770844.15846154</v>
      </c>
      <c r="K192" s="774">
        <f t="shared" si="42"/>
        <v>10161444.149230771</v>
      </c>
      <c r="L192" s="773">
        <f t="shared" si="40"/>
        <v>-3556505.4522307697</v>
      </c>
      <c r="M192" s="773">
        <f t="shared" si="44"/>
        <v>-20049.75</v>
      </c>
      <c r="N192" s="777"/>
      <c r="O192" s="773">
        <f t="shared" si="41"/>
        <v>0</v>
      </c>
      <c r="P192" s="777">
        <f t="shared" si="33"/>
        <v>10161444.149230771</v>
      </c>
      <c r="Q192" s="776"/>
      <c r="R192" s="776"/>
      <c r="S192" s="776"/>
      <c r="T192" s="776"/>
      <c r="U192" s="777">
        <f t="shared" si="43"/>
        <v>-3556505.3747564103</v>
      </c>
      <c r="V192" s="773">
        <f t="shared" si="45"/>
        <v>-3676803.8747564103</v>
      </c>
      <c r="W192" s="778">
        <f t="shared" si="46"/>
        <v>6828350.27447436</v>
      </c>
      <c r="X192" s="336">
        <f t="shared" si="31"/>
        <v>6604938.77447436</v>
      </c>
      <c r="Z192" s="797"/>
    </row>
    <row r="193" spans="1:26" hidden="1" outlineLevel="1">
      <c r="A193" s="168"/>
      <c r="B193" s="29" t="s">
        <v>357</v>
      </c>
      <c r="C193" s="168"/>
      <c r="D193" s="145"/>
      <c r="E193" s="145"/>
      <c r="F193" s="145">
        <f t="shared" si="34"/>
        <v>17275998.307692308</v>
      </c>
      <c r="G193" s="773">
        <f t="shared" si="35"/>
        <v>17275998.307692312</v>
      </c>
      <c r="H193" s="145">
        <f t="shared" si="39"/>
        <v>57285</v>
      </c>
      <c r="I193" s="772">
        <f t="shared" si="32"/>
        <v>-7171839.1584615381</v>
      </c>
      <c r="J193" s="773">
        <f t="shared" si="37"/>
        <v>-6828129.15846154</v>
      </c>
      <c r="K193" s="774">
        <f t="shared" si="42"/>
        <v>10104159.149230771</v>
      </c>
      <c r="L193" s="773">
        <f t="shared" si="40"/>
        <v>-3536455.7022307697</v>
      </c>
      <c r="M193" s="773">
        <f t="shared" si="44"/>
        <v>-20049.75</v>
      </c>
      <c r="N193" s="777"/>
      <c r="O193" s="773">
        <f t="shared" si="41"/>
        <v>0</v>
      </c>
      <c r="P193" s="777">
        <f t="shared" si="33"/>
        <v>10104159.149230771</v>
      </c>
      <c r="Q193" s="776"/>
      <c r="R193" s="776"/>
      <c r="S193" s="776"/>
      <c r="T193" s="776"/>
      <c r="U193" s="777">
        <f t="shared" si="43"/>
        <v>-3536455.6247564103</v>
      </c>
      <c r="V193" s="773">
        <f t="shared" si="45"/>
        <v>-3656754.1247564103</v>
      </c>
      <c r="W193" s="778">
        <f t="shared" si="46"/>
        <v>6791115.02447436</v>
      </c>
      <c r="X193" s="336">
        <f t="shared" ref="X193:X222" si="47">F193+I193+U193</f>
        <v>6567703.52447436</v>
      </c>
      <c r="Z193" s="797"/>
    </row>
    <row r="194" spans="1:26" hidden="1" outlineLevel="1">
      <c r="A194" s="168"/>
      <c r="B194" s="29" t="s">
        <v>358</v>
      </c>
      <c r="C194" s="168"/>
      <c r="D194" s="145"/>
      <c r="E194" s="145"/>
      <c r="F194" s="145">
        <f t="shared" si="34"/>
        <v>17275998.307692308</v>
      </c>
      <c r="G194" s="773">
        <f t="shared" si="35"/>
        <v>17275998.307692312</v>
      </c>
      <c r="H194" s="145">
        <f t="shared" si="39"/>
        <v>57285</v>
      </c>
      <c r="I194" s="772">
        <f t="shared" si="32"/>
        <v>-7229124.1584615381</v>
      </c>
      <c r="J194" s="773">
        <f t="shared" si="37"/>
        <v>-6885414.15846154</v>
      </c>
      <c r="K194" s="774">
        <f t="shared" si="42"/>
        <v>10046874.149230771</v>
      </c>
      <c r="L194" s="773">
        <f t="shared" si="40"/>
        <v>-3516405.9522307697</v>
      </c>
      <c r="M194" s="773">
        <f t="shared" si="44"/>
        <v>-20049.75</v>
      </c>
      <c r="N194" s="777"/>
      <c r="O194" s="773">
        <f t="shared" si="41"/>
        <v>0</v>
      </c>
      <c r="P194" s="777">
        <f t="shared" si="33"/>
        <v>10046874.149230771</v>
      </c>
      <c r="Q194" s="776"/>
      <c r="R194" s="776"/>
      <c r="S194" s="776"/>
      <c r="T194" s="776"/>
      <c r="U194" s="777">
        <f t="shared" si="43"/>
        <v>-3516405.8747564103</v>
      </c>
      <c r="V194" s="773">
        <f t="shared" si="45"/>
        <v>-3636704.3747564103</v>
      </c>
      <c r="W194" s="778">
        <f t="shared" si="46"/>
        <v>6753879.77447436</v>
      </c>
      <c r="X194" s="336">
        <f t="shared" si="47"/>
        <v>6530468.27447436</v>
      </c>
      <c r="Z194" s="797"/>
    </row>
    <row r="195" spans="1:26" hidden="1" outlineLevel="1">
      <c r="A195" s="168"/>
      <c r="B195" s="29" t="s">
        <v>359</v>
      </c>
      <c r="C195" s="168"/>
      <c r="D195" s="145"/>
      <c r="E195" s="145"/>
      <c r="F195" s="145">
        <f t="shared" si="34"/>
        <v>17275998.307692308</v>
      </c>
      <c r="G195" s="773">
        <f t="shared" si="35"/>
        <v>17275998.307692312</v>
      </c>
      <c r="H195" s="145">
        <f t="shared" si="39"/>
        <v>57285</v>
      </c>
      <c r="I195" s="772">
        <f t="shared" ref="I195:I258" si="48">I194-H195</f>
        <v>-7286409.1584615381</v>
      </c>
      <c r="J195" s="773">
        <f t="shared" si="37"/>
        <v>-6942699.15846154</v>
      </c>
      <c r="K195" s="774">
        <f t="shared" si="42"/>
        <v>9989589.1492307708</v>
      </c>
      <c r="L195" s="773">
        <f t="shared" si="40"/>
        <v>-3496356.2022307697</v>
      </c>
      <c r="M195" s="773">
        <f t="shared" si="44"/>
        <v>-20049.75</v>
      </c>
      <c r="N195" s="777"/>
      <c r="O195" s="773">
        <f t="shared" si="41"/>
        <v>0</v>
      </c>
      <c r="P195" s="777">
        <f t="shared" si="33"/>
        <v>9989589.1492307708</v>
      </c>
      <c r="Q195" s="776"/>
      <c r="R195" s="776"/>
      <c r="S195" s="776"/>
      <c r="T195" s="776"/>
      <c r="U195" s="777">
        <f t="shared" si="43"/>
        <v>-3496356.1247564103</v>
      </c>
      <c r="V195" s="773">
        <f t="shared" si="45"/>
        <v>-3616654.6247564103</v>
      </c>
      <c r="W195" s="778">
        <f t="shared" si="46"/>
        <v>6716644.52447436</v>
      </c>
      <c r="X195" s="336">
        <f t="shared" si="47"/>
        <v>6493233.02447436</v>
      </c>
      <c r="Z195" s="797"/>
    </row>
    <row r="196" spans="1:26" hidden="1" outlineLevel="1">
      <c r="A196" s="168"/>
      <c r="B196" s="29" t="s">
        <v>360</v>
      </c>
      <c r="C196" s="168"/>
      <c r="D196" s="145"/>
      <c r="E196" s="145"/>
      <c r="F196" s="145">
        <f t="shared" si="34"/>
        <v>17275998.307692308</v>
      </c>
      <c r="G196" s="773">
        <f t="shared" si="35"/>
        <v>17275998.307692312</v>
      </c>
      <c r="H196" s="145">
        <f t="shared" si="39"/>
        <v>57285</v>
      </c>
      <c r="I196" s="772">
        <f t="shared" si="48"/>
        <v>-7343694.1584615381</v>
      </c>
      <c r="J196" s="773">
        <f t="shared" si="37"/>
        <v>-6999984.15846154</v>
      </c>
      <c r="K196" s="774">
        <f t="shared" si="42"/>
        <v>9932304.1492307708</v>
      </c>
      <c r="L196" s="773">
        <f t="shared" si="40"/>
        <v>-3476306.4522307697</v>
      </c>
      <c r="M196" s="773">
        <f t="shared" si="44"/>
        <v>-20049.75</v>
      </c>
      <c r="N196" s="777"/>
      <c r="O196" s="773">
        <f t="shared" si="41"/>
        <v>0</v>
      </c>
      <c r="P196" s="777">
        <f t="shared" si="33"/>
        <v>9932304.1492307708</v>
      </c>
      <c r="Q196" s="776"/>
      <c r="R196" s="776"/>
      <c r="S196" s="776"/>
      <c r="T196" s="776"/>
      <c r="U196" s="777">
        <f t="shared" si="43"/>
        <v>-3476306.3747564103</v>
      </c>
      <c r="V196" s="773">
        <f t="shared" si="45"/>
        <v>-3596604.8747564103</v>
      </c>
      <c r="W196" s="778">
        <f t="shared" si="46"/>
        <v>6679409.27447436</v>
      </c>
      <c r="X196" s="336">
        <f t="shared" si="47"/>
        <v>6455997.77447436</v>
      </c>
      <c r="Z196" s="797"/>
    </row>
    <row r="197" spans="1:26" hidden="1" outlineLevel="1">
      <c r="A197" s="168"/>
      <c r="B197" s="29" t="s">
        <v>361</v>
      </c>
      <c r="C197" s="168"/>
      <c r="D197" s="145"/>
      <c r="E197" s="145"/>
      <c r="F197" s="145">
        <f t="shared" si="34"/>
        <v>17275998.307692308</v>
      </c>
      <c r="G197" s="773">
        <f t="shared" si="35"/>
        <v>17275998.307692312</v>
      </c>
      <c r="H197" s="145">
        <f t="shared" si="39"/>
        <v>57285</v>
      </c>
      <c r="I197" s="772">
        <f t="shared" si="48"/>
        <v>-7400979.1584615381</v>
      </c>
      <c r="J197" s="773">
        <f t="shared" si="37"/>
        <v>-7057269.15846154</v>
      </c>
      <c r="K197" s="774">
        <f t="shared" si="42"/>
        <v>9875019.1492307708</v>
      </c>
      <c r="L197" s="773">
        <f t="shared" si="40"/>
        <v>-3456256.7022307697</v>
      </c>
      <c r="M197" s="773">
        <f t="shared" si="44"/>
        <v>-20049.75</v>
      </c>
      <c r="N197" s="777"/>
      <c r="O197" s="773">
        <f t="shared" si="41"/>
        <v>0</v>
      </c>
      <c r="P197" s="777">
        <f t="shared" ref="P197:P260" si="49">K197+O197</f>
        <v>9875019.1492307708</v>
      </c>
      <c r="Q197" s="776"/>
      <c r="R197" s="776"/>
      <c r="S197" s="776"/>
      <c r="T197" s="776"/>
      <c r="U197" s="777">
        <f t="shared" si="43"/>
        <v>-3456256.6247564103</v>
      </c>
      <c r="V197" s="773">
        <f t="shared" si="45"/>
        <v>-3576555.1247564103</v>
      </c>
      <c r="W197" s="778">
        <f t="shared" si="46"/>
        <v>6642174.02447436</v>
      </c>
      <c r="X197" s="336">
        <f t="shared" si="47"/>
        <v>6418762.52447436</v>
      </c>
      <c r="Z197" s="797"/>
    </row>
    <row r="198" spans="1:26" hidden="1" outlineLevel="1">
      <c r="A198" s="168"/>
      <c r="B198" s="29" t="s">
        <v>362</v>
      </c>
      <c r="C198" s="168"/>
      <c r="D198" s="145"/>
      <c r="E198" s="145"/>
      <c r="F198" s="145">
        <f t="shared" ref="F198:F261" si="50">F197</f>
        <v>17275998.307692308</v>
      </c>
      <c r="G198" s="773">
        <f t="shared" ref="G198:G261" si="51">(F186+F198+SUM(F187:F197)*2)/24</f>
        <v>17275998.307692312</v>
      </c>
      <c r="H198" s="145">
        <f t="shared" si="39"/>
        <v>57285</v>
      </c>
      <c r="I198" s="772">
        <f t="shared" si="48"/>
        <v>-7458264.1584615381</v>
      </c>
      <c r="J198" s="773">
        <f t="shared" si="37"/>
        <v>-7114554.15846154</v>
      </c>
      <c r="K198" s="774">
        <f t="shared" si="42"/>
        <v>9817734.1492307708</v>
      </c>
      <c r="L198" s="773">
        <f t="shared" si="40"/>
        <v>-3436206.9522307697</v>
      </c>
      <c r="M198" s="773">
        <f t="shared" si="44"/>
        <v>-20049.75</v>
      </c>
      <c r="N198" s="777"/>
      <c r="O198" s="773">
        <f t="shared" si="41"/>
        <v>0</v>
      </c>
      <c r="P198" s="777">
        <f t="shared" si="49"/>
        <v>9817734.1492307708</v>
      </c>
      <c r="Q198" s="776"/>
      <c r="R198" s="776"/>
      <c r="S198" s="776"/>
      <c r="T198" s="776"/>
      <c r="U198" s="777">
        <f t="shared" si="43"/>
        <v>-3436206.8747564103</v>
      </c>
      <c r="V198" s="773">
        <f t="shared" si="45"/>
        <v>-3556505.3747564103</v>
      </c>
      <c r="W198" s="778">
        <f t="shared" si="46"/>
        <v>6604938.77447436</v>
      </c>
      <c r="X198" s="336">
        <f t="shared" si="47"/>
        <v>6381527.27447436</v>
      </c>
      <c r="Z198" s="797"/>
    </row>
    <row r="199" spans="1:26" hidden="1" outlineLevel="1">
      <c r="A199" s="168"/>
      <c r="B199" s="29" t="s">
        <v>363</v>
      </c>
      <c r="C199" s="168"/>
      <c r="D199" s="145"/>
      <c r="E199" s="145"/>
      <c r="F199" s="145">
        <f t="shared" si="50"/>
        <v>17275998.307692308</v>
      </c>
      <c r="G199" s="773">
        <f t="shared" si="51"/>
        <v>17275998.307692312</v>
      </c>
      <c r="H199" s="145">
        <f t="shared" si="39"/>
        <v>57285</v>
      </c>
      <c r="I199" s="772">
        <f t="shared" si="48"/>
        <v>-7515549.1584615381</v>
      </c>
      <c r="J199" s="773">
        <f t="shared" ref="J199:J262" si="52">(I187+I199+SUM(I188:I198)*2)/24</f>
        <v>-7171839.15846154</v>
      </c>
      <c r="K199" s="774">
        <f t="shared" si="42"/>
        <v>9760449.1492307708</v>
      </c>
      <c r="L199" s="773">
        <f t="shared" si="40"/>
        <v>-3416157.2022307697</v>
      </c>
      <c r="M199" s="773">
        <f t="shared" si="44"/>
        <v>-20049.75</v>
      </c>
      <c r="N199" s="777"/>
      <c r="O199" s="773">
        <f t="shared" si="41"/>
        <v>0</v>
      </c>
      <c r="P199" s="777">
        <f t="shared" si="49"/>
        <v>9760449.1492307708</v>
      </c>
      <c r="Q199" s="776"/>
      <c r="R199" s="776"/>
      <c r="S199" s="776"/>
      <c r="T199" s="776"/>
      <c r="U199" s="777">
        <f t="shared" si="43"/>
        <v>-3416157.1247564103</v>
      </c>
      <c r="V199" s="773">
        <f t="shared" si="45"/>
        <v>-3536455.6247564103</v>
      </c>
      <c r="W199" s="778">
        <f t="shared" si="46"/>
        <v>6567703.52447436</v>
      </c>
      <c r="X199" s="336">
        <f t="shared" si="47"/>
        <v>6344292.02447436</v>
      </c>
      <c r="Z199" s="797"/>
    </row>
    <row r="200" spans="1:26" hidden="1" outlineLevel="1">
      <c r="A200" s="168"/>
      <c r="B200" s="29" t="s">
        <v>364</v>
      </c>
      <c r="C200" s="168"/>
      <c r="D200" s="145"/>
      <c r="E200" s="145"/>
      <c r="F200" s="145">
        <f t="shared" si="50"/>
        <v>17275998.307692308</v>
      </c>
      <c r="G200" s="773">
        <f t="shared" si="51"/>
        <v>17275998.307692312</v>
      </c>
      <c r="H200" s="145">
        <f t="shared" si="39"/>
        <v>57285</v>
      </c>
      <c r="I200" s="772">
        <f t="shared" si="48"/>
        <v>-7572834.1584615381</v>
      </c>
      <c r="J200" s="773">
        <f t="shared" si="52"/>
        <v>-7229124.15846154</v>
      </c>
      <c r="K200" s="774">
        <f t="shared" si="42"/>
        <v>9703164.1492307708</v>
      </c>
      <c r="L200" s="773">
        <f t="shared" si="40"/>
        <v>-3396107.4522307697</v>
      </c>
      <c r="M200" s="773">
        <f t="shared" si="44"/>
        <v>-20049.75</v>
      </c>
      <c r="N200" s="777"/>
      <c r="O200" s="773">
        <f t="shared" si="41"/>
        <v>0</v>
      </c>
      <c r="P200" s="777">
        <f t="shared" si="49"/>
        <v>9703164.1492307708</v>
      </c>
      <c r="Q200" s="776"/>
      <c r="R200" s="776"/>
      <c r="S200" s="776"/>
      <c r="T200" s="776"/>
      <c r="U200" s="777">
        <f t="shared" si="43"/>
        <v>-3396107.3747564103</v>
      </c>
      <c r="V200" s="773">
        <f t="shared" si="45"/>
        <v>-3516405.8747564103</v>
      </c>
      <c r="W200" s="778">
        <f t="shared" si="46"/>
        <v>6530468.27447436</v>
      </c>
      <c r="X200" s="336">
        <f t="shared" si="47"/>
        <v>6307056.77447436</v>
      </c>
      <c r="Z200" s="797"/>
    </row>
    <row r="201" spans="1:26" hidden="1" outlineLevel="1">
      <c r="A201" s="168"/>
      <c r="B201" s="29" t="s">
        <v>365</v>
      </c>
      <c r="C201" s="168"/>
      <c r="D201" s="145"/>
      <c r="E201" s="145"/>
      <c r="F201" s="145">
        <f t="shared" si="50"/>
        <v>17275998.307692308</v>
      </c>
      <c r="G201" s="773">
        <f t="shared" si="51"/>
        <v>17275998.307692312</v>
      </c>
      <c r="H201" s="145">
        <f t="shared" si="39"/>
        <v>57285</v>
      </c>
      <c r="I201" s="772">
        <f t="shared" si="48"/>
        <v>-7630119.1584615381</v>
      </c>
      <c r="J201" s="773">
        <f t="shared" si="52"/>
        <v>-7286409.15846154</v>
      </c>
      <c r="K201" s="774">
        <f t="shared" si="42"/>
        <v>9645879.1492307708</v>
      </c>
      <c r="L201" s="773">
        <f t="shared" si="40"/>
        <v>-3376057.7022307697</v>
      </c>
      <c r="M201" s="773">
        <f t="shared" si="44"/>
        <v>-20049.75</v>
      </c>
      <c r="N201" s="777"/>
      <c r="O201" s="773">
        <f t="shared" si="41"/>
        <v>0</v>
      </c>
      <c r="P201" s="777">
        <f t="shared" si="49"/>
        <v>9645879.1492307708</v>
      </c>
      <c r="Q201" s="776"/>
      <c r="R201" s="776"/>
      <c r="S201" s="776"/>
      <c r="T201" s="776"/>
      <c r="U201" s="777">
        <f t="shared" si="43"/>
        <v>-3376057.6247564103</v>
      </c>
      <c r="V201" s="773">
        <f t="shared" si="45"/>
        <v>-3496356.1247564103</v>
      </c>
      <c r="W201" s="778">
        <f t="shared" si="46"/>
        <v>6493233.02447436</v>
      </c>
      <c r="X201" s="336">
        <f t="shared" si="47"/>
        <v>6269821.52447436</v>
      </c>
      <c r="Z201" s="797"/>
    </row>
    <row r="202" spans="1:26" hidden="1" outlineLevel="1">
      <c r="A202" s="168"/>
      <c r="B202" s="29" t="s">
        <v>366</v>
      </c>
      <c r="C202" s="168"/>
      <c r="D202" s="145"/>
      <c r="E202" s="145"/>
      <c r="F202" s="145">
        <f t="shared" si="50"/>
        <v>17275998.307692308</v>
      </c>
      <c r="G202" s="773">
        <f t="shared" si="51"/>
        <v>17275998.307692312</v>
      </c>
      <c r="H202" s="145">
        <f t="shared" si="39"/>
        <v>57285</v>
      </c>
      <c r="I202" s="772">
        <f t="shared" si="48"/>
        <v>-7687404.1584615381</v>
      </c>
      <c r="J202" s="773">
        <f t="shared" si="52"/>
        <v>-7343694.15846154</v>
      </c>
      <c r="K202" s="774">
        <f t="shared" si="42"/>
        <v>9588594.1492307708</v>
      </c>
      <c r="L202" s="773">
        <f t="shared" si="40"/>
        <v>-3356007.9522307697</v>
      </c>
      <c r="M202" s="773">
        <f t="shared" si="44"/>
        <v>-20049.75</v>
      </c>
      <c r="N202" s="777"/>
      <c r="O202" s="773">
        <f t="shared" si="41"/>
        <v>0</v>
      </c>
      <c r="P202" s="777">
        <f t="shared" si="49"/>
        <v>9588594.1492307708</v>
      </c>
      <c r="Q202" s="776"/>
      <c r="R202" s="776"/>
      <c r="S202" s="776"/>
      <c r="T202" s="776"/>
      <c r="U202" s="777">
        <f t="shared" si="43"/>
        <v>-3356007.8747564103</v>
      </c>
      <c r="V202" s="773">
        <f t="shared" si="45"/>
        <v>-3476306.3747564103</v>
      </c>
      <c r="W202" s="778">
        <f t="shared" si="46"/>
        <v>6455997.77447436</v>
      </c>
      <c r="X202" s="336">
        <f t="shared" si="47"/>
        <v>6232586.27447436</v>
      </c>
      <c r="Z202" s="797"/>
    </row>
    <row r="203" spans="1:26" hidden="1" outlineLevel="1">
      <c r="A203" s="168"/>
      <c r="B203" s="29" t="s">
        <v>367</v>
      </c>
      <c r="C203" s="168"/>
      <c r="D203" s="145"/>
      <c r="E203" s="145"/>
      <c r="F203" s="145">
        <f t="shared" si="50"/>
        <v>17275998.307692308</v>
      </c>
      <c r="G203" s="773">
        <f t="shared" si="51"/>
        <v>17275998.307692312</v>
      </c>
      <c r="H203" s="145">
        <f t="shared" si="39"/>
        <v>57285</v>
      </c>
      <c r="I203" s="772">
        <f t="shared" si="48"/>
        <v>-7744689.1584615381</v>
      </c>
      <c r="J203" s="773">
        <f t="shared" si="52"/>
        <v>-7400979.15846154</v>
      </c>
      <c r="K203" s="774">
        <f t="shared" si="42"/>
        <v>9531309.1492307708</v>
      </c>
      <c r="L203" s="773">
        <f t="shared" si="40"/>
        <v>-3335958.2022307697</v>
      </c>
      <c r="M203" s="773">
        <f t="shared" si="44"/>
        <v>-20049.75</v>
      </c>
      <c r="N203" s="777"/>
      <c r="O203" s="773">
        <f t="shared" si="41"/>
        <v>0</v>
      </c>
      <c r="P203" s="777">
        <f t="shared" si="49"/>
        <v>9531309.1492307708</v>
      </c>
      <c r="Q203" s="776"/>
      <c r="R203" s="776"/>
      <c r="S203" s="776"/>
      <c r="T203" s="776"/>
      <c r="U203" s="777">
        <f t="shared" si="43"/>
        <v>-3335958.1247564103</v>
      </c>
      <c r="V203" s="773">
        <f t="shared" si="45"/>
        <v>-3456256.6247564103</v>
      </c>
      <c r="W203" s="778">
        <f t="shared" si="46"/>
        <v>6418762.52447436</v>
      </c>
      <c r="X203" s="336">
        <f t="shared" si="47"/>
        <v>6195351.02447436</v>
      </c>
      <c r="Z203" s="797"/>
    </row>
    <row r="204" spans="1:26" hidden="1" outlineLevel="1">
      <c r="A204" s="168"/>
      <c r="B204" s="29" t="s">
        <v>368</v>
      </c>
      <c r="C204" s="168"/>
      <c r="D204" s="145"/>
      <c r="E204" s="145"/>
      <c r="F204" s="145">
        <f t="shared" si="50"/>
        <v>17275998.307692308</v>
      </c>
      <c r="G204" s="773">
        <f t="shared" si="51"/>
        <v>17275998.307692312</v>
      </c>
      <c r="H204" s="145">
        <f t="shared" si="39"/>
        <v>57285</v>
      </c>
      <c r="I204" s="772">
        <f t="shared" si="48"/>
        <v>-7801974.1584615381</v>
      </c>
      <c r="J204" s="773">
        <f t="shared" si="52"/>
        <v>-7458264.15846154</v>
      </c>
      <c r="K204" s="774">
        <f t="shared" si="42"/>
        <v>9474024.1492307708</v>
      </c>
      <c r="L204" s="773">
        <f t="shared" si="40"/>
        <v>-3315908.4522307697</v>
      </c>
      <c r="M204" s="773">
        <f t="shared" si="44"/>
        <v>-20049.75</v>
      </c>
      <c r="N204" s="777"/>
      <c r="O204" s="773">
        <f t="shared" si="41"/>
        <v>0</v>
      </c>
      <c r="P204" s="777">
        <f t="shared" si="49"/>
        <v>9474024.1492307708</v>
      </c>
      <c r="Q204" s="776"/>
      <c r="R204" s="776"/>
      <c r="S204" s="776"/>
      <c r="T204" s="776"/>
      <c r="U204" s="777">
        <f t="shared" si="43"/>
        <v>-3315908.3747564103</v>
      </c>
      <c r="V204" s="773">
        <f t="shared" si="45"/>
        <v>-3436206.8747564103</v>
      </c>
      <c r="W204" s="778">
        <f t="shared" si="46"/>
        <v>6381527.27447436</v>
      </c>
      <c r="X204" s="336">
        <f t="shared" si="47"/>
        <v>6158115.77447436</v>
      </c>
      <c r="Z204" s="797"/>
    </row>
    <row r="205" spans="1:26" hidden="1" outlineLevel="1">
      <c r="A205" s="168"/>
      <c r="B205" s="29" t="s">
        <v>369</v>
      </c>
      <c r="C205" s="168"/>
      <c r="D205" s="145"/>
      <c r="E205" s="145"/>
      <c r="F205" s="145">
        <f t="shared" si="50"/>
        <v>17275998.307692308</v>
      </c>
      <c r="G205" s="773">
        <f t="shared" si="51"/>
        <v>17275998.307692312</v>
      </c>
      <c r="H205" s="145">
        <f t="shared" si="39"/>
        <v>57285</v>
      </c>
      <c r="I205" s="772">
        <f t="shared" si="48"/>
        <v>-7859259.1584615381</v>
      </c>
      <c r="J205" s="773">
        <f t="shared" si="52"/>
        <v>-7515549.15846154</v>
      </c>
      <c r="K205" s="774">
        <f t="shared" si="42"/>
        <v>9416739.1492307708</v>
      </c>
      <c r="L205" s="773">
        <f t="shared" si="40"/>
        <v>-3295858.7022307697</v>
      </c>
      <c r="M205" s="773">
        <f t="shared" si="44"/>
        <v>-20049.75</v>
      </c>
      <c r="N205" s="777"/>
      <c r="O205" s="773">
        <f t="shared" si="41"/>
        <v>0</v>
      </c>
      <c r="P205" s="777">
        <f t="shared" si="49"/>
        <v>9416739.1492307708</v>
      </c>
      <c r="Q205" s="776"/>
      <c r="R205" s="776"/>
      <c r="S205" s="776"/>
      <c r="T205" s="776"/>
      <c r="U205" s="777">
        <f t="shared" si="43"/>
        <v>-3295858.6247564103</v>
      </c>
      <c r="V205" s="773">
        <f t="shared" si="45"/>
        <v>-3416157.1247564103</v>
      </c>
      <c r="W205" s="778">
        <f t="shared" si="46"/>
        <v>6344292.02447436</v>
      </c>
      <c r="X205" s="336">
        <f t="shared" si="47"/>
        <v>6120880.52447436</v>
      </c>
      <c r="Z205" s="797"/>
    </row>
    <row r="206" spans="1:26" hidden="1" outlineLevel="1">
      <c r="A206" s="168"/>
      <c r="B206" s="29" t="s">
        <v>370</v>
      </c>
      <c r="C206" s="168"/>
      <c r="D206" s="145"/>
      <c r="E206" s="145"/>
      <c r="F206" s="145">
        <f t="shared" si="50"/>
        <v>17275998.307692308</v>
      </c>
      <c r="G206" s="773">
        <f t="shared" si="51"/>
        <v>17275998.307692312</v>
      </c>
      <c r="H206" s="145">
        <f t="shared" si="39"/>
        <v>57285</v>
      </c>
      <c r="I206" s="772">
        <f t="shared" si="48"/>
        <v>-7916544.1584615381</v>
      </c>
      <c r="J206" s="773">
        <f t="shared" si="52"/>
        <v>-7572834.15846154</v>
      </c>
      <c r="K206" s="774">
        <f t="shared" si="42"/>
        <v>9359454.1492307708</v>
      </c>
      <c r="L206" s="773">
        <f t="shared" si="40"/>
        <v>-3275808.9522307697</v>
      </c>
      <c r="M206" s="773">
        <f t="shared" si="44"/>
        <v>-20049.75</v>
      </c>
      <c r="N206" s="777"/>
      <c r="O206" s="773">
        <f t="shared" si="41"/>
        <v>0</v>
      </c>
      <c r="P206" s="777">
        <f t="shared" si="49"/>
        <v>9359454.1492307708</v>
      </c>
      <c r="Q206" s="776"/>
      <c r="R206" s="776"/>
      <c r="S206" s="776"/>
      <c r="T206" s="776"/>
      <c r="U206" s="777">
        <f t="shared" si="43"/>
        <v>-3275808.8747564103</v>
      </c>
      <c r="V206" s="773">
        <f t="shared" si="45"/>
        <v>-3396107.3747564103</v>
      </c>
      <c r="W206" s="778">
        <f t="shared" si="46"/>
        <v>6307056.77447436</v>
      </c>
      <c r="X206" s="336">
        <f t="shared" si="47"/>
        <v>6083645.27447436</v>
      </c>
      <c r="Z206" s="797"/>
    </row>
    <row r="207" spans="1:26" hidden="1" outlineLevel="1">
      <c r="A207" s="168"/>
      <c r="B207" s="29" t="s">
        <v>371</v>
      </c>
      <c r="C207" s="168"/>
      <c r="D207" s="145"/>
      <c r="E207" s="145"/>
      <c r="F207" s="145">
        <f t="shared" si="50"/>
        <v>17275998.307692308</v>
      </c>
      <c r="G207" s="773">
        <f t="shared" si="51"/>
        <v>17275998.307692312</v>
      </c>
      <c r="H207" s="145">
        <f t="shared" si="39"/>
        <v>57285</v>
      </c>
      <c r="I207" s="772">
        <f t="shared" si="48"/>
        <v>-7973829.1584615381</v>
      </c>
      <c r="J207" s="773">
        <f t="shared" si="52"/>
        <v>-7630119.15846154</v>
      </c>
      <c r="K207" s="774">
        <f t="shared" si="42"/>
        <v>9302169.1492307708</v>
      </c>
      <c r="L207" s="773">
        <f t="shared" si="40"/>
        <v>-3255759.2022307697</v>
      </c>
      <c r="M207" s="773">
        <f t="shared" si="44"/>
        <v>-20049.75</v>
      </c>
      <c r="N207" s="777"/>
      <c r="O207" s="773">
        <f t="shared" si="41"/>
        <v>0</v>
      </c>
      <c r="P207" s="777">
        <f t="shared" si="49"/>
        <v>9302169.1492307708</v>
      </c>
      <c r="Q207" s="776"/>
      <c r="R207" s="776"/>
      <c r="S207" s="776"/>
      <c r="T207" s="776"/>
      <c r="U207" s="777">
        <f t="shared" si="43"/>
        <v>-3255759.1247564103</v>
      </c>
      <c r="V207" s="773">
        <f t="shared" si="45"/>
        <v>-3376057.6247564103</v>
      </c>
      <c r="W207" s="778">
        <f t="shared" si="46"/>
        <v>6269821.52447436</v>
      </c>
      <c r="X207" s="336">
        <f t="shared" si="47"/>
        <v>6046410.02447436</v>
      </c>
      <c r="Z207" s="797"/>
    </row>
    <row r="208" spans="1:26" hidden="1" outlineLevel="1">
      <c r="A208" s="168"/>
      <c r="B208" s="29" t="s">
        <v>372</v>
      </c>
      <c r="C208" s="168"/>
      <c r="D208" s="145"/>
      <c r="E208" s="145"/>
      <c r="F208" s="145">
        <f t="shared" si="50"/>
        <v>17275998.307692308</v>
      </c>
      <c r="G208" s="773">
        <f t="shared" si="51"/>
        <v>17275998.307692312</v>
      </c>
      <c r="H208" s="145">
        <f t="shared" si="39"/>
        <v>57285</v>
      </c>
      <c r="I208" s="772">
        <f t="shared" si="48"/>
        <v>-8031114.1584615381</v>
      </c>
      <c r="J208" s="773">
        <f t="shared" si="52"/>
        <v>-7687404.15846154</v>
      </c>
      <c r="K208" s="774">
        <f t="shared" si="42"/>
        <v>9244884.1492307708</v>
      </c>
      <c r="L208" s="773">
        <f t="shared" si="40"/>
        <v>-3235709.4522307697</v>
      </c>
      <c r="M208" s="773">
        <f t="shared" si="44"/>
        <v>-20049.75</v>
      </c>
      <c r="N208" s="777"/>
      <c r="O208" s="773">
        <f t="shared" si="41"/>
        <v>0</v>
      </c>
      <c r="P208" s="777">
        <f t="shared" si="49"/>
        <v>9244884.1492307708</v>
      </c>
      <c r="Q208" s="776"/>
      <c r="R208" s="776"/>
      <c r="S208" s="776"/>
      <c r="T208" s="776"/>
      <c r="U208" s="777">
        <f t="shared" si="43"/>
        <v>-3235709.3747564103</v>
      </c>
      <c r="V208" s="773">
        <f t="shared" si="45"/>
        <v>-3356007.8747564103</v>
      </c>
      <c r="W208" s="778">
        <f t="shared" si="46"/>
        <v>6232586.27447436</v>
      </c>
      <c r="X208" s="336">
        <f t="shared" si="47"/>
        <v>6009174.77447436</v>
      </c>
      <c r="Z208" s="797"/>
    </row>
    <row r="209" spans="1:26" hidden="1" outlineLevel="1">
      <c r="A209" s="168"/>
      <c r="B209" s="29" t="s">
        <v>373</v>
      </c>
      <c r="C209" s="168"/>
      <c r="D209" s="145"/>
      <c r="E209" s="145"/>
      <c r="F209" s="145">
        <f t="shared" si="50"/>
        <v>17275998.307692308</v>
      </c>
      <c r="G209" s="773">
        <f t="shared" si="51"/>
        <v>17275998.307692312</v>
      </c>
      <c r="H209" s="145">
        <f t="shared" si="39"/>
        <v>57285</v>
      </c>
      <c r="I209" s="772">
        <f t="shared" si="48"/>
        <v>-8088399.1584615381</v>
      </c>
      <c r="J209" s="773">
        <f t="shared" si="52"/>
        <v>-7744689.15846154</v>
      </c>
      <c r="K209" s="774">
        <f t="shared" si="42"/>
        <v>9187599.1492307708</v>
      </c>
      <c r="L209" s="773">
        <f t="shared" si="40"/>
        <v>-3215659.7022307697</v>
      </c>
      <c r="M209" s="773">
        <f t="shared" si="44"/>
        <v>-20049.75</v>
      </c>
      <c r="N209" s="777"/>
      <c r="O209" s="773">
        <f t="shared" si="41"/>
        <v>0</v>
      </c>
      <c r="P209" s="777">
        <f t="shared" si="49"/>
        <v>9187599.1492307708</v>
      </c>
      <c r="Q209" s="776"/>
      <c r="R209" s="776"/>
      <c r="S209" s="776"/>
      <c r="T209" s="776"/>
      <c r="U209" s="777">
        <f t="shared" si="43"/>
        <v>-3215659.6247564103</v>
      </c>
      <c r="V209" s="773">
        <f t="shared" si="45"/>
        <v>-3335958.1247564103</v>
      </c>
      <c r="W209" s="778">
        <f t="shared" si="46"/>
        <v>6195351.02447436</v>
      </c>
      <c r="X209" s="336">
        <f t="shared" si="47"/>
        <v>5971939.52447436</v>
      </c>
      <c r="Z209" s="797"/>
    </row>
    <row r="210" spans="1:26" hidden="1" outlineLevel="1">
      <c r="A210" s="168"/>
      <c r="B210" s="29" t="s">
        <v>374</v>
      </c>
      <c r="C210" s="168"/>
      <c r="D210" s="145"/>
      <c r="E210" s="145"/>
      <c r="F210" s="145">
        <f t="shared" si="50"/>
        <v>17275998.307692308</v>
      </c>
      <c r="G210" s="773">
        <f t="shared" si="51"/>
        <v>17275998.307692312</v>
      </c>
      <c r="H210" s="145">
        <f t="shared" si="39"/>
        <v>57285</v>
      </c>
      <c r="I210" s="772">
        <f t="shared" si="48"/>
        <v>-8145684.1584615381</v>
      </c>
      <c r="J210" s="773">
        <f t="shared" si="52"/>
        <v>-7801974.15846154</v>
      </c>
      <c r="K210" s="774">
        <f t="shared" si="42"/>
        <v>9130314.1492307708</v>
      </c>
      <c r="L210" s="773">
        <f t="shared" si="40"/>
        <v>-3195609.9522307697</v>
      </c>
      <c r="M210" s="773">
        <f t="shared" si="44"/>
        <v>-20049.75</v>
      </c>
      <c r="N210" s="777"/>
      <c r="O210" s="773">
        <f t="shared" si="41"/>
        <v>0</v>
      </c>
      <c r="P210" s="777">
        <f t="shared" si="49"/>
        <v>9130314.1492307708</v>
      </c>
      <c r="Q210" s="776"/>
      <c r="R210" s="776"/>
      <c r="S210" s="776"/>
      <c r="T210" s="776"/>
      <c r="U210" s="777">
        <f t="shared" si="43"/>
        <v>-3195609.8747564103</v>
      </c>
      <c r="V210" s="773">
        <f t="shared" si="45"/>
        <v>-3315908.3747564103</v>
      </c>
      <c r="W210" s="778">
        <f t="shared" si="46"/>
        <v>6158115.77447436</v>
      </c>
      <c r="X210" s="336">
        <f t="shared" si="47"/>
        <v>5934704.27447436</v>
      </c>
      <c r="Z210" s="797"/>
    </row>
    <row r="211" spans="1:26" hidden="1" outlineLevel="1">
      <c r="A211" s="168"/>
      <c r="B211" s="29" t="s">
        <v>375</v>
      </c>
      <c r="C211" s="168"/>
      <c r="D211" s="145"/>
      <c r="E211" s="145"/>
      <c r="F211" s="145">
        <f t="shared" si="50"/>
        <v>17275998.307692308</v>
      </c>
      <c r="G211" s="773">
        <f t="shared" si="51"/>
        <v>17275998.307692312</v>
      </c>
      <c r="H211" s="145">
        <f t="shared" si="39"/>
        <v>57285</v>
      </c>
      <c r="I211" s="772">
        <f t="shared" si="48"/>
        <v>-8202969.1584615381</v>
      </c>
      <c r="J211" s="773">
        <f t="shared" si="52"/>
        <v>-7859259.15846154</v>
      </c>
      <c r="K211" s="774">
        <f t="shared" si="42"/>
        <v>9073029.1492307708</v>
      </c>
      <c r="L211" s="773">
        <f t="shared" si="40"/>
        <v>-3175560.2022307697</v>
      </c>
      <c r="M211" s="773">
        <f t="shared" si="44"/>
        <v>-20049.75</v>
      </c>
      <c r="N211" s="777"/>
      <c r="O211" s="773">
        <f t="shared" si="41"/>
        <v>0</v>
      </c>
      <c r="P211" s="777">
        <f t="shared" si="49"/>
        <v>9073029.1492307708</v>
      </c>
      <c r="Q211" s="776"/>
      <c r="R211" s="776"/>
      <c r="S211" s="776"/>
      <c r="T211" s="776"/>
      <c r="U211" s="777">
        <f t="shared" si="43"/>
        <v>-3175560.1247564103</v>
      </c>
      <c r="V211" s="773">
        <f t="shared" si="45"/>
        <v>-3295858.6247564103</v>
      </c>
      <c r="W211" s="778">
        <f t="shared" si="46"/>
        <v>6120880.52447436</v>
      </c>
      <c r="X211" s="336">
        <f t="shared" si="47"/>
        <v>5897469.02447436</v>
      </c>
      <c r="Z211" s="797"/>
    </row>
    <row r="212" spans="1:26" hidden="1" outlineLevel="1">
      <c r="A212" s="168"/>
      <c r="B212" s="29" t="s">
        <v>376</v>
      </c>
      <c r="C212" s="168"/>
      <c r="D212" s="145"/>
      <c r="E212" s="145"/>
      <c r="F212" s="145">
        <f t="shared" si="50"/>
        <v>17275998.307692308</v>
      </c>
      <c r="G212" s="773">
        <f t="shared" si="51"/>
        <v>17275998.307692312</v>
      </c>
      <c r="H212" s="145">
        <f t="shared" si="39"/>
        <v>57285</v>
      </c>
      <c r="I212" s="772">
        <f t="shared" si="48"/>
        <v>-8260254.1584615381</v>
      </c>
      <c r="J212" s="773">
        <f t="shared" si="52"/>
        <v>-7916544.15846154</v>
      </c>
      <c r="K212" s="774">
        <f t="shared" si="42"/>
        <v>9015744.1492307708</v>
      </c>
      <c r="L212" s="773">
        <f t="shared" si="40"/>
        <v>-3155510.4522307697</v>
      </c>
      <c r="M212" s="773">
        <f t="shared" si="44"/>
        <v>-20049.75</v>
      </c>
      <c r="N212" s="777"/>
      <c r="O212" s="773">
        <f t="shared" si="41"/>
        <v>0</v>
      </c>
      <c r="P212" s="777">
        <f t="shared" si="49"/>
        <v>9015744.1492307708</v>
      </c>
      <c r="Q212" s="776"/>
      <c r="R212" s="776"/>
      <c r="S212" s="776"/>
      <c r="T212" s="776"/>
      <c r="U212" s="777">
        <f t="shared" si="43"/>
        <v>-3155510.3747564103</v>
      </c>
      <c r="V212" s="773">
        <f t="shared" si="45"/>
        <v>-3275808.8747564103</v>
      </c>
      <c r="W212" s="778">
        <f t="shared" si="46"/>
        <v>6083645.27447436</v>
      </c>
      <c r="X212" s="336">
        <f t="shared" si="47"/>
        <v>5860233.77447436</v>
      </c>
      <c r="Z212" s="797"/>
    </row>
    <row r="213" spans="1:26" hidden="1" outlineLevel="1">
      <c r="A213" s="168"/>
      <c r="B213" s="29" t="s">
        <v>377</v>
      </c>
      <c r="C213" s="168"/>
      <c r="D213" s="145"/>
      <c r="E213" s="145"/>
      <c r="F213" s="145">
        <f t="shared" si="50"/>
        <v>17275998.307692308</v>
      </c>
      <c r="G213" s="773">
        <f t="shared" si="51"/>
        <v>17275998.307692312</v>
      </c>
      <c r="H213" s="145">
        <f t="shared" si="39"/>
        <v>57285</v>
      </c>
      <c r="I213" s="772">
        <f t="shared" si="48"/>
        <v>-8317539.1584615381</v>
      </c>
      <c r="J213" s="773">
        <f t="shared" si="52"/>
        <v>-7973829.15846154</v>
      </c>
      <c r="K213" s="774">
        <f t="shared" si="42"/>
        <v>8958459.1492307708</v>
      </c>
      <c r="L213" s="773">
        <f t="shared" si="40"/>
        <v>-3135460.7022307697</v>
      </c>
      <c r="M213" s="773">
        <f t="shared" si="44"/>
        <v>-20049.75</v>
      </c>
      <c r="N213" s="777"/>
      <c r="O213" s="773">
        <f t="shared" si="41"/>
        <v>0</v>
      </c>
      <c r="P213" s="777">
        <f t="shared" si="49"/>
        <v>8958459.1492307708</v>
      </c>
      <c r="Q213" s="776"/>
      <c r="R213" s="776"/>
      <c r="S213" s="776"/>
      <c r="T213" s="776"/>
      <c r="U213" s="777">
        <f t="shared" si="43"/>
        <v>-3135460.6247564103</v>
      </c>
      <c r="V213" s="773">
        <f t="shared" si="45"/>
        <v>-3255759.1247564103</v>
      </c>
      <c r="W213" s="778">
        <f t="shared" si="46"/>
        <v>6046410.02447436</v>
      </c>
      <c r="X213" s="336">
        <f t="shared" si="47"/>
        <v>5822998.52447436</v>
      </c>
      <c r="Z213" s="797"/>
    </row>
    <row r="214" spans="1:26" hidden="1" outlineLevel="1">
      <c r="A214" s="168"/>
      <c r="B214" s="29" t="s">
        <v>378</v>
      </c>
      <c r="C214" s="168"/>
      <c r="D214" s="145"/>
      <c r="E214" s="145"/>
      <c r="F214" s="145">
        <f t="shared" si="50"/>
        <v>17275998.307692308</v>
      </c>
      <c r="G214" s="773">
        <f t="shared" si="51"/>
        <v>17275998.307692312</v>
      </c>
      <c r="H214" s="145">
        <f t="shared" si="39"/>
        <v>57285</v>
      </c>
      <c r="I214" s="772">
        <f t="shared" si="48"/>
        <v>-8374824.1584615381</v>
      </c>
      <c r="J214" s="773">
        <f t="shared" si="52"/>
        <v>-8031114.15846154</v>
      </c>
      <c r="K214" s="774">
        <f t="shared" si="42"/>
        <v>8901174.1492307708</v>
      </c>
      <c r="L214" s="773">
        <f t="shared" si="40"/>
        <v>-3115410.9522307697</v>
      </c>
      <c r="M214" s="773">
        <f t="shared" si="44"/>
        <v>-20049.75</v>
      </c>
      <c r="N214" s="777"/>
      <c r="O214" s="773">
        <f t="shared" si="41"/>
        <v>0</v>
      </c>
      <c r="P214" s="777">
        <f t="shared" si="49"/>
        <v>8901174.1492307708</v>
      </c>
      <c r="Q214" s="776"/>
      <c r="R214" s="776"/>
      <c r="S214" s="776"/>
      <c r="T214" s="776"/>
      <c r="U214" s="777">
        <f t="shared" si="43"/>
        <v>-3115410.8747564103</v>
      </c>
      <c r="V214" s="773">
        <f t="shared" si="45"/>
        <v>-3235709.3747564103</v>
      </c>
      <c r="W214" s="778">
        <f t="shared" si="46"/>
        <v>6009174.77447436</v>
      </c>
      <c r="X214" s="336">
        <f t="shared" si="47"/>
        <v>5785763.27447436</v>
      </c>
      <c r="Z214" s="797"/>
    </row>
    <row r="215" spans="1:26" hidden="1" outlineLevel="1">
      <c r="A215" s="168"/>
      <c r="B215" s="29" t="s">
        <v>379</v>
      </c>
      <c r="C215" s="168"/>
      <c r="D215" s="145"/>
      <c r="E215" s="145"/>
      <c r="F215" s="145">
        <f t="shared" si="50"/>
        <v>17275998.307692308</v>
      </c>
      <c r="G215" s="773">
        <f t="shared" si="51"/>
        <v>17275998.307692312</v>
      </c>
      <c r="H215" s="145">
        <f t="shared" si="39"/>
        <v>57285</v>
      </c>
      <c r="I215" s="772">
        <f t="shared" si="48"/>
        <v>-8432109.1584615372</v>
      </c>
      <c r="J215" s="773">
        <f t="shared" si="52"/>
        <v>-8088399.15846154</v>
      </c>
      <c r="K215" s="774">
        <f t="shared" si="42"/>
        <v>8843889.1492307708</v>
      </c>
      <c r="L215" s="773">
        <f t="shared" si="40"/>
        <v>-3095361.2022307697</v>
      </c>
      <c r="M215" s="773">
        <f t="shared" si="44"/>
        <v>-20049.75</v>
      </c>
      <c r="N215" s="777"/>
      <c r="O215" s="773">
        <f t="shared" si="41"/>
        <v>0</v>
      </c>
      <c r="P215" s="777">
        <f t="shared" si="49"/>
        <v>8843889.1492307708</v>
      </c>
      <c r="Q215" s="776"/>
      <c r="R215" s="776"/>
      <c r="S215" s="776"/>
      <c r="T215" s="776"/>
      <c r="U215" s="777">
        <f t="shared" si="43"/>
        <v>-3095361.1247564103</v>
      </c>
      <c r="V215" s="773">
        <f t="shared" si="45"/>
        <v>-3215659.6247564103</v>
      </c>
      <c r="W215" s="778">
        <f t="shared" si="46"/>
        <v>5971939.52447436</v>
      </c>
      <c r="X215" s="336">
        <f t="shared" si="47"/>
        <v>5748528.02447436</v>
      </c>
      <c r="Z215" s="797"/>
    </row>
    <row r="216" spans="1:26" hidden="1" outlineLevel="1">
      <c r="A216" s="168"/>
      <c r="B216" s="29" t="s">
        <v>380</v>
      </c>
      <c r="C216" s="168"/>
      <c r="D216" s="147"/>
      <c r="E216" s="145"/>
      <c r="F216" s="145">
        <f t="shared" si="50"/>
        <v>17275998.307692308</v>
      </c>
      <c r="G216" s="773">
        <f t="shared" si="51"/>
        <v>17275998.307692312</v>
      </c>
      <c r="H216" s="145">
        <f t="shared" si="39"/>
        <v>57285</v>
      </c>
      <c r="I216" s="772">
        <f t="shared" si="48"/>
        <v>-8489394.1584615372</v>
      </c>
      <c r="J216" s="773">
        <f t="shared" si="52"/>
        <v>-8145684.15846154</v>
      </c>
      <c r="K216" s="774">
        <f t="shared" si="42"/>
        <v>8786604.1492307708</v>
      </c>
      <c r="L216" s="773">
        <f t="shared" si="40"/>
        <v>-3075311.4522307697</v>
      </c>
      <c r="M216" s="773">
        <f t="shared" si="44"/>
        <v>-20049.75</v>
      </c>
      <c r="N216" s="777"/>
      <c r="O216" s="773">
        <f t="shared" si="41"/>
        <v>0</v>
      </c>
      <c r="P216" s="777">
        <f t="shared" si="49"/>
        <v>8786604.1492307708</v>
      </c>
      <c r="Q216" s="776"/>
      <c r="R216" s="776"/>
      <c r="S216" s="776"/>
      <c r="T216" s="776"/>
      <c r="U216" s="777">
        <f t="shared" si="43"/>
        <v>-3075311.3747564103</v>
      </c>
      <c r="V216" s="773">
        <f t="shared" si="45"/>
        <v>-3195609.8747564103</v>
      </c>
      <c r="W216" s="778">
        <f t="shared" si="46"/>
        <v>5934704.27447436</v>
      </c>
      <c r="X216" s="336">
        <f t="shared" si="47"/>
        <v>5711292.77447436</v>
      </c>
      <c r="Z216" s="797"/>
    </row>
    <row r="217" spans="1:26" hidden="1" outlineLevel="1">
      <c r="A217" s="168"/>
      <c r="B217" s="29" t="s">
        <v>381</v>
      </c>
      <c r="C217" s="168"/>
      <c r="D217" s="147"/>
      <c r="E217" s="145"/>
      <c r="F217" s="145">
        <f t="shared" si="50"/>
        <v>17275998.307692308</v>
      </c>
      <c r="G217" s="773">
        <f t="shared" si="51"/>
        <v>17275998.307692312</v>
      </c>
      <c r="H217" s="145">
        <f t="shared" ref="H217:H280" si="53">H216</f>
        <v>57285</v>
      </c>
      <c r="I217" s="772">
        <f t="shared" si="48"/>
        <v>-8546679.1584615372</v>
      </c>
      <c r="J217" s="773">
        <f t="shared" si="52"/>
        <v>-8202969.15846154</v>
      </c>
      <c r="K217" s="774">
        <f t="shared" si="42"/>
        <v>8729319.1492307708</v>
      </c>
      <c r="L217" s="773">
        <f t="shared" si="40"/>
        <v>-3055261.7022307697</v>
      </c>
      <c r="M217" s="773">
        <f t="shared" si="44"/>
        <v>-20049.75</v>
      </c>
      <c r="N217" s="777"/>
      <c r="O217" s="773">
        <f t="shared" si="41"/>
        <v>0</v>
      </c>
      <c r="P217" s="777">
        <f t="shared" si="49"/>
        <v>8729319.1492307708</v>
      </c>
      <c r="Q217" s="776"/>
      <c r="R217" s="776"/>
      <c r="S217" s="776"/>
      <c r="T217" s="776"/>
      <c r="U217" s="777">
        <f t="shared" si="43"/>
        <v>-3055261.6247564103</v>
      </c>
      <c r="V217" s="773">
        <f t="shared" si="45"/>
        <v>-3175560.1247564103</v>
      </c>
      <c r="W217" s="778">
        <f t="shared" si="46"/>
        <v>5897469.02447436</v>
      </c>
      <c r="X217" s="336">
        <f t="shared" si="47"/>
        <v>5674057.52447436</v>
      </c>
      <c r="Z217" s="797"/>
    </row>
    <row r="218" spans="1:26" hidden="1" outlineLevel="1">
      <c r="A218" s="168"/>
      <c r="B218" s="29" t="s">
        <v>382</v>
      </c>
      <c r="C218" s="168"/>
      <c r="D218" s="147"/>
      <c r="E218" s="145"/>
      <c r="F218" s="145">
        <f t="shared" si="50"/>
        <v>17275998.307692308</v>
      </c>
      <c r="G218" s="773">
        <f t="shared" si="51"/>
        <v>17275998.307692312</v>
      </c>
      <c r="H218" s="145">
        <f t="shared" si="53"/>
        <v>57285</v>
      </c>
      <c r="I218" s="772">
        <f t="shared" si="48"/>
        <v>-8603964.1584615372</v>
      </c>
      <c r="J218" s="773">
        <f t="shared" si="52"/>
        <v>-8260254.15846154</v>
      </c>
      <c r="K218" s="774">
        <f t="shared" si="42"/>
        <v>8672034.1492307708</v>
      </c>
      <c r="L218" s="773">
        <f t="shared" si="40"/>
        <v>-3035211.9522307697</v>
      </c>
      <c r="M218" s="773">
        <f t="shared" si="44"/>
        <v>-20049.75</v>
      </c>
      <c r="N218" s="777"/>
      <c r="O218" s="773">
        <f t="shared" si="41"/>
        <v>0</v>
      </c>
      <c r="P218" s="777">
        <f t="shared" si="49"/>
        <v>8672034.1492307708</v>
      </c>
      <c r="Q218" s="776"/>
      <c r="R218" s="776"/>
      <c r="S218" s="776"/>
      <c r="T218" s="776"/>
      <c r="U218" s="777">
        <f t="shared" si="43"/>
        <v>-3035211.8747564103</v>
      </c>
      <c r="V218" s="773">
        <f t="shared" si="45"/>
        <v>-3155510.3747564103</v>
      </c>
      <c r="W218" s="778">
        <f t="shared" si="46"/>
        <v>5860233.77447436</v>
      </c>
      <c r="X218" s="336">
        <f t="shared" si="47"/>
        <v>5636822.27447436</v>
      </c>
      <c r="Z218" s="797"/>
    </row>
    <row r="219" spans="1:26" hidden="1" outlineLevel="1">
      <c r="A219" s="168"/>
      <c r="B219" s="29" t="s">
        <v>383</v>
      </c>
      <c r="C219" s="168"/>
      <c r="D219" s="147"/>
      <c r="E219" s="145"/>
      <c r="F219" s="145">
        <f t="shared" si="50"/>
        <v>17275998.307692308</v>
      </c>
      <c r="G219" s="773">
        <f t="shared" si="51"/>
        <v>17275998.307692312</v>
      </c>
      <c r="H219" s="145">
        <f t="shared" si="53"/>
        <v>57285</v>
      </c>
      <c r="I219" s="772">
        <f t="shared" si="48"/>
        <v>-8661249.1584615372</v>
      </c>
      <c r="J219" s="773">
        <f t="shared" si="52"/>
        <v>-8317539.15846154</v>
      </c>
      <c r="K219" s="774">
        <f t="shared" si="42"/>
        <v>8614749.1492307708</v>
      </c>
      <c r="L219" s="773">
        <f t="shared" si="40"/>
        <v>-3015162.2022307697</v>
      </c>
      <c r="M219" s="773">
        <f t="shared" si="44"/>
        <v>-20049.75</v>
      </c>
      <c r="N219" s="777"/>
      <c r="O219" s="773">
        <f t="shared" si="41"/>
        <v>0</v>
      </c>
      <c r="P219" s="777">
        <f t="shared" si="49"/>
        <v>8614749.1492307708</v>
      </c>
      <c r="Q219" s="776"/>
      <c r="R219" s="776"/>
      <c r="S219" s="776"/>
      <c r="T219" s="776"/>
      <c r="U219" s="777">
        <f t="shared" si="43"/>
        <v>-3015162.1247564103</v>
      </c>
      <c r="V219" s="773">
        <f t="shared" si="45"/>
        <v>-3135460.6247564103</v>
      </c>
      <c r="W219" s="778">
        <f t="shared" si="46"/>
        <v>5822998.52447436</v>
      </c>
      <c r="X219" s="336">
        <f t="shared" si="47"/>
        <v>5599587.02447436</v>
      </c>
      <c r="Z219" s="797"/>
    </row>
    <row r="220" spans="1:26" hidden="1" outlineLevel="1">
      <c r="A220" s="168"/>
      <c r="B220" s="29" t="s">
        <v>384</v>
      </c>
      <c r="C220" s="168"/>
      <c r="D220" s="147"/>
      <c r="E220" s="145"/>
      <c r="F220" s="145">
        <f t="shared" si="50"/>
        <v>17275998.307692308</v>
      </c>
      <c r="G220" s="773">
        <f t="shared" si="51"/>
        <v>17275998.307692312</v>
      </c>
      <c r="H220" s="145">
        <f t="shared" si="53"/>
        <v>57285</v>
      </c>
      <c r="I220" s="772">
        <f t="shared" si="48"/>
        <v>-8718534.1584615372</v>
      </c>
      <c r="J220" s="773">
        <f t="shared" si="52"/>
        <v>-8374824.15846154</v>
      </c>
      <c r="K220" s="774">
        <f t="shared" si="42"/>
        <v>8557464.1492307708</v>
      </c>
      <c r="L220" s="773">
        <f t="shared" si="40"/>
        <v>-2995112.4522307697</v>
      </c>
      <c r="M220" s="773">
        <f t="shared" si="44"/>
        <v>-20049.75</v>
      </c>
      <c r="N220" s="777"/>
      <c r="O220" s="773">
        <f t="shared" si="41"/>
        <v>0</v>
      </c>
      <c r="P220" s="777">
        <f t="shared" si="49"/>
        <v>8557464.1492307708</v>
      </c>
      <c r="Q220" s="776"/>
      <c r="R220" s="776"/>
      <c r="S220" s="776"/>
      <c r="T220" s="776"/>
      <c r="U220" s="777">
        <f t="shared" si="43"/>
        <v>-2995112.3747564103</v>
      </c>
      <c r="V220" s="773">
        <f t="shared" si="45"/>
        <v>-3115410.8747564103</v>
      </c>
      <c r="W220" s="778">
        <f t="shared" si="46"/>
        <v>5785763.27447436</v>
      </c>
      <c r="X220" s="336">
        <f t="shared" si="47"/>
        <v>5562351.77447436</v>
      </c>
      <c r="Z220" s="797"/>
    </row>
    <row r="221" spans="1:26" hidden="1" outlineLevel="1">
      <c r="A221" s="168"/>
      <c r="B221" s="29" t="s">
        <v>385</v>
      </c>
      <c r="C221" s="168"/>
      <c r="D221" s="147"/>
      <c r="E221" s="145"/>
      <c r="F221" s="145">
        <f t="shared" si="50"/>
        <v>17275998.307692308</v>
      </c>
      <c r="G221" s="773">
        <f t="shared" si="51"/>
        <v>17275998.307692312</v>
      </c>
      <c r="H221" s="145">
        <f t="shared" si="53"/>
        <v>57285</v>
      </c>
      <c r="I221" s="772">
        <f t="shared" si="48"/>
        <v>-8775819.1584615372</v>
      </c>
      <c r="J221" s="773">
        <f t="shared" si="52"/>
        <v>-8432109.1584615391</v>
      </c>
      <c r="K221" s="774">
        <f t="shared" si="42"/>
        <v>8500179.1492307708</v>
      </c>
      <c r="L221" s="773">
        <f t="shared" si="40"/>
        <v>-2975062.7022307697</v>
      </c>
      <c r="M221" s="773">
        <f t="shared" si="44"/>
        <v>-20049.75</v>
      </c>
      <c r="N221" s="777"/>
      <c r="O221" s="773">
        <f t="shared" si="41"/>
        <v>0</v>
      </c>
      <c r="P221" s="777">
        <f t="shared" si="49"/>
        <v>8500179.1492307708</v>
      </c>
      <c r="Q221" s="776"/>
      <c r="R221" s="776"/>
      <c r="S221" s="776"/>
      <c r="T221" s="776"/>
      <c r="U221" s="777">
        <f t="shared" si="43"/>
        <v>-2975062.6247564103</v>
      </c>
      <c r="V221" s="773">
        <f t="shared" si="45"/>
        <v>-3095361.1247564103</v>
      </c>
      <c r="W221" s="778">
        <f t="shared" si="46"/>
        <v>5748528.0244743619</v>
      </c>
      <c r="X221" s="336">
        <f t="shared" si="47"/>
        <v>5525116.52447436</v>
      </c>
      <c r="Z221" s="797"/>
    </row>
    <row r="222" spans="1:26" hidden="1" outlineLevel="1">
      <c r="A222" s="168"/>
      <c r="B222" s="29" t="s">
        <v>386</v>
      </c>
      <c r="C222" s="168"/>
      <c r="D222" s="147"/>
      <c r="E222" s="145"/>
      <c r="F222" s="145">
        <f t="shared" si="50"/>
        <v>17275998.307692308</v>
      </c>
      <c r="G222" s="773">
        <f t="shared" si="51"/>
        <v>17275998.307692312</v>
      </c>
      <c r="H222" s="145">
        <f t="shared" si="53"/>
        <v>57285</v>
      </c>
      <c r="I222" s="772">
        <f t="shared" si="48"/>
        <v>-8833104.1584615372</v>
      </c>
      <c r="J222" s="773">
        <f t="shared" si="52"/>
        <v>-8489394.1584615391</v>
      </c>
      <c r="K222" s="774">
        <f t="shared" si="42"/>
        <v>8442894.1492307708</v>
      </c>
      <c r="L222" s="773">
        <f t="shared" ref="L222:L285" si="54">-K222*35%</f>
        <v>-2955012.9522307697</v>
      </c>
      <c r="M222" s="773">
        <f t="shared" si="44"/>
        <v>-20049.75</v>
      </c>
      <c r="N222" s="777"/>
      <c r="O222" s="773">
        <f t="shared" si="41"/>
        <v>0</v>
      </c>
      <c r="P222" s="777">
        <f t="shared" si="49"/>
        <v>8442894.1492307708</v>
      </c>
      <c r="Q222" s="776"/>
      <c r="R222" s="776"/>
      <c r="S222" s="776"/>
      <c r="T222" s="776"/>
      <c r="U222" s="777">
        <f t="shared" si="43"/>
        <v>-2955012.8747564103</v>
      </c>
      <c r="V222" s="773">
        <f t="shared" si="45"/>
        <v>-3075311.3747564103</v>
      </c>
      <c r="W222" s="778">
        <f t="shared" si="46"/>
        <v>5711292.7744743619</v>
      </c>
      <c r="X222" s="336">
        <f t="shared" si="47"/>
        <v>5487881.27447436</v>
      </c>
      <c r="Z222" s="797"/>
    </row>
    <row r="223" spans="1:26" hidden="1" outlineLevel="1">
      <c r="A223" s="168"/>
      <c r="B223" s="29" t="s">
        <v>387</v>
      </c>
      <c r="C223" s="168"/>
      <c r="D223" s="147"/>
      <c r="E223" s="145"/>
      <c r="F223" s="145">
        <f t="shared" si="50"/>
        <v>17275998.307692308</v>
      </c>
      <c r="G223" s="773">
        <f t="shared" si="51"/>
        <v>17275998.307692312</v>
      </c>
      <c r="H223" s="145">
        <f t="shared" si="53"/>
        <v>57285</v>
      </c>
      <c r="I223" s="772">
        <f t="shared" si="48"/>
        <v>-8890389.1584615372</v>
      </c>
      <c r="J223" s="773">
        <f t="shared" si="52"/>
        <v>-8546679.1584615391</v>
      </c>
      <c r="K223" s="774">
        <f t="shared" si="42"/>
        <v>8385609.1492307708</v>
      </c>
      <c r="L223" s="773">
        <f t="shared" si="54"/>
        <v>-2934963.2022307697</v>
      </c>
      <c r="M223" s="773">
        <f t="shared" si="44"/>
        <v>-20049.75</v>
      </c>
      <c r="N223" s="777"/>
      <c r="O223" s="773">
        <f t="shared" si="41"/>
        <v>0</v>
      </c>
      <c r="P223" s="777">
        <f t="shared" si="49"/>
        <v>8385609.1492307708</v>
      </c>
      <c r="Q223" s="776"/>
      <c r="R223" s="776"/>
      <c r="S223" s="776"/>
      <c r="T223" s="776"/>
      <c r="U223" s="777">
        <f t="shared" si="43"/>
        <v>-2934963.1247564103</v>
      </c>
      <c r="V223" s="773">
        <f t="shared" si="45"/>
        <v>-3055261.6247564103</v>
      </c>
      <c r="W223" s="778">
        <f t="shared" si="46"/>
        <v>5674057.5244743619</v>
      </c>
      <c r="Z223" s="797"/>
    </row>
    <row r="224" spans="1:26" hidden="1" outlineLevel="1">
      <c r="A224" s="168"/>
      <c r="B224" s="29" t="s">
        <v>388</v>
      </c>
      <c r="C224" s="168"/>
      <c r="D224" s="147"/>
      <c r="E224" s="145"/>
      <c r="F224" s="145">
        <f t="shared" si="50"/>
        <v>17275998.307692308</v>
      </c>
      <c r="G224" s="773">
        <f t="shared" si="51"/>
        <v>17275998.307692312</v>
      </c>
      <c r="H224" s="145">
        <f t="shared" si="53"/>
        <v>57285</v>
      </c>
      <c r="I224" s="772">
        <f t="shared" si="48"/>
        <v>-8947674.1584615372</v>
      </c>
      <c r="J224" s="773">
        <f t="shared" si="52"/>
        <v>-8603964.1584615391</v>
      </c>
      <c r="K224" s="774">
        <f t="shared" si="42"/>
        <v>8328324.1492307708</v>
      </c>
      <c r="L224" s="773">
        <f t="shared" si="54"/>
        <v>-2914913.4522307697</v>
      </c>
      <c r="M224" s="773">
        <f t="shared" si="44"/>
        <v>-20049.75</v>
      </c>
      <c r="N224" s="777"/>
      <c r="O224" s="773">
        <f t="shared" si="41"/>
        <v>0</v>
      </c>
      <c r="P224" s="777">
        <f t="shared" si="49"/>
        <v>8328324.1492307708</v>
      </c>
      <c r="Q224" s="776"/>
      <c r="R224" s="776"/>
      <c r="S224" s="776"/>
      <c r="T224" s="776"/>
      <c r="U224" s="777">
        <f t="shared" si="43"/>
        <v>-2914913.3747564103</v>
      </c>
      <c r="V224" s="773">
        <f t="shared" si="45"/>
        <v>-3035211.8747564103</v>
      </c>
      <c r="W224" s="778">
        <f t="shared" si="46"/>
        <v>5636822.2744743619</v>
      </c>
      <c r="Z224" s="797"/>
    </row>
    <row r="225" spans="1:26" hidden="1" outlineLevel="1">
      <c r="A225" s="168"/>
      <c r="B225" s="29" t="s">
        <v>389</v>
      </c>
      <c r="C225" s="168"/>
      <c r="D225" s="147"/>
      <c r="E225" s="145"/>
      <c r="F225" s="145">
        <f t="shared" si="50"/>
        <v>17275998.307692308</v>
      </c>
      <c r="G225" s="773">
        <f t="shared" si="51"/>
        <v>17275998.307692312</v>
      </c>
      <c r="H225" s="145">
        <f t="shared" si="53"/>
        <v>57285</v>
      </c>
      <c r="I225" s="772">
        <f t="shared" si="48"/>
        <v>-9004959.1584615372</v>
      </c>
      <c r="J225" s="773">
        <f t="shared" si="52"/>
        <v>-8661249.1584615391</v>
      </c>
      <c r="K225" s="774">
        <f t="shared" si="42"/>
        <v>8271039.1492307708</v>
      </c>
      <c r="L225" s="773">
        <f t="shared" si="54"/>
        <v>-2894863.7022307697</v>
      </c>
      <c r="M225" s="773">
        <f t="shared" si="44"/>
        <v>-20049.75</v>
      </c>
      <c r="N225" s="777"/>
      <c r="O225" s="773">
        <f t="shared" si="41"/>
        <v>0</v>
      </c>
      <c r="P225" s="777">
        <f t="shared" si="49"/>
        <v>8271039.1492307708</v>
      </c>
      <c r="Q225" s="776"/>
      <c r="R225" s="776"/>
      <c r="S225" s="776"/>
      <c r="T225" s="776"/>
      <c r="U225" s="777">
        <f t="shared" si="43"/>
        <v>-2894863.6247564103</v>
      </c>
      <c r="V225" s="773">
        <f t="shared" si="45"/>
        <v>-3015162.1247564103</v>
      </c>
      <c r="W225" s="778">
        <f t="shared" si="46"/>
        <v>5599587.0244743619</v>
      </c>
      <c r="Z225" s="797"/>
    </row>
    <row r="226" spans="1:26" hidden="1" outlineLevel="1">
      <c r="A226" s="168"/>
      <c r="B226" s="29" t="s">
        <v>390</v>
      </c>
      <c r="C226" s="168"/>
      <c r="D226" s="147"/>
      <c r="E226" s="145"/>
      <c r="F226" s="145">
        <f t="shared" si="50"/>
        <v>17275998.307692308</v>
      </c>
      <c r="G226" s="773">
        <f t="shared" si="51"/>
        <v>17275998.307692312</v>
      </c>
      <c r="H226" s="145">
        <f t="shared" si="53"/>
        <v>57285</v>
      </c>
      <c r="I226" s="772">
        <f t="shared" si="48"/>
        <v>-9062244.1584615372</v>
      </c>
      <c r="J226" s="773">
        <f t="shared" si="52"/>
        <v>-8718534.1584615391</v>
      </c>
      <c r="K226" s="774">
        <f t="shared" si="42"/>
        <v>8213754.1492307708</v>
      </c>
      <c r="L226" s="773">
        <f t="shared" si="54"/>
        <v>-2874813.9522307697</v>
      </c>
      <c r="M226" s="773">
        <f t="shared" si="44"/>
        <v>-20049.75</v>
      </c>
      <c r="N226" s="777"/>
      <c r="O226" s="773">
        <f t="shared" si="41"/>
        <v>0</v>
      </c>
      <c r="P226" s="777">
        <f t="shared" si="49"/>
        <v>8213754.1492307708</v>
      </c>
      <c r="Q226" s="776"/>
      <c r="R226" s="776"/>
      <c r="S226" s="776"/>
      <c r="T226" s="776"/>
      <c r="U226" s="777">
        <f t="shared" si="43"/>
        <v>-2874813.8747564103</v>
      </c>
      <c r="V226" s="773">
        <f t="shared" si="45"/>
        <v>-2995112.3747564103</v>
      </c>
      <c r="W226" s="778">
        <f t="shared" si="46"/>
        <v>5562351.7744743619</v>
      </c>
      <c r="Z226" s="797"/>
    </row>
    <row r="227" spans="1:26" hidden="1" outlineLevel="1">
      <c r="A227" s="168"/>
      <c r="B227" s="29" t="s">
        <v>391</v>
      </c>
      <c r="C227" s="168"/>
      <c r="D227" s="147"/>
      <c r="E227" s="145"/>
      <c r="F227" s="145">
        <f t="shared" si="50"/>
        <v>17275998.307692308</v>
      </c>
      <c r="G227" s="773">
        <f t="shared" si="51"/>
        <v>17275998.307692312</v>
      </c>
      <c r="H227" s="145">
        <f t="shared" si="53"/>
        <v>57285</v>
      </c>
      <c r="I227" s="772">
        <f t="shared" si="48"/>
        <v>-9119529.1584615372</v>
      </c>
      <c r="J227" s="773">
        <f t="shared" si="52"/>
        <v>-8775819.1584615391</v>
      </c>
      <c r="K227" s="774">
        <f t="shared" si="42"/>
        <v>8156469.1492307708</v>
      </c>
      <c r="L227" s="773">
        <f t="shared" si="54"/>
        <v>-2854764.2022307697</v>
      </c>
      <c r="M227" s="773">
        <f t="shared" si="44"/>
        <v>-20049.75</v>
      </c>
      <c r="N227" s="777"/>
      <c r="O227" s="773">
        <f t="shared" si="41"/>
        <v>0</v>
      </c>
      <c r="P227" s="777">
        <f t="shared" si="49"/>
        <v>8156469.1492307708</v>
      </c>
      <c r="Q227" s="776"/>
      <c r="R227" s="776"/>
      <c r="S227" s="776"/>
      <c r="T227" s="776"/>
      <c r="U227" s="777">
        <f t="shared" si="43"/>
        <v>-2854764.1247564103</v>
      </c>
      <c r="V227" s="773">
        <f t="shared" si="45"/>
        <v>-2975062.6247564103</v>
      </c>
      <c r="W227" s="778">
        <f t="shared" si="46"/>
        <v>5525116.5244743619</v>
      </c>
      <c r="Z227" s="797"/>
    </row>
    <row r="228" spans="1:26" hidden="1" outlineLevel="1">
      <c r="A228" s="168"/>
      <c r="B228" s="29" t="s">
        <v>392</v>
      </c>
      <c r="C228" s="168"/>
      <c r="D228" s="147"/>
      <c r="E228" s="145"/>
      <c r="F228" s="145">
        <f t="shared" si="50"/>
        <v>17275998.307692308</v>
      </c>
      <c r="G228" s="773">
        <f t="shared" si="51"/>
        <v>17275998.307692312</v>
      </c>
      <c r="H228" s="145">
        <f t="shared" si="53"/>
        <v>57285</v>
      </c>
      <c r="I228" s="772">
        <f t="shared" si="48"/>
        <v>-9176814.1584615372</v>
      </c>
      <c r="J228" s="773">
        <f t="shared" si="52"/>
        <v>-8833104.1584615391</v>
      </c>
      <c r="K228" s="774">
        <f t="shared" si="42"/>
        <v>8099184.1492307708</v>
      </c>
      <c r="L228" s="773">
        <f t="shared" si="54"/>
        <v>-2834714.4522307697</v>
      </c>
      <c r="M228" s="773">
        <f t="shared" si="44"/>
        <v>-20049.75</v>
      </c>
      <c r="N228" s="777"/>
      <c r="O228" s="773">
        <f t="shared" ref="O228:O291" si="55">(N216+N228+SUM(N217:N227)*2)/24</f>
        <v>0</v>
      </c>
      <c r="P228" s="777">
        <f t="shared" si="49"/>
        <v>8099184.1492307708</v>
      </c>
      <c r="Q228" s="776"/>
      <c r="R228" s="776"/>
      <c r="S228" s="776"/>
      <c r="T228" s="776"/>
      <c r="U228" s="777">
        <f t="shared" si="43"/>
        <v>-2834714.3747564103</v>
      </c>
      <c r="V228" s="773">
        <f t="shared" si="45"/>
        <v>-2955012.8747564103</v>
      </c>
      <c r="W228" s="778">
        <f t="shared" si="46"/>
        <v>5487881.2744743619</v>
      </c>
      <c r="Z228" s="797"/>
    </row>
    <row r="229" spans="1:26" hidden="1" outlineLevel="1">
      <c r="A229" s="168"/>
      <c r="B229" s="29" t="s">
        <v>393</v>
      </c>
      <c r="C229" s="168"/>
      <c r="D229" s="147"/>
      <c r="E229" s="145"/>
      <c r="F229" s="145">
        <f t="shared" si="50"/>
        <v>17275998.307692308</v>
      </c>
      <c r="G229" s="773">
        <f t="shared" si="51"/>
        <v>17275998.307692312</v>
      </c>
      <c r="H229" s="145">
        <f t="shared" si="53"/>
        <v>57285</v>
      </c>
      <c r="I229" s="772">
        <f t="shared" si="48"/>
        <v>-9234099.1584615372</v>
      </c>
      <c r="J229" s="773">
        <f t="shared" si="52"/>
        <v>-8890389.1584615391</v>
      </c>
      <c r="K229" s="774">
        <f t="shared" si="42"/>
        <v>8041899.1492307708</v>
      </c>
      <c r="L229" s="773">
        <f t="shared" si="54"/>
        <v>-2814664.7022307697</v>
      </c>
      <c r="M229" s="773">
        <f t="shared" si="44"/>
        <v>-20049.75</v>
      </c>
      <c r="N229" s="777"/>
      <c r="O229" s="773">
        <f t="shared" si="55"/>
        <v>0</v>
      </c>
      <c r="P229" s="777">
        <f t="shared" si="49"/>
        <v>8041899.1492307708</v>
      </c>
      <c r="Q229" s="776"/>
      <c r="R229" s="776"/>
      <c r="S229" s="776"/>
      <c r="T229" s="776"/>
      <c r="U229" s="777">
        <f t="shared" si="43"/>
        <v>-2814664.6247564103</v>
      </c>
      <c r="V229" s="773">
        <f t="shared" si="45"/>
        <v>-2934963.1247564103</v>
      </c>
      <c r="W229" s="778">
        <f t="shared" si="46"/>
        <v>5450646.0244743619</v>
      </c>
      <c r="Z229" s="797"/>
    </row>
    <row r="230" spans="1:26" hidden="1" outlineLevel="1">
      <c r="A230" s="168"/>
      <c r="B230" s="29" t="s">
        <v>394</v>
      </c>
      <c r="C230" s="168"/>
      <c r="D230" s="147"/>
      <c r="E230" s="145"/>
      <c r="F230" s="145">
        <f t="shared" si="50"/>
        <v>17275998.307692308</v>
      </c>
      <c r="G230" s="773">
        <f t="shared" si="51"/>
        <v>17275998.307692312</v>
      </c>
      <c r="H230" s="145">
        <f t="shared" si="53"/>
        <v>57285</v>
      </c>
      <c r="I230" s="772">
        <f t="shared" si="48"/>
        <v>-9291384.1584615372</v>
      </c>
      <c r="J230" s="773">
        <f t="shared" si="52"/>
        <v>-8947674.1584615391</v>
      </c>
      <c r="K230" s="774">
        <f t="shared" si="42"/>
        <v>7984614.1492307708</v>
      </c>
      <c r="L230" s="773">
        <f t="shared" si="54"/>
        <v>-2794614.9522307697</v>
      </c>
      <c r="M230" s="773">
        <f t="shared" si="44"/>
        <v>-20049.75</v>
      </c>
      <c r="N230" s="777"/>
      <c r="O230" s="773">
        <f t="shared" si="55"/>
        <v>0</v>
      </c>
      <c r="P230" s="777">
        <f t="shared" si="49"/>
        <v>7984614.1492307708</v>
      </c>
      <c r="Q230" s="776"/>
      <c r="R230" s="776"/>
      <c r="S230" s="776"/>
      <c r="T230" s="776"/>
      <c r="U230" s="777">
        <f t="shared" si="43"/>
        <v>-2794614.8747564103</v>
      </c>
      <c r="V230" s="773">
        <f t="shared" si="45"/>
        <v>-2914913.3747564103</v>
      </c>
      <c r="W230" s="778">
        <f t="shared" si="46"/>
        <v>5413410.7744743619</v>
      </c>
      <c r="Z230" s="797"/>
    </row>
    <row r="231" spans="1:26" hidden="1" outlineLevel="1">
      <c r="A231" s="168"/>
      <c r="B231" s="29" t="s">
        <v>395</v>
      </c>
      <c r="C231" s="168"/>
      <c r="D231" s="147"/>
      <c r="E231" s="145"/>
      <c r="F231" s="145">
        <f t="shared" si="50"/>
        <v>17275998.307692308</v>
      </c>
      <c r="G231" s="773">
        <f t="shared" si="51"/>
        <v>17275998.307692312</v>
      </c>
      <c r="H231" s="145">
        <f t="shared" si="53"/>
        <v>57285</v>
      </c>
      <c r="I231" s="772">
        <f t="shared" si="48"/>
        <v>-9348669.1584615372</v>
      </c>
      <c r="J231" s="773">
        <f t="shared" si="52"/>
        <v>-9004959.1584615391</v>
      </c>
      <c r="K231" s="774">
        <f t="shared" si="42"/>
        <v>7927329.1492307708</v>
      </c>
      <c r="L231" s="773">
        <f t="shared" si="54"/>
        <v>-2774565.2022307697</v>
      </c>
      <c r="M231" s="773">
        <f t="shared" si="44"/>
        <v>-20049.75</v>
      </c>
      <c r="N231" s="777"/>
      <c r="O231" s="773">
        <f t="shared" si="55"/>
        <v>0</v>
      </c>
      <c r="P231" s="777">
        <f t="shared" si="49"/>
        <v>7927329.1492307708</v>
      </c>
      <c r="Q231" s="776"/>
      <c r="R231" s="776"/>
      <c r="S231" s="776"/>
      <c r="T231" s="776"/>
      <c r="U231" s="777">
        <f t="shared" si="43"/>
        <v>-2774565.1247564103</v>
      </c>
      <c r="V231" s="773">
        <f t="shared" si="45"/>
        <v>-2894863.6247564103</v>
      </c>
      <c r="W231" s="778">
        <f t="shared" si="46"/>
        <v>5376175.5244743619</v>
      </c>
      <c r="Z231" s="797"/>
    </row>
    <row r="232" spans="1:26" hidden="1" outlineLevel="1">
      <c r="A232" s="168"/>
      <c r="B232" s="29" t="s">
        <v>396</v>
      </c>
      <c r="C232" s="168"/>
      <c r="D232" s="147"/>
      <c r="E232" s="145"/>
      <c r="F232" s="145">
        <f t="shared" si="50"/>
        <v>17275998.307692308</v>
      </c>
      <c r="G232" s="773">
        <f t="shared" si="51"/>
        <v>17275998.307692312</v>
      </c>
      <c r="H232" s="145">
        <f t="shared" si="53"/>
        <v>57285</v>
      </c>
      <c r="I232" s="772">
        <f t="shared" si="48"/>
        <v>-9405954.1584615372</v>
      </c>
      <c r="J232" s="773">
        <f t="shared" si="52"/>
        <v>-9062244.1584615391</v>
      </c>
      <c r="K232" s="774">
        <f t="shared" si="42"/>
        <v>7870044.1492307708</v>
      </c>
      <c r="L232" s="773">
        <f t="shared" si="54"/>
        <v>-2754515.4522307697</v>
      </c>
      <c r="M232" s="773">
        <f t="shared" si="44"/>
        <v>-20049.75</v>
      </c>
      <c r="N232" s="777"/>
      <c r="O232" s="773">
        <f t="shared" si="55"/>
        <v>0</v>
      </c>
      <c r="P232" s="777">
        <f t="shared" si="49"/>
        <v>7870044.1492307708</v>
      </c>
      <c r="Q232" s="776"/>
      <c r="R232" s="776"/>
      <c r="S232" s="776"/>
      <c r="T232" s="776"/>
      <c r="U232" s="777">
        <f t="shared" si="43"/>
        <v>-2754515.3747564103</v>
      </c>
      <c r="V232" s="773">
        <f t="shared" si="45"/>
        <v>-2874813.8747564103</v>
      </c>
      <c r="W232" s="778">
        <f t="shared" si="46"/>
        <v>5338940.2744743619</v>
      </c>
      <c r="Z232" s="797"/>
    </row>
    <row r="233" spans="1:26" hidden="1" outlineLevel="1">
      <c r="A233" s="168"/>
      <c r="B233" s="29" t="s">
        <v>397</v>
      </c>
      <c r="C233" s="168"/>
      <c r="D233" s="147"/>
      <c r="E233" s="145"/>
      <c r="F233" s="145">
        <f t="shared" si="50"/>
        <v>17275998.307692308</v>
      </c>
      <c r="G233" s="773">
        <f t="shared" si="51"/>
        <v>17275998.307692312</v>
      </c>
      <c r="H233" s="145">
        <f t="shared" si="53"/>
        <v>57285</v>
      </c>
      <c r="I233" s="772">
        <f t="shared" si="48"/>
        <v>-9463239.1584615372</v>
      </c>
      <c r="J233" s="773">
        <f t="shared" si="52"/>
        <v>-9119529.1584615391</v>
      </c>
      <c r="K233" s="774">
        <f t="shared" si="42"/>
        <v>7812759.1492307708</v>
      </c>
      <c r="L233" s="773">
        <f t="shared" si="54"/>
        <v>-2734465.7022307697</v>
      </c>
      <c r="M233" s="773">
        <f t="shared" si="44"/>
        <v>-20049.75</v>
      </c>
      <c r="N233" s="777"/>
      <c r="O233" s="773">
        <f t="shared" si="55"/>
        <v>0</v>
      </c>
      <c r="P233" s="777">
        <f t="shared" si="49"/>
        <v>7812759.1492307708</v>
      </c>
      <c r="Q233" s="776"/>
      <c r="R233" s="776"/>
      <c r="S233" s="776"/>
      <c r="T233" s="776"/>
      <c r="U233" s="777">
        <f t="shared" si="43"/>
        <v>-2734465.6247564103</v>
      </c>
      <c r="V233" s="773">
        <f t="shared" si="45"/>
        <v>-2854764.1247564103</v>
      </c>
      <c r="W233" s="778">
        <f t="shared" si="46"/>
        <v>5301705.0244743619</v>
      </c>
      <c r="Z233" s="797"/>
    </row>
    <row r="234" spans="1:26" hidden="1" outlineLevel="1">
      <c r="A234" s="168"/>
      <c r="B234" s="29" t="s">
        <v>398</v>
      </c>
      <c r="C234" s="168"/>
      <c r="D234" s="147"/>
      <c r="E234" s="145"/>
      <c r="F234" s="145">
        <f t="shared" si="50"/>
        <v>17275998.307692308</v>
      </c>
      <c r="G234" s="773">
        <f t="shared" si="51"/>
        <v>17275998.307692312</v>
      </c>
      <c r="H234" s="145">
        <f t="shared" si="53"/>
        <v>57285</v>
      </c>
      <c r="I234" s="772">
        <f t="shared" si="48"/>
        <v>-9520524.1584615372</v>
      </c>
      <c r="J234" s="773">
        <f t="shared" si="52"/>
        <v>-9176814.1584615391</v>
      </c>
      <c r="K234" s="774">
        <f t="shared" si="42"/>
        <v>7755474.1492307708</v>
      </c>
      <c r="L234" s="773">
        <f t="shared" si="54"/>
        <v>-2714415.9522307697</v>
      </c>
      <c r="M234" s="773">
        <f t="shared" si="44"/>
        <v>-20049.75</v>
      </c>
      <c r="N234" s="777"/>
      <c r="O234" s="773">
        <f t="shared" si="55"/>
        <v>0</v>
      </c>
      <c r="P234" s="777">
        <f t="shared" si="49"/>
        <v>7755474.1492307708</v>
      </c>
      <c r="Q234" s="776"/>
      <c r="R234" s="776"/>
      <c r="S234" s="776"/>
      <c r="T234" s="776"/>
      <c r="U234" s="777">
        <f t="shared" si="43"/>
        <v>-2714415.8747564103</v>
      </c>
      <c r="V234" s="773">
        <f t="shared" si="45"/>
        <v>-2834714.3747564103</v>
      </c>
      <c r="W234" s="778">
        <f t="shared" si="46"/>
        <v>5264469.7744743619</v>
      </c>
      <c r="Z234" s="797"/>
    </row>
    <row r="235" spans="1:26" hidden="1" outlineLevel="1">
      <c r="A235" s="168"/>
      <c r="B235" s="29" t="s">
        <v>399</v>
      </c>
      <c r="C235" s="168"/>
      <c r="D235" s="147"/>
      <c r="E235" s="145"/>
      <c r="F235" s="145">
        <f t="shared" si="50"/>
        <v>17275998.307692308</v>
      </c>
      <c r="G235" s="773">
        <f t="shared" si="51"/>
        <v>17275998.307692312</v>
      </c>
      <c r="H235" s="145">
        <f t="shared" si="53"/>
        <v>57285</v>
      </c>
      <c r="I235" s="772">
        <f t="shared" si="48"/>
        <v>-9577809.1584615372</v>
      </c>
      <c r="J235" s="773">
        <f t="shared" si="52"/>
        <v>-9234099.1584615391</v>
      </c>
      <c r="K235" s="774">
        <f t="shared" si="42"/>
        <v>7698189.1492307708</v>
      </c>
      <c r="L235" s="773">
        <f t="shared" si="54"/>
        <v>-2694366.2022307697</v>
      </c>
      <c r="M235" s="773">
        <f t="shared" si="44"/>
        <v>-20049.75</v>
      </c>
      <c r="N235" s="777"/>
      <c r="O235" s="773">
        <f t="shared" si="55"/>
        <v>0</v>
      </c>
      <c r="P235" s="777">
        <f t="shared" si="49"/>
        <v>7698189.1492307708</v>
      </c>
      <c r="Q235" s="776"/>
      <c r="R235" s="776"/>
      <c r="S235" s="776"/>
      <c r="T235" s="776"/>
      <c r="U235" s="777">
        <f t="shared" si="43"/>
        <v>-2694366.1247564103</v>
      </c>
      <c r="V235" s="773">
        <f t="shared" si="45"/>
        <v>-2814664.6247564103</v>
      </c>
      <c r="W235" s="778">
        <f t="shared" si="46"/>
        <v>5227234.5244743619</v>
      </c>
      <c r="Z235" s="797"/>
    </row>
    <row r="236" spans="1:26" hidden="1" outlineLevel="1">
      <c r="A236" s="168"/>
      <c r="B236" s="29" t="s">
        <v>400</v>
      </c>
      <c r="C236" s="168"/>
      <c r="D236" s="147"/>
      <c r="E236" s="145"/>
      <c r="F236" s="145">
        <f t="shared" si="50"/>
        <v>17275998.307692308</v>
      </c>
      <c r="G236" s="773">
        <f t="shared" si="51"/>
        <v>17275998.307692312</v>
      </c>
      <c r="H236" s="145">
        <f t="shared" si="53"/>
        <v>57285</v>
      </c>
      <c r="I236" s="772">
        <f t="shared" si="48"/>
        <v>-9635094.1584615372</v>
      </c>
      <c r="J236" s="773">
        <f t="shared" si="52"/>
        <v>-9291384.1584615391</v>
      </c>
      <c r="K236" s="774">
        <f t="shared" si="42"/>
        <v>7640904.1492307708</v>
      </c>
      <c r="L236" s="773">
        <f t="shared" si="54"/>
        <v>-2674316.4522307697</v>
      </c>
      <c r="M236" s="773">
        <f t="shared" si="44"/>
        <v>-20049.75</v>
      </c>
      <c r="N236" s="777"/>
      <c r="O236" s="773">
        <f t="shared" si="55"/>
        <v>0</v>
      </c>
      <c r="P236" s="777">
        <f t="shared" si="49"/>
        <v>7640904.1492307708</v>
      </c>
      <c r="Q236" s="776"/>
      <c r="R236" s="776"/>
      <c r="S236" s="776"/>
      <c r="T236" s="776"/>
      <c r="U236" s="777">
        <f t="shared" si="43"/>
        <v>-2674316.3747564103</v>
      </c>
      <c r="V236" s="773">
        <f t="shared" si="45"/>
        <v>-2794614.8747564103</v>
      </c>
      <c r="W236" s="778">
        <f t="shared" si="46"/>
        <v>5189999.2744743619</v>
      </c>
      <c r="Z236" s="797"/>
    </row>
    <row r="237" spans="1:26" hidden="1" outlineLevel="1">
      <c r="A237" s="168"/>
      <c r="B237" s="29" t="s">
        <v>401</v>
      </c>
      <c r="C237" s="168"/>
      <c r="D237" s="147"/>
      <c r="E237" s="145"/>
      <c r="F237" s="145">
        <f t="shared" si="50"/>
        <v>17275998.307692308</v>
      </c>
      <c r="G237" s="773">
        <f t="shared" si="51"/>
        <v>17275998.307692312</v>
      </c>
      <c r="H237" s="145">
        <f t="shared" si="53"/>
        <v>57285</v>
      </c>
      <c r="I237" s="772">
        <f t="shared" si="48"/>
        <v>-9692379.1584615372</v>
      </c>
      <c r="J237" s="773">
        <f t="shared" si="52"/>
        <v>-9348669.1584615391</v>
      </c>
      <c r="K237" s="774">
        <f t="shared" si="42"/>
        <v>7583619.1492307708</v>
      </c>
      <c r="L237" s="773">
        <f t="shared" si="54"/>
        <v>-2654266.7022307697</v>
      </c>
      <c r="M237" s="773">
        <f t="shared" si="44"/>
        <v>-20049.75</v>
      </c>
      <c r="N237" s="777"/>
      <c r="O237" s="773">
        <f t="shared" si="55"/>
        <v>0</v>
      </c>
      <c r="P237" s="777">
        <f t="shared" si="49"/>
        <v>7583619.1492307708</v>
      </c>
      <c r="Q237" s="776"/>
      <c r="R237" s="776"/>
      <c r="S237" s="776"/>
      <c r="T237" s="776"/>
      <c r="U237" s="777">
        <f t="shared" si="43"/>
        <v>-2654266.6247564103</v>
      </c>
      <c r="V237" s="773">
        <f t="shared" si="45"/>
        <v>-2774565.1247564103</v>
      </c>
      <c r="W237" s="778">
        <f t="shared" si="46"/>
        <v>5152764.0244743619</v>
      </c>
      <c r="Z237" s="797"/>
    </row>
    <row r="238" spans="1:26" hidden="1" outlineLevel="1">
      <c r="A238" s="168"/>
      <c r="B238" s="29" t="s">
        <v>402</v>
      </c>
      <c r="C238" s="168"/>
      <c r="D238" s="147"/>
      <c r="E238" s="145"/>
      <c r="F238" s="145">
        <f t="shared" si="50"/>
        <v>17275998.307692308</v>
      </c>
      <c r="G238" s="773">
        <f t="shared" si="51"/>
        <v>17275998.307692312</v>
      </c>
      <c r="H238" s="145">
        <f t="shared" si="53"/>
        <v>57285</v>
      </c>
      <c r="I238" s="772">
        <f>I237-H238</f>
        <v>-9749664.1584615372</v>
      </c>
      <c r="J238" s="773">
        <f t="shared" si="52"/>
        <v>-9405954.1584615391</v>
      </c>
      <c r="K238" s="774">
        <f t="shared" si="42"/>
        <v>7526334.1492307708</v>
      </c>
      <c r="L238" s="773">
        <f t="shared" si="54"/>
        <v>-2634216.9522307697</v>
      </c>
      <c r="M238" s="773">
        <f t="shared" si="44"/>
        <v>-20049.75</v>
      </c>
      <c r="N238" s="777"/>
      <c r="O238" s="773">
        <f t="shared" si="55"/>
        <v>0</v>
      </c>
      <c r="P238" s="777">
        <f t="shared" si="49"/>
        <v>7526334.1492307708</v>
      </c>
      <c r="Q238" s="776"/>
      <c r="R238" s="776"/>
      <c r="S238" s="776"/>
      <c r="T238" s="776"/>
      <c r="U238" s="777">
        <f t="shared" si="43"/>
        <v>-2634216.8747564103</v>
      </c>
      <c r="V238" s="773">
        <f t="shared" si="45"/>
        <v>-2754515.3747564103</v>
      </c>
      <c r="W238" s="778">
        <f t="shared" si="46"/>
        <v>5115528.7744743619</v>
      </c>
      <c r="Z238" s="797"/>
    </row>
    <row r="239" spans="1:26" hidden="1" outlineLevel="1">
      <c r="A239" s="168"/>
      <c r="B239" s="29" t="s">
        <v>403</v>
      </c>
      <c r="C239" s="168"/>
      <c r="D239" s="147"/>
      <c r="E239" s="145"/>
      <c r="F239" s="145">
        <f t="shared" si="50"/>
        <v>17275998.307692308</v>
      </c>
      <c r="G239" s="773">
        <f t="shared" si="51"/>
        <v>17275998.307692312</v>
      </c>
      <c r="H239" s="145">
        <f t="shared" si="53"/>
        <v>57285</v>
      </c>
      <c r="I239" s="772">
        <f t="shared" si="48"/>
        <v>-9806949.1584615372</v>
      </c>
      <c r="J239" s="773">
        <f t="shared" si="52"/>
        <v>-9463239.1584615391</v>
      </c>
      <c r="K239" s="774">
        <f t="shared" si="42"/>
        <v>7469049.1492307708</v>
      </c>
      <c r="L239" s="773">
        <f t="shared" si="54"/>
        <v>-2614167.2022307697</v>
      </c>
      <c r="M239" s="773">
        <f t="shared" si="44"/>
        <v>-20049.75</v>
      </c>
      <c r="N239" s="777"/>
      <c r="O239" s="773">
        <f t="shared" si="55"/>
        <v>0</v>
      </c>
      <c r="P239" s="777">
        <f t="shared" si="49"/>
        <v>7469049.1492307708</v>
      </c>
      <c r="Q239" s="776"/>
      <c r="R239" s="776"/>
      <c r="S239" s="776"/>
      <c r="T239" s="776"/>
      <c r="U239" s="777">
        <f t="shared" si="43"/>
        <v>-2614167.1247564103</v>
      </c>
      <c r="V239" s="773">
        <f t="shared" si="45"/>
        <v>-2734465.6247564103</v>
      </c>
      <c r="W239" s="778">
        <f t="shared" si="46"/>
        <v>5078293.5244743619</v>
      </c>
      <c r="Z239" s="797"/>
    </row>
    <row r="240" spans="1:26" hidden="1" outlineLevel="1">
      <c r="A240" s="168"/>
      <c r="B240" s="29" t="s">
        <v>404</v>
      </c>
      <c r="C240" s="168"/>
      <c r="D240" s="147"/>
      <c r="E240" s="145"/>
      <c r="F240" s="145">
        <f t="shared" si="50"/>
        <v>17275998.307692308</v>
      </c>
      <c r="G240" s="773">
        <f t="shared" si="51"/>
        <v>17275998.307692312</v>
      </c>
      <c r="H240" s="145">
        <f t="shared" si="53"/>
        <v>57285</v>
      </c>
      <c r="I240" s="772">
        <f t="shared" si="48"/>
        <v>-9864234.1584615372</v>
      </c>
      <c r="J240" s="773">
        <f t="shared" si="52"/>
        <v>-9520524.1584615391</v>
      </c>
      <c r="K240" s="774">
        <f t="shared" si="42"/>
        <v>7411764.1492307708</v>
      </c>
      <c r="L240" s="773">
        <f t="shared" si="54"/>
        <v>-2594117.4522307697</v>
      </c>
      <c r="M240" s="773">
        <f t="shared" si="44"/>
        <v>-20049.75</v>
      </c>
      <c r="N240" s="777"/>
      <c r="O240" s="773">
        <f t="shared" si="55"/>
        <v>0</v>
      </c>
      <c r="P240" s="777">
        <f t="shared" si="49"/>
        <v>7411764.1492307708</v>
      </c>
      <c r="Q240" s="776"/>
      <c r="R240" s="776"/>
      <c r="S240" s="776"/>
      <c r="T240" s="776"/>
      <c r="U240" s="777">
        <f t="shared" si="43"/>
        <v>-2594117.3747564103</v>
      </c>
      <c r="V240" s="773">
        <f t="shared" si="45"/>
        <v>-2714415.8747564103</v>
      </c>
      <c r="W240" s="778">
        <f t="shared" si="46"/>
        <v>5041058.2744743619</v>
      </c>
      <c r="Z240" s="797"/>
    </row>
    <row r="241" spans="1:26" hidden="1" outlineLevel="1">
      <c r="A241" s="168"/>
      <c r="B241" s="29" t="s">
        <v>405</v>
      </c>
      <c r="C241" s="168"/>
      <c r="D241" s="147"/>
      <c r="E241" s="145"/>
      <c r="F241" s="145">
        <f t="shared" si="50"/>
        <v>17275998.307692308</v>
      </c>
      <c r="G241" s="773">
        <f t="shared" si="51"/>
        <v>17275998.307692312</v>
      </c>
      <c r="H241" s="145">
        <f t="shared" si="53"/>
        <v>57285</v>
      </c>
      <c r="I241" s="772">
        <f t="shared" si="48"/>
        <v>-9921519.1584615372</v>
      </c>
      <c r="J241" s="773">
        <f t="shared" si="52"/>
        <v>-9577809.1584615391</v>
      </c>
      <c r="K241" s="774">
        <f t="shared" ref="K241:K304" si="56">F241+I241</f>
        <v>7354479.1492307708</v>
      </c>
      <c r="L241" s="773">
        <f t="shared" si="54"/>
        <v>-2574067.7022307697</v>
      </c>
      <c r="M241" s="773">
        <f t="shared" si="44"/>
        <v>-20049.75</v>
      </c>
      <c r="N241" s="777"/>
      <c r="O241" s="773">
        <f t="shared" si="55"/>
        <v>0</v>
      </c>
      <c r="P241" s="777">
        <f t="shared" si="49"/>
        <v>7354479.1492307708</v>
      </c>
      <c r="Q241" s="776"/>
      <c r="R241" s="776"/>
      <c r="S241" s="776"/>
      <c r="T241" s="776"/>
      <c r="U241" s="777">
        <f t="shared" si="43"/>
        <v>-2574067.6247564103</v>
      </c>
      <c r="V241" s="773">
        <f t="shared" si="45"/>
        <v>-2694366.1247564103</v>
      </c>
      <c r="W241" s="778">
        <f t="shared" si="46"/>
        <v>5003823.0244743619</v>
      </c>
      <c r="Z241" s="797"/>
    </row>
    <row r="242" spans="1:26" hidden="1" outlineLevel="1">
      <c r="A242" s="168"/>
      <c r="B242" s="29" t="s">
        <v>406</v>
      </c>
      <c r="C242" s="168"/>
      <c r="D242" s="147"/>
      <c r="E242" s="145"/>
      <c r="F242" s="145">
        <f t="shared" si="50"/>
        <v>17275998.307692308</v>
      </c>
      <c r="G242" s="773">
        <f t="shared" si="51"/>
        <v>17275998.307692312</v>
      </c>
      <c r="H242" s="145">
        <f t="shared" si="53"/>
        <v>57285</v>
      </c>
      <c r="I242" s="772">
        <f t="shared" si="48"/>
        <v>-9978804.1584615372</v>
      </c>
      <c r="J242" s="773">
        <f t="shared" si="52"/>
        <v>-9635094.1584615391</v>
      </c>
      <c r="K242" s="774">
        <f t="shared" si="56"/>
        <v>7297194.1492307708</v>
      </c>
      <c r="L242" s="773">
        <f t="shared" si="54"/>
        <v>-2554017.9522307697</v>
      </c>
      <c r="M242" s="773">
        <f t="shared" si="44"/>
        <v>-20049.75</v>
      </c>
      <c r="N242" s="777"/>
      <c r="O242" s="773">
        <f t="shared" si="55"/>
        <v>0</v>
      </c>
      <c r="P242" s="777">
        <f t="shared" si="49"/>
        <v>7297194.1492307708</v>
      </c>
      <c r="Q242" s="776"/>
      <c r="R242" s="776"/>
      <c r="S242" s="776"/>
      <c r="T242" s="776"/>
      <c r="U242" s="777">
        <f t="shared" si="43"/>
        <v>-2554017.8747564103</v>
      </c>
      <c r="V242" s="773">
        <f t="shared" si="45"/>
        <v>-2674316.3747564103</v>
      </c>
      <c r="W242" s="778">
        <f t="shared" si="46"/>
        <v>4966587.7744743619</v>
      </c>
      <c r="Z242" s="797"/>
    </row>
    <row r="243" spans="1:26" hidden="1" outlineLevel="1">
      <c r="A243" s="168"/>
      <c r="B243" s="29" t="s">
        <v>407</v>
      </c>
      <c r="C243" s="168"/>
      <c r="D243" s="147"/>
      <c r="E243" s="145"/>
      <c r="F243" s="145">
        <f t="shared" si="50"/>
        <v>17275998.307692308</v>
      </c>
      <c r="G243" s="773">
        <f t="shared" si="51"/>
        <v>17275998.307692312</v>
      </c>
      <c r="H243" s="145">
        <f t="shared" si="53"/>
        <v>57285</v>
      </c>
      <c r="I243" s="772">
        <f t="shared" si="48"/>
        <v>-10036089.158461537</v>
      </c>
      <c r="J243" s="773">
        <f t="shared" si="52"/>
        <v>-9692379.1584615391</v>
      </c>
      <c r="K243" s="774">
        <f t="shared" si="56"/>
        <v>7239909.1492307708</v>
      </c>
      <c r="L243" s="773">
        <f t="shared" si="54"/>
        <v>-2533968.2022307697</v>
      </c>
      <c r="M243" s="773">
        <f t="shared" si="44"/>
        <v>-20049.75</v>
      </c>
      <c r="N243" s="777"/>
      <c r="O243" s="773">
        <f t="shared" si="55"/>
        <v>0</v>
      </c>
      <c r="P243" s="777">
        <f t="shared" si="49"/>
        <v>7239909.1492307708</v>
      </c>
      <c r="Q243" s="776"/>
      <c r="R243" s="776"/>
      <c r="S243" s="776"/>
      <c r="T243" s="776"/>
      <c r="U243" s="777">
        <f t="shared" ref="U243:U306" si="57">U242-M243</f>
        <v>-2533968.1247564103</v>
      </c>
      <c r="V243" s="773">
        <f t="shared" si="45"/>
        <v>-2654266.6247564103</v>
      </c>
      <c r="W243" s="778">
        <f t="shared" si="46"/>
        <v>4929352.5244743619</v>
      </c>
      <c r="Z243" s="797"/>
    </row>
    <row r="244" spans="1:26" hidden="1" outlineLevel="1">
      <c r="A244" s="168"/>
      <c r="B244" s="29" t="s">
        <v>408</v>
      </c>
      <c r="C244" s="168"/>
      <c r="D244" s="147"/>
      <c r="E244" s="145"/>
      <c r="F244" s="145">
        <f t="shared" si="50"/>
        <v>17275998.307692308</v>
      </c>
      <c r="G244" s="773">
        <f t="shared" si="51"/>
        <v>17275998.307692312</v>
      </c>
      <c r="H244" s="145">
        <f t="shared" si="53"/>
        <v>57285</v>
      </c>
      <c r="I244" s="772">
        <f t="shared" si="48"/>
        <v>-10093374.158461537</v>
      </c>
      <c r="J244" s="773">
        <f t="shared" si="52"/>
        <v>-9749664.1584615391</v>
      </c>
      <c r="K244" s="774">
        <f t="shared" si="56"/>
        <v>7182624.1492307708</v>
      </c>
      <c r="L244" s="773">
        <f t="shared" si="54"/>
        <v>-2513918.4522307697</v>
      </c>
      <c r="M244" s="773">
        <f t="shared" ref="M244:M307" si="58">-L244+L243</f>
        <v>-20049.75</v>
      </c>
      <c r="N244" s="777"/>
      <c r="O244" s="773">
        <f t="shared" si="55"/>
        <v>0</v>
      </c>
      <c r="P244" s="777">
        <f t="shared" si="49"/>
        <v>7182624.1492307708</v>
      </c>
      <c r="Q244" s="776"/>
      <c r="R244" s="776"/>
      <c r="S244" s="776"/>
      <c r="T244" s="776"/>
      <c r="U244" s="777">
        <f t="shared" si="57"/>
        <v>-2513918.3747564103</v>
      </c>
      <c r="V244" s="773">
        <f t="shared" si="45"/>
        <v>-2634216.8747564103</v>
      </c>
      <c r="W244" s="778">
        <f t="shared" si="46"/>
        <v>4892117.2744743619</v>
      </c>
      <c r="Z244" s="797"/>
    </row>
    <row r="245" spans="1:26" hidden="1" outlineLevel="1">
      <c r="A245" s="168"/>
      <c r="B245" s="29" t="s">
        <v>409</v>
      </c>
      <c r="C245" s="168"/>
      <c r="D245" s="147"/>
      <c r="E245" s="145"/>
      <c r="F245" s="145">
        <f t="shared" si="50"/>
        <v>17275998.307692308</v>
      </c>
      <c r="G245" s="773">
        <f t="shared" si="51"/>
        <v>17275998.307692312</v>
      </c>
      <c r="H245" s="145">
        <f t="shared" si="53"/>
        <v>57285</v>
      </c>
      <c r="I245" s="772">
        <f t="shared" si="48"/>
        <v>-10150659.158461537</v>
      </c>
      <c r="J245" s="773">
        <f t="shared" si="52"/>
        <v>-9806949.1584615391</v>
      </c>
      <c r="K245" s="774">
        <f t="shared" si="56"/>
        <v>7125339.1492307708</v>
      </c>
      <c r="L245" s="773">
        <f t="shared" si="54"/>
        <v>-2493868.7022307697</v>
      </c>
      <c r="M245" s="773">
        <f t="shared" si="58"/>
        <v>-20049.75</v>
      </c>
      <c r="N245" s="777"/>
      <c r="O245" s="773">
        <f t="shared" si="55"/>
        <v>0</v>
      </c>
      <c r="P245" s="777">
        <f t="shared" si="49"/>
        <v>7125339.1492307708</v>
      </c>
      <c r="Q245" s="776"/>
      <c r="R245" s="776"/>
      <c r="S245" s="776"/>
      <c r="T245" s="776"/>
      <c r="U245" s="777">
        <f t="shared" si="57"/>
        <v>-2493868.6247564103</v>
      </c>
      <c r="V245" s="773">
        <f t="shared" si="45"/>
        <v>-2614167.1247564103</v>
      </c>
      <c r="W245" s="778">
        <f t="shared" si="46"/>
        <v>4854882.0244743619</v>
      </c>
      <c r="Z245" s="797"/>
    </row>
    <row r="246" spans="1:26" hidden="1" outlineLevel="1">
      <c r="A246" s="168"/>
      <c r="B246" s="29" t="s">
        <v>410</v>
      </c>
      <c r="C246" s="168"/>
      <c r="D246" s="147"/>
      <c r="E246" s="145"/>
      <c r="F246" s="145">
        <f t="shared" si="50"/>
        <v>17275998.307692308</v>
      </c>
      <c r="G246" s="773">
        <f t="shared" si="51"/>
        <v>17275998.307692312</v>
      </c>
      <c r="H246" s="145">
        <f t="shared" si="53"/>
        <v>57285</v>
      </c>
      <c r="I246" s="772">
        <f t="shared" si="48"/>
        <v>-10207944.158461537</v>
      </c>
      <c r="J246" s="773">
        <f t="shared" si="52"/>
        <v>-9864234.1584615391</v>
      </c>
      <c r="K246" s="774">
        <f t="shared" si="56"/>
        <v>7068054.1492307708</v>
      </c>
      <c r="L246" s="773">
        <f t="shared" si="54"/>
        <v>-2473818.9522307697</v>
      </c>
      <c r="M246" s="773">
        <f t="shared" si="58"/>
        <v>-20049.75</v>
      </c>
      <c r="N246" s="777"/>
      <c r="O246" s="773">
        <f t="shared" si="55"/>
        <v>0</v>
      </c>
      <c r="P246" s="777">
        <f t="shared" si="49"/>
        <v>7068054.1492307708</v>
      </c>
      <c r="Q246" s="776"/>
      <c r="R246" s="776"/>
      <c r="S246" s="776"/>
      <c r="T246" s="776"/>
      <c r="U246" s="777">
        <f t="shared" si="57"/>
        <v>-2473818.8747564103</v>
      </c>
      <c r="V246" s="773">
        <f t="shared" si="45"/>
        <v>-2594117.3747564103</v>
      </c>
      <c r="W246" s="778">
        <f t="shared" si="46"/>
        <v>4817646.7744743619</v>
      </c>
      <c r="Z246" s="797"/>
    </row>
    <row r="247" spans="1:26" hidden="1" outlineLevel="1">
      <c r="A247" s="168"/>
      <c r="B247" s="29" t="s">
        <v>411</v>
      </c>
      <c r="C247" s="168"/>
      <c r="D247" s="147"/>
      <c r="E247" s="145"/>
      <c r="F247" s="145">
        <f t="shared" si="50"/>
        <v>17275998.307692308</v>
      </c>
      <c r="G247" s="773">
        <f t="shared" si="51"/>
        <v>17275998.307692312</v>
      </c>
      <c r="H247" s="145">
        <f t="shared" si="53"/>
        <v>57285</v>
      </c>
      <c r="I247" s="772">
        <f t="shared" si="48"/>
        <v>-10265229.158461537</v>
      </c>
      <c r="J247" s="773">
        <f t="shared" si="52"/>
        <v>-9921519.1584615391</v>
      </c>
      <c r="K247" s="774">
        <f t="shared" si="56"/>
        <v>7010769.1492307708</v>
      </c>
      <c r="L247" s="773">
        <f t="shared" si="54"/>
        <v>-2453769.2022307697</v>
      </c>
      <c r="M247" s="773">
        <f t="shared" si="58"/>
        <v>-20049.75</v>
      </c>
      <c r="N247" s="777"/>
      <c r="O247" s="773">
        <f t="shared" si="55"/>
        <v>0</v>
      </c>
      <c r="P247" s="777">
        <f t="shared" si="49"/>
        <v>7010769.1492307708</v>
      </c>
      <c r="Q247" s="776"/>
      <c r="R247" s="776"/>
      <c r="S247" s="776"/>
      <c r="T247" s="776"/>
      <c r="U247" s="777">
        <f t="shared" si="57"/>
        <v>-2453769.1247564103</v>
      </c>
      <c r="V247" s="773">
        <f t="shared" si="45"/>
        <v>-2574067.6247564103</v>
      </c>
      <c r="W247" s="778">
        <f t="shared" si="46"/>
        <v>4780411.5244743619</v>
      </c>
      <c r="Z247" s="797"/>
    </row>
    <row r="248" spans="1:26" hidden="1" outlineLevel="1">
      <c r="A248" s="168"/>
      <c r="B248" s="29" t="s">
        <v>412</v>
      </c>
      <c r="C248" s="168"/>
      <c r="D248" s="147"/>
      <c r="E248" s="145"/>
      <c r="F248" s="145">
        <f t="shared" si="50"/>
        <v>17275998.307692308</v>
      </c>
      <c r="G248" s="773">
        <f t="shared" si="51"/>
        <v>17275998.307692312</v>
      </c>
      <c r="H248" s="145">
        <f t="shared" si="53"/>
        <v>57285</v>
      </c>
      <c r="I248" s="772">
        <f t="shared" si="48"/>
        <v>-10322514.158461537</v>
      </c>
      <c r="J248" s="773">
        <f t="shared" si="52"/>
        <v>-9978804.1584615391</v>
      </c>
      <c r="K248" s="774">
        <f t="shared" si="56"/>
        <v>6953484.1492307708</v>
      </c>
      <c r="L248" s="773">
        <f t="shared" si="54"/>
        <v>-2433719.4522307697</v>
      </c>
      <c r="M248" s="773">
        <f t="shared" si="58"/>
        <v>-20049.75</v>
      </c>
      <c r="N248" s="777"/>
      <c r="O248" s="773">
        <f t="shared" si="55"/>
        <v>0</v>
      </c>
      <c r="P248" s="777">
        <f t="shared" si="49"/>
        <v>6953484.1492307708</v>
      </c>
      <c r="Q248" s="776"/>
      <c r="R248" s="776"/>
      <c r="S248" s="776"/>
      <c r="T248" s="776"/>
      <c r="U248" s="777">
        <f t="shared" si="57"/>
        <v>-2433719.3747564103</v>
      </c>
      <c r="V248" s="773">
        <f t="shared" si="45"/>
        <v>-2554017.8747564103</v>
      </c>
      <c r="W248" s="778">
        <f t="shared" si="46"/>
        <v>4743176.2744743619</v>
      </c>
      <c r="Z248" s="797"/>
    </row>
    <row r="249" spans="1:26" hidden="1" outlineLevel="1">
      <c r="A249" s="168"/>
      <c r="B249" s="29" t="s">
        <v>413</v>
      </c>
      <c r="C249" s="168"/>
      <c r="D249" s="147"/>
      <c r="E249" s="145"/>
      <c r="F249" s="145">
        <f t="shared" si="50"/>
        <v>17275998.307692308</v>
      </c>
      <c r="G249" s="773">
        <f t="shared" si="51"/>
        <v>17275998.307692312</v>
      </c>
      <c r="H249" s="145">
        <f t="shared" si="53"/>
        <v>57285</v>
      </c>
      <c r="I249" s="772">
        <f t="shared" si="48"/>
        <v>-10379799.158461537</v>
      </c>
      <c r="J249" s="773">
        <f t="shared" si="52"/>
        <v>-10036089.158461539</v>
      </c>
      <c r="K249" s="774">
        <f t="shared" si="56"/>
        <v>6896199.1492307708</v>
      </c>
      <c r="L249" s="773">
        <f t="shared" si="54"/>
        <v>-2413669.7022307697</v>
      </c>
      <c r="M249" s="773">
        <f t="shared" si="58"/>
        <v>-20049.75</v>
      </c>
      <c r="N249" s="777"/>
      <c r="O249" s="773">
        <f t="shared" si="55"/>
        <v>0</v>
      </c>
      <c r="P249" s="777">
        <f t="shared" si="49"/>
        <v>6896199.1492307708</v>
      </c>
      <c r="Q249" s="776"/>
      <c r="R249" s="776"/>
      <c r="S249" s="776"/>
      <c r="T249" s="776"/>
      <c r="U249" s="777">
        <f t="shared" si="57"/>
        <v>-2413669.6247564103</v>
      </c>
      <c r="V249" s="773">
        <f t="shared" si="45"/>
        <v>-2533968.1247564103</v>
      </c>
      <c r="W249" s="778">
        <f t="shared" si="46"/>
        <v>4705941.0244743619</v>
      </c>
      <c r="Z249" s="797"/>
    </row>
    <row r="250" spans="1:26" hidden="1" outlineLevel="1">
      <c r="A250" s="168"/>
      <c r="B250" s="29" t="s">
        <v>414</v>
      </c>
      <c r="C250" s="168"/>
      <c r="D250" s="147"/>
      <c r="E250" s="145"/>
      <c r="F250" s="145">
        <f t="shared" si="50"/>
        <v>17275998.307692308</v>
      </c>
      <c r="G250" s="773">
        <f t="shared" si="51"/>
        <v>17275998.307692312</v>
      </c>
      <c r="H250" s="145">
        <f t="shared" si="53"/>
        <v>57285</v>
      </c>
      <c r="I250" s="772">
        <f t="shared" si="48"/>
        <v>-10437084.158461537</v>
      </c>
      <c r="J250" s="773">
        <f t="shared" si="52"/>
        <v>-10093374.158461539</v>
      </c>
      <c r="K250" s="774">
        <f t="shared" si="56"/>
        <v>6838914.1492307708</v>
      </c>
      <c r="L250" s="773">
        <f t="shared" si="54"/>
        <v>-2393619.9522307697</v>
      </c>
      <c r="M250" s="773">
        <f t="shared" si="58"/>
        <v>-20049.75</v>
      </c>
      <c r="N250" s="777"/>
      <c r="O250" s="773">
        <f t="shared" si="55"/>
        <v>0</v>
      </c>
      <c r="P250" s="777">
        <f t="shared" si="49"/>
        <v>6838914.1492307708</v>
      </c>
      <c r="Q250" s="776"/>
      <c r="R250" s="776"/>
      <c r="S250" s="776"/>
      <c r="T250" s="776"/>
      <c r="U250" s="777">
        <f t="shared" si="57"/>
        <v>-2393619.8747564103</v>
      </c>
      <c r="V250" s="773">
        <f t="shared" si="45"/>
        <v>-2513918.3747564103</v>
      </c>
      <c r="W250" s="778">
        <f t="shared" si="46"/>
        <v>4668705.7744743619</v>
      </c>
      <c r="Z250" s="797"/>
    </row>
    <row r="251" spans="1:26" hidden="1" outlineLevel="1">
      <c r="A251" s="168"/>
      <c r="B251" s="29" t="s">
        <v>415</v>
      </c>
      <c r="C251" s="168"/>
      <c r="D251" s="147"/>
      <c r="E251" s="145"/>
      <c r="F251" s="145">
        <f t="shared" si="50"/>
        <v>17275998.307692308</v>
      </c>
      <c r="G251" s="773">
        <f t="shared" si="51"/>
        <v>17275998.307692312</v>
      </c>
      <c r="H251" s="145">
        <f t="shared" si="53"/>
        <v>57285</v>
      </c>
      <c r="I251" s="772">
        <f t="shared" si="48"/>
        <v>-10494369.158461537</v>
      </c>
      <c r="J251" s="773">
        <f t="shared" si="52"/>
        <v>-10150659.158461539</v>
      </c>
      <c r="K251" s="774">
        <f t="shared" si="56"/>
        <v>6781629.1492307708</v>
      </c>
      <c r="L251" s="773">
        <f t="shared" si="54"/>
        <v>-2373570.2022307697</v>
      </c>
      <c r="M251" s="773">
        <f t="shared" si="58"/>
        <v>-20049.75</v>
      </c>
      <c r="N251" s="777"/>
      <c r="O251" s="773">
        <f t="shared" si="55"/>
        <v>0</v>
      </c>
      <c r="P251" s="777">
        <f t="shared" si="49"/>
        <v>6781629.1492307708</v>
      </c>
      <c r="Q251" s="776"/>
      <c r="R251" s="776"/>
      <c r="S251" s="776"/>
      <c r="T251" s="776"/>
      <c r="U251" s="777">
        <f t="shared" si="57"/>
        <v>-2373570.1247564103</v>
      </c>
      <c r="V251" s="773">
        <f t="shared" si="45"/>
        <v>-2493868.6247564103</v>
      </c>
      <c r="W251" s="778">
        <f t="shared" si="46"/>
        <v>4631470.5244743619</v>
      </c>
      <c r="Z251" s="797"/>
    </row>
    <row r="252" spans="1:26" hidden="1" outlineLevel="1">
      <c r="A252" s="168"/>
      <c r="B252" s="29" t="s">
        <v>416</v>
      </c>
      <c r="C252" s="168"/>
      <c r="D252" s="147"/>
      <c r="E252" s="145"/>
      <c r="F252" s="145">
        <f t="shared" si="50"/>
        <v>17275998.307692308</v>
      </c>
      <c r="G252" s="773">
        <f t="shared" si="51"/>
        <v>17275998.307692312</v>
      </c>
      <c r="H252" s="145">
        <f t="shared" si="53"/>
        <v>57285</v>
      </c>
      <c r="I252" s="772">
        <f t="shared" si="48"/>
        <v>-10551654.158461537</v>
      </c>
      <c r="J252" s="773">
        <f t="shared" si="52"/>
        <v>-10207944.158461539</v>
      </c>
      <c r="K252" s="774">
        <f t="shared" si="56"/>
        <v>6724344.1492307708</v>
      </c>
      <c r="L252" s="773">
        <f t="shared" si="54"/>
        <v>-2353520.4522307697</v>
      </c>
      <c r="M252" s="773">
        <f t="shared" si="58"/>
        <v>-20049.75</v>
      </c>
      <c r="N252" s="777"/>
      <c r="O252" s="773">
        <f t="shared" si="55"/>
        <v>0</v>
      </c>
      <c r="P252" s="777">
        <f t="shared" si="49"/>
        <v>6724344.1492307708</v>
      </c>
      <c r="Q252" s="776"/>
      <c r="R252" s="776"/>
      <c r="S252" s="776"/>
      <c r="T252" s="776"/>
      <c r="U252" s="777">
        <f t="shared" si="57"/>
        <v>-2353520.3747564103</v>
      </c>
      <c r="V252" s="773">
        <f t="shared" si="45"/>
        <v>-2473818.8747564103</v>
      </c>
      <c r="W252" s="778">
        <f t="shared" si="46"/>
        <v>4594235.2744743619</v>
      </c>
      <c r="Z252" s="797"/>
    </row>
    <row r="253" spans="1:26" hidden="1" outlineLevel="1">
      <c r="A253" s="168"/>
      <c r="B253" s="29" t="s">
        <v>417</v>
      </c>
      <c r="C253" s="168"/>
      <c r="D253" s="147"/>
      <c r="E253" s="145"/>
      <c r="F253" s="145">
        <f t="shared" si="50"/>
        <v>17275998.307692308</v>
      </c>
      <c r="G253" s="773">
        <f t="shared" si="51"/>
        <v>17275998.307692312</v>
      </c>
      <c r="H253" s="145">
        <f t="shared" si="53"/>
        <v>57285</v>
      </c>
      <c r="I253" s="772">
        <f t="shared" si="48"/>
        <v>-10608939.158461537</v>
      </c>
      <c r="J253" s="773">
        <f t="shared" si="52"/>
        <v>-10265229.158461539</v>
      </c>
      <c r="K253" s="774">
        <f t="shared" si="56"/>
        <v>6667059.1492307708</v>
      </c>
      <c r="L253" s="773">
        <f t="shared" si="54"/>
        <v>-2333470.7022307697</v>
      </c>
      <c r="M253" s="773">
        <f t="shared" si="58"/>
        <v>-20049.75</v>
      </c>
      <c r="N253" s="777"/>
      <c r="O253" s="773">
        <f t="shared" si="55"/>
        <v>0</v>
      </c>
      <c r="P253" s="777">
        <f t="shared" si="49"/>
        <v>6667059.1492307708</v>
      </c>
      <c r="Q253" s="776"/>
      <c r="R253" s="776"/>
      <c r="S253" s="776"/>
      <c r="T253" s="776"/>
      <c r="U253" s="777">
        <f t="shared" si="57"/>
        <v>-2333470.6247564103</v>
      </c>
      <c r="V253" s="773">
        <f t="shared" si="45"/>
        <v>-2453769.1247564103</v>
      </c>
      <c r="W253" s="778">
        <f t="shared" si="46"/>
        <v>4557000.0244743619</v>
      </c>
      <c r="Z253" s="797"/>
    </row>
    <row r="254" spans="1:26" hidden="1" outlineLevel="1">
      <c r="A254" s="168"/>
      <c r="B254" s="29" t="s">
        <v>418</v>
      </c>
      <c r="C254" s="168"/>
      <c r="D254" s="147"/>
      <c r="E254" s="145"/>
      <c r="F254" s="145">
        <f t="shared" si="50"/>
        <v>17275998.307692308</v>
      </c>
      <c r="G254" s="773">
        <f t="shared" si="51"/>
        <v>17275998.307692312</v>
      </c>
      <c r="H254" s="145">
        <f t="shared" si="53"/>
        <v>57285</v>
      </c>
      <c r="I254" s="772">
        <f t="shared" si="48"/>
        <v>-10666224.158461537</v>
      </c>
      <c r="J254" s="773">
        <f t="shared" si="52"/>
        <v>-10322514.158461539</v>
      </c>
      <c r="K254" s="774">
        <f t="shared" si="56"/>
        <v>6609774.1492307708</v>
      </c>
      <c r="L254" s="773">
        <f t="shared" si="54"/>
        <v>-2313420.9522307697</v>
      </c>
      <c r="M254" s="773">
        <f t="shared" si="58"/>
        <v>-20049.75</v>
      </c>
      <c r="N254" s="777"/>
      <c r="O254" s="773">
        <f t="shared" si="55"/>
        <v>0</v>
      </c>
      <c r="P254" s="777">
        <f t="shared" si="49"/>
        <v>6609774.1492307708</v>
      </c>
      <c r="Q254" s="776"/>
      <c r="R254" s="776"/>
      <c r="S254" s="776"/>
      <c r="T254" s="776"/>
      <c r="U254" s="777">
        <f t="shared" si="57"/>
        <v>-2313420.8747564103</v>
      </c>
      <c r="V254" s="773">
        <f t="shared" ref="V254:V317" si="59">(U242+U254+SUM(U243:U253)*2)/24</f>
        <v>-2433719.3747564103</v>
      </c>
      <c r="W254" s="778">
        <f t="shared" ref="W254:W317" si="60">G254+J254+V254</f>
        <v>4519764.7744743619</v>
      </c>
      <c r="Z254" s="797"/>
    </row>
    <row r="255" spans="1:26" hidden="1" outlineLevel="1">
      <c r="A255" s="168"/>
      <c r="B255" s="29" t="s">
        <v>419</v>
      </c>
      <c r="C255" s="168"/>
      <c r="D255" s="147"/>
      <c r="E255" s="145"/>
      <c r="F255" s="145">
        <f t="shared" si="50"/>
        <v>17275998.307692308</v>
      </c>
      <c r="G255" s="773">
        <f t="shared" si="51"/>
        <v>17275998.307692312</v>
      </c>
      <c r="H255" s="145">
        <f t="shared" si="53"/>
        <v>57285</v>
      </c>
      <c r="I255" s="772">
        <f t="shared" si="48"/>
        <v>-10723509.158461537</v>
      </c>
      <c r="J255" s="773">
        <f t="shared" si="52"/>
        <v>-10379799.158461539</v>
      </c>
      <c r="K255" s="774">
        <f t="shared" si="56"/>
        <v>6552489.1492307708</v>
      </c>
      <c r="L255" s="773">
        <f t="shared" si="54"/>
        <v>-2293371.2022307697</v>
      </c>
      <c r="M255" s="773">
        <f t="shared" si="58"/>
        <v>-20049.75</v>
      </c>
      <c r="N255" s="777"/>
      <c r="O255" s="773">
        <f t="shared" si="55"/>
        <v>0</v>
      </c>
      <c r="P255" s="777">
        <f t="shared" si="49"/>
        <v>6552489.1492307708</v>
      </c>
      <c r="Q255" s="776"/>
      <c r="R255" s="776"/>
      <c r="S255" s="776"/>
      <c r="T255" s="776"/>
      <c r="U255" s="777">
        <f t="shared" si="57"/>
        <v>-2293371.1247564103</v>
      </c>
      <c r="V255" s="773">
        <f t="shared" si="59"/>
        <v>-2413669.6247564103</v>
      </c>
      <c r="W255" s="778">
        <f t="shared" si="60"/>
        <v>4482529.5244743619</v>
      </c>
      <c r="Z255" s="797"/>
    </row>
    <row r="256" spans="1:26" hidden="1" outlineLevel="1">
      <c r="A256" s="168"/>
      <c r="B256" s="29" t="s">
        <v>420</v>
      </c>
      <c r="C256" s="168"/>
      <c r="D256" s="147"/>
      <c r="E256" s="145"/>
      <c r="F256" s="145">
        <f t="shared" si="50"/>
        <v>17275998.307692308</v>
      </c>
      <c r="G256" s="773">
        <f t="shared" si="51"/>
        <v>17275998.307692312</v>
      </c>
      <c r="H256" s="145">
        <f t="shared" si="53"/>
        <v>57285</v>
      </c>
      <c r="I256" s="772">
        <f t="shared" si="48"/>
        <v>-10780794.158461537</v>
      </c>
      <c r="J256" s="773">
        <f t="shared" si="52"/>
        <v>-10437084.158461539</v>
      </c>
      <c r="K256" s="774">
        <f t="shared" si="56"/>
        <v>6495204.1492307708</v>
      </c>
      <c r="L256" s="773">
        <f t="shared" si="54"/>
        <v>-2273321.4522307697</v>
      </c>
      <c r="M256" s="773">
        <f t="shared" si="58"/>
        <v>-20049.75</v>
      </c>
      <c r="N256" s="777"/>
      <c r="O256" s="773">
        <f t="shared" si="55"/>
        <v>0</v>
      </c>
      <c r="P256" s="777">
        <f t="shared" si="49"/>
        <v>6495204.1492307708</v>
      </c>
      <c r="Q256" s="776"/>
      <c r="R256" s="776"/>
      <c r="S256" s="776"/>
      <c r="T256" s="776"/>
      <c r="U256" s="777">
        <f t="shared" si="57"/>
        <v>-2273321.3747564103</v>
      </c>
      <c r="V256" s="773">
        <f t="shared" si="59"/>
        <v>-2393619.8747564103</v>
      </c>
      <c r="W256" s="778">
        <f t="shared" si="60"/>
        <v>4445294.2744743619</v>
      </c>
      <c r="Z256" s="797"/>
    </row>
    <row r="257" spans="1:26" hidden="1" outlineLevel="1">
      <c r="A257" s="168"/>
      <c r="B257" s="29" t="s">
        <v>421</v>
      </c>
      <c r="C257" s="168"/>
      <c r="D257" s="147"/>
      <c r="E257" s="145"/>
      <c r="F257" s="145">
        <f t="shared" si="50"/>
        <v>17275998.307692308</v>
      </c>
      <c r="G257" s="773">
        <f t="shared" si="51"/>
        <v>17275998.307692312</v>
      </c>
      <c r="H257" s="145">
        <f t="shared" si="53"/>
        <v>57285</v>
      </c>
      <c r="I257" s="772">
        <f t="shared" si="48"/>
        <v>-10838079.158461537</v>
      </c>
      <c r="J257" s="773">
        <f t="shared" si="52"/>
        <v>-10494369.158461539</v>
      </c>
      <c r="K257" s="774">
        <f t="shared" si="56"/>
        <v>6437919.1492307708</v>
      </c>
      <c r="L257" s="773">
        <f t="shared" si="54"/>
        <v>-2253271.7022307697</v>
      </c>
      <c r="M257" s="773">
        <f t="shared" si="58"/>
        <v>-20049.75</v>
      </c>
      <c r="N257" s="777"/>
      <c r="O257" s="773">
        <f t="shared" si="55"/>
        <v>0</v>
      </c>
      <c r="P257" s="777">
        <f t="shared" si="49"/>
        <v>6437919.1492307708</v>
      </c>
      <c r="Q257" s="776"/>
      <c r="R257" s="776"/>
      <c r="S257" s="776"/>
      <c r="T257" s="776"/>
      <c r="U257" s="777">
        <f t="shared" si="57"/>
        <v>-2253271.6247564103</v>
      </c>
      <c r="V257" s="773">
        <f t="shared" si="59"/>
        <v>-2373570.1247564103</v>
      </c>
      <c r="W257" s="778">
        <f t="shared" si="60"/>
        <v>4408059.0244743619</v>
      </c>
      <c r="Z257" s="797"/>
    </row>
    <row r="258" spans="1:26" hidden="1" outlineLevel="1">
      <c r="A258" s="168"/>
      <c r="B258" s="29" t="s">
        <v>422</v>
      </c>
      <c r="C258" s="168"/>
      <c r="D258" s="147"/>
      <c r="E258" s="145"/>
      <c r="F258" s="145">
        <f t="shared" si="50"/>
        <v>17275998.307692308</v>
      </c>
      <c r="G258" s="773">
        <f t="shared" si="51"/>
        <v>17275998.307692312</v>
      </c>
      <c r="H258" s="145">
        <f t="shared" si="53"/>
        <v>57285</v>
      </c>
      <c r="I258" s="772">
        <f t="shared" si="48"/>
        <v>-10895364.158461537</v>
      </c>
      <c r="J258" s="773">
        <f t="shared" si="52"/>
        <v>-10551654.158461539</v>
      </c>
      <c r="K258" s="774">
        <f t="shared" si="56"/>
        <v>6380634.1492307708</v>
      </c>
      <c r="L258" s="773">
        <f t="shared" si="54"/>
        <v>-2233221.9522307697</v>
      </c>
      <c r="M258" s="773">
        <f t="shared" si="58"/>
        <v>-20049.75</v>
      </c>
      <c r="N258" s="777"/>
      <c r="O258" s="773">
        <f t="shared" si="55"/>
        <v>0</v>
      </c>
      <c r="P258" s="777">
        <f t="shared" si="49"/>
        <v>6380634.1492307708</v>
      </c>
      <c r="Q258" s="776"/>
      <c r="R258" s="776"/>
      <c r="S258" s="776"/>
      <c r="T258" s="776"/>
      <c r="U258" s="777">
        <f t="shared" si="57"/>
        <v>-2233221.8747564103</v>
      </c>
      <c r="V258" s="773">
        <f t="shared" si="59"/>
        <v>-2353520.3747564103</v>
      </c>
      <c r="W258" s="778">
        <f t="shared" si="60"/>
        <v>4370823.7744743619</v>
      </c>
      <c r="Z258" s="797"/>
    </row>
    <row r="259" spans="1:26" hidden="1" outlineLevel="1">
      <c r="A259" s="168"/>
      <c r="B259" s="29" t="s">
        <v>423</v>
      </c>
      <c r="C259" s="168"/>
      <c r="D259" s="147"/>
      <c r="E259" s="145"/>
      <c r="F259" s="145">
        <f t="shared" si="50"/>
        <v>17275998.307692308</v>
      </c>
      <c r="G259" s="773">
        <f t="shared" si="51"/>
        <v>17275998.307692312</v>
      </c>
      <c r="H259" s="145">
        <f t="shared" si="53"/>
        <v>57285</v>
      </c>
      <c r="I259" s="772">
        <f t="shared" ref="I259:I322" si="61">I258-H259</f>
        <v>-10952649.158461537</v>
      </c>
      <c r="J259" s="773">
        <f t="shared" si="52"/>
        <v>-10608939.158461539</v>
      </c>
      <c r="K259" s="774">
        <f t="shared" si="56"/>
        <v>6323349.1492307708</v>
      </c>
      <c r="L259" s="773">
        <f t="shared" si="54"/>
        <v>-2213172.2022307697</v>
      </c>
      <c r="M259" s="773">
        <f t="shared" si="58"/>
        <v>-20049.75</v>
      </c>
      <c r="N259" s="777"/>
      <c r="O259" s="773">
        <f t="shared" si="55"/>
        <v>0</v>
      </c>
      <c r="P259" s="777">
        <f t="shared" si="49"/>
        <v>6323349.1492307708</v>
      </c>
      <c r="Q259" s="776"/>
      <c r="R259" s="776"/>
      <c r="S259" s="776"/>
      <c r="T259" s="776"/>
      <c r="U259" s="777">
        <f t="shared" si="57"/>
        <v>-2213172.1247564103</v>
      </c>
      <c r="V259" s="773">
        <f t="shared" si="59"/>
        <v>-2333470.6247564103</v>
      </c>
      <c r="W259" s="778">
        <f t="shared" si="60"/>
        <v>4333588.5244743619</v>
      </c>
      <c r="Z259" s="797"/>
    </row>
    <row r="260" spans="1:26" hidden="1" outlineLevel="1">
      <c r="A260" s="168"/>
      <c r="B260" s="29" t="s">
        <v>424</v>
      </c>
      <c r="C260" s="168"/>
      <c r="D260" s="147"/>
      <c r="E260" s="145"/>
      <c r="F260" s="145">
        <f t="shared" si="50"/>
        <v>17275998.307692308</v>
      </c>
      <c r="G260" s="773">
        <f t="shared" si="51"/>
        <v>17275998.307692312</v>
      </c>
      <c r="H260" s="145">
        <f t="shared" si="53"/>
        <v>57285</v>
      </c>
      <c r="I260" s="772">
        <f t="shared" si="61"/>
        <v>-11009934.158461537</v>
      </c>
      <c r="J260" s="773">
        <f t="shared" si="52"/>
        <v>-10666224.158461539</v>
      </c>
      <c r="K260" s="774">
        <f t="shared" si="56"/>
        <v>6266064.1492307708</v>
      </c>
      <c r="L260" s="773">
        <f t="shared" si="54"/>
        <v>-2193122.4522307697</v>
      </c>
      <c r="M260" s="773">
        <f t="shared" si="58"/>
        <v>-20049.75</v>
      </c>
      <c r="N260" s="777"/>
      <c r="O260" s="773">
        <f t="shared" si="55"/>
        <v>0</v>
      </c>
      <c r="P260" s="777">
        <f t="shared" si="49"/>
        <v>6266064.1492307708</v>
      </c>
      <c r="Q260" s="776"/>
      <c r="R260" s="776"/>
      <c r="S260" s="776"/>
      <c r="T260" s="776"/>
      <c r="U260" s="777">
        <f t="shared" si="57"/>
        <v>-2193122.3747564103</v>
      </c>
      <c r="V260" s="773">
        <f t="shared" si="59"/>
        <v>-2313420.8747564103</v>
      </c>
      <c r="W260" s="778">
        <f t="shared" si="60"/>
        <v>4296353.2744743619</v>
      </c>
      <c r="Z260" s="797"/>
    </row>
    <row r="261" spans="1:26" hidden="1" outlineLevel="1">
      <c r="A261" s="168"/>
      <c r="B261" s="29" t="s">
        <v>425</v>
      </c>
      <c r="C261" s="168"/>
      <c r="D261" s="147"/>
      <c r="E261" s="145"/>
      <c r="F261" s="145">
        <f t="shared" si="50"/>
        <v>17275998.307692308</v>
      </c>
      <c r="G261" s="773">
        <f t="shared" si="51"/>
        <v>17275998.307692312</v>
      </c>
      <c r="H261" s="145">
        <f t="shared" si="53"/>
        <v>57285</v>
      </c>
      <c r="I261" s="772">
        <f t="shared" si="61"/>
        <v>-11067219.158461537</v>
      </c>
      <c r="J261" s="773">
        <f t="shared" si="52"/>
        <v>-10723509.158461539</v>
      </c>
      <c r="K261" s="774">
        <f t="shared" si="56"/>
        <v>6208779.1492307708</v>
      </c>
      <c r="L261" s="773">
        <f t="shared" si="54"/>
        <v>-2173072.7022307697</v>
      </c>
      <c r="M261" s="773">
        <f t="shared" si="58"/>
        <v>-20049.75</v>
      </c>
      <c r="N261" s="777"/>
      <c r="O261" s="773">
        <f t="shared" si="55"/>
        <v>0</v>
      </c>
      <c r="P261" s="777">
        <f t="shared" ref="P261:P324" si="62">K261+O261</f>
        <v>6208779.1492307708</v>
      </c>
      <c r="Q261" s="776"/>
      <c r="R261" s="776"/>
      <c r="S261" s="776"/>
      <c r="T261" s="776"/>
      <c r="U261" s="777">
        <f t="shared" si="57"/>
        <v>-2173072.6247564103</v>
      </c>
      <c r="V261" s="773">
        <f t="shared" si="59"/>
        <v>-2293371.1247564103</v>
      </c>
      <c r="W261" s="778">
        <f t="shared" si="60"/>
        <v>4259118.0244743619</v>
      </c>
      <c r="Z261" s="797"/>
    </row>
    <row r="262" spans="1:26" hidden="1" outlineLevel="1">
      <c r="A262" s="168"/>
      <c r="B262" s="29" t="s">
        <v>426</v>
      </c>
      <c r="C262" s="168"/>
      <c r="D262" s="147"/>
      <c r="E262" s="145"/>
      <c r="F262" s="145">
        <f t="shared" ref="F262:F325" si="63">F261</f>
        <v>17275998.307692308</v>
      </c>
      <c r="G262" s="773">
        <f t="shared" ref="G262:G325" si="64">(F250+F262+SUM(F251:F261)*2)/24</f>
        <v>17275998.307692312</v>
      </c>
      <c r="H262" s="145">
        <f t="shared" si="53"/>
        <v>57285</v>
      </c>
      <c r="I262" s="772">
        <f t="shared" si="61"/>
        <v>-11124504.158461537</v>
      </c>
      <c r="J262" s="773">
        <f t="shared" si="52"/>
        <v>-10780794.158461539</v>
      </c>
      <c r="K262" s="774">
        <f t="shared" si="56"/>
        <v>6151494.1492307708</v>
      </c>
      <c r="L262" s="773">
        <f t="shared" si="54"/>
        <v>-2153022.9522307697</v>
      </c>
      <c r="M262" s="773">
        <f t="shared" si="58"/>
        <v>-20049.75</v>
      </c>
      <c r="N262" s="777"/>
      <c r="O262" s="773">
        <f t="shared" si="55"/>
        <v>0</v>
      </c>
      <c r="P262" s="777">
        <f t="shared" si="62"/>
        <v>6151494.1492307708</v>
      </c>
      <c r="Q262" s="776"/>
      <c r="R262" s="776"/>
      <c r="S262" s="776"/>
      <c r="T262" s="776"/>
      <c r="U262" s="777">
        <f t="shared" si="57"/>
        <v>-2153022.8747564103</v>
      </c>
      <c r="V262" s="773">
        <f t="shared" si="59"/>
        <v>-2273321.3747564103</v>
      </c>
      <c r="W262" s="778">
        <f t="shared" si="60"/>
        <v>4221882.7744743619</v>
      </c>
      <c r="Z262" s="797"/>
    </row>
    <row r="263" spans="1:26" hidden="1" outlineLevel="1">
      <c r="A263" s="168"/>
      <c r="B263" s="29" t="s">
        <v>427</v>
      </c>
      <c r="C263" s="168"/>
      <c r="D263" s="147"/>
      <c r="E263" s="145"/>
      <c r="F263" s="145">
        <f t="shared" si="63"/>
        <v>17275998.307692308</v>
      </c>
      <c r="G263" s="773">
        <f t="shared" si="64"/>
        <v>17275998.307692312</v>
      </c>
      <c r="H263" s="145">
        <f t="shared" si="53"/>
        <v>57285</v>
      </c>
      <c r="I263" s="772">
        <f t="shared" si="61"/>
        <v>-11181789.158461537</v>
      </c>
      <c r="J263" s="773">
        <f t="shared" ref="J263:J326" si="65">(I251+I263+SUM(I252:I262)*2)/24</f>
        <v>-10838079.158461539</v>
      </c>
      <c r="K263" s="774">
        <f t="shared" si="56"/>
        <v>6094209.1492307708</v>
      </c>
      <c r="L263" s="773">
        <f t="shared" si="54"/>
        <v>-2132973.2022307697</v>
      </c>
      <c r="M263" s="773">
        <f t="shared" si="58"/>
        <v>-20049.75</v>
      </c>
      <c r="N263" s="777"/>
      <c r="O263" s="773">
        <f t="shared" si="55"/>
        <v>0</v>
      </c>
      <c r="P263" s="777">
        <f t="shared" si="62"/>
        <v>6094209.1492307708</v>
      </c>
      <c r="Q263" s="776"/>
      <c r="R263" s="776"/>
      <c r="S263" s="776"/>
      <c r="T263" s="776"/>
      <c r="U263" s="777">
        <f t="shared" si="57"/>
        <v>-2132973.1247564103</v>
      </c>
      <c r="V263" s="773">
        <f t="shared" si="59"/>
        <v>-2253271.6247564103</v>
      </c>
      <c r="W263" s="778">
        <f t="shared" si="60"/>
        <v>4184647.5244743624</v>
      </c>
      <c r="Z263" s="797"/>
    </row>
    <row r="264" spans="1:26" hidden="1" outlineLevel="1">
      <c r="A264" s="168"/>
      <c r="B264" s="29" t="s">
        <v>428</v>
      </c>
      <c r="C264" s="168"/>
      <c r="D264" s="147"/>
      <c r="E264" s="145"/>
      <c r="F264" s="145">
        <f t="shared" si="63"/>
        <v>17275998.307692308</v>
      </c>
      <c r="G264" s="773">
        <f t="shared" si="64"/>
        <v>17275998.307692312</v>
      </c>
      <c r="H264" s="145">
        <f t="shared" si="53"/>
        <v>57285</v>
      </c>
      <c r="I264" s="772">
        <f t="shared" si="61"/>
        <v>-11239074.158461537</v>
      </c>
      <c r="J264" s="773">
        <f t="shared" si="65"/>
        <v>-10895364.158461539</v>
      </c>
      <c r="K264" s="774">
        <f t="shared" si="56"/>
        <v>6036924.1492307708</v>
      </c>
      <c r="L264" s="773">
        <f t="shared" si="54"/>
        <v>-2112923.4522307697</v>
      </c>
      <c r="M264" s="773">
        <f t="shared" si="58"/>
        <v>-20049.75</v>
      </c>
      <c r="N264" s="777"/>
      <c r="O264" s="773">
        <f t="shared" si="55"/>
        <v>0</v>
      </c>
      <c r="P264" s="777">
        <f t="shared" si="62"/>
        <v>6036924.1492307708</v>
      </c>
      <c r="Q264" s="776"/>
      <c r="R264" s="776"/>
      <c r="S264" s="776"/>
      <c r="T264" s="776"/>
      <c r="U264" s="777">
        <f t="shared" si="57"/>
        <v>-2112923.3747564103</v>
      </c>
      <c r="V264" s="773">
        <f t="shared" si="59"/>
        <v>-2233221.8747564103</v>
      </c>
      <c r="W264" s="778">
        <f t="shared" si="60"/>
        <v>4147412.2744743624</v>
      </c>
      <c r="Z264" s="797"/>
    </row>
    <row r="265" spans="1:26" hidden="1" outlineLevel="1">
      <c r="A265" s="168"/>
      <c r="B265" s="29" t="s">
        <v>429</v>
      </c>
      <c r="C265" s="168"/>
      <c r="D265" s="147"/>
      <c r="E265" s="145"/>
      <c r="F265" s="145">
        <f t="shared" si="63"/>
        <v>17275998.307692308</v>
      </c>
      <c r="G265" s="773">
        <f t="shared" si="64"/>
        <v>17275998.307692312</v>
      </c>
      <c r="H265" s="145">
        <f t="shared" si="53"/>
        <v>57285</v>
      </c>
      <c r="I265" s="772">
        <f t="shared" si="61"/>
        <v>-11296359.158461537</v>
      </c>
      <c r="J265" s="773">
        <f t="shared" si="65"/>
        <v>-10952649.158461539</v>
      </c>
      <c r="K265" s="774">
        <f t="shared" si="56"/>
        <v>5979639.1492307708</v>
      </c>
      <c r="L265" s="773">
        <f t="shared" si="54"/>
        <v>-2092873.7022307697</v>
      </c>
      <c r="M265" s="773">
        <f t="shared" si="58"/>
        <v>-20049.75</v>
      </c>
      <c r="N265" s="777"/>
      <c r="O265" s="773">
        <f t="shared" si="55"/>
        <v>0</v>
      </c>
      <c r="P265" s="777">
        <f t="shared" si="62"/>
        <v>5979639.1492307708</v>
      </c>
      <c r="Q265" s="776"/>
      <c r="R265" s="776"/>
      <c r="S265" s="776"/>
      <c r="T265" s="776"/>
      <c r="U265" s="777">
        <f t="shared" si="57"/>
        <v>-2092873.6247564103</v>
      </c>
      <c r="V265" s="773">
        <f t="shared" si="59"/>
        <v>-2213172.1247564103</v>
      </c>
      <c r="W265" s="778">
        <f t="shared" si="60"/>
        <v>4110177.0244743624</v>
      </c>
      <c r="Z265" s="797"/>
    </row>
    <row r="266" spans="1:26" hidden="1" outlineLevel="1">
      <c r="A266" s="168"/>
      <c r="B266" s="29" t="s">
        <v>430</v>
      </c>
      <c r="C266" s="168"/>
      <c r="D266" s="779"/>
      <c r="E266" s="780"/>
      <c r="F266" s="145">
        <f t="shared" si="63"/>
        <v>17275998.307692308</v>
      </c>
      <c r="G266" s="773">
        <f t="shared" si="64"/>
        <v>17275998.307692312</v>
      </c>
      <c r="H266" s="145">
        <f t="shared" si="53"/>
        <v>57285</v>
      </c>
      <c r="I266" s="772">
        <f t="shared" si="61"/>
        <v>-11353644.158461537</v>
      </c>
      <c r="J266" s="773">
        <f t="shared" si="65"/>
        <v>-11009934.158461539</v>
      </c>
      <c r="K266" s="774">
        <f t="shared" si="56"/>
        <v>5922354.1492307708</v>
      </c>
      <c r="L266" s="773">
        <f t="shared" si="54"/>
        <v>-2072823.9522307697</v>
      </c>
      <c r="M266" s="773">
        <f t="shared" si="58"/>
        <v>-20049.75</v>
      </c>
      <c r="N266" s="777"/>
      <c r="O266" s="773">
        <f t="shared" si="55"/>
        <v>0</v>
      </c>
      <c r="P266" s="777">
        <f t="shared" si="62"/>
        <v>5922354.1492307708</v>
      </c>
      <c r="Q266" s="776"/>
      <c r="R266" s="776"/>
      <c r="S266" s="776"/>
      <c r="T266" s="776"/>
      <c r="U266" s="777">
        <f t="shared" si="57"/>
        <v>-2072823.8747564103</v>
      </c>
      <c r="V266" s="773">
        <f t="shared" si="59"/>
        <v>-2193122.3747564103</v>
      </c>
      <c r="W266" s="778">
        <f t="shared" si="60"/>
        <v>4072941.7744743624</v>
      </c>
      <c r="Z266" s="797"/>
    </row>
    <row r="267" spans="1:26" hidden="1" outlineLevel="1">
      <c r="A267" s="168"/>
      <c r="B267" s="29" t="s">
        <v>431</v>
      </c>
      <c r="C267" s="168"/>
      <c r="D267" s="779"/>
      <c r="E267" s="780"/>
      <c r="F267" s="145">
        <f t="shared" si="63"/>
        <v>17275998.307692308</v>
      </c>
      <c r="G267" s="773">
        <f t="shared" si="64"/>
        <v>17275998.307692312</v>
      </c>
      <c r="H267" s="145">
        <f t="shared" si="53"/>
        <v>57285</v>
      </c>
      <c r="I267" s="772">
        <f t="shared" si="61"/>
        <v>-11410929.158461537</v>
      </c>
      <c r="J267" s="773">
        <f t="shared" si="65"/>
        <v>-11067219.158461539</v>
      </c>
      <c r="K267" s="774">
        <f t="shared" si="56"/>
        <v>5865069.1492307708</v>
      </c>
      <c r="L267" s="773">
        <f t="shared" si="54"/>
        <v>-2052774.2022307697</v>
      </c>
      <c r="M267" s="773">
        <f t="shared" si="58"/>
        <v>-20049.75</v>
      </c>
      <c r="N267" s="777"/>
      <c r="O267" s="773">
        <f t="shared" si="55"/>
        <v>0</v>
      </c>
      <c r="P267" s="777">
        <f t="shared" si="62"/>
        <v>5865069.1492307708</v>
      </c>
      <c r="Q267" s="776"/>
      <c r="R267" s="776"/>
      <c r="S267" s="776"/>
      <c r="T267" s="776"/>
      <c r="U267" s="777">
        <f t="shared" si="57"/>
        <v>-2052774.1247564103</v>
      </c>
      <c r="V267" s="773">
        <f t="shared" si="59"/>
        <v>-2173072.6247564103</v>
      </c>
      <c r="W267" s="778">
        <f t="shared" si="60"/>
        <v>4035706.5244743624</v>
      </c>
      <c r="Z267" s="797"/>
    </row>
    <row r="268" spans="1:26" hidden="1" outlineLevel="1">
      <c r="A268" s="168"/>
      <c r="B268" s="29" t="s">
        <v>432</v>
      </c>
      <c r="C268" s="168"/>
      <c r="D268" s="779"/>
      <c r="E268" s="780"/>
      <c r="F268" s="145">
        <f t="shared" si="63"/>
        <v>17275998.307692308</v>
      </c>
      <c r="G268" s="773">
        <f t="shared" si="64"/>
        <v>17275998.307692312</v>
      </c>
      <c r="H268" s="145">
        <f t="shared" si="53"/>
        <v>57285</v>
      </c>
      <c r="I268" s="772">
        <f t="shared" si="61"/>
        <v>-11468214.158461537</v>
      </c>
      <c r="J268" s="773">
        <f t="shared" si="65"/>
        <v>-11124504.158461539</v>
      </c>
      <c r="K268" s="774">
        <f t="shared" si="56"/>
        <v>5807784.1492307708</v>
      </c>
      <c r="L268" s="773">
        <f t="shared" si="54"/>
        <v>-2032724.4522307697</v>
      </c>
      <c r="M268" s="773">
        <f t="shared" si="58"/>
        <v>-20049.75</v>
      </c>
      <c r="N268" s="777"/>
      <c r="O268" s="773">
        <f t="shared" si="55"/>
        <v>0</v>
      </c>
      <c r="P268" s="777">
        <f t="shared" si="62"/>
        <v>5807784.1492307708</v>
      </c>
      <c r="Q268" s="776"/>
      <c r="R268" s="776"/>
      <c r="S268" s="776"/>
      <c r="T268" s="776"/>
      <c r="U268" s="777">
        <f t="shared" si="57"/>
        <v>-2032724.3747564103</v>
      </c>
      <c r="V268" s="773">
        <f t="shared" si="59"/>
        <v>-2153022.8747564103</v>
      </c>
      <c r="W268" s="778">
        <f t="shared" si="60"/>
        <v>3998471.2744743624</v>
      </c>
      <c r="Z268" s="797"/>
    </row>
    <row r="269" spans="1:26" hidden="1" outlineLevel="1">
      <c r="A269" s="168"/>
      <c r="B269" s="29" t="s">
        <v>433</v>
      </c>
      <c r="C269" s="168"/>
      <c r="D269" s="779"/>
      <c r="E269" s="780"/>
      <c r="F269" s="145">
        <f t="shared" si="63"/>
        <v>17275998.307692308</v>
      </c>
      <c r="G269" s="773">
        <f t="shared" si="64"/>
        <v>17275998.307692312</v>
      </c>
      <c r="H269" s="145">
        <f t="shared" si="53"/>
        <v>57285</v>
      </c>
      <c r="I269" s="772">
        <f t="shared" si="61"/>
        <v>-11525499.158461537</v>
      </c>
      <c r="J269" s="773">
        <f t="shared" si="65"/>
        <v>-11181789.158461539</v>
      </c>
      <c r="K269" s="774">
        <f t="shared" si="56"/>
        <v>5750499.1492307708</v>
      </c>
      <c r="L269" s="773">
        <f t="shared" si="54"/>
        <v>-2012674.7022307697</v>
      </c>
      <c r="M269" s="773">
        <f t="shared" si="58"/>
        <v>-20049.75</v>
      </c>
      <c r="N269" s="777"/>
      <c r="O269" s="773">
        <f t="shared" si="55"/>
        <v>0</v>
      </c>
      <c r="P269" s="777">
        <f t="shared" si="62"/>
        <v>5750499.1492307708</v>
      </c>
      <c r="Q269" s="776"/>
      <c r="R269" s="776"/>
      <c r="S269" s="776"/>
      <c r="T269" s="776"/>
      <c r="U269" s="777">
        <f t="shared" si="57"/>
        <v>-2012674.6247564103</v>
      </c>
      <c r="V269" s="773">
        <f t="shared" si="59"/>
        <v>-2132973.1247564103</v>
      </c>
      <c r="W269" s="778">
        <f t="shared" si="60"/>
        <v>3961236.0244743624</v>
      </c>
      <c r="Z269" s="797"/>
    </row>
    <row r="270" spans="1:26" hidden="1" outlineLevel="1">
      <c r="A270" s="168"/>
      <c r="B270" s="29" t="s">
        <v>434</v>
      </c>
      <c r="C270" s="168"/>
      <c r="D270" s="779"/>
      <c r="E270" s="780"/>
      <c r="F270" s="145">
        <f t="shared" si="63"/>
        <v>17275998.307692308</v>
      </c>
      <c r="G270" s="773">
        <f t="shared" si="64"/>
        <v>17275998.307692312</v>
      </c>
      <c r="H270" s="145">
        <f t="shared" si="53"/>
        <v>57285</v>
      </c>
      <c r="I270" s="772">
        <f t="shared" si="61"/>
        <v>-11582784.158461537</v>
      </c>
      <c r="J270" s="773">
        <f t="shared" si="65"/>
        <v>-11239074.158461539</v>
      </c>
      <c r="K270" s="774">
        <f t="shared" si="56"/>
        <v>5693214.1492307708</v>
      </c>
      <c r="L270" s="773">
        <f t="shared" si="54"/>
        <v>-1992624.9522307697</v>
      </c>
      <c r="M270" s="773">
        <f t="shared" si="58"/>
        <v>-20049.75</v>
      </c>
      <c r="N270" s="777"/>
      <c r="O270" s="773">
        <f t="shared" si="55"/>
        <v>0</v>
      </c>
      <c r="P270" s="777">
        <f t="shared" si="62"/>
        <v>5693214.1492307708</v>
      </c>
      <c r="Q270" s="776"/>
      <c r="R270" s="776"/>
      <c r="S270" s="776"/>
      <c r="T270" s="776"/>
      <c r="U270" s="777">
        <f t="shared" si="57"/>
        <v>-1992624.8747564103</v>
      </c>
      <c r="V270" s="773">
        <f t="shared" si="59"/>
        <v>-2112923.3747564103</v>
      </c>
      <c r="W270" s="778">
        <f t="shared" si="60"/>
        <v>3924000.7744743624</v>
      </c>
      <c r="Z270" s="797"/>
    </row>
    <row r="271" spans="1:26" hidden="1" outlineLevel="1">
      <c r="A271" s="168"/>
      <c r="B271" s="29" t="s">
        <v>435</v>
      </c>
      <c r="C271" s="168"/>
      <c r="D271" s="779"/>
      <c r="E271" s="780"/>
      <c r="F271" s="145">
        <f t="shared" si="63"/>
        <v>17275998.307692308</v>
      </c>
      <c r="G271" s="773">
        <f t="shared" si="64"/>
        <v>17275998.307692312</v>
      </c>
      <c r="H271" s="145">
        <f t="shared" si="53"/>
        <v>57285</v>
      </c>
      <c r="I271" s="772">
        <f t="shared" si="61"/>
        <v>-11640069.158461537</v>
      </c>
      <c r="J271" s="773">
        <f t="shared" si="65"/>
        <v>-11296359.158461539</v>
      </c>
      <c r="K271" s="774">
        <f t="shared" si="56"/>
        <v>5635929.1492307708</v>
      </c>
      <c r="L271" s="773">
        <f t="shared" si="54"/>
        <v>-1972575.2022307697</v>
      </c>
      <c r="M271" s="773">
        <f t="shared" si="58"/>
        <v>-20049.75</v>
      </c>
      <c r="N271" s="777"/>
      <c r="O271" s="773">
        <f t="shared" si="55"/>
        <v>0</v>
      </c>
      <c r="P271" s="777">
        <f t="shared" si="62"/>
        <v>5635929.1492307708</v>
      </c>
      <c r="Q271" s="776"/>
      <c r="R271" s="776"/>
      <c r="S271" s="776"/>
      <c r="T271" s="776"/>
      <c r="U271" s="777">
        <f t="shared" si="57"/>
        <v>-1972575.1247564103</v>
      </c>
      <c r="V271" s="773">
        <f t="shared" si="59"/>
        <v>-2092873.6247564105</v>
      </c>
      <c r="W271" s="778">
        <f t="shared" si="60"/>
        <v>3886765.5244743619</v>
      </c>
      <c r="Z271" s="797"/>
    </row>
    <row r="272" spans="1:26" hidden="1" outlineLevel="1">
      <c r="A272" s="168"/>
      <c r="B272" s="29" t="s">
        <v>436</v>
      </c>
      <c r="C272" s="168"/>
      <c r="D272" s="779"/>
      <c r="E272" s="780"/>
      <c r="F272" s="145">
        <f t="shared" si="63"/>
        <v>17275998.307692308</v>
      </c>
      <c r="G272" s="773">
        <f t="shared" si="64"/>
        <v>17275998.307692312</v>
      </c>
      <c r="H272" s="145">
        <f t="shared" si="53"/>
        <v>57285</v>
      </c>
      <c r="I272" s="772">
        <f t="shared" si="61"/>
        <v>-11697354.158461537</v>
      </c>
      <c r="J272" s="773">
        <f t="shared" si="65"/>
        <v>-11353644.158461539</v>
      </c>
      <c r="K272" s="774">
        <f t="shared" si="56"/>
        <v>5578644.1492307708</v>
      </c>
      <c r="L272" s="773">
        <f t="shared" si="54"/>
        <v>-1952525.4522307697</v>
      </c>
      <c r="M272" s="773">
        <f t="shared" si="58"/>
        <v>-20049.75</v>
      </c>
      <c r="N272" s="777"/>
      <c r="O272" s="773">
        <f t="shared" si="55"/>
        <v>0</v>
      </c>
      <c r="P272" s="777">
        <f t="shared" si="62"/>
        <v>5578644.1492307708</v>
      </c>
      <c r="Q272" s="776"/>
      <c r="R272" s="776"/>
      <c r="S272" s="776"/>
      <c r="T272" s="776"/>
      <c r="U272" s="777">
        <f t="shared" si="57"/>
        <v>-1952525.3747564103</v>
      </c>
      <c r="V272" s="773">
        <f t="shared" si="59"/>
        <v>-2072823.8747564105</v>
      </c>
      <c r="W272" s="778">
        <f t="shared" si="60"/>
        <v>3849530.2744743619</v>
      </c>
      <c r="Z272" s="797"/>
    </row>
    <row r="273" spans="1:26" hidden="1" outlineLevel="1">
      <c r="A273" s="168"/>
      <c r="B273" s="29" t="s">
        <v>437</v>
      </c>
      <c r="C273" s="168"/>
      <c r="D273" s="779"/>
      <c r="E273" s="780"/>
      <c r="F273" s="145">
        <f t="shared" si="63"/>
        <v>17275998.307692308</v>
      </c>
      <c r="G273" s="773">
        <f t="shared" si="64"/>
        <v>17275998.307692312</v>
      </c>
      <c r="H273" s="145">
        <f t="shared" si="53"/>
        <v>57285</v>
      </c>
      <c r="I273" s="772">
        <f t="shared" si="61"/>
        <v>-11754639.158461537</v>
      </c>
      <c r="J273" s="773">
        <f t="shared" si="65"/>
        <v>-11410929.158461539</v>
      </c>
      <c r="K273" s="774">
        <f t="shared" si="56"/>
        <v>5521359.1492307708</v>
      </c>
      <c r="L273" s="773">
        <f t="shared" si="54"/>
        <v>-1932475.7022307697</v>
      </c>
      <c r="M273" s="773">
        <f t="shared" si="58"/>
        <v>-20049.75</v>
      </c>
      <c r="N273" s="777"/>
      <c r="O273" s="773">
        <f t="shared" si="55"/>
        <v>0</v>
      </c>
      <c r="P273" s="777">
        <f t="shared" si="62"/>
        <v>5521359.1492307708</v>
      </c>
      <c r="Q273" s="776"/>
      <c r="R273" s="776"/>
      <c r="S273" s="776"/>
      <c r="T273" s="776"/>
      <c r="U273" s="777">
        <f t="shared" si="57"/>
        <v>-1932475.6247564103</v>
      </c>
      <c r="V273" s="773">
        <f t="shared" si="59"/>
        <v>-2052774.1247564105</v>
      </c>
      <c r="W273" s="778">
        <f t="shared" si="60"/>
        <v>3812295.0244743619</v>
      </c>
      <c r="Z273" s="797"/>
    </row>
    <row r="274" spans="1:26" hidden="1" outlineLevel="1">
      <c r="A274" s="168"/>
      <c r="B274" s="29" t="s">
        <v>438</v>
      </c>
      <c r="C274" s="168"/>
      <c r="D274" s="776"/>
      <c r="E274" s="776"/>
      <c r="F274" s="145">
        <f t="shared" si="63"/>
        <v>17275998.307692308</v>
      </c>
      <c r="G274" s="773">
        <f t="shared" si="64"/>
        <v>17275998.307692312</v>
      </c>
      <c r="H274" s="145">
        <f t="shared" si="53"/>
        <v>57285</v>
      </c>
      <c r="I274" s="772">
        <f t="shared" si="61"/>
        <v>-11811924.158461537</v>
      </c>
      <c r="J274" s="773">
        <f t="shared" si="65"/>
        <v>-11468214.158461539</v>
      </c>
      <c r="K274" s="774">
        <f t="shared" si="56"/>
        <v>5464074.1492307708</v>
      </c>
      <c r="L274" s="773">
        <f t="shared" si="54"/>
        <v>-1912425.9522307697</v>
      </c>
      <c r="M274" s="773">
        <f t="shared" si="58"/>
        <v>-20049.75</v>
      </c>
      <c r="N274" s="777"/>
      <c r="O274" s="773">
        <f t="shared" si="55"/>
        <v>0</v>
      </c>
      <c r="P274" s="777">
        <f t="shared" si="62"/>
        <v>5464074.1492307708</v>
      </c>
      <c r="Q274" s="776"/>
      <c r="R274" s="776"/>
      <c r="S274" s="776"/>
      <c r="T274" s="776"/>
      <c r="U274" s="777">
        <f t="shared" si="57"/>
        <v>-1912425.8747564103</v>
      </c>
      <c r="V274" s="773">
        <f t="shared" si="59"/>
        <v>-2032724.3747564105</v>
      </c>
      <c r="W274" s="778">
        <f t="shared" si="60"/>
        <v>3775059.7744743619</v>
      </c>
      <c r="Z274" s="797"/>
    </row>
    <row r="275" spans="1:26" hidden="1" outlineLevel="1">
      <c r="A275" s="168"/>
      <c r="B275" s="29" t="s">
        <v>439</v>
      </c>
      <c r="C275" s="168"/>
      <c r="D275" s="776"/>
      <c r="E275" s="776"/>
      <c r="F275" s="145">
        <f t="shared" si="63"/>
        <v>17275998.307692308</v>
      </c>
      <c r="G275" s="773">
        <f t="shared" si="64"/>
        <v>17275998.307692312</v>
      </c>
      <c r="H275" s="145">
        <f t="shared" si="53"/>
        <v>57285</v>
      </c>
      <c r="I275" s="772">
        <f t="shared" si="61"/>
        <v>-11869209.158461537</v>
      </c>
      <c r="J275" s="773">
        <f t="shared" si="65"/>
        <v>-11525499.158461539</v>
      </c>
      <c r="K275" s="774">
        <f t="shared" si="56"/>
        <v>5406789.1492307708</v>
      </c>
      <c r="L275" s="773">
        <f t="shared" si="54"/>
        <v>-1892376.2022307697</v>
      </c>
      <c r="M275" s="773">
        <f t="shared" si="58"/>
        <v>-20049.75</v>
      </c>
      <c r="N275" s="777"/>
      <c r="O275" s="773">
        <f t="shared" si="55"/>
        <v>0</v>
      </c>
      <c r="P275" s="777">
        <f t="shared" si="62"/>
        <v>5406789.1492307708</v>
      </c>
      <c r="Q275" s="776"/>
      <c r="R275" s="776"/>
      <c r="S275" s="776"/>
      <c r="T275" s="776"/>
      <c r="U275" s="777">
        <f t="shared" si="57"/>
        <v>-1892376.1247564103</v>
      </c>
      <c r="V275" s="773">
        <f t="shared" si="59"/>
        <v>-2012674.6247564105</v>
      </c>
      <c r="W275" s="778">
        <f t="shared" si="60"/>
        <v>3737824.5244743619</v>
      </c>
      <c r="Z275" s="797"/>
    </row>
    <row r="276" spans="1:26" hidden="1" outlineLevel="1">
      <c r="A276" s="168"/>
      <c r="B276" s="29" t="s">
        <v>440</v>
      </c>
      <c r="C276" s="168"/>
      <c r="D276" s="776"/>
      <c r="E276" s="776"/>
      <c r="F276" s="145">
        <f t="shared" si="63"/>
        <v>17275998.307692308</v>
      </c>
      <c r="G276" s="773">
        <f t="shared" si="64"/>
        <v>17275998.307692312</v>
      </c>
      <c r="H276" s="145">
        <f t="shared" si="53"/>
        <v>57285</v>
      </c>
      <c r="I276" s="772">
        <f t="shared" si="61"/>
        <v>-11926494.158461537</v>
      </c>
      <c r="J276" s="773">
        <f t="shared" si="65"/>
        <v>-11582784.158461539</v>
      </c>
      <c r="K276" s="774">
        <f t="shared" si="56"/>
        <v>5349504.1492307708</v>
      </c>
      <c r="L276" s="773">
        <f t="shared" si="54"/>
        <v>-1872326.4522307697</v>
      </c>
      <c r="M276" s="773">
        <f t="shared" si="58"/>
        <v>-20049.75</v>
      </c>
      <c r="N276" s="777"/>
      <c r="O276" s="773">
        <f t="shared" si="55"/>
        <v>0</v>
      </c>
      <c r="P276" s="777">
        <f t="shared" si="62"/>
        <v>5349504.1492307708</v>
      </c>
      <c r="Q276" s="776"/>
      <c r="R276" s="776"/>
      <c r="S276" s="776"/>
      <c r="T276" s="776"/>
      <c r="U276" s="777">
        <f t="shared" si="57"/>
        <v>-1872326.3747564103</v>
      </c>
      <c r="V276" s="773">
        <f t="shared" si="59"/>
        <v>-1992624.8747564105</v>
      </c>
      <c r="W276" s="778">
        <f t="shared" si="60"/>
        <v>3700589.2744743619</v>
      </c>
      <c r="Z276" s="797"/>
    </row>
    <row r="277" spans="1:26" hidden="1" outlineLevel="1">
      <c r="A277" s="168"/>
      <c r="B277" s="29" t="s">
        <v>441</v>
      </c>
      <c r="C277" s="168"/>
      <c r="D277" s="776"/>
      <c r="E277" s="776"/>
      <c r="F277" s="145">
        <f t="shared" si="63"/>
        <v>17275998.307692308</v>
      </c>
      <c r="G277" s="773">
        <f t="shared" si="64"/>
        <v>17275998.307692312</v>
      </c>
      <c r="H277" s="145">
        <f t="shared" si="53"/>
        <v>57285</v>
      </c>
      <c r="I277" s="772">
        <f t="shared" si="61"/>
        <v>-11983779.158461537</v>
      </c>
      <c r="J277" s="773">
        <f t="shared" si="65"/>
        <v>-11640069.158461539</v>
      </c>
      <c r="K277" s="774">
        <f t="shared" si="56"/>
        <v>5292219.1492307708</v>
      </c>
      <c r="L277" s="773">
        <f t="shared" si="54"/>
        <v>-1852276.7022307697</v>
      </c>
      <c r="M277" s="773">
        <f t="shared" si="58"/>
        <v>-20049.75</v>
      </c>
      <c r="N277" s="777"/>
      <c r="O277" s="773">
        <f t="shared" si="55"/>
        <v>0</v>
      </c>
      <c r="P277" s="777">
        <f t="shared" si="62"/>
        <v>5292219.1492307708</v>
      </c>
      <c r="Q277" s="776"/>
      <c r="R277" s="776"/>
      <c r="S277" s="776"/>
      <c r="T277" s="776"/>
      <c r="U277" s="777">
        <f t="shared" si="57"/>
        <v>-1852276.6247564103</v>
      </c>
      <c r="V277" s="773">
        <f t="shared" si="59"/>
        <v>-1972575.1247564105</v>
      </c>
      <c r="W277" s="778">
        <f t="shared" si="60"/>
        <v>3663354.0244743619</v>
      </c>
      <c r="Z277" s="797"/>
    </row>
    <row r="278" spans="1:26" hidden="1" outlineLevel="1">
      <c r="A278" s="168"/>
      <c r="B278" s="29" t="s">
        <v>442</v>
      </c>
      <c r="C278" s="168"/>
      <c r="D278" s="776"/>
      <c r="E278" s="776"/>
      <c r="F278" s="145">
        <f t="shared" si="63"/>
        <v>17275998.307692308</v>
      </c>
      <c r="G278" s="773">
        <f t="shared" si="64"/>
        <v>17275998.307692312</v>
      </c>
      <c r="H278" s="145">
        <f t="shared" si="53"/>
        <v>57285</v>
      </c>
      <c r="I278" s="772">
        <f t="shared" si="61"/>
        <v>-12041064.158461537</v>
      </c>
      <c r="J278" s="773">
        <f t="shared" si="65"/>
        <v>-11697354.158461539</v>
      </c>
      <c r="K278" s="774">
        <f t="shared" si="56"/>
        <v>5234934.1492307708</v>
      </c>
      <c r="L278" s="773">
        <f t="shared" si="54"/>
        <v>-1832226.9522307697</v>
      </c>
      <c r="M278" s="773">
        <f t="shared" si="58"/>
        <v>-20049.75</v>
      </c>
      <c r="N278" s="777"/>
      <c r="O278" s="773">
        <f t="shared" si="55"/>
        <v>0</v>
      </c>
      <c r="P278" s="777">
        <f t="shared" si="62"/>
        <v>5234934.1492307708</v>
      </c>
      <c r="Q278" s="776"/>
      <c r="R278" s="776"/>
      <c r="S278" s="776"/>
      <c r="T278" s="776"/>
      <c r="U278" s="777">
        <f t="shared" si="57"/>
        <v>-1832226.8747564103</v>
      </c>
      <c r="V278" s="773">
        <f t="shared" si="59"/>
        <v>-1952525.3747564105</v>
      </c>
      <c r="W278" s="778">
        <f t="shared" si="60"/>
        <v>3626118.7744743619</v>
      </c>
      <c r="Z278" s="797"/>
    </row>
    <row r="279" spans="1:26" hidden="1" outlineLevel="1">
      <c r="A279" s="168"/>
      <c r="B279" s="29" t="s">
        <v>443</v>
      </c>
      <c r="C279" s="168"/>
      <c r="D279" s="776"/>
      <c r="E279" s="776"/>
      <c r="F279" s="145">
        <f t="shared" si="63"/>
        <v>17275998.307692308</v>
      </c>
      <c r="G279" s="773">
        <f t="shared" si="64"/>
        <v>17275998.307692312</v>
      </c>
      <c r="H279" s="145">
        <f t="shared" si="53"/>
        <v>57285</v>
      </c>
      <c r="I279" s="772">
        <f t="shared" si="61"/>
        <v>-12098349.158461537</v>
      </c>
      <c r="J279" s="773">
        <f t="shared" si="65"/>
        <v>-11754639.158461539</v>
      </c>
      <c r="K279" s="774">
        <f t="shared" si="56"/>
        <v>5177649.1492307708</v>
      </c>
      <c r="L279" s="773">
        <f t="shared" si="54"/>
        <v>-1812177.2022307697</v>
      </c>
      <c r="M279" s="773">
        <f t="shared" si="58"/>
        <v>-20049.75</v>
      </c>
      <c r="N279" s="777"/>
      <c r="O279" s="773">
        <f t="shared" si="55"/>
        <v>0</v>
      </c>
      <c r="P279" s="777">
        <f t="shared" si="62"/>
        <v>5177649.1492307708</v>
      </c>
      <c r="Q279" s="776"/>
      <c r="R279" s="776"/>
      <c r="S279" s="776"/>
      <c r="T279" s="776"/>
      <c r="U279" s="777">
        <f t="shared" si="57"/>
        <v>-1812177.1247564103</v>
      </c>
      <c r="V279" s="773">
        <f t="shared" si="59"/>
        <v>-1932475.6247564105</v>
      </c>
      <c r="W279" s="778">
        <f t="shared" si="60"/>
        <v>3588883.5244743619</v>
      </c>
      <c r="Z279" s="797"/>
    </row>
    <row r="280" spans="1:26" hidden="1" outlineLevel="1">
      <c r="A280" s="168"/>
      <c r="B280" s="29" t="s">
        <v>444</v>
      </c>
      <c r="C280" s="168"/>
      <c r="D280" s="776"/>
      <c r="E280" s="776"/>
      <c r="F280" s="145">
        <f t="shared" si="63"/>
        <v>17275998.307692308</v>
      </c>
      <c r="G280" s="773">
        <f t="shared" si="64"/>
        <v>17275998.307692312</v>
      </c>
      <c r="H280" s="145">
        <f t="shared" si="53"/>
        <v>57285</v>
      </c>
      <c r="I280" s="772">
        <f t="shared" si="61"/>
        <v>-12155634.158461537</v>
      </c>
      <c r="J280" s="773">
        <f t="shared" si="65"/>
        <v>-11811924.158461539</v>
      </c>
      <c r="K280" s="774">
        <f t="shared" si="56"/>
        <v>5120364.1492307708</v>
      </c>
      <c r="L280" s="773">
        <f t="shared" si="54"/>
        <v>-1792127.4522307697</v>
      </c>
      <c r="M280" s="773">
        <f t="shared" si="58"/>
        <v>-20049.75</v>
      </c>
      <c r="N280" s="777"/>
      <c r="O280" s="773">
        <f t="shared" si="55"/>
        <v>0</v>
      </c>
      <c r="P280" s="777">
        <f t="shared" si="62"/>
        <v>5120364.1492307708</v>
      </c>
      <c r="Q280" s="776"/>
      <c r="R280" s="776"/>
      <c r="S280" s="776"/>
      <c r="T280" s="776"/>
      <c r="U280" s="777">
        <f t="shared" si="57"/>
        <v>-1792127.3747564103</v>
      </c>
      <c r="V280" s="773">
        <f t="shared" si="59"/>
        <v>-1912425.8747564105</v>
      </c>
      <c r="W280" s="778">
        <f t="shared" si="60"/>
        <v>3551648.2744743619</v>
      </c>
      <c r="Z280" s="797"/>
    </row>
    <row r="281" spans="1:26" hidden="1" outlineLevel="1">
      <c r="A281" s="168"/>
      <c r="B281" s="29" t="s">
        <v>445</v>
      </c>
      <c r="C281" s="168"/>
      <c r="D281" s="776"/>
      <c r="E281" s="776"/>
      <c r="F281" s="145">
        <f t="shared" si="63"/>
        <v>17275998.307692308</v>
      </c>
      <c r="G281" s="773">
        <f t="shared" si="64"/>
        <v>17275998.307692312</v>
      </c>
      <c r="H281" s="145">
        <f t="shared" ref="H281:H344" si="66">H280</f>
        <v>57285</v>
      </c>
      <c r="I281" s="772">
        <f t="shared" si="61"/>
        <v>-12212919.158461537</v>
      </c>
      <c r="J281" s="773">
        <f t="shared" si="65"/>
        <v>-11869209.158461539</v>
      </c>
      <c r="K281" s="774">
        <f t="shared" si="56"/>
        <v>5063079.1492307708</v>
      </c>
      <c r="L281" s="773">
        <f t="shared" si="54"/>
        <v>-1772077.7022307697</v>
      </c>
      <c r="M281" s="773">
        <f t="shared" si="58"/>
        <v>-20049.75</v>
      </c>
      <c r="N281" s="777"/>
      <c r="O281" s="773">
        <f t="shared" si="55"/>
        <v>0</v>
      </c>
      <c r="P281" s="777">
        <f t="shared" si="62"/>
        <v>5063079.1492307708</v>
      </c>
      <c r="Q281" s="776"/>
      <c r="R281" s="776"/>
      <c r="S281" s="776"/>
      <c r="T281" s="776"/>
      <c r="U281" s="777">
        <f t="shared" si="57"/>
        <v>-1772077.6247564103</v>
      </c>
      <c r="V281" s="773">
        <f t="shared" si="59"/>
        <v>-1892376.1247564105</v>
      </c>
      <c r="W281" s="778">
        <f t="shared" si="60"/>
        <v>3514413.0244743619</v>
      </c>
      <c r="Z281" s="797"/>
    </row>
    <row r="282" spans="1:26" hidden="1" outlineLevel="1">
      <c r="A282" s="168"/>
      <c r="B282" s="29" t="s">
        <v>446</v>
      </c>
      <c r="C282" s="168"/>
      <c r="D282" s="776"/>
      <c r="E282" s="776"/>
      <c r="F282" s="145">
        <f t="shared" si="63"/>
        <v>17275998.307692308</v>
      </c>
      <c r="G282" s="773">
        <f t="shared" si="64"/>
        <v>17275998.307692312</v>
      </c>
      <c r="H282" s="145">
        <f t="shared" si="66"/>
        <v>57285</v>
      </c>
      <c r="I282" s="772">
        <f t="shared" si="61"/>
        <v>-12270204.158461537</v>
      </c>
      <c r="J282" s="773">
        <f t="shared" si="65"/>
        <v>-11926494.158461539</v>
      </c>
      <c r="K282" s="774">
        <f t="shared" si="56"/>
        <v>5005794.1492307708</v>
      </c>
      <c r="L282" s="773">
        <f t="shared" si="54"/>
        <v>-1752027.9522307697</v>
      </c>
      <c r="M282" s="773">
        <f t="shared" si="58"/>
        <v>-20049.75</v>
      </c>
      <c r="N282" s="777"/>
      <c r="O282" s="773">
        <f t="shared" si="55"/>
        <v>0</v>
      </c>
      <c r="P282" s="777">
        <f t="shared" si="62"/>
        <v>5005794.1492307708</v>
      </c>
      <c r="Q282" s="776"/>
      <c r="R282" s="776"/>
      <c r="S282" s="776"/>
      <c r="T282" s="776"/>
      <c r="U282" s="777">
        <f t="shared" si="57"/>
        <v>-1752027.8747564103</v>
      </c>
      <c r="V282" s="773">
        <f t="shared" si="59"/>
        <v>-1872326.3747564105</v>
      </c>
      <c r="W282" s="778">
        <f t="shared" si="60"/>
        <v>3477177.7744743619</v>
      </c>
      <c r="Z282" s="797"/>
    </row>
    <row r="283" spans="1:26" hidden="1" outlineLevel="1">
      <c r="A283" s="168"/>
      <c r="B283" s="29" t="s">
        <v>447</v>
      </c>
      <c r="C283" s="168"/>
      <c r="D283" s="776"/>
      <c r="E283" s="776"/>
      <c r="F283" s="145">
        <f t="shared" si="63"/>
        <v>17275998.307692308</v>
      </c>
      <c r="G283" s="773">
        <f t="shared" si="64"/>
        <v>17275998.307692312</v>
      </c>
      <c r="H283" s="145">
        <f t="shared" si="66"/>
        <v>57285</v>
      </c>
      <c r="I283" s="772">
        <f t="shared" si="61"/>
        <v>-12327489.158461537</v>
      </c>
      <c r="J283" s="773">
        <f t="shared" si="65"/>
        <v>-11983779.158461539</v>
      </c>
      <c r="K283" s="774">
        <f t="shared" si="56"/>
        <v>4948509.1492307708</v>
      </c>
      <c r="L283" s="773">
        <f t="shared" si="54"/>
        <v>-1731978.2022307697</v>
      </c>
      <c r="M283" s="773">
        <f t="shared" si="58"/>
        <v>-20049.75</v>
      </c>
      <c r="N283" s="777"/>
      <c r="O283" s="773">
        <f t="shared" si="55"/>
        <v>0</v>
      </c>
      <c r="P283" s="777">
        <f t="shared" si="62"/>
        <v>4948509.1492307708</v>
      </c>
      <c r="Q283" s="776"/>
      <c r="R283" s="776"/>
      <c r="S283" s="776"/>
      <c r="T283" s="776"/>
      <c r="U283" s="777">
        <f t="shared" si="57"/>
        <v>-1731978.1247564103</v>
      </c>
      <c r="V283" s="773">
        <f t="shared" si="59"/>
        <v>-1852276.6247564105</v>
      </c>
      <c r="W283" s="778">
        <f t="shared" si="60"/>
        <v>3439942.5244743619</v>
      </c>
      <c r="Z283" s="797"/>
    </row>
    <row r="284" spans="1:26" hidden="1" outlineLevel="1">
      <c r="A284" s="168"/>
      <c r="B284" s="29" t="s">
        <v>448</v>
      </c>
      <c r="C284" s="168"/>
      <c r="D284" s="776"/>
      <c r="E284" s="776"/>
      <c r="F284" s="145">
        <f t="shared" si="63"/>
        <v>17275998.307692308</v>
      </c>
      <c r="G284" s="773">
        <f t="shared" si="64"/>
        <v>17275998.307692312</v>
      </c>
      <c r="H284" s="145">
        <f t="shared" si="66"/>
        <v>57285</v>
      </c>
      <c r="I284" s="772">
        <f t="shared" si="61"/>
        <v>-12384774.158461537</v>
      </c>
      <c r="J284" s="773">
        <f t="shared" si="65"/>
        <v>-12041064.158461539</v>
      </c>
      <c r="K284" s="774">
        <f t="shared" si="56"/>
        <v>4891224.1492307708</v>
      </c>
      <c r="L284" s="773">
        <f t="shared" si="54"/>
        <v>-1711928.4522307697</v>
      </c>
      <c r="M284" s="773">
        <f t="shared" si="58"/>
        <v>-20049.75</v>
      </c>
      <c r="N284" s="777"/>
      <c r="O284" s="773">
        <f t="shared" si="55"/>
        <v>0</v>
      </c>
      <c r="P284" s="777">
        <f t="shared" si="62"/>
        <v>4891224.1492307708</v>
      </c>
      <c r="Q284" s="776"/>
      <c r="R284" s="776"/>
      <c r="S284" s="776"/>
      <c r="T284" s="776"/>
      <c r="U284" s="777">
        <f t="shared" si="57"/>
        <v>-1711928.3747564103</v>
      </c>
      <c r="V284" s="773">
        <f t="shared" si="59"/>
        <v>-1832226.8747564105</v>
      </c>
      <c r="W284" s="778">
        <f t="shared" si="60"/>
        <v>3402707.2744743619</v>
      </c>
      <c r="Z284" s="797"/>
    </row>
    <row r="285" spans="1:26" hidden="1" outlineLevel="1">
      <c r="A285" s="168"/>
      <c r="B285" s="29" t="s">
        <v>449</v>
      </c>
      <c r="C285" s="168"/>
      <c r="D285" s="776"/>
      <c r="E285" s="776"/>
      <c r="F285" s="145">
        <f t="shared" si="63"/>
        <v>17275998.307692308</v>
      </c>
      <c r="G285" s="773">
        <f t="shared" si="64"/>
        <v>17275998.307692312</v>
      </c>
      <c r="H285" s="145">
        <f t="shared" si="66"/>
        <v>57285</v>
      </c>
      <c r="I285" s="772">
        <f t="shared" si="61"/>
        <v>-12442059.158461537</v>
      </c>
      <c r="J285" s="773">
        <f t="shared" si="65"/>
        <v>-12098349.158461539</v>
      </c>
      <c r="K285" s="774">
        <f t="shared" si="56"/>
        <v>4833939.1492307708</v>
      </c>
      <c r="L285" s="773">
        <f t="shared" si="54"/>
        <v>-1691878.7022307697</v>
      </c>
      <c r="M285" s="773">
        <f t="shared" si="58"/>
        <v>-20049.75</v>
      </c>
      <c r="N285" s="777"/>
      <c r="O285" s="773">
        <f t="shared" si="55"/>
        <v>0</v>
      </c>
      <c r="P285" s="777">
        <f t="shared" si="62"/>
        <v>4833939.1492307708</v>
      </c>
      <c r="Q285" s="776"/>
      <c r="R285" s="776"/>
      <c r="S285" s="776"/>
      <c r="T285" s="776"/>
      <c r="U285" s="777">
        <f t="shared" si="57"/>
        <v>-1691878.6247564103</v>
      </c>
      <c r="V285" s="773">
        <f t="shared" si="59"/>
        <v>-1812177.1247564105</v>
      </c>
      <c r="W285" s="778">
        <f t="shared" si="60"/>
        <v>3365472.0244743619</v>
      </c>
      <c r="Z285" s="797"/>
    </row>
    <row r="286" spans="1:26" hidden="1" outlineLevel="1">
      <c r="A286" s="168"/>
      <c r="B286" s="29" t="s">
        <v>450</v>
      </c>
      <c r="C286" s="168"/>
      <c r="D286" s="776"/>
      <c r="E286" s="776"/>
      <c r="F286" s="145">
        <f t="shared" si="63"/>
        <v>17275998.307692308</v>
      </c>
      <c r="G286" s="773">
        <f t="shared" si="64"/>
        <v>17275998.307692312</v>
      </c>
      <c r="H286" s="145">
        <f t="shared" si="66"/>
        <v>57285</v>
      </c>
      <c r="I286" s="772">
        <f t="shared" si="61"/>
        <v>-12499344.158461537</v>
      </c>
      <c r="J286" s="773">
        <f t="shared" si="65"/>
        <v>-12155634.158461539</v>
      </c>
      <c r="K286" s="774">
        <f t="shared" si="56"/>
        <v>4776654.1492307708</v>
      </c>
      <c r="L286" s="773">
        <f t="shared" ref="L286:L349" si="67">-K286*35%</f>
        <v>-1671828.9522307697</v>
      </c>
      <c r="M286" s="773">
        <f t="shared" si="58"/>
        <v>-20049.75</v>
      </c>
      <c r="N286" s="777"/>
      <c r="O286" s="773">
        <f t="shared" si="55"/>
        <v>0</v>
      </c>
      <c r="P286" s="777">
        <f t="shared" si="62"/>
        <v>4776654.1492307708</v>
      </c>
      <c r="Q286" s="776"/>
      <c r="R286" s="776"/>
      <c r="S286" s="776"/>
      <c r="T286" s="776"/>
      <c r="U286" s="777">
        <f t="shared" si="57"/>
        <v>-1671828.8747564103</v>
      </c>
      <c r="V286" s="773">
        <f t="shared" si="59"/>
        <v>-1792127.3747564105</v>
      </c>
      <c r="W286" s="778">
        <f t="shared" si="60"/>
        <v>3328236.7744743619</v>
      </c>
      <c r="Z286" s="797"/>
    </row>
    <row r="287" spans="1:26" hidden="1" outlineLevel="1">
      <c r="A287" s="168"/>
      <c r="B287" s="29" t="s">
        <v>451</v>
      </c>
      <c r="C287" s="168"/>
      <c r="D287" s="776"/>
      <c r="E287" s="776"/>
      <c r="F287" s="145">
        <f t="shared" si="63"/>
        <v>17275998.307692308</v>
      </c>
      <c r="G287" s="773">
        <f t="shared" si="64"/>
        <v>17275998.307692312</v>
      </c>
      <c r="H287" s="145">
        <f t="shared" si="66"/>
        <v>57285</v>
      </c>
      <c r="I287" s="772">
        <f t="shared" si="61"/>
        <v>-12556629.158461537</v>
      </c>
      <c r="J287" s="773">
        <f t="shared" si="65"/>
        <v>-12212919.158461539</v>
      </c>
      <c r="K287" s="774">
        <f t="shared" si="56"/>
        <v>4719369.1492307708</v>
      </c>
      <c r="L287" s="773">
        <f t="shared" si="67"/>
        <v>-1651779.2022307697</v>
      </c>
      <c r="M287" s="773">
        <f t="shared" si="58"/>
        <v>-20049.75</v>
      </c>
      <c r="N287" s="777"/>
      <c r="O287" s="773">
        <f t="shared" si="55"/>
        <v>0</v>
      </c>
      <c r="P287" s="777">
        <f t="shared" si="62"/>
        <v>4719369.1492307708</v>
      </c>
      <c r="Q287" s="776"/>
      <c r="R287" s="776"/>
      <c r="S287" s="776"/>
      <c r="T287" s="776"/>
      <c r="U287" s="777">
        <f t="shared" si="57"/>
        <v>-1651779.1247564103</v>
      </c>
      <c r="V287" s="773">
        <f t="shared" si="59"/>
        <v>-1772077.6247564105</v>
      </c>
      <c r="W287" s="778">
        <f t="shared" si="60"/>
        <v>3291001.5244743619</v>
      </c>
      <c r="Z287" s="797"/>
    </row>
    <row r="288" spans="1:26" hidden="1" outlineLevel="1">
      <c r="A288" s="168"/>
      <c r="B288" s="29" t="s">
        <v>452</v>
      </c>
      <c r="C288" s="168"/>
      <c r="D288" s="776"/>
      <c r="E288" s="776"/>
      <c r="F288" s="145">
        <f t="shared" si="63"/>
        <v>17275998.307692308</v>
      </c>
      <c r="G288" s="773">
        <f t="shared" si="64"/>
        <v>17275998.307692312</v>
      </c>
      <c r="H288" s="145">
        <f t="shared" si="66"/>
        <v>57285</v>
      </c>
      <c r="I288" s="772">
        <f t="shared" si="61"/>
        <v>-12613914.158461537</v>
      </c>
      <c r="J288" s="773">
        <f t="shared" si="65"/>
        <v>-12270204.158461539</v>
      </c>
      <c r="K288" s="774">
        <f t="shared" si="56"/>
        <v>4662084.1492307708</v>
      </c>
      <c r="L288" s="773">
        <f t="shared" si="67"/>
        <v>-1631729.4522307697</v>
      </c>
      <c r="M288" s="773">
        <f t="shared" si="58"/>
        <v>-20049.75</v>
      </c>
      <c r="N288" s="777"/>
      <c r="O288" s="773">
        <f t="shared" si="55"/>
        <v>0</v>
      </c>
      <c r="P288" s="777">
        <f t="shared" si="62"/>
        <v>4662084.1492307708</v>
      </c>
      <c r="Q288" s="776"/>
      <c r="R288" s="776"/>
      <c r="S288" s="776"/>
      <c r="T288" s="776"/>
      <c r="U288" s="777">
        <f t="shared" si="57"/>
        <v>-1631729.3747564103</v>
      </c>
      <c r="V288" s="773">
        <f t="shared" si="59"/>
        <v>-1752027.8747564105</v>
      </c>
      <c r="W288" s="778">
        <f t="shared" si="60"/>
        <v>3253766.2744743619</v>
      </c>
      <c r="Z288" s="797"/>
    </row>
    <row r="289" spans="1:26" hidden="1" outlineLevel="1">
      <c r="A289" s="168"/>
      <c r="B289" s="29" t="s">
        <v>453</v>
      </c>
      <c r="C289" s="168"/>
      <c r="D289" s="776"/>
      <c r="E289" s="776"/>
      <c r="F289" s="145">
        <f t="shared" si="63"/>
        <v>17275998.307692308</v>
      </c>
      <c r="G289" s="773">
        <f t="shared" si="64"/>
        <v>17275998.307692312</v>
      </c>
      <c r="H289" s="145">
        <f t="shared" si="66"/>
        <v>57285</v>
      </c>
      <c r="I289" s="772">
        <f t="shared" si="61"/>
        <v>-12671199.158461537</v>
      </c>
      <c r="J289" s="773">
        <f t="shared" si="65"/>
        <v>-12327489.158461539</v>
      </c>
      <c r="K289" s="774">
        <f t="shared" si="56"/>
        <v>4604799.1492307708</v>
      </c>
      <c r="L289" s="773">
        <f t="shared" si="67"/>
        <v>-1611679.7022307697</v>
      </c>
      <c r="M289" s="773">
        <f t="shared" si="58"/>
        <v>-20049.75</v>
      </c>
      <c r="N289" s="777"/>
      <c r="O289" s="773">
        <f t="shared" si="55"/>
        <v>0</v>
      </c>
      <c r="P289" s="777">
        <f t="shared" si="62"/>
        <v>4604799.1492307708</v>
      </c>
      <c r="Q289" s="776"/>
      <c r="R289" s="776"/>
      <c r="S289" s="776"/>
      <c r="T289" s="776"/>
      <c r="U289" s="777">
        <f t="shared" si="57"/>
        <v>-1611679.6247564103</v>
      </c>
      <c r="V289" s="773">
        <f t="shared" si="59"/>
        <v>-1731978.1247564105</v>
      </c>
      <c r="W289" s="778">
        <f t="shared" si="60"/>
        <v>3216531.0244743619</v>
      </c>
      <c r="Z289" s="797"/>
    </row>
    <row r="290" spans="1:26" hidden="1" outlineLevel="1">
      <c r="A290" s="168"/>
      <c r="B290" s="29" t="s">
        <v>454</v>
      </c>
      <c r="C290" s="168"/>
      <c r="D290" s="776"/>
      <c r="E290" s="776"/>
      <c r="F290" s="145">
        <f t="shared" si="63"/>
        <v>17275998.307692308</v>
      </c>
      <c r="G290" s="773">
        <f t="shared" si="64"/>
        <v>17275998.307692312</v>
      </c>
      <c r="H290" s="145">
        <f t="shared" si="66"/>
        <v>57285</v>
      </c>
      <c r="I290" s="772">
        <f t="shared" si="61"/>
        <v>-12728484.158461537</v>
      </c>
      <c r="J290" s="773">
        <f t="shared" si="65"/>
        <v>-12384774.158461539</v>
      </c>
      <c r="K290" s="774">
        <f t="shared" si="56"/>
        <v>4547514.1492307708</v>
      </c>
      <c r="L290" s="773">
        <f t="shared" si="67"/>
        <v>-1591629.9522307697</v>
      </c>
      <c r="M290" s="773">
        <f t="shared" si="58"/>
        <v>-20049.75</v>
      </c>
      <c r="N290" s="777"/>
      <c r="O290" s="773">
        <f t="shared" si="55"/>
        <v>0</v>
      </c>
      <c r="P290" s="777">
        <f t="shared" si="62"/>
        <v>4547514.1492307708</v>
      </c>
      <c r="Q290" s="776"/>
      <c r="R290" s="776"/>
      <c r="S290" s="776"/>
      <c r="T290" s="776"/>
      <c r="U290" s="777">
        <f t="shared" si="57"/>
        <v>-1591629.8747564103</v>
      </c>
      <c r="V290" s="773">
        <f t="shared" si="59"/>
        <v>-1711928.3747564105</v>
      </c>
      <c r="W290" s="778">
        <f t="shared" si="60"/>
        <v>3179295.7744743619</v>
      </c>
      <c r="Z290" s="797"/>
    </row>
    <row r="291" spans="1:26" hidden="1" outlineLevel="1">
      <c r="A291" s="168"/>
      <c r="B291" s="29" t="s">
        <v>455</v>
      </c>
      <c r="C291" s="168"/>
      <c r="D291" s="776"/>
      <c r="E291" s="776"/>
      <c r="F291" s="145">
        <f t="shared" si="63"/>
        <v>17275998.307692308</v>
      </c>
      <c r="G291" s="773">
        <f t="shared" si="64"/>
        <v>17275998.307692312</v>
      </c>
      <c r="H291" s="145">
        <f t="shared" si="66"/>
        <v>57285</v>
      </c>
      <c r="I291" s="772">
        <f t="shared" si="61"/>
        <v>-12785769.158461537</v>
      </c>
      <c r="J291" s="773">
        <f t="shared" si="65"/>
        <v>-12442059.158461539</v>
      </c>
      <c r="K291" s="774">
        <f t="shared" si="56"/>
        <v>4490229.1492307708</v>
      </c>
      <c r="L291" s="773">
        <f t="shared" si="67"/>
        <v>-1571580.2022307697</v>
      </c>
      <c r="M291" s="773">
        <f t="shared" si="58"/>
        <v>-20049.75</v>
      </c>
      <c r="N291" s="777"/>
      <c r="O291" s="773">
        <f t="shared" si="55"/>
        <v>0</v>
      </c>
      <c r="P291" s="777">
        <f t="shared" si="62"/>
        <v>4490229.1492307708</v>
      </c>
      <c r="Q291" s="776"/>
      <c r="R291" s="776"/>
      <c r="S291" s="776"/>
      <c r="T291" s="776"/>
      <c r="U291" s="777">
        <f t="shared" si="57"/>
        <v>-1571580.1247564103</v>
      </c>
      <c r="V291" s="773">
        <f t="shared" si="59"/>
        <v>-1691878.6247564105</v>
      </c>
      <c r="W291" s="778">
        <f t="shared" si="60"/>
        <v>3142060.5244743619</v>
      </c>
      <c r="Z291" s="797"/>
    </row>
    <row r="292" spans="1:26" hidden="1" outlineLevel="1">
      <c r="A292" s="168"/>
      <c r="B292" s="29" t="s">
        <v>456</v>
      </c>
      <c r="C292" s="168"/>
      <c r="D292" s="776"/>
      <c r="E292" s="776"/>
      <c r="F292" s="145">
        <f t="shared" si="63"/>
        <v>17275998.307692308</v>
      </c>
      <c r="G292" s="773">
        <f t="shared" si="64"/>
        <v>17275998.307692312</v>
      </c>
      <c r="H292" s="145">
        <f t="shared" si="66"/>
        <v>57285</v>
      </c>
      <c r="I292" s="772">
        <f t="shared" si="61"/>
        <v>-12843054.158461537</v>
      </c>
      <c r="J292" s="773">
        <f t="shared" si="65"/>
        <v>-12499344.158461539</v>
      </c>
      <c r="K292" s="774">
        <f t="shared" si="56"/>
        <v>4432944.1492307708</v>
      </c>
      <c r="L292" s="773">
        <f t="shared" si="67"/>
        <v>-1551530.4522307697</v>
      </c>
      <c r="M292" s="773">
        <f t="shared" si="58"/>
        <v>-20049.75</v>
      </c>
      <c r="N292" s="777"/>
      <c r="O292" s="773">
        <f t="shared" ref="O292:O355" si="68">(N280+N292+SUM(N281:N291)*2)/24</f>
        <v>0</v>
      </c>
      <c r="P292" s="777">
        <f t="shared" si="62"/>
        <v>4432944.1492307708</v>
      </c>
      <c r="Q292" s="776"/>
      <c r="R292" s="776"/>
      <c r="S292" s="776"/>
      <c r="T292" s="776"/>
      <c r="U292" s="777">
        <f t="shared" si="57"/>
        <v>-1551530.3747564103</v>
      </c>
      <c r="V292" s="773">
        <f t="shared" si="59"/>
        <v>-1671828.8747564105</v>
      </c>
      <c r="W292" s="778">
        <f t="shared" si="60"/>
        <v>3104825.2744743619</v>
      </c>
      <c r="Z292" s="797"/>
    </row>
    <row r="293" spans="1:26" hidden="1" outlineLevel="1">
      <c r="A293" s="168"/>
      <c r="B293" s="29" t="s">
        <v>457</v>
      </c>
      <c r="C293" s="168"/>
      <c r="D293" s="776"/>
      <c r="E293" s="776"/>
      <c r="F293" s="145">
        <f t="shared" si="63"/>
        <v>17275998.307692308</v>
      </c>
      <c r="G293" s="773">
        <f t="shared" si="64"/>
        <v>17275998.307692312</v>
      </c>
      <c r="H293" s="145">
        <f t="shared" si="66"/>
        <v>57285</v>
      </c>
      <c r="I293" s="772">
        <f t="shared" si="61"/>
        <v>-12900339.158461537</v>
      </c>
      <c r="J293" s="773">
        <f t="shared" si="65"/>
        <v>-12556629.158461539</v>
      </c>
      <c r="K293" s="774">
        <f t="shared" si="56"/>
        <v>4375659.1492307708</v>
      </c>
      <c r="L293" s="773">
        <f t="shared" si="67"/>
        <v>-1531480.7022307697</v>
      </c>
      <c r="M293" s="773">
        <f t="shared" si="58"/>
        <v>-20049.75</v>
      </c>
      <c r="N293" s="777"/>
      <c r="O293" s="773">
        <f t="shared" si="68"/>
        <v>0</v>
      </c>
      <c r="P293" s="777">
        <f t="shared" si="62"/>
        <v>4375659.1492307708</v>
      </c>
      <c r="Q293" s="776"/>
      <c r="R293" s="776"/>
      <c r="S293" s="776"/>
      <c r="T293" s="776"/>
      <c r="U293" s="777">
        <f t="shared" si="57"/>
        <v>-1531480.6247564103</v>
      </c>
      <c r="V293" s="773">
        <f t="shared" si="59"/>
        <v>-1651779.1247564105</v>
      </c>
      <c r="W293" s="778">
        <f t="shared" si="60"/>
        <v>3067590.0244743619</v>
      </c>
      <c r="Z293" s="797"/>
    </row>
    <row r="294" spans="1:26" hidden="1" outlineLevel="1">
      <c r="A294" s="168"/>
      <c r="B294" s="29" t="s">
        <v>458</v>
      </c>
      <c r="C294" s="168"/>
      <c r="D294" s="776"/>
      <c r="E294" s="776"/>
      <c r="F294" s="145">
        <f t="shared" si="63"/>
        <v>17275998.307692308</v>
      </c>
      <c r="G294" s="773">
        <f t="shared" si="64"/>
        <v>17275998.307692312</v>
      </c>
      <c r="H294" s="145">
        <f t="shared" si="66"/>
        <v>57285</v>
      </c>
      <c r="I294" s="772">
        <f t="shared" si="61"/>
        <v>-12957624.158461537</v>
      </c>
      <c r="J294" s="773">
        <f t="shared" si="65"/>
        <v>-12613914.158461539</v>
      </c>
      <c r="K294" s="774">
        <f t="shared" si="56"/>
        <v>4318374.1492307708</v>
      </c>
      <c r="L294" s="773">
        <f t="shared" si="67"/>
        <v>-1511430.9522307697</v>
      </c>
      <c r="M294" s="773">
        <f t="shared" si="58"/>
        <v>-20049.75</v>
      </c>
      <c r="N294" s="777"/>
      <c r="O294" s="773">
        <f t="shared" si="68"/>
        <v>0</v>
      </c>
      <c r="P294" s="777">
        <f t="shared" si="62"/>
        <v>4318374.1492307708</v>
      </c>
      <c r="Q294" s="776"/>
      <c r="R294" s="776"/>
      <c r="S294" s="776"/>
      <c r="T294" s="776"/>
      <c r="U294" s="777">
        <f t="shared" si="57"/>
        <v>-1511430.8747564103</v>
      </c>
      <c r="V294" s="773">
        <f t="shared" si="59"/>
        <v>-1631729.3747564105</v>
      </c>
      <c r="W294" s="778">
        <f t="shared" si="60"/>
        <v>3030354.7744743619</v>
      </c>
      <c r="Z294" s="797"/>
    </row>
    <row r="295" spans="1:26" hidden="1" outlineLevel="1">
      <c r="A295" s="168"/>
      <c r="B295" s="29" t="s">
        <v>459</v>
      </c>
      <c r="C295" s="168"/>
      <c r="D295" s="776"/>
      <c r="E295" s="776"/>
      <c r="F295" s="145">
        <f t="shared" si="63"/>
        <v>17275998.307692308</v>
      </c>
      <c r="G295" s="773">
        <f t="shared" si="64"/>
        <v>17275998.307692312</v>
      </c>
      <c r="H295" s="145">
        <f t="shared" si="66"/>
        <v>57285</v>
      </c>
      <c r="I295" s="772">
        <f t="shared" si="61"/>
        <v>-13014909.158461537</v>
      </c>
      <c r="J295" s="773">
        <f t="shared" si="65"/>
        <v>-12671199.158461539</v>
      </c>
      <c r="K295" s="774">
        <f t="shared" si="56"/>
        <v>4261089.1492307708</v>
      </c>
      <c r="L295" s="773">
        <f t="shared" si="67"/>
        <v>-1491381.2022307697</v>
      </c>
      <c r="M295" s="773">
        <f t="shared" si="58"/>
        <v>-20049.75</v>
      </c>
      <c r="N295" s="777"/>
      <c r="O295" s="773">
        <f t="shared" si="68"/>
        <v>0</v>
      </c>
      <c r="P295" s="777">
        <f t="shared" si="62"/>
        <v>4261089.1492307708</v>
      </c>
      <c r="Q295" s="776"/>
      <c r="R295" s="776"/>
      <c r="S295" s="776"/>
      <c r="T295" s="776"/>
      <c r="U295" s="777">
        <f t="shared" si="57"/>
        <v>-1491381.1247564103</v>
      </c>
      <c r="V295" s="773">
        <f t="shared" si="59"/>
        <v>-1611679.6247564105</v>
      </c>
      <c r="W295" s="778">
        <f t="shared" si="60"/>
        <v>2993119.5244743619</v>
      </c>
      <c r="Z295" s="797"/>
    </row>
    <row r="296" spans="1:26" hidden="1" outlineLevel="1">
      <c r="A296" s="168"/>
      <c r="B296" s="29" t="s">
        <v>460</v>
      </c>
      <c r="C296" s="168"/>
      <c r="D296" s="776"/>
      <c r="E296" s="776"/>
      <c r="F296" s="145">
        <f t="shared" si="63"/>
        <v>17275998.307692308</v>
      </c>
      <c r="G296" s="773">
        <f t="shared" si="64"/>
        <v>17275998.307692312</v>
      </c>
      <c r="H296" s="145">
        <f t="shared" si="66"/>
        <v>57285</v>
      </c>
      <c r="I296" s="772">
        <f t="shared" si="61"/>
        <v>-13072194.158461537</v>
      </c>
      <c r="J296" s="773">
        <f t="shared" si="65"/>
        <v>-12728484.158461539</v>
      </c>
      <c r="K296" s="774">
        <f t="shared" si="56"/>
        <v>4203804.1492307708</v>
      </c>
      <c r="L296" s="773">
        <f t="shared" si="67"/>
        <v>-1471331.4522307697</v>
      </c>
      <c r="M296" s="773">
        <f t="shared" si="58"/>
        <v>-20049.75</v>
      </c>
      <c r="N296" s="777"/>
      <c r="O296" s="773">
        <f t="shared" si="68"/>
        <v>0</v>
      </c>
      <c r="P296" s="777">
        <f t="shared" si="62"/>
        <v>4203804.1492307708</v>
      </c>
      <c r="Q296" s="776"/>
      <c r="R296" s="776"/>
      <c r="S296" s="776"/>
      <c r="T296" s="776"/>
      <c r="U296" s="777">
        <f t="shared" si="57"/>
        <v>-1471331.3747564103</v>
      </c>
      <c r="V296" s="773">
        <f t="shared" si="59"/>
        <v>-1591629.8747564105</v>
      </c>
      <c r="W296" s="778">
        <f t="shared" si="60"/>
        <v>2955884.2744743619</v>
      </c>
      <c r="Z296" s="797"/>
    </row>
    <row r="297" spans="1:26" hidden="1" outlineLevel="1">
      <c r="A297" s="168"/>
      <c r="B297" s="29" t="s">
        <v>461</v>
      </c>
      <c r="C297" s="168"/>
      <c r="D297" s="776"/>
      <c r="E297" s="776"/>
      <c r="F297" s="145">
        <f t="shared" si="63"/>
        <v>17275998.307692308</v>
      </c>
      <c r="G297" s="773">
        <f t="shared" si="64"/>
        <v>17275998.307692312</v>
      </c>
      <c r="H297" s="145">
        <f t="shared" si="66"/>
        <v>57285</v>
      </c>
      <c r="I297" s="772">
        <f t="shared" si="61"/>
        <v>-13129479.158461537</v>
      </c>
      <c r="J297" s="773">
        <f t="shared" si="65"/>
        <v>-12785769.158461539</v>
      </c>
      <c r="K297" s="774">
        <f t="shared" si="56"/>
        <v>4146519.1492307708</v>
      </c>
      <c r="L297" s="773">
        <f t="shared" si="67"/>
        <v>-1451281.7022307697</v>
      </c>
      <c r="M297" s="773">
        <f t="shared" si="58"/>
        <v>-20049.75</v>
      </c>
      <c r="N297" s="777"/>
      <c r="O297" s="773">
        <f t="shared" si="68"/>
        <v>0</v>
      </c>
      <c r="P297" s="777">
        <f t="shared" si="62"/>
        <v>4146519.1492307708</v>
      </c>
      <c r="Q297" s="776"/>
      <c r="R297" s="776"/>
      <c r="S297" s="776"/>
      <c r="T297" s="776"/>
      <c r="U297" s="777">
        <f t="shared" si="57"/>
        <v>-1451281.6247564103</v>
      </c>
      <c r="V297" s="773">
        <f t="shared" si="59"/>
        <v>-1571580.1247564105</v>
      </c>
      <c r="W297" s="778">
        <f t="shared" si="60"/>
        <v>2918649.0244743619</v>
      </c>
      <c r="Z297" s="797"/>
    </row>
    <row r="298" spans="1:26" hidden="1" outlineLevel="1">
      <c r="A298" s="168"/>
      <c r="B298" s="29" t="s">
        <v>462</v>
      </c>
      <c r="C298" s="168"/>
      <c r="D298" s="776"/>
      <c r="E298" s="776"/>
      <c r="F298" s="145">
        <f t="shared" si="63"/>
        <v>17275998.307692308</v>
      </c>
      <c r="G298" s="773">
        <f t="shared" si="64"/>
        <v>17275998.307692312</v>
      </c>
      <c r="H298" s="145">
        <f t="shared" si="66"/>
        <v>57285</v>
      </c>
      <c r="I298" s="772">
        <f t="shared" si="61"/>
        <v>-13186764.158461537</v>
      </c>
      <c r="J298" s="773">
        <f t="shared" si="65"/>
        <v>-12843054.158461539</v>
      </c>
      <c r="K298" s="774">
        <f t="shared" si="56"/>
        <v>4089234.1492307708</v>
      </c>
      <c r="L298" s="773">
        <f t="shared" si="67"/>
        <v>-1431231.9522307697</v>
      </c>
      <c r="M298" s="773">
        <f t="shared" si="58"/>
        <v>-20049.75</v>
      </c>
      <c r="N298" s="777"/>
      <c r="O298" s="773">
        <f t="shared" si="68"/>
        <v>0</v>
      </c>
      <c r="P298" s="777">
        <f t="shared" si="62"/>
        <v>4089234.1492307708</v>
      </c>
      <c r="Q298" s="776"/>
      <c r="R298" s="776"/>
      <c r="S298" s="776"/>
      <c r="T298" s="776"/>
      <c r="U298" s="777">
        <f t="shared" si="57"/>
        <v>-1431231.8747564103</v>
      </c>
      <c r="V298" s="773">
        <f t="shared" si="59"/>
        <v>-1551530.3747564105</v>
      </c>
      <c r="W298" s="778">
        <f t="shared" si="60"/>
        <v>2881413.7744743619</v>
      </c>
      <c r="Z298" s="797"/>
    </row>
    <row r="299" spans="1:26" hidden="1" outlineLevel="1">
      <c r="A299" s="168"/>
      <c r="B299" s="29" t="s">
        <v>463</v>
      </c>
      <c r="C299" s="168"/>
      <c r="D299" s="776"/>
      <c r="E299" s="776"/>
      <c r="F299" s="145">
        <f t="shared" si="63"/>
        <v>17275998.307692308</v>
      </c>
      <c r="G299" s="773">
        <f t="shared" si="64"/>
        <v>17275998.307692312</v>
      </c>
      <c r="H299" s="145">
        <f t="shared" si="66"/>
        <v>57285</v>
      </c>
      <c r="I299" s="772">
        <f t="shared" si="61"/>
        <v>-13244049.158461537</v>
      </c>
      <c r="J299" s="773">
        <f t="shared" si="65"/>
        <v>-12900339.158461539</v>
      </c>
      <c r="K299" s="774">
        <f t="shared" si="56"/>
        <v>4031949.1492307708</v>
      </c>
      <c r="L299" s="773">
        <f t="shared" si="67"/>
        <v>-1411182.2022307697</v>
      </c>
      <c r="M299" s="773">
        <f t="shared" si="58"/>
        <v>-20049.75</v>
      </c>
      <c r="N299" s="777"/>
      <c r="O299" s="773">
        <f t="shared" si="68"/>
        <v>0</v>
      </c>
      <c r="P299" s="777">
        <f t="shared" si="62"/>
        <v>4031949.1492307708</v>
      </c>
      <c r="Q299" s="776"/>
      <c r="R299" s="776"/>
      <c r="S299" s="776"/>
      <c r="T299" s="776"/>
      <c r="U299" s="777">
        <f t="shared" si="57"/>
        <v>-1411182.1247564103</v>
      </c>
      <c r="V299" s="773">
        <f t="shared" si="59"/>
        <v>-1531480.6247564105</v>
      </c>
      <c r="W299" s="778">
        <f t="shared" si="60"/>
        <v>2844178.5244743619</v>
      </c>
      <c r="Z299" s="797"/>
    </row>
    <row r="300" spans="1:26" hidden="1" outlineLevel="1">
      <c r="A300" s="168"/>
      <c r="B300" s="29" t="s">
        <v>464</v>
      </c>
      <c r="C300" s="168"/>
      <c r="D300" s="776"/>
      <c r="E300" s="776"/>
      <c r="F300" s="145">
        <f t="shared" si="63"/>
        <v>17275998.307692308</v>
      </c>
      <c r="G300" s="773">
        <f t="shared" si="64"/>
        <v>17275998.307692312</v>
      </c>
      <c r="H300" s="145">
        <f t="shared" si="66"/>
        <v>57285</v>
      </c>
      <c r="I300" s="772">
        <f t="shared" si="61"/>
        <v>-13301334.158461537</v>
      </c>
      <c r="J300" s="773">
        <f t="shared" si="65"/>
        <v>-12957624.158461539</v>
      </c>
      <c r="K300" s="774">
        <f t="shared" si="56"/>
        <v>3974664.1492307708</v>
      </c>
      <c r="L300" s="773">
        <f t="shared" si="67"/>
        <v>-1391132.4522307697</v>
      </c>
      <c r="M300" s="773">
        <f t="shared" si="58"/>
        <v>-20049.75</v>
      </c>
      <c r="N300" s="777"/>
      <c r="O300" s="773">
        <f t="shared" si="68"/>
        <v>0</v>
      </c>
      <c r="P300" s="777">
        <f t="shared" si="62"/>
        <v>3974664.1492307708</v>
      </c>
      <c r="Q300" s="776"/>
      <c r="R300" s="776"/>
      <c r="S300" s="776"/>
      <c r="T300" s="776"/>
      <c r="U300" s="777">
        <f t="shared" si="57"/>
        <v>-1391132.3747564103</v>
      </c>
      <c r="V300" s="773">
        <f t="shared" si="59"/>
        <v>-1511430.8747564105</v>
      </c>
      <c r="W300" s="778">
        <f t="shared" si="60"/>
        <v>2806943.2744743619</v>
      </c>
      <c r="Z300" s="797"/>
    </row>
    <row r="301" spans="1:26" hidden="1" outlineLevel="1">
      <c r="A301" s="168"/>
      <c r="B301" s="29" t="s">
        <v>465</v>
      </c>
      <c r="C301" s="168"/>
      <c r="D301" s="776"/>
      <c r="E301" s="776"/>
      <c r="F301" s="145">
        <f t="shared" si="63"/>
        <v>17275998.307692308</v>
      </c>
      <c r="G301" s="773">
        <f t="shared" si="64"/>
        <v>17275998.307692312</v>
      </c>
      <c r="H301" s="145">
        <f t="shared" si="66"/>
        <v>57285</v>
      </c>
      <c r="I301" s="772">
        <f t="shared" si="61"/>
        <v>-13358619.158461537</v>
      </c>
      <c r="J301" s="773">
        <f t="shared" si="65"/>
        <v>-13014909.158461539</v>
      </c>
      <c r="K301" s="774">
        <f t="shared" si="56"/>
        <v>3917379.1492307708</v>
      </c>
      <c r="L301" s="773">
        <f t="shared" si="67"/>
        <v>-1371082.7022307697</v>
      </c>
      <c r="M301" s="773">
        <f t="shared" si="58"/>
        <v>-20049.75</v>
      </c>
      <c r="N301" s="777"/>
      <c r="O301" s="773">
        <f t="shared" si="68"/>
        <v>0</v>
      </c>
      <c r="P301" s="777">
        <f t="shared" si="62"/>
        <v>3917379.1492307708</v>
      </c>
      <c r="Q301" s="776"/>
      <c r="R301" s="776"/>
      <c r="S301" s="776"/>
      <c r="T301" s="776"/>
      <c r="U301" s="777">
        <f t="shared" si="57"/>
        <v>-1371082.6247564103</v>
      </c>
      <c r="V301" s="773">
        <f t="shared" si="59"/>
        <v>-1491381.1247564105</v>
      </c>
      <c r="W301" s="778">
        <f t="shared" si="60"/>
        <v>2769708.0244743619</v>
      </c>
      <c r="Z301" s="797"/>
    </row>
    <row r="302" spans="1:26" hidden="1" outlineLevel="1">
      <c r="A302" s="168"/>
      <c r="B302" s="29" t="s">
        <v>466</v>
      </c>
      <c r="C302" s="168"/>
      <c r="D302" s="776"/>
      <c r="E302" s="776"/>
      <c r="F302" s="145">
        <f t="shared" si="63"/>
        <v>17275998.307692308</v>
      </c>
      <c r="G302" s="773">
        <f t="shared" si="64"/>
        <v>17275998.307692312</v>
      </c>
      <c r="H302" s="145">
        <f t="shared" si="66"/>
        <v>57285</v>
      </c>
      <c r="I302" s="772">
        <f t="shared" si="61"/>
        <v>-13415904.158461537</v>
      </c>
      <c r="J302" s="773">
        <f t="shared" si="65"/>
        <v>-13072194.158461539</v>
      </c>
      <c r="K302" s="774">
        <f t="shared" si="56"/>
        <v>3860094.1492307708</v>
      </c>
      <c r="L302" s="773">
        <f t="shared" si="67"/>
        <v>-1351032.9522307697</v>
      </c>
      <c r="M302" s="773">
        <f t="shared" si="58"/>
        <v>-20049.75</v>
      </c>
      <c r="N302" s="777"/>
      <c r="O302" s="773">
        <f t="shared" si="68"/>
        <v>0</v>
      </c>
      <c r="P302" s="777">
        <f t="shared" si="62"/>
        <v>3860094.1492307708</v>
      </c>
      <c r="Q302" s="776"/>
      <c r="R302" s="776"/>
      <c r="S302" s="776"/>
      <c r="T302" s="776"/>
      <c r="U302" s="777">
        <f t="shared" si="57"/>
        <v>-1351032.8747564103</v>
      </c>
      <c r="V302" s="773">
        <f t="shared" si="59"/>
        <v>-1471331.3747564105</v>
      </c>
      <c r="W302" s="778">
        <f t="shared" si="60"/>
        <v>2732472.7744743619</v>
      </c>
      <c r="Z302" s="797"/>
    </row>
    <row r="303" spans="1:26" hidden="1" outlineLevel="1">
      <c r="A303" s="168"/>
      <c r="B303" s="29" t="s">
        <v>467</v>
      </c>
      <c r="C303" s="168"/>
      <c r="D303" s="776"/>
      <c r="E303" s="776"/>
      <c r="F303" s="145">
        <f t="shared" si="63"/>
        <v>17275998.307692308</v>
      </c>
      <c r="G303" s="773">
        <f t="shared" si="64"/>
        <v>17275998.307692312</v>
      </c>
      <c r="H303" s="145">
        <f t="shared" si="66"/>
        <v>57285</v>
      </c>
      <c r="I303" s="772">
        <f t="shared" si="61"/>
        <v>-13473189.158461537</v>
      </c>
      <c r="J303" s="773">
        <f t="shared" si="65"/>
        <v>-13129479.158461539</v>
      </c>
      <c r="K303" s="774">
        <f t="shared" si="56"/>
        <v>3802809.1492307708</v>
      </c>
      <c r="L303" s="773">
        <f t="shared" si="67"/>
        <v>-1330983.2022307697</v>
      </c>
      <c r="M303" s="773">
        <f t="shared" si="58"/>
        <v>-20049.75</v>
      </c>
      <c r="N303" s="777"/>
      <c r="O303" s="773">
        <f t="shared" si="68"/>
        <v>0</v>
      </c>
      <c r="P303" s="777">
        <f t="shared" si="62"/>
        <v>3802809.1492307708</v>
      </c>
      <c r="Q303" s="776"/>
      <c r="R303" s="776"/>
      <c r="S303" s="776"/>
      <c r="T303" s="776"/>
      <c r="U303" s="777">
        <f t="shared" si="57"/>
        <v>-1330983.1247564103</v>
      </c>
      <c r="V303" s="773">
        <f t="shared" si="59"/>
        <v>-1451281.6247564105</v>
      </c>
      <c r="W303" s="778">
        <f t="shared" si="60"/>
        <v>2695237.5244743619</v>
      </c>
      <c r="Z303" s="797"/>
    </row>
    <row r="304" spans="1:26" hidden="1" outlineLevel="1">
      <c r="A304" s="168"/>
      <c r="B304" s="29" t="s">
        <v>468</v>
      </c>
      <c r="C304" s="168"/>
      <c r="D304" s="776"/>
      <c r="E304" s="776"/>
      <c r="F304" s="145">
        <f t="shared" si="63"/>
        <v>17275998.307692308</v>
      </c>
      <c r="G304" s="773">
        <f t="shared" si="64"/>
        <v>17275998.307692312</v>
      </c>
      <c r="H304" s="145">
        <f t="shared" si="66"/>
        <v>57285</v>
      </c>
      <c r="I304" s="772">
        <f t="shared" si="61"/>
        <v>-13530474.158461537</v>
      </c>
      <c r="J304" s="773">
        <f t="shared" si="65"/>
        <v>-13186764.158461539</v>
      </c>
      <c r="K304" s="774">
        <f t="shared" si="56"/>
        <v>3745524.1492307708</v>
      </c>
      <c r="L304" s="773">
        <f t="shared" si="67"/>
        <v>-1310933.4522307697</v>
      </c>
      <c r="M304" s="773">
        <f t="shared" si="58"/>
        <v>-20049.75</v>
      </c>
      <c r="N304" s="777"/>
      <c r="O304" s="773">
        <f t="shared" si="68"/>
        <v>0</v>
      </c>
      <c r="P304" s="777">
        <f t="shared" si="62"/>
        <v>3745524.1492307708</v>
      </c>
      <c r="Q304" s="776"/>
      <c r="R304" s="776"/>
      <c r="S304" s="776"/>
      <c r="T304" s="776"/>
      <c r="U304" s="777">
        <f t="shared" si="57"/>
        <v>-1310933.3747564103</v>
      </c>
      <c r="V304" s="773">
        <f t="shared" si="59"/>
        <v>-1431231.8747564105</v>
      </c>
      <c r="W304" s="778">
        <f t="shared" si="60"/>
        <v>2658002.2744743619</v>
      </c>
      <c r="Z304" s="797"/>
    </row>
    <row r="305" spans="1:26" hidden="1" outlineLevel="1">
      <c r="A305" s="168"/>
      <c r="B305" s="29" t="s">
        <v>469</v>
      </c>
      <c r="C305" s="168"/>
      <c r="D305" s="776"/>
      <c r="E305" s="776"/>
      <c r="F305" s="145">
        <f t="shared" si="63"/>
        <v>17275998.307692308</v>
      </c>
      <c r="G305" s="773">
        <f t="shared" si="64"/>
        <v>17275998.307692312</v>
      </c>
      <c r="H305" s="145">
        <f t="shared" si="66"/>
        <v>57285</v>
      </c>
      <c r="I305" s="772">
        <f t="shared" si="61"/>
        <v>-13587759.158461537</v>
      </c>
      <c r="J305" s="773">
        <f t="shared" si="65"/>
        <v>-13244049.158461539</v>
      </c>
      <c r="K305" s="774">
        <f t="shared" ref="K305:K368" si="69">F305+I305</f>
        <v>3688239.1492307708</v>
      </c>
      <c r="L305" s="773">
        <f t="shared" si="67"/>
        <v>-1290883.7022307697</v>
      </c>
      <c r="M305" s="773">
        <f t="shared" si="58"/>
        <v>-20049.75</v>
      </c>
      <c r="N305" s="777"/>
      <c r="O305" s="773">
        <f t="shared" si="68"/>
        <v>0</v>
      </c>
      <c r="P305" s="777">
        <f t="shared" si="62"/>
        <v>3688239.1492307708</v>
      </c>
      <c r="Q305" s="776"/>
      <c r="R305" s="776"/>
      <c r="S305" s="776"/>
      <c r="T305" s="776"/>
      <c r="U305" s="777">
        <f t="shared" si="57"/>
        <v>-1290883.6247564103</v>
      </c>
      <c r="V305" s="773">
        <f t="shared" si="59"/>
        <v>-1411182.1247564105</v>
      </c>
      <c r="W305" s="778">
        <f t="shared" si="60"/>
        <v>2620767.0244743619</v>
      </c>
      <c r="Z305" s="797"/>
    </row>
    <row r="306" spans="1:26" hidden="1" outlineLevel="1">
      <c r="A306" s="168"/>
      <c r="B306" s="29" t="s">
        <v>470</v>
      </c>
      <c r="C306" s="168"/>
      <c r="D306" s="776"/>
      <c r="E306" s="776"/>
      <c r="F306" s="145">
        <f t="shared" si="63"/>
        <v>17275998.307692308</v>
      </c>
      <c r="G306" s="773">
        <f t="shared" si="64"/>
        <v>17275998.307692312</v>
      </c>
      <c r="H306" s="145">
        <f t="shared" si="66"/>
        <v>57285</v>
      </c>
      <c r="I306" s="772">
        <f t="shared" si="61"/>
        <v>-13645044.158461537</v>
      </c>
      <c r="J306" s="773">
        <f t="shared" si="65"/>
        <v>-13301334.158461539</v>
      </c>
      <c r="K306" s="774">
        <f t="shared" si="69"/>
        <v>3630954.1492307708</v>
      </c>
      <c r="L306" s="773">
        <f t="shared" si="67"/>
        <v>-1270833.9522307697</v>
      </c>
      <c r="M306" s="773">
        <f t="shared" si="58"/>
        <v>-20049.75</v>
      </c>
      <c r="N306" s="777"/>
      <c r="O306" s="773">
        <f t="shared" si="68"/>
        <v>0</v>
      </c>
      <c r="P306" s="777">
        <f t="shared" si="62"/>
        <v>3630954.1492307708</v>
      </c>
      <c r="Q306" s="776"/>
      <c r="R306" s="776"/>
      <c r="S306" s="776"/>
      <c r="T306" s="776"/>
      <c r="U306" s="777">
        <f t="shared" si="57"/>
        <v>-1270833.8747564103</v>
      </c>
      <c r="V306" s="773">
        <f t="shared" si="59"/>
        <v>-1391132.3747564105</v>
      </c>
      <c r="W306" s="778">
        <f t="shared" si="60"/>
        <v>2583531.7744743619</v>
      </c>
      <c r="Z306" s="797"/>
    </row>
    <row r="307" spans="1:26" hidden="1" outlineLevel="1">
      <c r="A307" s="168"/>
      <c r="B307" s="29" t="s">
        <v>471</v>
      </c>
      <c r="C307" s="168"/>
      <c r="D307" s="776"/>
      <c r="E307" s="776"/>
      <c r="F307" s="145">
        <f t="shared" si="63"/>
        <v>17275998.307692308</v>
      </c>
      <c r="G307" s="773">
        <f t="shared" si="64"/>
        <v>17275998.307692312</v>
      </c>
      <c r="H307" s="145">
        <f t="shared" si="66"/>
        <v>57285</v>
      </c>
      <c r="I307" s="772">
        <f t="shared" si="61"/>
        <v>-13702329.158461537</v>
      </c>
      <c r="J307" s="773">
        <f t="shared" si="65"/>
        <v>-13358619.158461539</v>
      </c>
      <c r="K307" s="774">
        <f t="shared" si="69"/>
        <v>3573669.1492307708</v>
      </c>
      <c r="L307" s="773">
        <f t="shared" si="67"/>
        <v>-1250784.2022307697</v>
      </c>
      <c r="M307" s="773">
        <f t="shared" si="58"/>
        <v>-20049.75</v>
      </c>
      <c r="N307" s="777"/>
      <c r="O307" s="773">
        <f t="shared" si="68"/>
        <v>0</v>
      </c>
      <c r="P307" s="777">
        <f t="shared" si="62"/>
        <v>3573669.1492307708</v>
      </c>
      <c r="Q307" s="776"/>
      <c r="R307" s="776"/>
      <c r="S307" s="776"/>
      <c r="T307" s="776"/>
      <c r="U307" s="777">
        <f t="shared" ref="U307:U370" si="70">U306-M307</f>
        <v>-1250784.1247564103</v>
      </c>
      <c r="V307" s="773">
        <f t="shared" si="59"/>
        <v>-1371082.6247564105</v>
      </c>
      <c r="W307" s="778">
        <f t="shared" si="60"/>
        <v>2546296.5244743619</v>
      </c>
      <c r="Z307" s="797"/>
    </row>
    <row r="308" spans="1:26" hidden="1" outlineLevel="1">
      <c r="A308" s="168"/>
      <c r="B308" s="29" t="s">
        <v>472</v>
      </c>
      <c r="C308" s="168"/>
      <c r="D308" s="776"/>
      <c r="E308" s="776"/>
      <c r="F308" s="145">
        <f t="shared" si="63"/>
        <v>17275998.307692308</v>
      </c>
      <c r="G308" s="773">
        <f t="shared" si="64"/>
        <v>17275998.307692312</v>
      </c>
      <c r="H308" s="145">
        <f t="shared" si="66"/>
        <v>57285</v>
      </c>
      <c r="I308" s="772">
        <f t="shared" si="61"/>
        <v>-13759614.158461537</v>
      </c>
      <c r="J308" s="773">
        <f t="shared" si="65"/>
        <v>-13415904.158461539</v>
      </c>
      <c r="K308" s="774">
        <f t="shared" si="69"/>
        <v>3516384.1492307708</v>
      </c>
      <c r="L308" s="773">
        <f t="shared" si="67"/>
        <v>-1230734.4522307697</v>
      </c>
      <c r="M308" s="773">
        <f t="shared" ref="M308:M371" si="71">-L308+L307</f>
        <v>-20049.75</v>
      </c>
      <c r="N308" s="777"/>
      <c r="O308" s="773">
        <f t="shared" si="68"/>
        <v>0</v>
      </c>
      <c r="P308" s="777">
        <f t="shared" si="62"/>
        <v>3516384.1492307708</v>
      </c>
      <c r="Q308" s="776"/>
      <c r="R308" s="776"/>
      <c r="S308" s="776"/>
      <c r="T308" s="776"/>
      <c r="U308" s="777">
        <f t="shared" si="70"/>
        <v>-1230734.3747564103</v>
      </c>
      <c r="V308" s="773">
        <f t="shared" si="59"/>
        <v>-1351032.8747564105</v>
      </c>
      <c r="W308" s="778">
        <f t="shared" si="60"/>
        <v>2509061.2744743619</v>
      </c>
      <c r="Z308" s="797"/>
    </row>
    <row r="309" spans="1:26" hidden="1" outlineLevel="1">
      <c r="A309" s="168"/>
      <c r="B309" s="29" t="s">
        <v>473</v>
      </c>
      <c r="C309" s="168"/>
      <c r="D309" s="776"/>
      <c r="E309" s="776"/>
      <c r="F309" s="145">
        <f t="shared" si="63"/>
        <v>17275998.307692308</v>
      </c>
      <c r="G309" s="773">
        <f t="shared" si="64"/>
        <v>17275998.307692312</v>
      </c>
      <c r="H309" s="145">
        <f t="shared" si="66"/>
        <v>57285</v>
      </c>
      <c r="I309" s="772">
        <f t="shared" si="61"/>
        <v>-13816899.158461537</v>
      </c>
      <c r="J309" s="773">
        <f t="shared" si="65"/>
        <v>-13473189.158461539</v>
      </c>
      <c r="K309" s="774">
        <f t="shared" si="69"/>
        <v>3459099.1492307708</v>
      </c>
      <c r="L309" s="773">
        <f t="shared" si="67"/>
        <v>-1210684.7022307697</v>
      </c>
      <c r="M309" s="773">
        <f t="shared" si="71"/>
        <v>-20049.75</v>
      </c>
      <c r="N309" s="777"/>
      <c r="O309" s="773">
        <f t="shared" si="68"/>
        <v>0</v>
      </c>
      <c r="P309" s="777">
        <f t="shared" si="62"/>
        <v>3459099.1492307708</v>
      </c>
      <c r="Q309" s="776"/>
      <c r="R309" s="776"/>
      <c r="S309" s="776"/>
      <c r="T309" s="776"/>
      <c r="U309" s="777">
        <f t="shared" si="70"/>
        <v>-1210684.6247564103</v>
      </c>
      <c r="V309" s="773">
        <f t="shared" si="59"/>
        <v>-1330983.1247564105</v>
      </c>
      <c r="W309" s="778">
        <f t="shared" si="60"/>
        <v>2471826.0244743619</v>
      </c>
      <c r="Z309" s="797"/>
    </row>
    <row r="310" spans="1:26" hidden="1" outlineLevel="1">
      <c r="A310" s="168"/>
      <c r="B310" s="29" t="s">
        <v>474</v>
      </c>
      <c r="C310" s="168"/>
      <c r="D310" s="776"/>
      <c r="E310" s="776"/>
      <c r="F310" s="145">
        <f t="shared" si="63"/>
        <v>17275998.307692308</v>
      </c>
      <c r="G310" s="773">
        <f t="shared" si="64"/>
        <v>17275998.307692312</v>
      </c>
      <c r="H310" s="145">
        <f t="shared" si="66"/>
        <v>57285</v>
      </c>
      <c r="I310" s="772">
        <f t="shared" si="61"/>
        <v>-13874184.158461537</v>
      </c>
      <c r="J310" s="773">
        <f t="shared" si="65"/>
        <v>-13530474.158461539</v>
      </c>
      <c r="K310" s="774">
        <f t="shared" si="69"/>
        <v>3401814.1492307708</v>
      </c>
      <c r="L310" s="773">
        <f t="shared" si="67"/>
        <v>-1190634.9522307697</v>
      </c>
      <c r="M310" s="773">
        <f t="shared" si="71"/>
        <v>-20049.75</v>
      </c>
      <c r="N310" s="777"/>
      <c r="O310" s="773">
        <f t="shared" si="68"/>
        <v>0</v>
      </c>
      <c r="P310" s="777">
        <f t="shared" si="62"/>
        <v>3401814.1492307708</v>
      </c>
      <c r="Q310" s="776"/>
      <c r="R310" s="776"/>
      <c r="S310" s="776"/>
      <c r="T310" s="776"/>
      <c r="U310" s="777">
        <f t="shared" si="70"/>
        <v>-1190634.8747564103</v>
      </c>
      <c r="V310" s="773">
        <f t="shared" si="59"/>
        <v>-1310933.3747564105</v>
      </c>
      <c r="W310" s="778">
        <f t="shared" si="60"/>
        <v>2434590.7744743619</v>
      </c>
      <c r="Z310" s="797"/>
    </row>
    <row r="311" spans="1:26" hidden="1" outlineLevel="1">
      <c r="A311" s="168"/>
      <c r="B311" s="29" t="s">
        <v>475</v>
      </c>
      <c r="C311" s="168"/>
      <c r="D311" s="776"/>
      <c r="E311" s="776"/>
      <c r="F311" s="145">
        <f t="shared" si="63"/>
        <v>17275998.307692308</v>
      </c>
      <c r="G311" s="773">
        <f t="shared" si="64"/>
        <v>17275998.307692312</v>
      </c>
      <c r="H311" s="145">
        <f t="shared" si="66"/>
        <v>57285</v>
      </c>
      <c r="I311" s="772">
        <f t="shared" si="61"/>
        <v>-13931469.158461537</v>
      </c>
      <c r="J311" s="773">
        <f t="shared" si="65"/>
        <v>-13587759.158461539</v>
      </c>
      <c r="K311" s="774">
        <f t="shared" si="69"/>
        <v>3344529.1492307708</v>
      </c>
      <c r="L311" s="773">
        <f t="shared" si="67"/>
        <v>-1170585.2022307697</v>
      </c>
      <c r="M311" s="773">
        <f t="shared" si="71"/>
        <v>-20049.75</v>
      </c>
      <c r="N311" s="777"/>
      <c r="O311" s="773">
        <f t="shared" si="68"/>
        <v>0</v>
      </c>
      <c r="P311" s="777">
        <f t="shared" si="62"/>
        <v>3344529.1492307708</v>
      </c>
      <c r="Q311" s="776"/>
      <c r="R311" s="776"/>
      <c r="S311" s="776"/>
      <c r="T311" s="776"/>
      <c r="U311" s="777">
        <f t="shared" si="70"/>
        <v>-1170585.1247564103</v>
      </c>
      <c r="V311" s="773">
        <f t="shared" si="59"/>
        <v>-1290883.6247564105</v>
      </c>
      <c r="W311" s="778">
        <f t="shared" si="60"/>
        <v>2397355.5244743619</v>
      </c>
      <c r="Z311" s="797"/>
    </row>
    <row r="312" spans="1:26" hidden="1" outlineLevel="1">
      <c r="A312" s="168"/>
      <c r="B312" s="29" t="s">
        <v>476</v>
      </c>
      <c r="C312" s="168"/>
      <c r="D312" s="776"/>
      <c r="E312" s="776"/>
      <c r="F312" s="145">
        <f t="shared" si="63"/>
        <v>17275998.307692308</v>
      </c>
      <c r="G312" s="773">
        <f t="shared" si="64"/>
        <v>17275998.307692312</v>
      </c>
      <c r="H312" s="145">
        <f t="shared" si="66"/>
        <v>57285</v>
      </c>
      <c r="I312" s="772">
        <f t="shared" si="61"/>
        <v>-13988754.158461537</v>
      </c>
      <c r="J312" s="773">
        <f t="shared" si="65"/>
        <v>-13645044.158461539</v>
      </c>
      <c r="K312" s="774">
        <f t="shared" si="69"/>
        <v>3287244.1492307708</v>
      </c>
      <c r="L312" s="773">
        <f t="shared" si="67"/>
        <v>-1150535.4522307697</v>
      </c>
      <c r="M312" s="773">
        <f t="shared" si="71"/>
        <v>-20049.75</v>
      </c>
      <c r="N312" s="777"/>
      <c r="O312" s="773">
        <f t="shared" si="68"/>
        <v>0</v>
      </c>
      <c r="P312" s="777">
        <f t="shared" si="62"/>
        <v>3287244.1492307708</v>
      </c>
      <c r="Q312" s="776"/>
      <c r="R312" s="776"/>
      <c r="S312" s="776"/>
      <c r="T312" s="776"/>
      <c r="U312" s="777">
        <f t="shared" si="70"/>
        <v>-1150535.3747564103</v>
      </c>
      <c r="V312" s="773">
        <f t="shared" si="59"/>
        <v>-1270833.8747564105</v>
      </c>
      <c r="W312" s="778">
        <f t="shared" si="60"/>
        <v>2360120.2744743619</v>
      </c>
      <c r="Z312" s="797"/>
    </row>
    <row r="313" spans="1:26" hidden="1" outlineLevel="1">
      <c r="A313" s="168"/>
      <c r="B313" s="29" t="s">
        <v>477</v>
      </c>
      <c r="C313" s="168"/>
      <c r="D313" s="776"/>
      <c r="E313" s="776"/>
      <c r="F313" s="145">
        <f t="shared" si="63"/>
        <v>17275998.307692308</v>
      </c>
      <c r="G313" s="773">
        <f t="shared" si="64"/>
        <v>17275998.307692312</v>
      </c>
      <c r="H313" s="145">
        <f t="shared" si="66"/>
        <v>57285</v>
      </c>
      <c r="I313" s="772">
        <f t="shared" si="61"/>
        <v>-14046039.158461537</v>
      </c>
      <c r="J313" s="773">
        <f t="shared" si="65"/>
        <v>-13702329.158461539</v>
      </c>
      <c r="K313" s="774">
        <f t="shared" si="69"/>
        <v>3229959.1492307708</v>
      </c>
      <c r="L313" s="773">
        <f t="shared" si="67"/>
        <v>-1130485.7022307697</v>
      </c>
      <c r="M313" s="773">
        <f t="shared" si="71"/>
        <v>-20049.75</v>
      </c>
      <c r="N313" s="777"/>
      <c r="O313" s="773">
        <f t="shared" si="68"/>
        <v>0</v>
      </c>
      <c r="P313" s="777">
        <f t="shared" si="62"/>
        <v>3229959.1492307708</v>
      </c>
      <c r="Q313" s="776"/>
      <c r="R313" s="776"/>
      <c r="S313" s="776"/>
      <c r="T313" s="776"/>
      <c r="U313" s="777">
        <f t="shared" si="70"/>
        <v>-1130485.6247564103</v>
      </c>
      <c r="V313" s="773">
        <f t="shared" si="59"/>
        <v>-1250784.1247564105</v>
      </c>
      <c r="W313" s="778">
        <f t="shared" si="60"/>
        <v>2322885.0244743619</v>
      </c>
      <c r="Z313" s="797"/>
    </row>
    <row r="314" spans="1:26" hidden="1" outlineLevel="1">
      <c r="A314" s="168"/>
      <c r="B314" s="29" t="s">
        <v>478</v>
      </c>
      <c r="C314" s="168"/>
      <c r="D314" s="776"/>
      <c r="E314" s="776"/>
      <c r="F314" s="145">
        <f t="shared" si="63"/>
        <v>17275998.307692308</v>
      </c>
      <c r="G314" s="773">
        <f t="shared" si="64"/>
        <v>17275998.307692312</v>
      </c>
      <c r="H314" s="145">
        <f t="shared" si="66"/>
        <v>57285</v>
      </c>
      <c r="I314" s="772">
        <f t="shared" si="61"/>
        <v>-14103324.158461537</v>
      </c>
      <c r="J314" s="773">
        <f t="shared" si="65"/>
        <v>-13759614.158461539</v>
      </c>
      <c r="K314" s="774">
        <f t="shared" si="69"/>
        <v>3172674.1492307708</v>
      </c>
      <c r="L314" s="773">
        <f t="shared" si="67"/>
        <v>-1110435.9522307697</v>
      </c>
      <c r="M314" s="773">
        <f t="shared" si="71"/>
        <v>-20049.75</v>
      </c>
      <c r="N314" s="777"/>
      <c r="O314" s="773">
        <f t="shared" si="68"/>
        <v>0</v>
      </c>
      <c r="P314" s="777">
        <f t="shared" si="62"/>
        <v>3172674.1492307708</v>
      </c>
      <c r="Q314" s="776"/>
      <c r="R314" s="776"/>
      <c r="S314" s="776"/>
      <c r="T314" s="776"/>
      <c r="U314" s="777">
        <f t="shared" si="70"/>
        <v>-1110435.8747564103</v>
      </c>
      <c r="V314" s="773">
        <f t="shared" si="59"/>
        <v>-1230734.3747564105</v>
      </c>
      <c r="W314" s="778">
        <f t="shared" si="60"/>
        <v>2285649.7744743619</v>
      </c>
      <c r="Z314" s="797"/>
    </row>
    <row r="315" spans="1:26" hidden="1" outlineLevel="1">
      <c r="A315" s="168"/>
      <c r="B315" s="29" t="s">
        <v>479</v>
      </c>
      <c r="C315" s="168"/>
      <c r="D315" s="776"/>
      <c r="E315" s="776"/>
      <c r="F315" s="145">
        <f t="shared" si="63"/>
        <v>17275998.307692308</v>
      </c>
      <c r="G315" s="773">
        <f t="shared" si="64"/>
        <v>17275998.307692312</v>
      </c>
      <c r="H315" s="145">
        <f t="shared" si="66"/>
        <v>57285</v>
      </c>
      <c r="I315" s="772">
        <f t="shared" si="61"/>
        <v>-14160609.158461537</v>
      </c>
      <c r="J315" s="773">
        <f t="shared" si="65"/>
        <v>-13816899.158461539</v>
      </c>
      <c r="K315" s="774">
        <f t="shared" si="69"/>
        <v>3115389.1492307708</v>
      </c>
      <c r="L315" s="773">
        <f t="shared" si="67"/>
        <v>-1090386.2022307697</v>
      </c>
      <c r="M315" s="773">
        <f t="shared" si="71"/>
        <v>-20049.75</v>
      </c>
      <c r="N315" s="777"/>
      <c r="O315" s="773">
        <f t="shared" si="68"/>
        <v>0</v>
      </c>
      <c r="P315" s="777">
        <f t="shared" si="62"/>
        <v>3115389.1492307708</v>
      </c>
      <c r="Q315" s="776"/>
      <c r="R315" s="776"/>
      <c r="S315" s="776"/>
      <c r="T315" s="776"/>
      <c r="U315" s="777">
        <f t="shared" si="70"/>
        <v>-1090386.1247564103</v>
      </c>
      <c r="V315" s="773">
        <f t="shared" si="59"/>
        <v>-1210684.6247564105</v>
      </c>
      <c r="W315" s="778">
        <f t="shared" si="60"/>
        <v>2248414.5244743619</v>
      </c>
      <c r="Z315" s="797"/>
    </row>
    <row r="316" spans="1:26" hidden="1" outlineLevel="1">
      <c r="A316" s="168"/>
      <c r="B316" s="29" t="s">
        <v>480</v>
      </c>
      <c r="C316" s="168"/>
      <c r="D316" s="776"/>
      <c r="E316" s="776"/>
      <c r="F316" s="145">
        <f t="shared" si="63"/>
        <v>17275998.307692308</v>
      </c>
      <c r="G316" s="773">
        <f t="shared" si="64"/>
        <v>17275998.307692312</v>
      </c>
      <c r="H316" s="145">
        <f t="shared" si="66"/>
        <v>57285</v>
      </c>
      <c r="I316" s="772">
        <f t="shared" si="61"/>
        <v>-14217894.158461537</v>
      </c>
      <c r="J316" s="773">
        <f t="shared" si="65"/>
        <v>-13874184.158461539</v>
      </c>
      <c r="K316" s="774">
        <f t="shared" si="69"/>
        <v>3058104.1492307708</v>
      </c>
      <c r="L316" s="773">
        <f t="shared" si="67"/>
        <v>-1070336.4522307697</v>
      </c>
      <c r="M316" s="773">
        <f t="shared" si="71"/>
        <v>-20049.75</v>
      </c>
      <c r="N316" s="777"/>
      <c r="O316" s="773">
        <f t="shared" si="68"/>
        <v>0</v>
      </c>
      <c r="P316" s="777">
        <f t="shared" si="62"/>
        <v>3058104.1492307708</v>
      </c>
      <c r="Q316" s="776"/>
      <c r="R316" s="776"/>
      <c r="S316" s="776"/>
      <c r="T316" s="776"/>
      <c r="U316" s="777">
        <f t="shared" si="70"/>
        <v>-1070336.3747564103</v>
      </c>
      <c r="V316" s="773">
        <f t="shared" si="59"/>
        <v>-1190634.8747564105</v>
      </c>
      <c r="W316" s="778">
        <f t="shared" si="60"/>
        <v>2211179.2744743619</v>
      </c>
      <c r="Z316" s="797"/>
    </row>
    <row r="317" spans="1:26" hidden="1" outlineLevel="1">
      <c r="A317" s="168"/>
      <c r="B317" s="29" t="s">
        <v>481</v>
      </c>
      <c r="C317" s="168"/>
      <c r="D317" s="776"/>
      <c r="E317" s="776"/>
      <c r="F317" s="145">
        <f t="shared" si="63"/>
        <v>17275998.307692308</v>
      </c>
      <c r="G317" s="773">
        <f t="shared" si="64"/>
        <v>17275998.307692312</v>
      </c>
      <c r="H317" s="145">
        <f t="shared" si="66"/>
        <v>57285</v>
      </c>
      <c r="I317" s="772">
        <f t="shared" si="61"/>
        <v>-14275179.158461537</v>
      </c>
      <c r="J317" s="773">
        <f t="shared" si="65"/>
        <v>-13931469.158461539</v>
      </c>
      <c r="K317" s="774">
        <f t="shared" si="69"/>
        <v>3000819.1492307708</v>
      </c>
      <c r="L317" s="773">
        <f t="shared" si="67"/>
        <v>-1050286.7022307697</v>
      </c>
      <c r="M317" s="773">
        <f t="shared" si="71"/>
        <v>-20049.75</v>
      </c>
      <c r="N317" s="777"/>
      <c r="O317" s="773">
        <f t="shared" si="68"/>
        <v>0</v>
      </c>
      <c r="P317" s="777">
        <f t="shared" si="62"/>
        <v>3000819.1492307708</v>
      </c>
      <c r="Q317" s="776"/>
      <c r="R317" s="776"/>
      <c r="S317" s="776"/>
      <c r="T317" s="776"/>
      <c r="U317" s="777">
        <f t="shared" si="70"/>
        <v>-1050286.6247564103</v>
      </c>
      <c r="V317" s="773">
        <f t="shared" si="59"/>
        <v>-1170585.1247564105</v>
      </c>
      <c r="W317" s="778">
        <f t="shared" si="60"/>
        <v>2173944.0244743619</v>
      </c>
      <c r="Z317" s="797"/>
    </row>
    <row r="318" spans="1:26" hidden="1" outlineLevel="1">
      <c r="A318" s="168"/>
      <c r="B318" s="29" t="s">
        <v>482</v>
      </c>
      <c r="C318" s="168"/>
      <c r="D318" s="776"/>
      <c r="E318" s="776"/>
      <c r="F318" s="145">
        <f t="shared" si="63"/>
        <v>17275998.307692308</v>
      </c>
      <c r="G318" s="773">
        <f t="shared" si="64"/>
        <v>17275998.307692312</v>
      </c>
      <c r="H318" s="145">
        <f t="shared" si="66"/>
        <v>57285</v>
      </c>
      <c r="I318" s="772">
        <f t="shared" si="61"/>
        <v>-14332464.158461537</v>
      </c>
      <c r="J318" s="773">
        <f t="shared" si="65"/>
        <v>-13988754.158461539</v>
      </c>
      <c r="K318" s="774">
        <f t="shared" si="69"/>
        <v>2943534.1492307708</v>
      </c>
      <c r="L318" s="773">
        <f t="shared" si="67"/>
        <v>-1030236.9522307697</v>
      </c>
      <c r="M318" s="773">
        <f t="shared" si="71"/>
        <v>-20049.75</v>
      </c>
      <c r="N318" s="777"/>
      <c r="O318" s="773">
        <f t="shared" si="68"/>
        <v>0</v>
      </c>
      <c r="P318" s="777">
        <f t="shared" si="62"/>
        <v>2943534.1492307708</v>
      </c>
      <c r="Q318" s="776"/>
      <c r="R318" s="776"/>
      <c r="S318" s="776"/>
      <c r="T318" s="776"/>
      <c r="U318" s="777">
        <f t="shared" si="70"/>
        <v>-1030236.8747564103</v>
      </c>
      <c r="V318" s="773">
        <f t="shared" ref="V318:V381" si="72">(U306+U318+SUM(U307:U317)*2)/24</f>
        <v>-1150535.3747564105</v>
      </c>
      <c r="W318" s="778">
        <f t="shared" ref="W318:W381" si="73">G318+J318+V318</f>
        <v>2136708.7744743619</v>
      </c>
      <c r="Z318" s="797"/>
    </row>
    <row r="319" spans="1:26" hidden="1" outlineLevel="1">
      <c r="A319" s="168"/>
      <c r="B319" s="29" t="s">
        <v>483</v>
      </c>
      <c r="C319" s="168"/>
      <c r="D319" s="776"/>
      <c r="E319" s="776"/>
      <c r="F319" s="145">
        <f t="shared" si="63"/>
        <v>17275998.307692308</v>
      </c>
      <c r="G319" s="773">
        <f t="shared" si="64"/>
        <v>17275998.307692312</v>
      </c>
      <c r="H319" s="145">
        <f t="shared" si="66"/>
        <v>57285</v>
      </c>
      <c r="I319" s="772">
        <f t="shared" si="61"/>
        <v>-14389749.158461537</v>
      </c>
      <c r="J319" s="773">
        <f t="shared" si="65"/>
        <v>-14046039.158461539</v>
      </c>
      <c r="K319" s="774">
        <f t="shared" si="69"/>
        <v>2886249.1492307708</v>
      </c>
      <c r="L319" s="773">
        <f t="shared" si="67"/>
        <v>-1010187.2022307697</v>
      </c>
      <c r="M319" s="773">
        <f t="shared" si="71"/>
        <v>-20049.75</v>
      </c>
      <c r="N319" s="777"/>
      <c r="O319" s="773">
        <f t="shared" si="68"/>
        <v>0</v>
      </c>
      <c r="P319" s="777">
        <f t="shared" si="62"/>
        <v>2886249.1492307708</v>
      </c>
      <c r="Q319" s="776"/>
      <c r="R319" s="776"/>
      <c r="S319" s="776"/>
      <c r="T319" s="776"/>
      <c r="U319" s="777">
        <f t="shared" si="70"/>
        <v>-1010187.1247564103</v>
      </c>
      <c r="V319" s="773">
        <f t="shared" si="72"/>
        <v>-1130485.6247564105</v>
      </c>
      <c r="W319" s="778">
        <f t="shared" si="73"/>
        <v>2099473.5244743619</v>
      </c>
      <c r="Z319" s="797"/>
    </row>
    <row r="320" spans="1:26" hidden="1" outlineLevel="1">
      <c r="A320" s="168"/>
      <c r="B320" s="29" t="s">
        <v>484</v>
      </c>
      <c r="C320" s="168"/>
      <c r="D320" s="776"/>
      <c r="E320" s="776"/>
      <c r="F320" s="145">
        <f t="shared" si="63"/>
        <v>17275998.307692308</v>
      </c>
      <c r="G320" s="773">
        <f t="shared" si="64"/>
        <v>17275998.307692312</v>
      </c>
      <c r="H320" s="145">
        <f t="shared" si="66"/>
        <v>57285</v>
      </c>
      <c r="I320" s="772">
        <f t="shared" si="61"/>
        <v>-14447034.158461537</v>
      </c>
      <c r="J320" s="773">
        <f t="shared" si="65"/>
        <v>-14103324.158461539</v>
      </c>
      <c r="K320" s="774">
        <f t="shared" si="69"/>
        <v>2828964.1492307708</v>
      </c>
      <c r="L320" s="773">
        <f t="shared" si="67"/>
        <v>-990137.45223076968</v>
      </c>
      <c r="M320" s="773">
        <f t="shared" si="71"/>
        <v>-20049.75</v>
      </c>
      <c r="N320" s="777"/>
      <c r="O320" s="773">
        <f t="shared" si="68"/>
        <v>0</v>
      </c>
      <c r="P320" s="777">
        <f t="shared" si="62"/>
        <v>2828964.1492307708</v>
      </c>
      <c r="Q320" s="776"/>
      <c r="R320" s="776"/>
      <c r="S320" s="776"/>
      <c r="T320" s="776"/>
      <c r="U320" s="777">
        <f t="shared" si="70"/>
        <v>-990137.37475641025</v>
      </c>
      <c r="V320" s="773">
        <f t="shared" si="72"/>
        <v>-1110435.8747564105</v>
      </c>
      <c r="W320" s="778">
        <f t="shared" si="73"/>
        <v>2062238.2744743621</v>
      </c>
      <c r="Z320" s="797"/>
    </row>
    <row r="321" spans="1:26" hidden="1" outlineLevel="1">
      <c r="A321" s="168"/>
      <c r="B321" s="29" t="s">
        <v>485</v>
      </c>
      <c r="C321" s="168"/>
      <c r="D321" s="776"/>
      <c r="E321" s="776"/>
      <c r="F321" s="145">
        <f t="shared" si="63"/>
        <v>17275998.307692308</v>
      </c>
      <c r="G321" s="773">
        <f t="shared" si="64"/>
        <v>17275998.307692312</v>
      </c>
      <c r="H321" s="145">
        <f t="shared" si="66"/>
        <v>57285</v>
      </c>
      <c r="I321" s="772">
        <f t="shared" si="61"/>
        <v>-14504319.158461537</v>
      </c>
      <c r="J321" s="773">
        <f t="shared" si="65"/>
        <v>-14160609.158461539</v>
      </c>
      <c r="K321" s="774">
        <f t="shared" si="69"/>
        <v>2771679.1492307708</v>
      </c>
      <c r="L321" s="773">
        <f t="shared" si="67"/>
        <v>-970087.70223076968</v>
      </c>
      <c r="M321" s="773">
        <f t="shared" si="71"/>
        <v>-20049.75</v>
      </c>
      <c r="N321" s="777"/>
      <c r="O321" s="773">
        <f t="shared" si="68"/>
        <v>0</v>
      </c>
      <c r="P321" s="777">
        <f t="shared" si="62"/>
        <v>2771679.1492307708</v>
      </c>
      <c r="Q321" s="776"/>
      <c r="R321" s="776"/>
      <c r="S321" s="776"/>
      <c r="T321" s="776"/>
      <c r="U321" s="777">
        <f t="shared" si="70"/>
        <v>-970087.62475641025</v>
      </c>
      <c r="V321" s="773">
        <f t="shared" si="72"/>
        <v>-1090386.1247564105</v>
      </c>
      <c r="W321" s="778">
        <f t="shared" si="73"/>
        <v>2025003.0244743621</v>
      </c>
      <c r="Z321" s="797"/>
    </row>
    <row r="322" spans="1:26" hidden="1" outlineLevel="1">
      <c r="A322" s="168"/>
      <c r="B322" s="29" t="s">
        <v>486</v>
      </c>
      <c r="C322" s="168"/>
      <c r="D322" s="776"/>
      <c r="E322" s="776"/>
      <c r="F322" s="145">
        <f t="shared" si="63"/>
        <v>17275998.307692308</v>
      </c>
      <c r="G322" s="773">
        <f t="shared" si="64"/>
        <v>17275998.307692312</v>
      </c>
      <c r="H322" s="145">
        <f t="shared" si="66"/>
        <v>57285</v>
      </c>
      <c r="I322" s="772">
        <f t="shared" si="61"/>
        <v>-14561604.158461537</v>
      </c>
      <c r="J322" s="773">
        <f t="shared" si="65"/>
        <v>-14217894.158461539</v>
      </c>
      <c r="K322" s="774">
        <f t="shared" si="69"/>
        <v>2714394.1492307708</v>
      </c>
      <c r="L322" s="773">
        <f t="shared" si="67"/>
        <v>-950037.95223076968</v>
      </c>
      <c r="M322" s="773">
        <f t="shared" si="71"/>
        <v>-20049.75</v>
      </c>
      <c r="N322" s="777"/>
      <c r="O322" s="773">
        <f t="shared" si="68"/>
        <v>0</v>
      </c>
      <c r="P322" s="777">
        <f t="shared" si="62"/>
        <v>2714394.1492307708</v>
      </c>
      <c r="Q322" s="776"/>
      <c r="R322" s="776"/>
      <c r="S322" s="776"/>
      <c r="T322" s="776"/>
      <c r="U322" s="777">
        <f t="shared" si="70"/>
        <v>-950037.87475641025</v>
      </c>
      <c r="V322" s="773">
        <f t="shared" si="72"/>
        <v>-1070336.3747564105</v>
      </c>
      <c r="W322" s="778">
        <f t="shared" si="73"/>
        <v>1987767.7744743621</v>
      </c>
      <c r="Z322" s="797"/>
    </row>
    <row r="323" spans="1:26" hidden="1" outlineLevel="1">
      <c r="A323" s="168"/>
      <c r="B323" s="29" t="s">
        <v>487</v>
      </c>
      <c r="C323" s="168"/>
      <c r="D323" s="776"/>
      <c r="E323" s="776"/>
      <c r="F323" s="145">
        <f t="shared" si="63"/>
        <v>17275998.307692308</v>
      </c>
      <c r="G323" s="773">
        <f t="shared" si="64"/>
        <v>17275998.307692312</v>
      </c>
      <c r="H323" s="145">
        <f t="shared" si="66"/>
        <v>57285</v>
      </c>
      <c r="I323" s="772">
        <f t="shared" ref="I323:I381" si="74">I322-H323</f>
        <v>-14618889.158461537</v>
      </c>
      <c r="J323" s="773">
        <f t="shared" si="65"/>
        <v>-14275179.158461539</v>
      </c>
      <c r="K323" s="774">
        <f t="shared" si="69"/>
        <v>2657109.1492307708</v>
      </c>
      <c r="L323" s="773">
        <f t="shared" si="67"/>
        <v>-929988.20223076968</v>
      </c>
      <c r="M323" s="773">
        <f t="shared" si="71"/>
        <v>-20049.75</v>
      </c>
      <c r="N323" s="777"/>
      <c r="O323" s="773">
        <f t="shared" si="68"/>
        <v>0</v>
      </c>
      <c r="P323" s="777">
        <f t="shared" si="62"/>
        <v>2657109.1492307708</v>
      </c>
      <c r="Q323" s="776"/>
      <c r="R323" s="776"/>
      <c r="S323" s="776"/>
      <c r="T323" s="776"/>
      <c r="U323" s="777">
        <f t="shared" si="70"/>
        <v>-929988.12475641025</v>
      </c>
      <c r="V323" s="773">
        <f t="shared" si="72"/>
        <v>-1050286.6247564105</v>
      </c>
      <c r="W323" s="778">
        <f t="shared" si="73"/>
        <v>1950532.5244743621</v>
      </c>
      <c r="Z323" s="797"/>
    </row>
    <row r="324" spans="1:26" hidden="1" outlineLevel="1">
      <c r="A324" s="168"/>
      <c r="B324" s="29" t="s">
        <v>488</v>
      </c>
      <c r="C324" s="168"/>
      <c r="D324" s="776"/>
      <c r="E324" s="776"/>
      <c r="F324" s="145">
        <f t="shared" si="63"/>
        <v>17275998.307692308</v>
      </c>
      <c r="G324" s="773">
        <f t="shared" si="64"/>
        <v>17275998.307692312</v>
      </c>
      <c r="H324" s="145">
        <f t="shared" si="66"/>
        <v>57285</v>
      </c>
      <c r="I324" s="772">
        <f t="shared" si="74"/>
        <v>-14676174.158461537</v>
      </c>
      <c r="J324" s="773">
        <f t="shared" si="65"/>
        <v>-14332464.158461539</v>
      </c>
      <c r="K324" s="774">
        <f t="shared" si="69"/>
        <v>2599824.1492307708</v>
      </c>
      <c r="L324" s="773">
        <f t="shared" si="67"/>
        <v>-909938.45223076968</v>
      </c>
      <c r="M324" s="773">
        <f t="shared" si="71"/>
        <v>-20049.75</v>
      </c>
      <c r="N324" s="777"/>
      <c r="O324" s="773">
        <f t="shared" si="68"/>
        <v>0</v>
      </c>
      <c r="P324" s="777">
        <f t="shared" si="62"/>
        <v>2599824.1492307708</v>
      </c>
      <c r="Q324" s="776"/>
      <c r="R324" s="776"/>
      <c r="S324" s="776"/>
      <c r="T324" s="776"/>
      <c r="U324" s="777">
        <f t="shared" si="70"/>
        <v>-909938.37475641025</v>
      </c>
      <c r="V324" s="773">
        <f t="shared" si="72"/>
        <v>-1030236.8747564106</v>
      </c>
      <c r="W324" s="778">
        <f t="shared" si="73"/>
        <v>1913297.2744743619</v>
      </c>
      <c r="Z324" s="797"/>
    </row>
    <row r="325" spans="1:26" hidden="1" outlineLevel="1">
      <c r="A325" s="168"/>
      <c r="B325" s="29" t="s">
        <v>489</v>
      </c>
      <c r="C325" s="168"/>
      <c r="D325" s="776"/>
      <c r="E325" s="776"/>
      <c r="F325" s="145">
        <f t="shared" si="63"/>
        <v>17275998.307692308</v>
      </c>
      <c r="G325" s="773">
        <f t="shared" si="64"/>
        <v>17275998.307692312</v>
      </c>
      <c r="H325" s="145">
        <f t="shared" si="66"/>
        <v>57285</v>
      </c>
      <c r="I325" s="772">
        <f t="shared" si="74"/>
        <v>-14733459.158461537</v>
      </c>
      <c r="J325" s="773">
        <f t="shared" si="65"/>
        <v>-14389749.158461539</v>
      </c>
      <c r="K325" s="774">
        <f t="shared" si="69"/>
        <v>2542539.1492307708</v>
      </c>
      <c r="L325" s="773">
        <f t="shared" si="67"/>
        <v>-889888.70223076968</v>
      </c>
      <c r="M325" s="773">
        <f t="shared" si="71"/>
        <v>-20049.75</v>
      </c>
      <c r="N325" s="777"/>
      <c r="O325" s="773">
        <f t="shared" si="68"/>
        <v>0</v>
      </c>
      <c r="P325" s="777">
        <f t="shared" ref="P325:P381" si="75">K325+O325</f>
        <v>2542539.1492307708</v>
      </c>
      <c r="Q325" s="776"/>
      <c r="R325" s="776"/>
      <c r="S325" s="776"/>
      <c r="T325" s="776"/>
      <c r="U325" s="777">
        <f t="shared" si="70"/>
        <v>-889888.62475641025</v>
      </c>
      <c r="V325" s="773">
        <f t="shared" si="72"/>
        <v>-1010187.1247564106</v>
      </c>
      <c r="W325" s="778">
        <f t="shared" si="73"/>
        <v>1876062.0244743619</v>
      </c>
      <c r="Z325" s="797"/>
    </row>
    <row r="326" spans="1:26" hidden="1" outlineLevel="1">
      <c r="A326" s="168"/>
      <c r="B326" s="29" t="s">
        <v>490</v>
      </c>
      <c r="C326" s="168"/>
      <c r="D326" s="776"/>
      <c r="E326" s="776"/>
      <c r="F326" s="145">
        <f t="shared" ref="F326:F382" si="76">F325</f>
        <v>17275998.307692308</v>
      </c>
      <c r="G326" s="773">
        <f t="shared" ref="G326:G381" si="77">(F314+F326+SUM(F315:F325)*2)/24</f>
        <v>17275998.307692312</v>
      </c>
      <c r="H326" s="145">
        <f t="shared" si="66"/>
        <v>57285</v>
      </c>
      <c r="I326" s="772">
        <f t="shared" si="74"/>
        <v>-14790744.158461537</v>
      </c>
      <c r="J326" s="773">
        <f t="shared" si="65"/>
        <v>-14447034.158461539</v>
      </c>
      <c r="K326" s="774">
        <f t="shared" si="69"/>
        <v>2485254.1492307708</v>
      </c>
      <c r="L326" s="773">
        <f t="shared" si="67"/>
        <v>-869838.95223076968</v>
      </c>
      <c r="M326" s="773">
        <f t="shared" si="71"/>
        <v>-20049.75</v>
      </c>
      <c r="N326" s="777"/>
      <c r="O326" s="773">
        <f t="shared" si="68"/>
        <v>0</v>
      </c>
      <c r="P326" s="777">
        <f t="shared" si="75"/>
        <v>2485254.1492307708</v>
      </c>
      <c r="Q326" s="776"/>
      <c r="R326" s="776"/>
      <c r="S326" s="776"/>
      <c r="T326" s="776"/>
      <c r="U326" s="777">
        <f t="shared" si="70"/>
        <v>-869838.87475641025</v>
      </c>
      <c r="V326" s="773">
        <f t="shared" si="72"/>
        <v>-990137.3747564106</v>
      </c>
      <c r="W326" s="778">
        <f t="shared" si="73"/>
        <v>1838826.7744743619</v>
      </c>
      <c r="Z326" s="797"/>
    </row>
    <row r="327" spans="1:26" hidden="1" outlineLevel="1">
      <c r="A327" s="168"/>
      <c r="B327" s="29" t="s">
        <v>491</v>
      </c>
      <c r="C327" s="168"/>
      <c r="D327" s="776"/>
      <c r="E327" s="776"/>
      <c r="F327" s="145">
        <f t="shared" si="76"/>
        <v>17275998.307692308</v>
      </c>
      <c r="G327" s="773">
        <f t="shared" si="77"/>
        <v>17275998.307692312</v>
      </c>
      <c r="H327" s="145">
        <f t="shared" si="66"/>
        <v>57285</v>
      </c>
      <c r="I327" s="772">
        <f t="shared" si="74"/>
        <v>-14848029.158461537</v>
      </c>
      <c r="J327" s="773">
        <f t="shared" ref="J327:J381" si="78">(I315+I327+SUM(I316:I326)*2)/24</f>
        <v>-14504319.158461539</v>
      </c>
      <c r="K327" s="774">
        <f t="shared" si="69"/>
        <v>2427969.1492307708</v>
      </c>
      <c r="L327" s="773">
        <f t="shared" si="67"/>
        <v>-849789.20223076968</v>
      </c>
      <c r="M327" s="773">
        <f t="shared" si="71"/>
        <v>-20049.75</v>
      </c>
      <c r="N327" s="777"/>
      <c r="O327" s="773">
        <f t="shared" si="68"/>
        <v>0</v>
      </c>
      <c r="P327" s="777">
        <f t="shared" si="75"/>
        <v>2427969.1492307708</v>
      </c>
      <c r="Q327" s="776"/>
      <c r="R327" s="776"/>
      <c r="S327" s="776"/>
      <c r="T327" s="776"/>
      <c r="U327" s="777">
        <f t="shared" si="70"/>
        <v>-849789.12475641025</v>
      </c>
      <c r="V327" s="773">
        <f t="shared" si="72"/>
        <v>-970087.6247564106</v>
      </c>
      <c r="W327" s="778">
        <f t="shared" si="73"/>
        <v>1801591.5244743619</v>
      </c>
      <c r="Z327" s="797"/>
    </row>
    <row r="328" spans="1:26" hidden="1" outlineLevel="1">
      <c r="A328" s="168"/>
      <c r="B328" s="29" t="s">
        <v>492</v>
      </c>
      <c r="C328" s="168"/>
      <c r="D328" s="776"/>
      <c r="E328" s="776"/>
      <c r="F328" s="145">
        <f t="shared" si="76"/>
        <v>17275998.307692308</v>
      </c>
      <c r="G328" s="773">
        <f t="shared" si="77"/>
        <v>17275998.307692312</v>
      </c>
      <c r="H328" s="145">
        <f t="shared" si="66"/>
        <v>57285</v>
      </c>
      <c r="I328" s="772">
        <f t="shared" si="74"/>
        <v>-14905314.158461537</v>
      </c>
      <c r="J328" s="773">
        <f t="shared" si="78"/>
        <v>-14561604.158461539</v>
      </c>
      <c r="K328" s="774">
        <f t="shared" si="69"/>
        <v>2370684.1492307708</v>
      </c>
      <c r="L328" s="773">
        <f t="shared" si="67"/>
        <v>-829739.45223076968</v>
      </c>
      <c r="M328" s="773">
        <f t="shared" si="71"/>
        <v>-20049.75</v>
      </c>
      <c r="N328" s="777"/>
      <c r="O328" s="773">
        <f t="shared" si="68"/>
        <v>0</v>
      </c>
      <c r="P328" s="777">
        <f t="shared" si="75"/>
        <v>2370684.1492307708</v>
      </c>
      <c r="Q328" s="776"/>
      <c r="R328" s="776"/>
      <c r="S328" s="776"/>
      <c r="T328" s="776"/>
      <c r="U328" s="777">
        <f t="shared" si="70"/>
        <v>-829739.37475641025</v>
      </c>
      <c r="V328" s="773">
        <f t="shared" si="72"/>
        <v>-950037.8747564106</v>
      </c>
      <c r="W328" s="778">
        <f t="shared" si="73"/>
        <v>1764356.2744743619</v>
      </c>
      <c r="Z328" s="797"/>
    </row>
    <row r="329" spans="1:26" hidden="1" outlineLevel="1">
      <c r="A329" s="168"/>
      <c r="B329" s="29" t="s">
        <v>493</v>
      </c>
      <c r="C329" s="168"/>
      <c r="D329" s="776"/>
      <c r="E329" s="776"/>
      <c r="F329" s="145">
        <f t="shared" si="76"/>
        <v>17275998.307692308</v>
      </c>
      <c r="G329" s="773">
        <f t="shared" si="77"/>
        <v>17275998.307692312</v>
      </c>
      <c r="H329" s="145">
        <f t="shared" si="66"/>
        <v>57285</v>
      </c>
      <c r="I329" s="772">
        <f t="shared" si="74"/>
        <v>-14962599.158461537</v>
      </c>
      <c r="J329" s="773">
        <f t="shared" si="78"/>
        <v>-14618889.158461539</v>
      </c>
      <c r="K329" s="774">
        <f t="shared" si="69"/>
        <v>2313399.1492307708</v>
      </c>
      <c r="L329" s="773">
        <f t="shared" si="67"/>
        <v>-809689.70223076968</v>
      </c>
      <c r="M329" s="773">
        <f t="shared" si="71"/>
        <v>-20049.75</v>
      </c>
      <c r="N329" s="777"/>
      <c r="O329" s="773">
        <f t="shared" si="68"/>
        <v>0</v>
      </c>
      <c r="P329" s="777">
        <f t="shared" si="75"/>
        <v>2313399.1492307708</v>
      </c>
      <c r="Q329" s="776"/>
      <c r="R329" s="776"/>
      <c r="S329" s="776"/>
      <c r="T329" s="776"/>
      <c r="U329" s="777">
        <f t="shared" si="70"/>
        <v>-809689.62475641025</v>
      </c>
      <c r="V329" s="773">
        <f t="shared" si="72"/>
        <v>-929988.1247564106</v>
      </c>
      <c r="W329" s="778">
        <f t="shared" si="73"/>
        <v>1727121.0244743619</v>
      </c>
      <c r="Z329" s="797"/>
    </row>
    <row r="330" spans="1:26" hidden="1" outlineLevel="1">
      <c r="A330" s="168"/>
      <c r="B330" s="29" t="s">
        <v>494</v>
      </c>
      <c r="C330" s="168"/>
      <c r="D330" s="776"/>
      <c r="E330" s="776"/>
      <c r="F330" s="145">
        <f t="shared" si="76"/>
        <v>17275998.307692308</v>
      </c>
      <c r="G330" s="773">
        <f t="shared" si="77"/>
        <v>17275998.307692312</v>
      </c>
      <c r="H330" s="145">
        <f t="shared" si="66"/>
        <v>57285</v>
      </c>
      <c r="I330" s="772">
        <f t="shared" si="74"/>
        <v>-15019884.158461537</v>
      </c>
      <c r="J330" s="773">
        <f t="shared" si="78"/>
        <v>-14676174.158461539</v>
      </c>
      <c r="K330" s="774">
        <f t="shared" si="69"/>
        <v>2256114.1492307708</v>
      </c>
      <c r="L330" s="773">
        <f t="shared" si="67"/>
        <v>-789639.95223076968</v>
      </c>
      <c r="M330" s="773">
        <f t="shared" si="71"/>
        <v>-20049.75</v>
      </c>
      <c r="N330" s="777"/>
      <c r="O330" s="773">
        <f t="shared" si="68"/>
        <v>0</v>
      </c>
      <c r="P330" s="777">
        <f t="shared" si="75"/>
        <v>2256114.1492307708</v>
      </c>
      <c r="Q330" s="776"/>
      <c r="R330" s="776"/>
      <c r="S330" s="776"/>
      <c r="T330" s="776"/>
      <c r="U330" s="777">
        <f t="shared" si="70"/>
        <v>-789639.87475641025</v>
      </c>
      <c r="V330" s="773">
        <f t="shared" si="72"/>
        <v>-909938.3747564106</v>
      </c>
      <c r="W330" s="778">
        <f t="shared" si="73"/>
        <v>1689885.7744743619</v>
      </c>
      <c r="Z330" s="797"/>
    </row>
    <row r="331" spans="1:26" hidden="1" outlineLevel="1">
      <c r="A331" s="168"/>
      <c r="B331" s="29" t="s">
        <v>495</v>
      </c>
      <c r="C331" s="168"/>
      <c r="D331" s="776"/>
      <c r="E331" s="776"/>
      <c r="F331" s="145">
        <f t="shared" si="76"/>
        <v>17275998.307692308</v>
      </c>
      <c r="G331" s="773">
        <f t="shared" si="77"/>
        <v>17275998.307692312</v>
      </c>
      <c r="H331" s="145">
        <f t="shared" si="66"/>
        <v>57285</v>
      </c>
      <c r="I331" s="772">
        <f t="shared" si="74"/>
        <v>-15077169.158461537</v>
      </c>
      <c r="J331" s="773">
        <f t="shared" si="78"/>
        <v>-14733459.158461539</v>
      </c>
      <c r="K331" s="774">
        <f t="shared" si="69"/>
        <v>2198829.1492307708</v>
      </c>
      <c r="L331" s="773">
        <f t="shared" si="67"/>
        <v>-769590.20223076968</v>
      </c>
      <c r="M331" s="773">
        <f t="shared" si="71"/>
        <v>-20049.75</v>
      </c>
      <c r="N331" s="777"/>
      <c r="O331" s="773">
        <f t="shared" si="68"/>
        <v>0</v>
      </c>
      <c r="P331" s="777">
        <f t="shared" si="75"/>
        <v>2198829.1492307708</v>
      </c>
      <c r="Q331" s="776"/>
      <c r="R331" s="776"/>
      <c r="S331" s="776"/>
      <c r="T331" s="776"/>
      <c r="U331" s="777">
        <f t="shared" si="70"/>
        <v>-769590.12475641025</v>
      </c>
      <c r="V331" s="773">
        <f t="shared" si="72"/>
        <v>-889888.6247564106</v>
      </c>
      <c r="W331" s="778">
        <f t="shared" si="73"/>
        <v>1652650.5244743619</v>
      </c>
      <c r="Z331" s="797"/>
    </row>
    <row r="332" spans="1:26" hidden="1" outlineLevel="1">
      <c r="A332" s="168"/>
      <c r="B332" s="29" t="s">
        <v>496</v>
      </c>
      <c r="C332" s="168"/>
      <c r="D332" s="776"/>
      <c r="E332" s="776"/>
      <c r="F332" s="145">
        <f t="shared" si="76"/>
        <v>17275998.307692308</v>
      </c>
      <c r="G332" s="773">
        <f t="shared" si="77"/>
        <v>17275998.307692312</v>
      </c>
      <c r="H332" s="145">
        <f t="shared" si="66"/>
        <v>57285</v>
      </c>
      <c r="I332" s="772">
        <f t="shared" si="74"/>
        <v>-15134454.158461537</v>
      </c>
      <c r="J332" s="773">
        <f t="shared" si="78"/>
        <v>-14790744.158461539</v>
      </c>
      <c r="K332" s="774">
        <f t="shared" si="69"/>
        <v>2141544.1492307708</v>
      </c>
      <c r="L332" s="773">
        <f t="shared" si="67"/>
        <v>-749540.45223076968</v>
      </c>
      <c r="M332" s="773">
        <f t="shared" si="71"/>
        <v>-20049.75</v>
      </c>
      <c r="N332" s="777"/>
      <c r="O332" s="773">
        <f t="shared" si="68"/>
        <v>0</v>
      </c>
      <c r="P332" s="777">
        <f t="shared" si="75"/>
        <v>2141544.1492307708</v>
      </c>
      <c r="Q332" s="776"/>
      <c r="R332" s="776"/>
      <c r="S332" s="776"/>
      <c r="T332" s="776"/>
      <c r="U332" s="777">
        <f t="shared" si="70"/>
        <v>-749540.37475641025</v>
      </c>
      <c r="V332" s="773">
        <f t="shared" si="72"/>
        <v>-869838.8747564106</v>
      </c>
      <c r="W332" s="778">
        <f t="shared" si="73"/>
        <v>1615415.2744743619</v>
      </c>
      <c r="Z332" s="797"/>
    </row>
    <row r="333" spans="1:26" hidden="1" outlineLevel="1">
      <c r="A333" s="168"/>
      <c r="B333" s="29" t="s">
        <v>497</v>
      </c>
      <c r="C333" s="168"/>
      <c r="D333" s="776"/>
      <c r="E333" s="776"/>
      <c r="F333" s="145">
        <f t="shared" si="76"/>
        <v>17275998.307692308</v>
      </c>
      <c r="G333" s="773">
        <f t="shared" si="77"/>
        <v>17275998.307692312</v>
      </c>
      <c r="H333" s="145">
        <f t="shared" si="66"/>
        <v>57285</v>
      </c>
      <c r="I333" s="772">
        <f t="shared" si="74"/>
        <v>-15191739.158461537</v>
      </c>
      <c r="J333" s="773">
        <f t="shared" si="78"/>
        <v>-14848029.158461539</v>
      </c>
      <c r="K333" s="774">
        <f t="shared" si="69"/>
        <v>2084259.1492307708</v>
      </c>
      <c r="L333" s="773">
        <f t="shared" si="67"/>
        <v>-729490.70223076968</v>
      </c>
      <c r="M333" s="773">
        <f t="shared" si="71"/>
        <v>-20049.75</v>
      </c>
      <c r="N333" s="777"/>
      <c r="O333" s="773">
        <f t="shared" si="68"/>
        <v>0</v>
      </c>
      <c r="P333" s="777">
        <f t="shared" si="75"/>
        <v>2084259.1492307708</v>
      </c>
      <c r="Q333" s="776"/>
      <c r="R333" s="776"/>
      <c r="S333" s="776"/>
      <c r="T333" s="776"/>
      <c r="U333" s="777">
        <f t="shared" si="70"/>
        <v>-729490.62475641025</v>
      </c>
      <c r="V333" s="773">
        <f t="shared" si="72"/>
        <v>-849789.1247564106</v>
      </c>
      <c r="W333" s="778">
        <f t="shared" si="73"/>
        <v>1578180.0244743619</v>
      </c>
      <c r="Z333" s="797"/>
    </row>
    <row r="334" spans="1:26" hidden="1" outlineLevel="1">
      <c r="A334" s="168"/>
      <c r="B334" s="29" t="s">
        <v>498</v>
      </c>
      <c r="C334" s="168"/>
      <c r="D334" s="776"/>
      <c r="E334" s="776"/>
      <c r="F334" s="145">
        <f t="shared" si="76"/>
        <v>17275998.307692308</v>
      </c>
      <c r="G334" s="773">
        <f t="shared" si="77"/>
        <v>17275998.307692312</v>
      </c>
      <c r="H334" s="145">
        <f t="shared" si="66"/>
        <v>57285</v>
      </c>
      <c r="I334" s="772">
        <f t="shared" si="74"/>
        <v>-15249024.158461537</v>
      </c>
      <c r="J334" s="773">
        <f t="shared" si="78"/>
        <v>-14905314.158461539</v>
      </c>
      <c r="K334" s="774">
        <f t="shared" si="69"/>
        <v>2026974.1492307708</v>
      </c>
      <c r="L334" s="773">
        <f t="shared" si="67"/>
        <v>-709440.95223076968</v>
      </c>
      <c r="M334" s="773">
        <f t="shared" si="71"/>
        <v>-20049.75</v>
      </c>
      <c r="N334" s="777"/>
      <c r="O334" s="773">
        <f t="shared" si="68"/>
        <v>0</v>
      </c>
      <c r="P334" s="777">
        <f t="shared" si="75"/>
        <v>2026974.1492307708</v>
      </c>
      <c r="Q334" s="776"/>
      <c r="R334" s="776"/>
      <c r="S334" s="776"/>
      <c r="T334" s="776"/>
      <c r="U334" s="777">
        <f t="shared" si="70"/>
        <v>-709440.87475641025</v>
      </c>
      <c r="V334" s="773">
        <f t="shared" si="72"/>
        <v>-829739.3747564106</v>
      </c>
      <c r="W334" s="778">
        <f t="shared" si="73"/>
        <v>1540944.7744743619</v>
      </c>
      <c r="Z334" s="797"/>
    </row>
    <row r="335" spans="1:26" hidden="1" outlineLevel="1">
      <c r="A335" s="168"/>
      <c r="B335" s="29" t="s">
        <v>499</v>
      </c>
      <c r="C335" s="168"/>
      <c r="D335" s="776"/>
      <c r="E335" s="776"/>
      <c r="F335" s="145">
        <f t="shared" si="76"/>
        <v>17275998.307692308</v>
      </c>
      <c r="G335" s="773">
        <f t="shared" si="77"/>
        <v>17275998.307692312</v>
      </c>
      <c r="H335" s="145">
        <f t="shared" si="66"/>
        <v>57285</v>
      </c>
      <c r="I335" s="772">
        <f t="shared" si="74"/>
        <v>-15306309.158461537</v>
      </c>
      <c r="J335" s="773">
        <f t="shared" si="78"/>
        <v>-14962599.158461539</v>
      </c>
      <c r="K335" s="774">
        <f t="shared" si="69"/>
        <v>1969689.1492307708</v>
      </c>
      <c r="L335" s="773">
        <f t="shared" si="67"/>
        <v>-689391.20223076968</v>
      </c>
      <c r="M335" s="773">
        <f t="shared" si="71"/>
        <v>-20049.75</v>
      </c>
      <c r="N335" s="777"/>
      <c r="O335" s="773">
        <f t="shared" si="68"/>
        <v>0</v>
      </c>
      <c r="P335" s="777">
        <f t="shared" si="75"/>
        <v>1969689.1492307708</v>
      </c>
      <c r="Q335" s="776"/>
      <c r="R335" s="776"/>
      <c r="S335" s="776"/>
      <c r="T335" s="776"/>
      <c r="U335" s="777">
        <f t="shared" si="70"/>
        <v>-689391.12475641025</v>
      </c>
      <c r="V335" s="773">
        <f t="shared" si="72"/>
        <v>-809689.6247564106</v>
      </c>
      <c r="W335" s="778">
        <f t="shared" si="73"/>
        <v>1503709.5244743619</v>
      </c>
      <c r="Z335" s="797"/>
    </row>
    <row r="336" spans="1:26" hidden="1" outlineLevel="1">
      <c r="A336" s="168"/>
      <c r="B336" s="29" t="s">
        <v>500</v>
      </c>
      <c r="C336" s="168"/>
      <c r="D336" s="776"/>
      <c r="E336" s="776"/>
      <c r="F336" s="145">
        <f t="shared" si="76"/>
        <v>17275998.307692308</v>
      </c>
      <c r="G336" s="773">
        <f t="shared" si="77"/>
        <v>17275998.307692312</v>
      </c>
      <c r="H336" s="145">
        <f t="shared" si="66"/>
        <v>57285</v>
      </c>
      <c r="I336" s="772">
        <f t="shared" si="74"/>
        <v>-15363594.158461537</v>
      </c>
      <c r="J336" s="773">
        <f t="shared" si="78"/>
        <v>-15019884.158461539</v>
      </c>
      <c r="K336" s="774">
        <f t="shared" si="69"/>
        <v>1912404.1492307708</v>
      </c>
      <c r="L336" s="773">
        <f t="shared" si="67"/>
        <v>-669341.45223076968</v>
      </c>
      <c r="M336" s="773">
        <f t="shared" si="71"/>
        <v>-20049.75</v>
      </c>
      <c r="N336" s="777"/>
      <c r="O336" s="773">
        <f t="shared" si="68"/>
        <v>0</v>
      </c>
      <c r="P336" s="777">
        <f t="shared" si="75"/>
        <v>1912404.1492307708</v>
      </c>
      <c r="Q336" s="776"/>
      <c r="R336" s="776"/>
      <c r="S336" s="776"/>
      <c r="T336" s="776"/>
      <c r="U336" s="777">
        <f t="shared" si="70"/>
        <v>-669341.37475641025</v>
      </c>
      <c r="V336" s="773">
        <f t="shared" si="72"/>
        <v>-789639.8747564106</v>
      </c>
      <c r="W336" s="778">
        <f t="shared" si="73"/>
        <v>1466474.2744743619</v>
      </c>
      <c r="Z336" s="797"/>
    </row>
    <row r="337" spans="1:26" hidden="1" outlineLevel="1">
      <c r="A337" s="168"/>
      <c r="B337" s="29" t="s">
        <v>501</v>
      </c>
      <c r="C337" s="168"/>
      <c r="D337" s="776"/>
      <c r="E337" s="776"/>
      <c r="F337" s="145">
        <f t="shared" si="76"/>
        <v>17275998.307692308</v>
      </c>
      <c r="G337" s="773">
        <f t="shared" si="77"/>
        <v>17275998.307692312</v>
      </c>
      <c r="H337" s="145">
        <f t="shared" si="66"/>
        <v>57285</v>
      </c>
      <c r="I337" s="772">
        <f t="shared" si="74"/>
        <v>-15420879.158461537</v>
      </c>
      <c r="J337" s="773">
        <f t="shared" si="78"/>
        <v>-15077169.158461539</v>
      </c>
      <c r="K337" s="774">
        <f t="shared" si="69"/>
        <v>1855119.1492307708</v>
      </c>
      <c r="L337" s="773">
        <f t="shared" si="67"/>
        <v>-649291.70223076968</v>
      </c>
      <c r="M337" s="773">
        <f t="shared" si="71"/>
        <v>-20049.75</v>
      </c>
      <c r="N337" s="777"/>
      <c r="O337" s="773">
        <f t="shared" si="68"/>
        <v>0</v>
      </c>
      <c r="P337" s="777">
        <f t="shared" si="75"/>
        <v>1855119.1492307708</v>
      </c>
      <c r="Q337" s="776"/>
      <c r="R337" s="776"/>
      <c r="S337" s="776"/>
      <c r="T337" s="776"/>
      <c r="U337" s="777">
        <f t="shared" si="70"/>
        <v>-649291.62475641025</v>
      </c>
      <c r="V337" s="773">
        <f t="shared" si="72"/>
        <v>-769590.12475641037</v>
      </c>
      <c r="W337" s="778">
        <f t="shared" si="73"/>
        <v>1429239.0244743624</v>
      </c>
      <c r="Z337" s="797"/>
    </row>
    <row r="338" spans="1:26" hidden="1" outlineLevel="1">
      <c r="A338" s="168"/>
      <c r="B338" s="29" t="s">
        <v>502</v>
      </c>
      <c r="C338" s="168"/>
      <c r="D338" s="776"/>
      <c r="E338" s="776"/>
      <c r="F338" s="145">
        <f t="shared" si="76"/>
        <v>17275998.307692308</v>
      </c>
      <c r="G338" s="773">
        <f t="shared" si="77"/>
        <v>17275998.307692312</v>
      </c>
      <c r="H338" s="145">
        <f t="shared" si="66"/>
        <v>57285</v>
      </c>
      <c r="I338" s="772">
        <f t="shared" si="74"/>
        <v>-15478164.158461537</v>
      </c>
      <c r="J338" s="773">
        <f t="shared" si="78"/>
        <v>-15134454.158461539</v>
      </c>
      <c r="K338" s="774">
        <f t="shared" si="69"/>
        <v>1797834.1492307708</v>
      </c>
      <c r="L338" s="773">
        <f t="shared" si="67"/>
        <v>-629241.95223076968</v>
      </c>
      <c r="M338" s="773">
        <f t="shared" si="71"/>
        <v>-20049.75</v>
      </c>
      <c r="N338" s="777"/>
      <c r="O338" s="773">
        <f t="shared" si="68"/>
        <v>0</v>
      </c>
      <c r="P338" s="777">
        <f t="shared" si="75"/>
        <v>1797834.1492307708</v>
      </c>
      <c r="Q338" s="776"/>
      <c r="R338" s="776"/>
      <c r="S338" s="776"/>
      <c r="T338" s="776"/>
      <c r="U338" s="777">
        <f t="shared" si="70"/>
        <v>-629241.87475641025</v>
      </c>
      <c r="V338" s="773">
        <f t="shared" si="72"/>
        <v>-749540.37475641037</v>
      </c>
      <c r="W338" s="778">
        <f t="shared" si="73"/>
        <v>1392003.7744743624</v>
      </c>
      <c r="Z338" s="797"/>
    </row>
    <row r="339" spans="1:26" hidden="1" outlineLevel="1">
      <c r="A339" s="168"/>
      <c r="B339" s="29" t="s">
        <v>503</v>
      </c>
      <c r="C339" s="168"/>
      <c r="D339" s="776"/>
      <c r="E339" s="776"/>
      <c r="F339" s="145">
        <f t="shared" si="76"/>
        <v>17275998.307692308</v>
      </c>
      <c r="G339" s="773">
        <f t="shared" si="77"/>
        <v>17275998.307692312</v>
      </c>
      <c r="H339" s="145">
        <f t="shared" si="66"/>
        <v>57285</v>
      </c>
      <c r="I339" s="772">
        <f t="shared" si="74"/>
        <v>-15535449.158461537</v>
      </c>
      <c r="J339" s="773">
        <f t="shared" si="78"/>
        <v>-15191739.158461539</v>
      </c>
      <c r="K339" s="774">
        <f t="shared" si="69"/>
        <v>1740549.1492307708</v>
      </c>
      <c r="L339" s="773">
        <f t="shared" si="67"/>
        <v>-609192.20223076968</v>
      </c>
      <c r="M339" s="773">
        <f t="shared" si="71"/>
        <v>-20049.75</v>
      </c>
      <c r="N339" s="777"/>
      <c r="O339" s="773">
        <f t="shared" si="68"/>
        <v>0</v>
      </c>
      <c r="P339" s="777">
        <f t="shared" si="75"/>
        <v>1740549.1492307708</v>
      </c>
      <c r="Q339" s="776"/>
      <c r="R339" s="776"/>
      <c r="S339" s="776"/>
      <c r="T339" s="776"/>
      <c r="U339" s="777">
        <f t="shared" si="70"/>
        <v>-609192.12475641025</v>
      </c>
      <c r="V339" s="773">
        <f t="shared" si="72"/>
        <v>-729490.62475641037</v>
      </c>
      <c r="W339" s="778">
        <f t="shared" si="73"/>
        <v>1354768.5244743624</v>
      </c>
      <c r="Z339" s="797"/>
    </row>
    <row r="340" spans="1:26" hidden="1" outlineLevel="1">
      <c r="A340" s="168"/>
      <c r="B340" s="29" t="s">
        <v>504</v>
      </c>
      <c r="C340" s="168"/>
      <c r="D340" s="776"/>
      <c r="E340" s="776"/>
      <c r="F340" s="145">
        <f t="shared" si="76"/>
        <v>17275998.307692308</v>
      </c>
      <c r="G340" s="773">
        <f t="shared" si="77"/>
        <v>17275998.307692312</v>
      </c>
      <c r="H340" s="145">
        <f t="shared" si="66"/>
        <v>57285</v>
      </c>
      <c r="I340" s="772">
        <f t="shared" si="74"/>
        <v>-15592734.158461537</v>
      </c>
      <c r="J340" s="773">
        <f t="shared" si="78"/>
        <v>-15249024.158461539</v>
      </c>
      <c r="K340" s="774">
        <f t="shared" si="69"/>
        <v>1683264.1492307708</v>
      </c>
      <c r="L340" s="773">
        <f t="shared" si="67"/>
        <v>-589142.45223076968</v>
      </c>
      <c r="M340" s="773">
        <f t="shared" si="71"/>
        <v>-20049.75</v>
      </c>
      <c r="N340" s="777"/>
      <c r="O340" s="773">
        <f t="shared" si="68"/>
        <v>0</v>
      </c>
      <c r="P340" s="777">
        <f t="shared" si="75"/>
        <v>1683264.1492307708</v>
      </c>
      <c r="Q340" s="776"/>
      <c r="R340" s="776"/>
      <c r="S340" s="776"/>
      <c r="T340" s="776"/>
      <c r="U340" s="777">
        <f t="shared" si="70"/>
        <v>-589142.37475641025</v>
      </c>
      <c r="V340" s="773">
        <f t="shared" si="72"/>
        <v>-709440.87475641037</v>
      </c>
      <c r="W340" s="778">
        <f t="shared" si="73"/>
        <v>1317533.2744743624</v>
      </c>
      <c r="Z340" s="797"/>
    </row>
    <row r="341" spans="1:26" hidden="1" outlineLevel="1">
      <c r="A341" s="168"/>
      <c r="B341" s="29" t="s">
        <v>505</v>
      </c>
      <c r="C341" s="168"/>
      <c r="D341" s="776"/>
      <c r="E341" s="776"/>
      <c r="F341" s="145">
        <f t="shared" si="76"/>
        <v>17275998.307692308</v>
      </c>
      <c r="G341" s="773">
        <f t="shared" si="77"/>
        <v>17275998.307692312</v>
      </c>
      <c r="H341" s="145">
        <f t="shared" si="66"/>
        <v>57285</v>
      </c>
      <c r="I341" s="772">
        <f t="shared" si="74"/>
        <v>-15650019.158461537</v>
      </c>
      <c r="J341" s="773">
        <f t="shared" si="78"/>
        <v>-15306309.158461539</v>
      </c>
      <c r="K341" s="774">
        <f t="shared" si="69"/>
        <v>1625979.1492307708</v>
      </c>
      <c r="L341" s="773">
        <f t="shared" si="67"/>
        <v>-569092.70223076968</v>
      </c>
      <c r="M341" s="773">
        <f t="shared" si="71"/>
        <v>-20049.75</v>
      </c>
      <c r="N341" s="777"/>
      <c r="O341" s="773">
        <f t="shared" si="68"/>
        <v>0</v>
      </c>
      <c r="P341" s="777">
        <f t="shared" si="75"/>
        <v>1625979.1492307708</v>
      </c>
      <c r="Q341" s="776"/>
      <c r="R341" s="776"/>
      <c r="S341" s="776"/>
      <c r="T341" s="776"/>
      <c r="U341" s="777">
        <f t="shared" si="70"/>
        <v>-569092.62475641025</v>
      </c>
      <c r="V341" s="773">
        <f t="shared" si="72"/>
        <v>-689391.12475641037</v>
      </c>
      <c r="W341" s="778">
        <f t="shared" si="73"/>
        <v>1280298.0244743624</v>
      </c>
      <c r="Z341" s="797"/>
    </row>
    <row r="342" spans="1:26" hidden="1" outlineLevel="1">
      <c r="A342" s="168"/>
      <c r="B342" s="29" t="s">
        <v>506</v>
      </c>
      <c r="C342" s="168"/>
      <c r="D342" s="776"/>
      <c r="E342" s="776"/>
      <c r="F342" s="145">
        <f t="shared" si="76"/>
        <v>17275998.307692308</v>
      </c>
      <c r="G342" s="773">
        <f t="shared" si="77"/>
        <v>17275998.307692312</v>
      </c>
      <c r="H342" s="145">
        <f t="shared" si="66"/>
        <v>57285</v>
      </c>
      <c r="I342" s="772">
        <f t="shared" si="74"/>
        <v>-15707304.158461537</v>
      </c>
      <c r="J342" s="773">
        <f t="shared" si="78"/>
        <v>-15363594.158461539</v>
      </c>
      <c r="K342" s="774">
        <f t="shared" si="69"/>
        <v>1568694.1492307708</v>
      </c>
      <c r="L342" s="773">
        <f t="shared" si="67"/>
        <v>-549042.95223076979</v>
      </c>
      <c r="M342" s="773">
        <f t="shared" si="71"/>
        <v>-20049.749999999884</v>
      </c>
      <c r="N342" s="777"/>
      <c r="O342" s="773">
        <f t="shared" si="68"/>
        <v>0</v>
      </c>
      <c r="P342" s="777">
        <f t="shared" si="75"/>
        <v>1568694.1492307708</v>
      </c>
      <c r="Q342" s="776"/>
      <c r="R342" s="776"/>
      <c r="S342" s="776"/>
      <c r="T342" s="776"/>
      <c r="U342" s="777">
        <f t="shared" si="70"/>
        <v>-549042.87475641037</v>
      </c>
      <c r="V342" s="773">
        <f t="shared" si="72"/>
        <v>-669341.37475641037</v>
      </c>
      <c r="W342" s="778">
        <f t="shared" si="73"/>
        <v>1243062.7744743624</v>
      </c>
      <c r="Z342" s="797"/>
    </row>
    <row r="343" spans="1:26" hidden="1" outlineLevel="1">
      <c r="A343" s="168"/>
      <c r="B343" s="29" t="s">
        <v>507</v>
      </c>
      <c r="C343" s="168"/>
      <c r="D343" s="776"/>
      <c r="E343" s="776"/>
      <c r="F343" s="145">
        <f t="shared" si="76"/>
        <v>17275998.307692308</v>
      </c>
      <c r="G343" s="773">
        <f t="shared" si="77"/>
        <v>17275998.307692312</v>
      </c>
      <c r="H343" s="145">
        <f t="shared" si="66"/>
        <v>57285</v>
      </c>
      <c r="I343" s="772">
        <f t="shared" si="74"/>
        <v>-15764589.158461537</v>
      </c>
      <c r="J343" s="773">
        <f t="shared" si="78"/>
        <v>-15420879.158461539</v>
      </c>
      <c r="K343" s="774">
        <f t="shared" si="69"/>
        <v>1511409.1492307708</v>
      </c>
      <c r="L343" s="773">
        <f t="shared" si="67"/>
        <v>-528993.20223076979</v>
      </c>
      <c r="M343" s="773">
        <f t="shared" si="71"/>
        <v>-20049.75</v>
      </c>
      <c r="N343" s="777"/>
      <c r="O343" s="773">
        <f t="shared" si="68"/>
        <v>0</v>
      </c>
      <c r="P343" s="777">
        <f t="shared" si="75"/>
        <v>1511409.1492307708</v>
      </c>
      <c r="Q343" s="776"/>
      <c r="R343" s="776"/>
      <c r="S343" s="776"/>
      <c r="T343" s="776"/>
      <c r="U343" s="777">
        <f t="shared" si="70"/>
        <v>-528993.12475641037</v>
      </c>
      <c r="V343" s="773">
        <f t="shared" si="72"/>
        <v>-649291.62475641037</v>
      </c>
      <c r="W343" s="778">
        <f t="shared" si="73"/>
        <v>1205827.5244743624</v>
      </c>
      <c r="Z343" s="797"/>
    </row>
    <row r="344" spans="1:26" hidden="1" outlineLevel="1">
      <c r="A344" s="168"/>
      <c r="B344" s="29" t="s">
        <v>508</v>
      </c>
      <c r="C344" s="168"/>
      <c r="D344" s="776"/>
      <c r="E344" s="776"/>
      <c r="F344" s="145">
        <f t="shared" si="76"/>
        <v>17275998.307692308</v>
      </c>
      <c r="G344" s="773">
        <f t="shared" si="77"/>
        <v>17275998.307692312</v>
      </c>
      <c r="H344" s="145">
        <f t="shared" si="66"/>
        <v>57285</v>
      </c>
      <c r="I344" s="772">
        <f t="shared" si="74"/>
        <v>-15821874.158461537</v>
      </c>
      <c r="J344" s="773">
        <f t="shared" si="78"/>
        <v>-15478164.158461539</v>
      </c>
      <c r="K344" s="774">
        <f t="shared" si="69"/>
        <v>1454124.1492307708</v>
      </c>
      <c r="L344" s="773">
        <f t="shared" si="67"/>
        <v>-508943.45223076973</v>
      </c>
      <c r="M344" s="773">
        <f t="shared" si="71"/>
        <v>-20049.750000000058</v>
      </c>
      <c r="N344" s="777"/>
      <c r="O344" s="773">
        <f t="shared" si="68"/>
        <v>0</v>
      </c>
      <c r="P344" s="777">
        <f t="shared" si="75"/>
        <v>1454124.1492307708</v>
      </c>
      <c r="Q344" s="776"/>
      <c r="R344" s="776"/>
      <c r="S344" s="776"/>
      <c r="T344" s="776"/>
      <c r="U344" s="777">
        <f t="shared" si="70"/>
        <v>-508943.37475641031</v>
      </c>
      <c r="V344" s="773">
        <f t="shared" si="72"/>
        <v>-629241.87475641037</v>
      </c>
      <c r="W344" s="778">
        <f t="shared" si="73"/>
        <v>1168592.2744743624</v>
      </c>
      <c r="Z344" s="797"/>
    </row>
    <row r="345" spans="1:26" hidden="1" outlineLevel="1">
      <c r="A345" s="168"/>
      <c r="B345" s="29" t="s">
        <v>509</v>
      </c>
      <c r="C345" s="168"/>
      <c r="D345" s="776"/>
      <c r="E345" s="776"/>
      <c r="F345" s="145">
        <f t="shared" si="76"/>
        <v>17275998.307692308</v>
      </c>
      <c r="G345" s="773">
        <f t="shared" si="77"/>
        <v>17275998.307692312</v>
      </c>
      <c r="H345" s="145">
        <f t="shared" ref="H345:H369" si="79">H344</f>
        <v>57285</v>
      </c>
      <c r="I345" s="772">
        <f t="shared" si="74"/>
        <v>-15879159.158461537</v>
      </c>
      <c r="J345" s="773">
        <f t="shared" si="78"/>
        <v>-15535449.158461539</v>
      </c>
      <c r="K345" s="774">
        <f t="shared" si="69"/>
        <v>1396839.1492307708</v>
      </c>
      <c r="L345" s="773">
        <f t="shared" si="67"/>
        <v>-488893.70223076973</v>
      </c>
      <c r="M345" s="773">
        <f t="shared" si="71"/>
        <v>-20049.75</v>
      </c>
      <c r="N345" s="777"/>
      <c r="O345" s="773">
        <f t="shared" si="68"/>
        <v>0</v>
      </c>
      <c r="P345" s="777">
        <f t="shared" si="75"/>
        <v>1396839.1492307708</v>
      </c>
      <c r="Q345" s="776"/>
      <c r="R345" s="776"/>
      <c r="S345" s="776"/>
      <c r="T345" s="776"/>
      <c r="U345" s="777">
        <f t="shared" si="70"/>
        <v>-488893.62475641031</v>
      </c>
      <c r="V345" s="773">
        <f t="shared" si="72"/>
        <v>-609192.12475641037</v>
      </c>
      <c r="W345" s="778">
        <f t="shared" si="73"/>
        <v>1131357.0244743624</v>
      </c>
      <c r="Z345" s="797"/>
    </row>
    <row r="346" spans="1:26" hidden="1" outlineLevel="1">
      <c r="A346" s="168"/>
      <c r="B346" s="29" t="s">
        <v>510</v>
      </c>
      <c r="C346" s="168"/>
      <c r="D346" s="776"/>
      <c r="E346" s="776"/>
      <c r="F346" s="145">
        <f t="shared" si="76"/>
        <v>17275998.307692308</v>
      </c>
      <c r="G346" s="773">
        <f t="shared" si="77"/>
        <v>17275998.307692312</v>
      </c>
      <c r="H346" s="145">
        <f t="shared" si="79"/>
        <v>57285</v>
      </c>
      <c r="I346" s="772">
        <f t="shared" si="74"/>
        <v>-15936444.158461537</v>
      </c>
      <c r="J346" s="773">
        <f t="shared" si="78"/>
        <v>-15592734.158461539</v>
      </c>
      <c r="K346" s="774">
        <f t="shared" si="69"/>
        <v>1339554.1492307708</v>
      </c>
      <c r="L346" s="773">
        <f t="shared" si="67"/>
        <v>-468843.95223076973</v>
      </c>
      <c r="M346" s="773">
        <f t="shared" si="71"/>
        <v>-20049.75</v>
      </c>
      <c r="N346" s="777"/>
      <c r="O346" s="773">
        <f t="shared" si="68"/>
        <v>0</v>
      </c>
      <c r="P346" s="777">
        <f t="shared" si="75"/>
        <v>1339554.1492307708</v>
      </c>
      <c r="Q346" s="776"/>
      <c r="R346" s="776"/>
      <c r="S346" s="776"/>
      <c r="T346" s="776"/>
      <c r="U346" s="777">
        <f t="shared" si="70"/>
        <v>-468843.87475641031</v>
      </c>
      <c r="V346" s="773">
        <f t="shared" si="72"/>
        <v>-589142.37475641037</v>
      </c>
      <c r="W346" s="778">
        <f t="shared" si="73"/>
        <v>1094121.7744743624</v>
      </c>
      <c r="Z346" s="797"/>
    </row>
    <row r="347" spans="1:26" hidden="1" outlineLevel="1">
      <c r="A347" s="168"/>
      <c r="B347" s="29" t="s">
        <v>511</v>
      </c>
      <c r="C347" s="168"/>
      <c r="D347" s="776"/>
      <c r="E347" s="776"/>
      <c r="F347" s="145">
        <f t="shared" si="76"/>
        <v>17275998.307692308</v>
      </c>
      <c r="G347" s="773">
        <f t="shared" si="77"/>
        <v>17275998.307692312</v>
      </c>
      <c r="H347" s="145">
        <f t="shared" si="79"/>
        <v>57285</v>
      </c>
      <c r="I347" s="772">
        <f t="shared" si="74"/>
        <v>-15993729.158461537</v>
      </c>
      <c r="J347" s="773">
        <f t="shared" si="78"/>
        <v>-15650019.158461539</v>
      </c>
      <c r="K347" s="774">
        <f t="shared" si="69"/>
        <v>1282269.1492307708</v>
      </c>
      <c r="L347" s="773">
        <f t="shared" si="67"/>
        <v>-448794.20223076973</v>
      </c>
      <c r="M347" s="773">
        <f t="shared" si="71"/>
        <v>-20049.75</v>
      </c>
      <c r="N347" s="777"/>
      <c r="O347" s="773">
        <f t="shared" si="68"/>
        <v>0</v>
      </c>
      <c r="P347" s="777">
        <f t="shared" si="75"/>
        <v>1282269.1492307708</v>
      </c>
      <c r="Q347" s="776"/>
      <c r="R347" s="776"/>
      <c r="S347" s="776"/>
      <c r="T347" s="776"/>
      <c r="U347" s="777">
        <f t="shared" si="70"/>
        <v>-448794.12475641031</v>
      </c>
      <c r="V347" s="773">
        <f t="shared" si="72"/>
        <v>-569092.62475641037</v>
      </c>
      <c r="W347" s="778">
        <f t="shared" si="73"/>
        <v>1056886.5244743624</v>
      </c>
      <c r="Z347" s="797"/>
    </row>
    <row r="348" spans="1:26" hidden="1" outlineLevel="1">
      <c r="A348" s="168"/>
      <c r="B348" s="29" t="s">
        <v>512</v>
      </c>
      <c r="C348" s="168"/>
      <c r="D348" s="776"/>
      <c r="E348" s="776"/>
      <c r="F348" s="145">
        <f t="shared" si="76"/>
        <v>17275998.307692308</v>
      </c>
      <c r="G348" s="773">
        <f t="shared" si="77"/>
        <v>17275998.307692312</v>
      </c>
      <c r="H348" s="145">
        <f t="shared" si="79"/>
        <v>57285</v>
      </c>
      <c r="I348" s="772">
        <f t="shared" si="74"/>
        <v>-16051014.158461537</v>
      </c>
      <c r="J348" s="773">
        <f t="shared" si="78"/>
        <v>-15707304.158461539</v>
      </c>
      <c r="K348" s="774">
        <f t="shared" si="69"/>
        <v>1224984.1492307708</v>
      </c>
      <c r="L348" s="773">
        <f t="shared" si="67"/>
        <v>-428744.45223076973</v>
      </c>
      <c r="M348" s="773">
        <f t="shared" si="71"/>
        <v>-20049.75</v>
      </c>
      <c r="N348" s="777"/>
      <c r="O348" s="773">
        <f t="shared" si="68"/>
        <v>0</v>
      </c>
      <c r="P348" s="777">
        <f t="shared" si="75"/>
        <v>1224984.1492307708</v>
      </c>
      <c r="Q348" s="776"/>
      <c r="R348" s="776"/>
      <c r="S348" s="776"/>
      <c r="T348" s="776"/>
      <c r="U348" s="777">
        <f t="shared" si="70"/>
        <v>-428744.37475641031</v>
      </c>
      <c r="V348" s="773">
        <f t="shared" si="72"/>
        <v>-549042.87475641037</v>
      </c>
      <c r="W348" s="778">
        <f t="shared" si="73"/>
        <v>1019651.2744743623</v>
      </c>
      <c r="Z348" s="797"/>
    </row>
    <row r="349" spans="1:26" hidden="1" outlineLevel="1">
      <c r="A349" s="168"/>
      <c r="B349" s="29" t="s">
        <v>513</v>
      </c>
      <c r="C349" s="168"/>
      <c r="D349" s="776"/>
      <c r="E349" s="776"/>
      <c r="F349" s="145">
        <f t="shared" si="76"/>
        <v>17275998.307692308</v>
      </c>
      <c r="G349" s="773">
        <f t="shared" si="77"/>
        <v>17275998.307692312</v>
      </c>
      <c r="H349" s="145">
        <f t="shared" si="79"/>
        <v>57285</v>
      </c>
      <c r="I349" s="772">
        <f t="shared" si="74"/>
        <v>-16108299.158461537</v>
      </c>
      <c r="J349" s="773">
        <f t="shared" si="78"/>
        <v>-15764589.158461539</v>
      </c>
      <c r="K349" s="774">
        <f t="shared" si="69"/>
        <v>1167699.1492307708</v>
      </c>
      <c r="L349" s="773">
        <f t="shared" si="67"/>
        <v>-408694.70223076973</v>
      </c>
      <c r="M349" s="773">
        <f t="shared" si="71"/>
        <v>-20049.75</v>
      </c>
      <c r="N349" s="777"/>
      <c r="O349" s="773">
        <f t="shared" si="68"/>
        <v>0</v>
      </c>
      <c r="P349" s="777">
        <f t="shared" si="75"/>
        <v>1167699.1492307708</v>
      </c>
      <c r="Q349" s="776"/>
      <c r="R349" s="776"/>
      <c r="S349" s="776"/>
      <c r="T349" s="776"/>
      <c r="U349" s="777">
        <f t="shared" si="70"/>
        <v>-408694.62475641031</v>
      </c>
      <c r="V349" s="773">
        <f t="shared" si="72"/>
        <v>-528993.12475641037</v>
      </c>
      <c r="W349" s="778">
        <f t="shared" si="73"/>
        <v>982416.02447436226</v>
      </c>
      <c r="Z349" s="797"/>
    </row>
    <row r="350" spans="1:26" hidden="1" outlineLevel="1">
      <c r="A350" s="168"/>
      <c r="B350" s="29" t="s">
        <v>514</v>
      </c>
      <c r="C350" s="168"/>
      <c r="D350" s="776"/>
      <c r="E350" s="776"/>
      <c r="F350" s="145">
        <f t="shared" si="76"/>
        <v>17275998.307692308</v>
      </c>
      <c r="G350" s="773">
        <f t="shared" si="77"/>
        <v>17275998.307692312</v>
      </c>
      <c r="H350" s="145">
        <f t="shared" si="79"/>
        <v>57285</v>
      </c>
      <c r="I350" s="772">
        <f t="shared" si="74"/>
        <v>-16165584.158461537</v>
      </c>
      <c r="J350" s="773">
        <f t="shared" si="78"/>
        <v>-15821874.158461539</v>
      </c>
      <c r="K350" s="774">
        <f t="shared" si="69"/>
        <v>1110414.1492307708</v>
      </c>
      <c r="L350" s="773">
        <f t="shared" ref="L350:L381" si="80">-K350*35%</f>
        <v>-388644.95223076973</v>
      </c>
      <c r="M350" s="773">
        <f t="shared" si="71"/>
        <v>-20049.75</v>
      </c>
      <c r="N350" s="777"/>
      <c r="O350" s="773">
        <f t="shared" si="68"/>
        <v>0</v>
      </c>
      <c r="P350" s="777">
        <f t="shared" si="75"/>
        <v>1110414.1492307708</v>
      </c>
      <c r="Q350" s="776"/>
      <c r="R350" s="776"/>
      <c r="S350" s="776"/>
      <c r="T350" s="776"/>
      <c r="U350" s="777">
        <f t="shared" si="70"/>
        <v>-388644.87475641031</v>
      </c>
      <c r="V350" s="773">
        <f t="shared" si="72"/>
        <v>-508943.37475641043</v>
      </c>
      <c r="W350" s="778">
        <f t="shared" si="73"/>
        <v>945180.77447436214</v>
      </c>
      <c r="Z350" s="797"/>
    </row>
    <row r="351" spans="1:26" hidden="1" outlineLevel="1">
      <c r="A351" s="168"/>
      <c r="B351" s="29" t="s">
        <v>515</v>
      </c>
      <c r="C351" s="168"/>
      <c r="D351" s="776"/>
      <c r="E351" s="776"/>
      <c r="F351" s="145">
        <f t="shared" si="76"/>
        <v>17275998.307692308</v>
      </c>
      <c r="G351" s="773">
        <f t="shared" si="77"/>
        <v>17275998.307692312</v>
      </c>
      <c r="H351" s="145">
        <f t="shared" si="79"/>
        <v>57285</v>
      </c>
      <c r="I351" s="772">
        <f t="shared" si="74"/>
        <v>-16222869.158461537</v>
      </c>
      <c r="J351" s="773">
        <f t="shared" si="78"/>
        <v>-15879159.158461539</v>
      </c>
      <c r="K351" s="774">
        <f t="shared" si="69"/>
        <v>1053129.1492307708</v>
      </c>
      <c r="L351" s="773">
        <f t="shared" si="80"/>
        <v>-368595.20223076973</v>
      </c>
      <c r="M351" s="773">
        <f t="shared" si="71"/>
        <v>-20049.75</v>
      </c>
      <c r="N351" s="777"/>
      <c r="O351" s="773">
        <f t="shared" si="68"/>
        <v>0</v>
      </c>
      <c r="P351" s="777">
        <f t="shared" si="75"/>
        <v>1053129.1492307708</v>
      </c>
      <c r="Q351" s="776"/>
      <c r="R351" s="776"/>
      <c r="S351" s="776"/>
      <c r="T351" s="776"/>
      <c r="U351" s="777">
        <f t="shared" si="70"/>
        <v>-368595.12475641031</v>
      </c>
      <c r="V351" s="773">
        <f t="shared" si="72"/>
        <v>-488893.62475641043</v>
      </c>
      <c r="W351" s="778">
        <f t="shared" si="73"/>
        <v>907945.52447436214</v>
      </c>
      <c r="Z351" s="797"/>
    </row>
    <row r="352" spans="1:26" hidden="1" outlineLevel="1">
      <c r="A352" s="168"/>
      <c r="B352" s="29" t="s">
        <v>516</v>
      </c>
      <c r="C352" s="168"/>
      <c r="D352" s="776"/>
      <c r="E352" s="776"/>
      <c r="F352" s="145">
        <f t="shared" si="76"/>
        <v>17275998.307692308</v>
      </c>
      <c r="G352" s="773">
        <f t="shared" si="77"/>
        <v>17275998.307692312</v>
      </c>
      <c r="H352" s="145">
        <f t="shared" si="79"/>
        <v>57285</v>
      </c>
      <c r="I352" s="772">
        <f t="shared" si="74"/>
        <v>-16280154.158461537</v>
      </c>
      <c r="J352" s="773">
        <f t="shared" si="78"/>
        <v>-15936444.158461539</v>
      </c>
      <c r="K352" s="774">
        <f t="shared" si="69"/>
        <v>995844.14923077077</v>
      </c>
      <c r="L352" s="773">
        <f t="shared" si="80"/>
        <v>-348545.45223076973</v>
      </c>
      <c r="M352" s="773">
        <f t="shared" si="71"/>
        <v>-20049.75</v>
      </c>
      <c r="N352" s="777"/>
      <c r="O352" s="773">
        <f t="shared" si="68"/>
        <v>0</v>
      </c>
      <c r="P352" s="777">
        <f t="shared" si="75"/>
        <v>995844.14923077077</v>
      </c>
      <c r="Q352" s="776"/>
      <c r="R352" s="776"/>
      <c r="S352" s="776"/>
      <c r="T352" s="776"/>
      <c r="U352" s="777">
        <f t="shared" si="70"/>
        <v>-348545.37475641031</v>
      </c>
      <c r="V352" s="773">
        <f t="shared" si="72"/>
        <v>-468843.87475641043</v>
      </c>
      <c r="W352" s="778">
        <f t="shared" si="73"/>
        <v>870710.27447436214</v>
      </c>
      <c r="Z352" s="797"/>
    </row>
    <row r="353" spans="1:26" hidden="1" outlineLevel="1">
      <c r="A353" s="168"/>
      <c r="B353" s="29" t="s">
        <v>517</v>
      </c>
      <c r="C353" s="168"/>
      <c r="D353" s="776"/>
      <c r="E353" s="776"/>
      <c r="F353" s="145">
        <f t="shared" si="76"/>
        <v>17275998.307692308</v>
      </c>
      <c r="G353" s="773">
        <f t="shared" si="77"/>
        <v>17275998.307692312</v>
      </c>
      <c r="H353" s="145">
        <f t="shared" si="79"/>
        <v>57285</v>
      </c>
      <c r="I353" s="772">
        <f t="shared" si="74"/>
        <v>-16337439.158461537</v>
      </c>
      <c r="J353" s="773">
        <f t="shared" si="78"/>
        <v>-15993729.158461539</v>
      </c>
      <c r="K353" s="774">
        <f t="shared" si="69"/>
        <v>938559.14923077077</v>
      </c>
      <c r="L353" s="773">
        <f t="shared" si="80"/>
        <v>-328495.70223076973</v>
      </c>
      <c r="M353" s="773">
        <f t="shared" si="71"/>
        <v>-20049.75</v>
      </c>
      <c r="N353" s="777"/>
      <c r="O353" s="773">
        <f t="shared" si="68"/>
        <v>0</v>
      </c>
      <c r="P353" s="777">
        <f t="shared" si="75"/>
        <v>938559.14923077077</v>
      </c>
      <c r="Q353" s="776"/>
      <c r="R353" s="776"/>
      <c r="S353" s="776"/>
      <c r="T353" s="776"/>
      <c r="U353" s="777">
        <f t="shared" si="70"/>
        <v>-328495.62475641031</v>
      </c>
      <c r="V353" s="773">
        <f t="shared" si="72"/>
        <v>-448794.12475641043</v>
      </c>
      <c r="W353" s="778">
        <f t="shared" si="73"/>
        <v>833475.02447436214</v>
      </c>
      <c r="Z353" s="797"/>
    </row>
    <row r="354" spans="1:26" hidden="1" outlineLevel="1">
      <c r="A354" s="168"/>
      <c r="B354" s="29" t="s">
        <v>518</v>
      </c>
      <c r="C354" s="168"/>
      <c r="D354" s="776"/>
      <c r="E354" s="776"/>
      <c r="F354" s="145">
        <f t="shared" si="76"/>
        <v>17275998.307692308</v>
      </c>
      <c r="G354" s="773">
        <f t="shared" si="77"/>
        <v>17275998.307692312</v>
      </c>
      <c r="H354" s="145">
        <f t="shared" si="79"/>
        <v>57285</v>
      </c>
      <c r="I354" s="772">
        <f t="shared" si="74"/>
        <v>-16394724.158461537</v>
      </c>
      <c r="J354" s="773">
        <f t="shared" si="78"/>
        <v>-16051014.158461539</v>
      </c>
      <c r="K354" s="774">
        <f t="shared" si="69"/>
        <v>881274.14923077077</v>
      </c>
      <c r="L354" s="773">
        <f t="shared" si="80"/>
        <v>-308445.95223076973</v>
      </c>
      <c r="M354" s="773">
        <f t="shared" si="71"/>
        <v>-20049.75</v>
      </c>
      <c r="N354" s="777"/>
      <c r="O354" s="773">
        <f t="shared" si="68"/>
        <v>0</v>
      </c>
      <c r="P354" s="777">
        <f t="shared" si="75"/>
        <v>881274.14923077077</v>
      </c>
      <c r="Q354" s="776"/>
      <c r="R354" s="776"/>
      <c r="S354" s="776"/>
      <c r="T354" s="776"/>
      <c r="U354" s="777">
        <f t="shared" si="70"/>
        <v>-308445.87475641031</v>
      </c>
      <c r="V354" s="773">
        <f t="shared" si="72"/>
        <v>-428744.37475641043</v>
      </c>
      <c r="W354" s="778">
        <f t="shared" si="73"/>
        <v>796239.77447436214</v>
      </c>
      <c r="Z354" s="797"/>
    </row>
    <row r="355" spans="1:26" hidden="1" outlineLevel="1">
      <c r="A355" s="168"/>
      <c r="B355" s="29" t="s">
        <v>519</v>
      </c>
      <c r="C355" s="168"/>
      <c r="D355" s="776"/>
      <c r="E355" s="776"/>
      <c r="F355" s="145">
        <f t="shared" si="76"/>
        <v>17275998.307692308</v>
      </c>
      <c r="G355" s="773">
        <f t="shared" si="77"/>
        <v>17275998.307692312</v>
      </c>
      <c r="H355" s="145">
        <f t="shared" si="79"/>
        <v>57285</v>
      </c>
      <c r="I355" s="772">
        <f t="shared" si="74"/>
        <v>-16452009.158461537</v>
      </c>
      <c r="J355" s="773">
        <f t="shared" si="78"/>
        <v>-16108299.158461539</v>
      </c>
      <c r="K355" s="774">
        <f t="shared" si="69"/>
        <v>823989.14923077077</v>
      </c>
      <c r="L355" s="773">
        <f t="shared" si="80"/>
        <v>-288396.20223076973</v>
      </c>
      <c r="M355" s="773">
        <f t="shared" si="71"/>
        <v>-20049.75</v>
      </c>
      <c r="N355" s="777"/>
      <c r="O355" s="773">
        <f t="shared" si="68"/>
        <v>0</v>
      </c>
      <c r="P355" s="777">
        <f t="shared" si="75"/>
        <v>823989.14923077077</v>
      </c>
      <c r="Q355" s="776"/>
      <c r="R355" s="776"/>
      <c r="S355" s="776"/>
      <c r="T355" s="776"/>
      <c r="U355" s="777">
        <f t="shared" si="70"/>
        <v>-288396.12475641031</v>
      </c>
      <c r="V355" s="773">
        <f t="shared" si="72"/>
        <v>-408694.62475641031</v>
      </c>
      <c r="W355" s="778">
        <f t="shared" si="73"/>
        <v>759004.52447436238</v>
      </c>
      <c r="Z355" s="797"/>
    </row>
    <row r="356" spans="1:26" hidden="1" outlineLevel="1">
      <c r="A356" s="168"/>
      <c r="B356" s="29" t="s">
        <v>520</v>
      </c>
      <c r="C356" s="168"/>
      <c r="D356" s="776"/>
      <c r="E356" s="776"/>
      <c r="F356" s="145">
        <f t="shared" si="76"/>
        <v>17275998.307692308</v>
      </c>
      <c r="G356" s="773">
        <f t="shared" si="77"/>
        <v>17275998.307692312</v>
      </c>
      <c r="H356" s="145">
        <f t="shared" si="79"/>
        <v>57285</v>
      </c>
      <c r="I356" s="772">
        <f t="shared" si="74"/>
        <v>-16509294.158461537</v>
      </c>
      <c r="J356" s="773">
        <f t="shared" si="78"/>
        <v>-16165584.158461539</v>
      </c>
      <c r="K356" s="774">
        <f t="shared" si="69"/>
        <v>766704.14923077077</v>
      </c>
      <c r="L356" s="773">
        <f t="shared" si="80"/>
        <v>-268346.45223076973</v>
      </c>
      <c r="M356" s="773">
        <f t="shared" si="71"/>
        <v>-20049.75</v>
      </c>
      <c r="N356" s="777"/>
      <c r="O356" s="773">
        <f t="shared" ref="O356:O381" si="81">(N344+N356+SUM(N345:N355)*2)/24</f>
        <v>0</v>
      </c>
      <c r="P356" s="777">
        <f t="shared" si="75"/>
        <v>766704.14923077077</v>
      </c>
      <c r="Q356" s="776"/>
      <c r="R356" s="776"/>
      <c r="S356" s="776"/>
      <c r="T356" s="776"/>
      <c r="U356" s="777">
        <f t="shared" si="70"/>
        <v>-268346.37475641031</v>
      </c>
      <c r="V356" s="773">
        <f t="shared" si="72"/>
        <v>-388644.87475641031</v>
      </c>
      <c r="W356" s="778">
        <f t="shared" si="73"/>
        <v>721769.27447436238</v>
      </c>
      <c r="Z356" s="797"/>
    </row>
    <row r="357" spans="1:26" hidden="1" outlineLevel="1">
      <c r="A357" s="168"/>
      <c r="B357" s="29" t="s">
        <v>521</v>
      </c>
      <c r="C357" s="168"/>
      <c r="D357" s="776"/>
      <c r="E357" s="776"/>
      <c r="F357" s="145">
        <f t="shared" si="76"/>
        <v>17275998.307692308</v>
      </c>
      <c r="G357" s="773">
        <f t="shared" si="77"/>
        <v>17275998.307692312</v>
      </c>
      <c r="H357" s="145">
        <f t="shared" si="79"/>
        <v>57285</v>
      </c>
      <c r="I357" s="772">
        <f t="shared" si="74"/>
        <v>-16566579.158461537</v>
      </c>
      <c r="J357" s="773">
        <f t="shared" si="78"/>
        <v>-16222869.158461539</v>
      </c>
      <c r="K357" s="774">
        <f t="shared" si="69"/>
        <v>709419.14923077077</v>
      </c>
      <c r="L357" s="773">
        <f t="shared" si="80"/>
        <v>-248296.70223076976</v>
      </c>
      <c r="M357" s="773">
        <f t="shared" si="71"/>
        <v>-20049.749999999971</v>
      </c>
      <c r="N357" s="777"/>
      <c r="O357" s="773">
        <f t="shared" si="81"/>
        <v>0</v>
      </c>
      <c r="P357" s="777">
        <f t="shared" si="75"/>
        <v>709419.14923077077</v>
      </c>
      <c r="Q357" s="776"/>
      <c r="R357" s="776"/>
      <c r="S357" s="776"/>
      <c r="T357" s="776"/>
      <c r="U357" s="777">
        <f t="shared" si="70"/>
        <v>-248296.62475641034</v>
      </c>
      <c r="V357" s="773">
        <f t="shared" si="72"/>
        <v>-368595.12475641031</v>
      </c>
      <c r="W357" s="778">
        <f t="shared" si="73"/>
        <v>684534.02447436238</v>
      </c>
      <c r="Z357" s="797"/>
    </row>
    <row r="358" spans="1:26" hidden="1" outlineLevel="1">
      <c r="A358" s="168"/>
      <c r="B358" s="29" t="s">
        <v>522</v>
      </c>
      <c r="C358" s="168"/>
      <c r="D358" s="776"/>
      <c r="E358" s="776"/>
      <c r="F358" s="145">
        <f t="shared" si="76"/>
        <v>17275998.307692308</v>
      </c>
      <c r="G358" s="773">
        <f t="shared" si="77"/>
        <v>17275998.307692312</v>
      </c>
      <c r="H358" s="145">
        <f t="shared" si="79"/>
        <v>57285</v>
      </c>
      <c r="I358" s="772">
        <f t="shared" si="74"/>
        <v>-16623864.158461537</v>
      </c>
      <c r="J358" s="773">
        <f t="shared" si="78"/>
        <v>-16280154.158461539</v>
      </c>
      <c r="K358" s="774">
        <f t="shared" si="69"/>
        <v>652134.14923077077</v>
      </c>
      <c r="L358" s="773">
        <f t="shared" si="80"/>
        <v>-228246.95223076976</v>
      </c>
      <c r="M358" s="773">
        <f t="shared" si="71"/>
        <v>-20049.75</v>
      </c>
      <c r="N358" s="777"/>
      <c r="O358" s="773">
        <f t="shared" si="81"/>
        <v>0</v>
      </c>
      <c r="P358" s="777">
        <f t="shared" si="75"/>
        <v>652134.14923077077</v>
      </c>
      <c r="Q358" s="776"/>
      <c r="R358" s="776"/>
      <c r="S358" s="776"/>
      <c r="T358" s="776"/>
      <c r="U358" s="777">
        <f t="shared" si="70"/>
        <v>-228246.87475641034</v>
      </c>
      <c r="V358" s="773">
        <f t="shared" si="72"/>
        <v>-348545.37475641031</v>
      </c>
      <c r="W358" s="778">
        <f t="shared" si="73"/>
        <v>647298.77447436238</v>
      </c>
      <c r="Z358" s="797"/>
    </row>
    <row r="359" spans="1:26" hidden="1" outlineLevel="1">
      <c r="A359" s="168"/>
      <c r="B359" s="29" t="s">
        <v>523</v>
      </c>
      <c r="C359" s="168"/>
      <c r="D359" s="776"/>
      <c r="E359" s="776"/>
      <c r="F359" s="145">
        <f t="shared" si="76"/>
        <v>17275998.307692308</v>
      </c>
      <c r="G359" s="773">
        <f t="shared" si="77"/>
        <v>17275998.307692312</v>
      </c>
      <c r="H359" s="145">
        <f t="shared" si="79"/>
        <v>57285</v>
      </c>
      <c r="I359" s="772">
        <f t="shared" si="74"/>
        <v>-16681149.158461537</v>
      </c>
      <c r="J359" s="773">
        <f t="shared" si="78"/>
        <v>-16337439.158461539</v>
      </c>
      <c r="K359" s="774">
        <f t="shared" si="69"/>
        <v>594849.14923077077</v>
      </c>
      <c r="L359" s="773">
        <f t="shared" si="80"/>
        <v>-208197.20223076976</v>
      </c>
      <c r="M359" s="773">
        <f t="shared" si="71"/>
        <v>-20049.75</v>
      </c>
      <c r="N359" s="777"/>
      <c r="O359" s="773">
        <f t="shared" si="81"/>
        <v>0</v>
      </c>
      <c r="P359" s="777">
        <f t="shared" si="75"/>
        <v>594849.14923077077</v>
      </c>
      <c r="Q359" s="776"/>
      <c r="R359" s="776"/>
      <c r="S359" s="776"/>
      <c r="T359" s="776"/>
      <c r="U359" s="777">
        <f t="shared" si="70"/>
        <v>-208197.12475641034</v>
      </c>
      <c r="V359" s="773">
        <f t="shared" si="72"/>
        <v>-328495.62475641031</v>
      </c>
      <c r="W359" s="778">
        <f t="shared" si="73"/>
        <v>610063.52447436238</v>
      </c>
      <c r="Z359" s="797"/>
    </row>
    <row r="360" spans="1:26" hidden="1" outlineLevel="1">
      <c r="A360" s="168"/>
      <c r="B360" s="29" t="s">
        <v>524</v>
      </c>
      <c r="C360" s="168"/>
      <c r="D360" s="776"/>
      <c r="E360" s="776"/>
      <c r="F360" s="145">
        <f t="shared" si="76"/>
        <v>17275998.307692308</v>
      </c>
      <c r="G360" s="773">
        <f t="shared" si="77"/>
        <v>17275998.307692312</v>
      </c>
      <c r="H360" s="145">
        <f t="shared" si="79"/>
        <v>57285</v>
      </c>
      <c r="I360" s="772">
        <f t="shared" si="74"/>
        <v>-16738434.158461537</v>
      </c>
      <c r="J360" s="773">
        <f t="shared" si="78"/>
        <v>-16394724.158461539</v>
      </c>
      <c r="K360" s="774">
        <f t="shared" si="69"/>
        <v>537564.14923077077</v>
      </c>
      <c r="L360" s="773">
        <f t="shared" si="80"/>
        <v>-188147.45223076976</v>
      </c>
      <c r="M360" s="773">
        <f t="shared" si="71"/>
        <v>-20049.75</v>
      </c>
      <c r="N360" s="777"/>
      <c r="O360" s="773">
        <f t="shared" si="81"/>
        <v>0</v>
      </c>
      <c r="P360" s="777">
        <f t="shared" si="75"/>
        <v>537564.14923077077</v>
      </c>
      <c r="Q360" s="776"/>
      <c r="R360" s="776"/>
      <c r="S360" s="776"/>
      <c r="T360" s="776"/>
      <c r="U360" s="777">
        <f t="shared" si="70"/>
        <v>-188147.37475641034</v>
      </c>
      <c r="V360" s="773">
        <f t="shared" si="72"/>
        <v>-308445.87475641031</v>
      </c>
      <c r="W360" s="778">
        <f t="shared" si="73"/>
        <v>572828.27447436238</v>
      </c>
      <c r="Z360" s="797"/>
    </row>
    <row r="361" spans="1:26" hidden="1" outlineLevel="1">
      <c r="A361" s="168"/>
      <c r="B361" s="29" t="s">
        <v>525</v>
      </c>
      <c r="C361" s="168"/>
      <c r="D361" s="776"/>
      <c r="E361" s="776"/>
      <c r="F361" s="145">
        <f t="shared" si="76"/>
        <v>17275998.307692308</v>
      </c>
      <c r="G361" s="773">
        <f t="shared" si="77"/>
        <v>17275998.307692312</v>
      </c>
      <c r="H361" s="145">
        <f t="shared" si="79"/>
        <v>57285</v>
      </c>
      <c r="I361" s="772">
        <f t="shared" si="74"/>
        <v>-16795719.158461537</v>
      </c>
      <c r="J361" s="773">
        <f t="shared" si="78"/>
        <v>-16452009.158461539</v>
      </c>
      <c r="K361" s="774">
        <f t="shared" si="69"/>
        <v>480279.14923077077</v>
      </c>
      <c r="L361" s="773">
        <f t="shared" si="80"/>
        <v>-168097.70223076976</v>
      </c>
      <c r="M361" s="773">
        <f t="shared" si="71"/>
        <v>-20049.75</v>
      </c>
      <c r="N361" s="777"/>
      <c r="O361" s="773">
        <f t="shared" si="81"/>
        <v>0</v>
      </c>
      <c r="P361" s="777">
        <f t="shared" si="75"/>
        <v>480279.14923077077</v>
      </c>
      <c r="Q361" s="776"/>
      <c r="R361" s="776"/>
      <c r="S361" s="776"/>
      <c r="T361" s="776"/>
      <c r="U361" s="777">
        <f t="shared" si="70"/>
        <v>-168097.62475641034</v>
      </c>
      <c r="V361" s="773">
        <f t="shared" si="72"/>
        <v>-288396.12475641031</v>
      </c>
      <c r="W361" s="778">
        <f t="shared" si="73"/>
        <v>535593.02447436238</v>
      </c>
      <c r="Z361" s="797"/>
    </row>
    <row r="362" spans="1:26" hidden="1" outlineLevel="1">
      <c r="A362" s="168"/>
      <c r="B362" s="29" t="s">
        <v>526</v>
      </c>
      <c r="C362" s="168"/>
      <c r="D362" s="776"/>
      <c r="E362" s="776"/>
      <c r="F362" s="145">
        <f t="shared" si="76"/>
        <v>17275998.307692308</v>
      </c>
      <c r="G362" s="773">
        <f t="shared" si="77"/>
        <v>17275998.307692312</v>
      </c>
      <c r="H362" s="145">
        <f t="shared" si="79"/>
        <v>57285</v>
      </c>
      <c r="I362" s="772">
        <f t="shared" si="74"/>
        <v>-16853004.158461537</v>
      </c>
      <c r="J362" s="773">
        <f t="shared" si="78"/>
        <v>-16509294.158461539</v>
      </c>
      <c r="K362" s="774">
        <f t="shared" si="69"/>
        <v>422994.14923077077</v>
      </c>
      <c r="L362" s="773">
        <f t="shared" si="80"/>
        <v>-148047.95223076976</v>
      </c>
      <c r="M362" s="773">
        <f t="shared" si="71"/>
        <v>-20049.75</v>
      </c>
      <c r="N362" s="777"/>
      <c r="O362" s="773">
        <f t="shared" si="81"/>
        <v>0</v>
      </c>
      <c r="P362" s="777">
        <f t="shared" si="75"/>
        <v>422994.14923077077</v>
      </c>
      <c r="Q362" s="776"/>
      <c r="R362" s="776"/>
      <c r="S362" s="776"/>
      <c r="T362" s="776"/>
      <c r="U362" s="777">
        <f t="shared" si="70"/>
        <v>-148047.87475641034</v>
      </c>
      <c r="V362" s="773">
        <f t="shared" si="72"/>
        <v>-268346.37475641031</v>
      </c>
      <c r="W362" s="778">
        <f t="shared" si="73"/>
        <v>498357.77447436232</v>
      </c>
      <c r="Z362" s="797"/>
    </row>
    <row r="363" spans="1:26" hidden="1" outlineLevel="1">
      <c r="A363" s="168"/>
      <c r="B363" s="29" t="s">
        <v>527</v>
      </c>
      <c r="C363" s="168"/>
      <c r="D363" s="776"/>
      <c r="E363" s="776"/>
      <c r="F363" s="145">
        <f t="shared" si="76"/>
        <v>17275998.307692308</v>
      </c>
      <c r="G363" s="773">
        <f t="shared" si="77"/>
        <v>17275998.307692312</v>
      </c>
      <c r="H363" s="145">
        <f t="shared" si="79"/>
        <v>57285</v>
      </c>
      <c r="I363" s="772">
        <f t="shared" si="74"/>
        <v>-16910289.158461537</v>
      </c>
      <c r="J363" s="773">
        <f t="shared" si="78"/>
        <v>-16566579.158461539</v>
      </c>
      <c r="K363" s="774">
        <f t="shared" si="69"/>
        <v>365709.14923077077</v>
      </c>
      <c r="L363" s="773">
        <f t="shared" si="80"/>
        <v>-127998.20223076976</v>
      </c>
      <c r="M363" s="773">
        <f t="shared" si="71"/>
        <v>-20049.75</v>
      </c>
      <c r="N363" s="777"/>
      <c r="O363" s="773">
        <f t="shared" si="81"/>
        <v>0</v>
      </c>
      <c r="P363" s="777">
        <f t="shared" si="75"/>
        <v>365709.14923077077</v>
      </c>
      <c r="Q363" s="776"/>
      <c r="R363" s="776"/>
      <c r="S363" s="776"/>
      <c r="T363" s="776"/>
      <c r="U363" s="777">
        <f t="shared" si="70"/>
        <v>-127998.12475641034</v>
      </c>
      <c r="V363" s="773">
        <f t="shared" si="72"/>
        <v>-248296.62475641028</v>
      </c>
      <c r="W363" s="778">
        <f t="shared" si="73"/>
        <v>461122.52447436238</v>
      </c>
      <c r="Z363" s="797"/>
    </row>
    <row r="364" spans="1:26" hidden="1" outlineLevel="1">
      <c r="A364" s="168"/>
      <c r="B364" s="29" t="s">
        <v>528</v>
      </c>
      <c r="C364" s="168"/>
      <c r="D364" s="776"/>
      <c r="E364" s="776"/>
      <c r="F364" s="145">
        <f t="shared" si="76"/>
        <v>17275998.307692308</v>
      </c>
      <c r="G364" s="773">
        <f t="shared" si="77"/>
        <v>17275998.307692312</v>
      </c>
      <c r="H364" s="145">
        <f t="shared" si="79"/>
        <v>57285</v>
      </c>
      <c r="I364" s="772">
        <f t="shared" si="74"/>
        <v>-16967574.158461537</v>
      </c>
      <c r="J364" s="773">
        <f t="shared" si="78"/>
        <v>-16623864.158461539</v>
      </c>
      <c r="K364" s="774">
        <f t="shared" si="69"/>
        <v>308424.14923077077</v>
      </c>
      <c r="L364" s="773">
        <f t="shared" si="80"/>
        <v>-107948.45223076976</v>
      </c>
      <c r="M364" s="773">
        <f t="shared" si="71"/>
        <v>-20049.75</v>
      </c>
      <c r="N364" s="777"/>
      <c r="O364" s="773">
        <f t="shared" si="81"/>
        <v>0</v>
      </c>
      <c r="P364" s="777">
        <f t="shared" si="75"/>
        <v>308424.14923077077</v>
      </c>
      <c r="Q364" s="776"/>
      <c r="R364" s="776"/>
      <c r="S364" s="776"/>
      <c r="T364" s="776"/>
      <c r="U364" s="777">
        <f t="shared" si="70"/>
        <v>-107948.37475641034</v>
      </c>
      <c r="V364" s="773">
        <f t="shared" si="72"/>
        <v>-228246.87475641028</v>
      </c>
      <c r="W364" s="778">
        <f t="shared" si="73"/>
        <v>423887.27447436238</v>
      </c>
      <c r="Z364" s="797"/>
    </row>
    <row r="365" spans="1:26" hidden="1" outlineLevel="1">
      <c r="A365" s="168"/>
      <c r="B365" s="29" t="s">
        <v>529</v>
      </c>
      <c r="C365" s="168"/>
      <c r="D365" s="776"/>
      <c r="E365" s="776"/>
      <c r="F365" s="145">
        <f t="shared" si="76"/>
        <v>17275998.307692308</v>
      </c>
      <c r="G365" s="773">
        <f t="shared" si="77"/>
        <v>17275998.307692312</v>
      </c>
      <c r="H365" s="145">
        <f t="shared" si="79"/>
        <v>57285</v>
      </c>
      <c r="I365" s="772">
        <f t="shared" si="74"/>
        <v>-17024859.158461537</v>
      </c>
      <c r="J365" s="773">
        <f t="shared" si="78"/>
        <v>-16681149.158461539</v>
      </c>
      <c r="K365" s="774">
        <f t="shared" si="69"/>
        <v>251139.14923077077</v>
      </c>
      <c r="L365" s="773">
        <f t="shared" si="80"/>
        <v>-87898.702230769763</v>
      </c>
      <c r="M365" s="773">
        <f t="shared" si="71"/>
        <v>-20049.75</v>
      </c>
      <c r="N365" s="777"/>
      <c r="O365" s="773">
        <f t="shared" si="81"/>
        <v>0</v>
      </c>
      <c r="P365" s="777">
        <f t="shared" si="75"/>
        <v>251139.14923077077</v>
      </c>
      <c r="Q365" s="776"/>
      <c r="R365" s="776"/>
      <c r="S365" s="776"/>
      <c r="T365" s="776"/>
      <c r="U365" s="777">
        <f t="shared" si="70"/>
        <v>-87898.62475641034</v>
      </c>
      <c r="V365" s="773">
        <f t="shared" si="72"/>
        <v>-208197.12475641028</v>
      </c>
      <c r="W365" s="778">
        <f t="shared" si="73"/>
        <v>386652.02447436238</v>
      </c>
      <c r="Z365" s="797"/>
    </row>
    <row r="366" spans="1:26" hidden="1" outlineLevel="1">
      <c r="A366" s="168"/>
      <c r="B366" s="29" t="s">
        <v>530</v>
      </c>
      <c r="C366" s="168"/>
      <c r="D366" s="776"/>
      <c r="E366" s="776"/>
      <c r="F366" s="145">
        <f t="shared" si="76"/>
        <v>17275998.307692308</v>
      </c>
      <c r="G366" s="773">
        <f t="shared" si="77"/>
        <v>17275998.307692312</v>
      </c>
      <c r="H366" s="145">
        <f t="shared" si="79"/>
        <v>57285</v>
      </c>
      <c r="I366" s="772">
        <f t="shared" si="74"/>
        <v>-17082144.158461537</v>
      </c>
      <c r="J366" s="773">
        <f t="shared" si="78"/>
        <v>-16738434.158461539</v>
      </c>
      <c r="K366" s="774">
        <f t="shared" si="69"/>
        <v>193854.14923077077</v>
      </c>
      <c r="L366" s="773">
        <f t="shared" si="80"/>
        <v>-67848.952230769763</v>
      </c>
      <c r="M366" s="773">
        <f t="shared" si="71"/>
        <v>-20049.75</v>
      </c>
      <c r="N366" s="777"/>
      <c r="O366" s="773">
        <f t="shared" si="81"/>
        <v>0</v>
      </c>
      <c r="P366" s="777">
        <f t="shared" si="75"/>
        <v>193854.14923077077</v>
      </c>
      <c r="Q366" s="776"/>
      <c r="R366" s="776"/>
      <c r="S366" s="776"/>
      <c r="T366" s="776"/>
      <c r="U366" s="777">
        <f t="shared" si="70"/>
        <v>-67848.87475641034</v>
      </c>
      <c r="V366" s="773">
        <f t="shared" si="72"/>
        <v>-188147.37475641028</v>
      </c>
      <c r="W366" s="778">
        <f t="shared" si="73"/>
        <v>349416.77447436238</v>
      </c>
      <c r="Z366" s="797"/>
    </row>
    <row r="367" spans="1:26" hidden="1" outlineLevel="1">
      <c r="A367" s="168"/>
      <c r="B367" s="29" t="s">
        <v>531</v>
      </c>
      <c r="C367" s="168"/>
      <c r="D367" s="776"/>
      <c r="E367" s="776"/>
      <c r="F367" s="145">
        <f t="shared" si="76"/>
        <v>17275998.307692308</v>
      </c>
      <c r="G367" s="773">
        <f t="shared" si="77"/>
        <v>17275998.307692312</v>
      </c>
      <c r="H367" s="145">
        <f t="shared" si="79"/>
        <v>57285</v>
      </c>
      <c r="I367" s="772">
        <f t="shared" si="74"/>
        <v>-17139429.158461537</v>
      </c>
      <c r="J367" s="773">
        <f t="shared" si="78"/>
        <v>-16795719.158461537</v>
      </c>
      <c r="K367" s="774">
        <f t="shared" si="69"/>
        <v>136569.14923077077</v>
      </c>
      <c r="L367" s="773">
        <f t="shared" si="80"/>
        <v>-47799.202230769763</v>
      </c>
      <c r="M367" s="773">
        <f t="shared" si="71"/>
        <v>-20049.75</v>
      </c>
      <c r="N367" s="777"/>
      <c r="O367" s="773">
        <f t="shared" si="81"/>
        <v>0</v>
      </c>
      <c r="P367" s="777">
        <f t="shared" si="75"/>
        <v>136569.14923077077</v>
      </c>
      <c r="Q367" s="776"/>
      <c r="R367" s="776"/>
      <c r="S367" s="776"/>
      <c r="T367" s="776"/>
      <c r="U367" s="777">
        <f t="shared" si="70"/>
        <v>-47799.12475641034</v>
      </c>
      <c r="V367" s="773">
        <f t="shared" si="72"/>
        <v>-168097.62475641028</v>
      </c>
      <c r="W367" s="778">
        <f t="shared" si="73"/>
        <v>312181.52447436424</v>
      </c>
      <c r="Z367" s="797"/>
    </row>
    <row r="368" spans="1:26" hidden="1" outlineLevel="1">
      <c r="A368" s="168"/>
      <c r="B368" s="29" t="s">
        <v>532</v>
      </c>
      <c r="C368" s="168"/>
      <c r="D368" s="776"/>
      <c r="E368" s="776"/>
      <c r="F368" s="145">
        <f t="shared" si="76"/>
        <v>17275998.307692308</v>
      </c>
      <c r="G368" s="773">
        <f t="shared" si="77"/>
        <v>17275998.307692312</v>
      </c>
      <c r="H368" s="145">
        <f t="shared" si="79"/>
        <v>57285</v>
      </c>
      <c r="I368" s="772">
        <f t="shared" si="74"/>
        <v>-17196714.158461537</v>
      </c>
      <c r="J368" s="773">
        <f t="shared" si="78"/>
        <v>-16853004.158461537</v>
      </c>
      <c r="K368" s="774">
        <f t="shared" si="69"/>
        <v>79284.149230770767</v>
      </c>
      <c r="L368" s="773">
        <f t="shared" si="80"/>
        <v>-27749.452230769766</v>
      </c>
      <c r="M368" s="773">
        <f t="shared" si="71"/>
        <v>-20049.749999999996</v>
      </c>
      <c r="N368" s="777"/>
      <c r="O368" s="773">
        <f t="shared" si="81"/>
        <v>0</v>
      </c>
      <c r="P368" s="777">
        <f t="shared" si="75"/>
        <v>79284.149230770767</v>
      </c>
      <c r="Q368" s="776"/>
      <c r="R368" s="776"/>
      <c r="S368" s="776"/>
      <c r="T368" s="776"/>
      <c r="U368" s="777">
        <f t="shared" si="70"/>
        <v>-27749.374756410343</v>
      </c>
      <c r="V368" s="773">
        <f t="shared" si="72"/>
        <v>-148047.87475641028</v>
      </c>
      <c r="W368" s="778">
        <f t="shared" si="73"/>
        <v>274946.27447436424</v>
      </c>
      <c r="Z368" s="797"/>
    </row>
    <row r="369" spans="1:26" hidden="1" outlineLevel="1">
      <c r="A369" s="168"/>
      <c r="B369" s="29" t="s">
        <v>533</v>
      </c>
      <c r="C369" s="168"/>
      <c r="D369" s="776"/>
      <c r="E369" s="776"/>
      <c r="F369" s="145">
        <f t="shared" si="76"/>
        <v>17275998.307692308</v>
      </c>
      <c r="G369" s="773">
        <f t="shared" si="77"/>
        <v>17275998.307692312</v>
      </c>
      <c r="H369" s="145">
        <f t="shared" si="79"/>
        <v>57285</v>
      </c>
      <c r="I369" s="772">
        <f>I368-H369</f>
        <v>-17253999.158461537</v>
      </c>
      <c r="J369" s="773">
        <f t="shared" si="78"/>
        <v>-16910289.158461537</v>
      </c>
      <c r="K369" s="774">
        <f t="shared" ref="K369:K381" si="82">F369+I369</f>
        <v>21999.149230770767</v>
      </c>
      <c r="L369" s="773">
        <f t="shared" si="80"/>
        <v>-7699.702230769768</v>
      </c>
      <c r="M369" s="773">
        <f t="shared" si="71"/>
        <v>-20049.75</v>
      </c>
      <c r="N369" s="777"/>
      <c r="O369" s="773">
        <f t="shared" si="81"/>
        <v>0</v>
      </c>
      <c r="P369" s="777">
        <f t="shared" si="75"/>
        <v>21999.149230770767</v>
      </c>
      <c r="Q369" s="776"/>
      <c r="R369" s="776"/>
      <c r="S369" s="776"/>
      <c r="T369" s="776"/>
      <c r="U369" s="777">
        <f t="shared" si="70"/>
        <v>-7699.6247564103433</v>
      </c>
      <c r="V369" s="773">
        <f t="shared" si="72"/>
        <v>-127998.1247564103</v>
      </c>
      <c r="W369" s="778">
        <f t="shared" si="73"/>
        <v>237711.02447436418</v>
      </c>
      <c r="Z369" s="797"/>
    </row>
    <row r="370" spans="1:26" hidden="1" outlineLevel="1">
      <c r="A370" s="168"/>
      <c r="B370" s="29" t="s">
        <v>534</v>
      </c>
      <c r="C370" s="168"/>
      <c r="D370" s="776"/>
      <c r="E370" s="776"/>
      <c r="F370" s="145">
        <f t="shared" si="76"/>
        <v>17275998.307692308</v>
      </c>
      <c r="G370" s="773">
        <f t="shared" si="77"/>
        <v>17275998.307692312</v>
      </c>
      <c r="H370" s="145">
        <f>G369+I369</f>
        <v>21999.149230774492</v>
      </c>
      <c r="I370" s="772">
        <f t="shared" si="74"/>
        <v>-17275998.307692312</v>
      </c>
      <c r="J370" s="773">
        <f t="shared" si="78"/>
        <v>-16966103.914679486</v>
      </c>
      <c r="K370" s="774">
        <f t="shared" si="82"/>
        <v>0</v>
      </c>
      <c r="L370" s="773">
        <f t="shared" si="80"/>
        <v>0</v>
      </c>
      <c r="M370" s="773">
        <f t="shared" si="71"/>
        <v>-7699.702230769768</v>
      </c>
      <c r="N370" s="777"/>
      <c r="O370" s="773">
        <f t="shared" si="81"/>
        <v>0</v>
      </c>
      <c r="P370" s="777">
        <f t="shared" si="75"/>
        <v>0</v>
      </c>
      <c r="Q370" s="776"/>
      <c r="R370" s="776"/>
      <c r="S370" s="776"/>
      <c r="T370" s="776"/>
      <c r="U370" s="777">
        <f t="shared" si="70"/>
        <v>7.7474359424741124E-2</v>
      </c>
      <c r="V370" s="773">
        <f t="shared" si="72"/>
        <v>-108462.96008012824</v>
      </c>
      <c r="W370" s="778">
        <f>G370+J370+V370</f>
        <v>201431.43293269718</v>
      </c>
      <c r="Z370" s="797"/>
    </row>
    <row r="371" spans="1:26" hidden="1" outlineLevel="1">
      <c r="A371" s="168"/>
      <c r="B371" s="29" t="s">
        <v>535</v>
      </c>
      <c r="C371" s="168"/>
      <c r="D371" s="776"/>
      <c r="E371" s="776"/>
      <c r="F371" s="145">
        <f t="shared" si="76"/>
        <v>17275998.307692308</v>
      </c>
      <c r="G371" s="773">
        <f t="shared" si="77"/>
        <v>17275998.307692312</v>
      </c>
      <c r="H371" s="145"/>
      <c r="I371" s="772">
        <f t="shared" si="74"/>
        <v>-17275998.307692312</v>
      </c>
      <c r="J371" s="773">
        <f t="shared" si="78"/>
        <v>-17018061.552115384</v>
      </c>
      <c r="K371" s="774">
        <f t="shared" si="82"/>
        <v>0</v>
      </c>
      <c r="L371" s="773">
        <f t="shared" si="80"/>
        <v>0</v>
      </c>
      <c r="M371" s="773">
        <f t="shared" si="71"/>
        <v>0</v>
      </c>
      <c r="N371" s="777"/>
      <c r="O371" s="773">
        <f t="shared" si="81"/>
        <v>0</v>
      </c>
      <c r="P371" s="777">
        <f t="shared" si="75"/>
        <v>0</v>
      </c>
      <c r="Q371" s="776"/>
      <c r="R371" s="776"/>
      <c r="S371" s="776"/>
      <c r="T371" s="776"/>
      <c r="U371" s="777">
        <f t="shared" ref="U371:U381" si="83">U370-M371</f>
        <v>7.7474359424741124E-2</v>
      </c>
      <c r="V371" s="773">
        <f t="shared" si="72"/>
        <v>-90277.786977564145</v>
      </c>
      <c r="W371" s="778">
        <f t="shared" si="73"/>
        <v>167658.96859936306</v>
      </c>
      <c r="Z371" s="797"/>
    </row>
    <row r="372" spans="1:26" hidden="1" outlineLevel="1">
      <c r="A372" s="168"/>
      <c r="B372" s="29" t="s">
        <v>536</v>
      </c>
      <c r="C372" s="168"/>
      <c r="D372" s="776"/>
      <c r="E372" s="776"/>
      <c r="F372" s="145">
        <f t="shared" si="76"/>
        <v>17275998.307692308</v>
      </c>
      <c r="G372" s="773">
        <f t="shared" si="77"/>
        <v>17275998.307692312</v>
      </c>
      <c r="H372" s="145"/>
      <c r="I372" s="772">
        <f t="shared" si="74"/>
        <v>-17275998.307692312</v>
      </c>
      <c r="J372" s="773">
        <f t="shared" si="78"/>
        <v>-17065245.439551283</v>
      </c>
      <c r="K372" s="774">
        <f t="shared" si="82"/>
        <v>0</v>
      </c>
      <c r="L372" s="773">
        <f t="shared" si="80"/>
        <v>0</v>
      </c>
      <c r="M372" s="773">
        <f t="shared" ref="M372:M381" si="84">-L372+L371</f>
        <v>0</v>
      </c>
      <c r="N372" s="777"/>
      <c r="O372" s="773">
        <f t="shared" si="81"/>
        <v>0</v>
      </c>
      <c r="P372" s="777">
        <f t="shared" si="75"/>
        <v>0</v>
      </c>
      <c r="Q372" s="776"/>
      <c r="R372" s="776"/>
      <c r="S372" s="776"/>
      <c r="T372" s="776"/>
      <c r="U372" s="777">
        <f t="shared" si="83"/>
        <v>7.7474359424741124E-2</v>
      </c>
      <c r="V372" s="773">
        <f t="shared" si="72"/>
        <v>-73763.426374999981</v>
      </c>
      <c r="W372" s="778">
        <f t="shared" si="73"/>
        <v>136989.44176602905</v>
      </c>
      <c r="Z372" s="797"/>
    </row>
    <row r="373" spans="1:26" hidden="1" outlineLevel="1">
      <c r="A373" s="168"/>
      <c r="B373" s="29" t="s">
        <v>537</v>
      </c>
      <c r="C373" s="168"/>
      <c r="D373" s="776"/>
      <c r="E373" s="776"/>
      <c r="F373" s="145">
        <f t="shared" si="76"/>
        <v>17275998.307692308</v>
      </c>
      <c r="G373" s="773">
        <f t="shared" si="77"/>
        <v>17275998.307692312</v>
      </c>
      <c r="H373" s="145"/>
      <c r="I373" s="772">
        <f t="shared" si="74"/>
        <v>-17275998.307692312</v>
      </c>
      <c r="J373" s="773">
        <f>(I361+I373+SUM(I362:I372)*2)/24</f>
        <v>-17107655.576987181</v>
      </c>
      <c r="K373" s="774">
        <f t="shared" si="82"/>
        <v>0</v>
      </c>
      <c r="L373" s="773">
        <f t="shared" si="80"/>
        <v>0</v>
      </c>
      <c r="M373" s="773">
        <f t="shared" si="84"/>
        <v>0</v>
      </c>
      <c r="N373" s="777"/>
      <c r="O373" s="773">
        <f t="shared" si="81"/>
        <v>0</v>
      </c>
      <c r="P373" s="777">
        <f t="shared" si="75"/>
        <v>0</v>
      </c>
      <c r="Q373" s="776"/>
      <c r="R373" s="776"/>
      <c r="S373" s="776"/>
      <c r="T373" s="776"/>
      <c r="U373" s="777">
        <f t="shared" si="83"/>
        <v>7.7474359424741124E-2</v>
      </c>
      <c r="V373" s="773">
        <f t="shared" si="72"/>
        <v>-58919.878272435832</v>
      </c>
      <c r="W373" s="778">
        <f t="shared" si="73"/>
        <v>109422.85243269501</v>
      </c>
      <c r="Z373" s="797"/>
    </row>
    <row r="374" spans="1:26" hidden="1" outlineLevel="1">
      <c r="A374" s="168"/>
      <c r="B374" s="29" t="s">
        <v>538</v>
      </c>
      <c r="C374" s="168"/>
      <c r="D374" s="776"/>
      <c r="E374" s="776"/>
      <c r="F374" s="145">
        <f t="shared" si="76"/>
        <v>17275998.307692308</v>
      </c>
      <c r="G374" s="773">
        <f t="shared" si="77"/>
        <v>17275998.307692312</v>
      </c>
      <c r="H374" s="145"/>
      <c r="I374" s="772">
        <f t="shared" si="74"/>
        <v>-17275998.307692312</v>
      </c>
      <c r="J374" s="773">
        <f t="shared" si="78"/>
        <v>-17145291.964423079</v>
      </c>
      <c r="K374" s="774">
        <f t="shared" si="82"/>
        <v>0</v>
      </c>
      <c r="L374" s="773">
        <f t="shared" si="80"/>
        <v>0</v>
      </c>
      <c r="M374" s="773">
        <f t="shared" si="84"/>
        <v>0</v>
      </c>
      <c r="N374" s="777"/>
      <c r="O374" s="773">
        <f t="shared" si="81"/>
        <v>0</v>
      </c>
      <c r="P374" s="777">
        <f t="shared" si="75"/>
        <v>0</v>
      </c>
      <c r="Q374" s="776"/>
      <c r="R374" s="776"/>
      <c r="S374" s="776"/>
      <c r="T374" s="776"/>
      <c r="U374" s="777">
        <f t="shared" si="83"/>
        <v>7.7474359424741124E-2</v>
      </c>
      <c r="V374" s="773">
        <f t="shared" si="72"/>
        <v>-45747.142669871682</v>
      </c>
      <c r="W374" s="778">
        <f t="shared" si="73"/>
        <v>84959.200599360978</v>
      </c>
      <c r="Z374" s="797"/>
    </row>
    <row r="375" spans="1:26" hidden="1" outlineLevel="1">
      <c r="A375" s="168"/>
      <c r="B375" s="29" t="s">
        <v>539</v>
      </c>
      <c r="C375" s="168"/>
      <c r="D375" s="776"/>
      <c r="E375" s="776"/>
      <c r="F375" s="145">
        <f t="shared" si="76"/>
        <v>17275998.307692308</v>
      </c>
      <c r="G375" s="773">
        <f t="shared" si="77"/>
        <v>17275998.307692312</v>
      </c>
      <c r="H375" s="145"/>
      <c r="I375" s="772">
        <f t="shared" si="74"/>
        <v>-17275998.307692312</v>
      </c>
      <c r="J375" s="773">
        <f t="shared" si="78"/>
        <v>-17178154.601858977</v>
      </c>
      <c r="K375" s="774">
        <f t="shared" si="82"/>
        <v>0</v>
      </c>
      <c r="L375" s="773">
        <f t="shared" si="80"/>
        <v>0</v>
      </c>
      <c r="M375" s="773">
        <f t="shared" si="84"/>
        <v>0</v>
      </c>
      <c r="N375" s="777"/>
      <c r="O375" s="773">
        <f t="shared" si="81"/>
        <v>0</v>
      </c>
      <c r="P375" s="777">
        <f t="shared" si="75"/>
        <v>0</v>
      </c>
      <c r="Q375" s="776"/>
      <c r="R375" s="776"/>
      <c r="S375" s="776"/>
      <c r="T375" s="776"/>
      <c r="U375" s="777">
        <f t="shared" si="83"/>
        <v>7.7474359424741124E-2</v>
      </c>
      <c r="V375" s="773">
        <f t="shared" si="72"/>
        <v>-34245.21956730754</v>
      </c>
      <c r="W375" s="778">
        <f t="shared" si="73"/>
        <v>63598.486266026935</v>
      </c>
      <c r="Z375" s="797"/>
    </row>
    <row r="376" spans="1:26" hidden="1" outlineLevel="1">
      <c r="A376" s="168"/>
      <c r="B376" s="29" t="s">
        <v>540</v>
      </c>
      <c r="C376" s="168"/>
      <c r="D376" s="776"/>
      <c r="E376" s="776"/>
      <c r="F376" s="145">
        <f t="shared" si="76"/>
        <v>17275998.307692308</v>
      </c>
      <c r="G376" s="773">
        <f t="shared" si="77"/>
        <v>17275998.307692312</v>
      </c>
      <c r="H376" s="145"/>
      <c r="I376" s="772">
        <f t="shared" si="74"/>
        <v>-17275998.307692312</v>
      </c>
      <c r="J376" s="773">
        <f t="shared" si="78"/>
        <v>-17206243.489294875</v>
      </c>
      <c r="K376" s="774">
        <f t="shared" si="82"/>
        <v>0</v>
      </c>
      <c r="L376" s="773">
        <f t="shared" si="80"/>
        <v>0</v>
      </c>
      <c r="M376" s="773">
        <f t="shared" si="84"/>
        <v>0</v>
      </c>
      <c r="N376" s="777"/>
      <c r="O376" s="773">
        <f t="shared" si="81"/>
        <v>0</v>
      </c>
      <c r="P376" s="777">
        <f t="shared" si="75"/>
        <v>0</v>
      </c>
      <c r="Q376" s="776"/>
      <c r="R376" s="776"/>
      <c r="S376" s="776"/>
      <c r="T376" s="776"/>
      <c r="U376" s="777">
        <f t="shared" si="83"/>
        <v>7.7474359424741124E-2</v>
      </c>
      <c r="V376" s="773">
        <f t="shared" si="72"/>
        <v>-24414.108964743384</v>
      </c>
      <c r="W376" s="778">
        <f t="shared" si="73"/>
        <v>45340.709432692907</v>
      </c>
      <c r="Z376" s="797"/>
    </row>
    <row r="377" spans="1:26" hidden="1" outlineLevel="1">
      <c r="A377" s="168"/>
      <c r="B377" s="29" t="s">
        <v>541</v>
      </c>
      <c r="C377" s="168"/>
      <c r="D377" s="776"/>
      <c r="E377" s="776"/>
      <c r="F377" s="145">
        <f t="shared" si="76"/>
        <v>17275998.307692308</v>
      </c>
      <c r="G377" s="773">
        <f t="shared" si="77"/>
        <v>17275998.307692312</v>
      </c>
      <c r="H377" s="145"/>
      <c r="I377" s="772">
        <f t="shared" si="74"/>
        <v>-17275998.307692312</v>
      </c>
      <c r="J377" s="773">
        <f t="shared" si="78"/>
        <v>-17229558.626730774</v>
      </c>
      <c r="K377" s="774">
        <f t="shared" si="82"/>
        <v>0</v>
      </c>
      <c r="L377" s="773">
        <f t="shared" si="80"/>
        <v>0</v>
      </c>
      <c r="M377" s="773">
        <f t="shared" si="84"/>
        <v>0</v>
      </c>
      <c r="N377" s="777"/>
      <c r="O377" s="773">
        <f t="shared" si="81"/>
        <v>0</v>
      </c>
      <c r="P377" s="777">
        <f t="shared" si="75"/>
        <v>0</v>
      </c>
      <c r="Q377" s="776"/>
      <c r="R377" s="776"/>
      <c r="S377" s="776"/>
      <c r="T377" s="776"/>
      <c r="U377" s="777">
        <f t="shared" si="83"/>
        <v>7.7474359424741124E-2</v>
      </c>
      <c r="V377" s="773">
        <f t="shared" si="72"/>
        <v>-16253.81086217924</v>
      </c>
      <c r="W377" s="778">
        <f t="shared" si="73"/>
        <v>30185.870099358865</v>
      </c>
      <c r="Z377" s="797"/>
    </row>
    <row r="378" spans="1:26" hidden="1" outlineLevel="1">
      <c r="A378" s="168"/>
      <c r="B378" s="29" t="s">
        <v>542</v>
      </c>
      <c r="C378" s="168"/>
      <c r="D378" s="776"/>
      <c r="E378" s="776"/>
      <c r="F378" s="145">
        <f t="shared" si="76"/>
        <v>17275998.307692308</v>
      </c>
      <c r="G378" s="773">
        <f t="shared" si="77"/>
        <v>17275998.307692312</v>
      </c>
      <c r="H378" s="145"/>
      <c r="I378" s="772">
        <f t="shared" si="74"/>
        <v>-17275998.307692312</v>
      </c>
      <c r="J378" s="773">
        <f t="shared" si="78"/>
        <v>-17248100.014166672</v>
      </c>
      <c r="K378" s="774">
        <f t="shared" si="82"/>
        <v>0</v>
      </c>
      <c r="L378" s="773">
        <f t="shared" si="80"/>
        <v>0</v>
      </c>
      <c r="M378" s="773">
        <f t="shared" si="84"/>
        <v>0</v>
      </c>
      <c r="N378" s="777"/>
      <c r="O378" s="773">
        <f t="shared" si="81"/>
        <v>0</v>
      </c>
      <c r="P378" s="777">
        <f t="shared" si="75"/>
        <v>0</v>
      </c>
      <c r="Q378" s="776"/>
      <c r="R378" s="776"/>
      <c r="S378" s="776"/>
      <c r="T378" s="776"/>
      <c r="U378" s="777">
        <f t="shared" si="83"/>
        <v>7.7474359424741124E-2</v>
      </c>
      <c r="V378" s="773">
        <f t="shared" si="72"/>
        <v>-9764.3252596150905</v>
      </c>
      <c r="W378" s="778">
        <f t="shared" si="73"/>
        <v>18133.968266024829</v>
      </c>
      <c r="Z378" s="797"/>
    </row>
    <row r="379" spans="1:26" hidden="1" outlineLevel="1">
      <c r="A379" s="168"/>
      <c r="B379" s="29" t="s">
        <v>543</v>
      </c>
      <c r="C379" s="168"/>
      <c r="D379" s="776"/>
      <c r="E379" s="776"/>
      <c r="F379" s="145">
        <f t="shared" si="76"/>
        <v>17275998.307692308</v>
      </c>
      <c r="G379" s="773">
        <f t="shared" si="77"/>
        <v>17275998.307692312</v>
      </c>
      <c r="H379" s="145"/>
      <c r="I379" s="772">
        <f t="shared" si="74"/>
        <v>-17275998.307692312</v>
      </c>
      <c r="J379" s="773">
        <f t="shared" si="78"/>
        <v>-17261867.65160257</v>
      </c>
      <c r="K379" s="774">
        <f t="shared" si="82"/>
        <v>0</v>
      </c>
      <c r="L379" s="773">
        <f t="shared" si="80"/>
        <v>0</v>
      </c>
      <c r="M379" s="773">
        <f t="shared" si="84"/>
        <v>0</v>
      </c>
      <c r="N379" s="777"/>
      <c r="O379" s="773">
        <f>(N367+N379+SUM(N368:N378)*2)/24</f>
        <v>0</v>
      </c>
      <c r="P379" s="777">
        <f t="shared" si="75"/>
        <v>0</v>
      </c>
      <c r="Q379" s="776"/>
      <c r="R379" s="776"/>
      <c r="S379" s="776"/>
      <c r="T379" s="776"/>
      <c r="U379" s="777">
        <f t="shared" si="83"/>
        <v>7.7474359424741124E-2</v>
      </c>
      <c r="V379" s="773">
        <f t="shared" si="72"/>
        <v>-4945.6521570509449</v>
      </c>
      <c r="W379" s="778">
        <f>G379+J379+V379</f>
        <v>9185.0039326907918</v>
      </c>
      <c r="Z379" s="797"/>
    </row>
    <row r="380" spans="1:26" hidden="1" outlineLevel="1">
      <c r="A380" s="168"/>
      <c r="B380" s="29" t="s">
        <v>544</v>
      </c>
      <c r="C380" s="168"/>
      <c r="D380" s="776"/>
      <c r="E380" s="776"/>
      <c r="F380" s="145">
        <f t="shared" si="76"/>
        <v>17275998.307692308</v>
      </c>
      <c r="G380" s="773">
        <f t="shared" si="77"/>
        <v>17275998.307692312</v>
      </c>
      <c r="H380" s="145"/>
      <c r="I380" s="772">
        <f t="shared" si="74"/>
        <v>-17275998.307692312</v>
      </c>
      <c r="J380" s="773">
        <f t="shared" si="78"/>
        <v>-17270861.539038468</v>
      </c>
      <c r="K380" s="774">
        <f t="shared" si="82"/>
        <v>0</v>
      </c>
      <c r="L380" s="773">
        <f t="shared" si="80"/>
        <v>0</v>
      </c>
      <c r="M380" s="773">
        <f t="shared" si="84"/>
        <v>0</v>
      </c>
      <c r="N380" s="777"/>
      <c r="O380" s="773">
        <f t="shared" si="81"/>
        <v>0</v>
      </c>
      <c r="P380" s="777">
        <f t="shared" si="75"/>
        <v>0</v>
      </c>
      <c r="Q380" s="776"/>
      <c r="R380" s="776"/>
      <c r="S380" s="776"/>
      <c r="T380" s="776"/>
      <c r="U380" s="777">
        <f t="shared" si="83"/>
        <v>7.7474359424741124E-2</v>
      </c>
      <c r="V380" s="773">
        <f t="shared" si="72"/>
        <v>-1797.7915544867963</v>
      </c>
      <c r="W380" s="778">
        <f>G380+J380+V380</f>
        <v>3338.9770993567554</v>
      </c>
      <c r="Z380" s="797"/>
    </row>
    <row r="381" spans="1:26" hidden="1" outlineLevel="1">
      <c r="A381" s="168"/>
      <c r="B381" s="29" t="s">
        <v>545</v>
      </c>
      <c r="C381" s="168"/>
      <c r="D381" s="776"/>
      <c r="E381" s="776"/>
      <c r="F381" s="145">
        <f t="shared" si="76"/>
        <v>17275998.307692308</v>
      </c>
      <c r="G381" s="773">
        <f t="shared" si="77"/>
        <v>17275998.307692312</v>
      </c>
      <c r="H381" s="145"/>
      <c r="I381" s="772">
        <f t="shared" si="74"/>
        <v>-17275998.307692312</v>
      </c>
      <c r="J381" s="773">
        <f t="shared" si="78"/>
        <v>-17275081.676474366</v>
      </c>
      <c r="K381" s="774">
        <f t="shared" si="82"/>
        <v>0</v>
      </c>
      <c r="L381" s="773">
        <f t="shared" si="80"/>
        <v>0</v>
      </c>
      <c r="M381" s="773">
        <f t="shared" si="84"/>
        <v>0</v>
      </c>
      <c r="N381" s="777"/>
      <c r="O381" s="773">
        <f t="shared" si="81"/>
        <v>0</v>
      </c>
      <c r="P381" s="777">
        <f t="shared" si="75"/>
        <v>0</v>
      </c>
      <c r="Q381" s="776"/>
      <c r="R381" s="776"/>
      <c r="S381" s="776"/>
      <c r="T381" s="776"/>
      <c r="U381" s="777">
        <f t="shared" si="83"/>
        <v>7.7474359424741124E-2</v>
      </c>
      <c r="V381" s="773">
        <f t="shared" si="72"/>
        <v>-320.74345192264894</v>
      </c>
      <c r="W381" s="778">
        <f t="shared" si="73"/>
        <v>595.8877660227181</v>
      </c>
      <c r="Z381" s="797"/>
    </row>
    <row r="382" spans="1:26" hidden="1" outlineLevel="1">
      <c r="A382" s="168"/>
      <c r="B382" s="29" t="s">
        <v>833</v>
      </c>
      <c r="C382" s="168"/>
      <c r="D382" s="776"/>
      <c r="E382" s="776"/>
      <c r="F382" s="145">
        <f t="shared" si="76"/>
        <v>17275998.307692308</v>
      </c>
      <c r="G382" s="773">
        <f t="shared" ref="G382" si="85">(F370+F382+SUM(F371:F381)*2)/24</f>
        <v>17275998.307692312</v>
      </c>
      <c r="H382" s="145"/>
      <c r="I382" s="772">
        <f t="shared" ref="I382" si="86">I381-H382</f>
        <v>-17275998.307692312</v>
      </c>
      <c r="J382" s="773">
        <f t="shared" ref="J382" si="87">(I370+I382+SUM(I371:I381)*2)/24</f>
        <v>-17275998.307692315</v>
      </c>
      <c r="K382" s="774">
        <f t="shared" ref="K382" si="88">F382+I382</f>
        <v>0</v>
      </c>
      <c r="L382" s="773">
        <f t="shared" ref="L382" si="89">-K382*35%</f>
        <v>0</v>
      </c>
      <c r="M382" s="773">
        <f t="shared" ref="M382" si="90">-L382+L381</f>
        <v>0</v>
      </c>
      <c r="N382" s="777"/>
      <c r="O382" s="773">
        <f t="shared" ref="O382" si="91">(N370+N382+SUM(N371:N381)*2)/24</f>
        <v>0</v>
      </c>
      <c r="P382" s="777">
        <f t="shared" ref="P382" si="92">K382+O382</f>
        <v>0</v>
      </c>
      <c r="Q382" s="776"/>
      <c r="R382" s="776"/>
      <c r="S382" s="776"/>
      <c r="T382" s="776"/>
      <c r="U382" s="777">
        <f t="shared" ref="U382" si="93">U381-M382</f>
        <v>7.7474359424741124E-2</v>
      </c>
      <c r="V382" s="773">
        <f t="shared" ref="V382" si="94">(U370+U382+SUM(U371:U381)*2)/24</f>
        <v>7.7474359424741124E-2</v>
      </c>
      <c r="W382" s="778">
        <f>G382+J382+V382</f>
        <v>7.7474355699450825E-2</v>
      </c>
      <c r="Z382" s="797"/>
    </row>
    <row r="383" spans="1:26" collapsed="1">
      <c r="A383" s="167"/>
      <c r="B383" s="781"/>
      <c r="C383" s="167"/>
      <c r="D383" s="782"/>
      <c r="E383" s="782"/>
      <c r="F383" s="783"/>
      <c r="G383" s="784"/>
      <c r="H383" s="783"/>
      <c r="I383" s="785"/>
      <c r="J383" s="784"/>
      <c r="K383" s="786"/>
      <c r="L383" s="784"/>
      <c r="M383" s="784"/>
      <c r="N383" s="795"/>
      <c r="O383" s="784"/>
      <c r="P383" s="795"/>
      <c r="Q383" s="782"/>
      <c r="R383" s="782"/>
      <c r="S383" s="782"/>
      <c r="T383" s="782"/>
      <c r="U383" s="795"/>
      <c r="V383" s="784"/>
      <c r="W383" s="796"/>
      <c r="Z383" s="797"/>
    </row>
    <row r="384" spans="1:26">
      <c r="A384" s="168"/>
      <c r="B384" s="798"/>
      <c r="H384" s="135"/>
      <c r="I384" s="170"/>
      <c r="J384" s="98"/>
      <c r="L384" s="100"/>
      <c r="M384" s="100"/>
      <c r="U384" s="365"/>
      <c r="W384" s="173"/>
    </row>
    <row r="385" spans="1:23">
      <c r="A385" s="168"/>
      <c r="B385" s="798" t="s">
        <v>941</v>
      </c>
      <c r="H385" s="135">
        <f>SUM(H131:H142)</f>
        <v>687420</v>
      </c>
      <c r="I385" s="170"/>
      <c r="J385" s="98"/>
      <c r="L385" s="100"/>
      <c r="M385" s="100"/>
      <c r="U385" s="365"/>
      <c r="W385" s="173"/>
    </row>
    <row r="386" spans="1:23">
      <c r="A386" s="168"/>
      <c r="B386" s="798" t="s">
        <v>942</v>
      </c>
      <c r="H386" s="135">
        <f>SUM(H137:H148)</f>
        <v>687420</v>
      </c>
      <c r="I386" s="170"/>
      <c r="J386" s="98"/>
      <c r="L386" s="100"/>
      <c r="M386" s="100"/>
      <c r="U386" s="365"/>
      <c r="W386" s="173"/>
    </row>
    <row r="387" spans="1:23">
      <c r="A387" s="168"/>
      <c r="B387" s="798"/>
      <c r="H387" s="135"/>
      <c r="I387" s="170"/>
      <c r="J387" s="98"/>
      <c r="L387" s="100"/>
      <c r="M387" s="100"/>
      <c r="U387" s="365"/>
      <c r="W387" s="173"/>
    </row>
    <row r="388" spans="1:23">
      <c r="A388" s="168"/>
      <c r="B388" s="798"/>
      <c r="I388" s="170"/>
      <c r="J388" s="98"/>
      <c r="L388" s="100"/>
      <c r="M388" s="100"/>
      <c r="U388" s="365"/>
      <c r="W388" s="173"/>
    </row>
    <row r="389" spans="1:23">
      <c r="A389" s="168"/>
      <c r="B389" s="29"/>
      <c r="C389" s="168"/>
      <c r="D389" s="145"/>
      <c r="E389" s="145"/>
      <c r="F389" s="145"/>
      <c r="G389" s="773"/>
      <c r="H389" s="145"/>
      <c r="I389" s="772"/>
      <c r="J389" s="773"/>
      <c r="K389" s="774"/>
      <c r="L389" s="773"/>
      <c r="M389" s="773"/>
      <c r="N389" s="777"/>
      <c r="O389" s="773"/>
      <c r="P389" s="777"/>
      <c r="Q389" s="776"/>
      <c r="R389" s="776"/>
      <c r="S389" s="776"/>
      <c r="T389" s="776"/>
      <c r="U389" s="777"/>
      <c r="V389" s="773"/>
      <c r="W389" s="778"/>
    </row>
    <row r="390" spans="1:23">
      <c r="A390" s="168"/>
      <c r="B390" s="798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4"/>
      <c r="V390" s="1024"/>
      <c r="W390" s="1024"/>
    </row>
    <row r="391" spans="1:23">
      <c r="A391" s="168"/>
      <c r="B391" s="798"/>
      <c r="I391" s="170"/>
      <c r="J391" s="98"/>
      <c r="L391" s="100"/>
      <c r="M391" s="100"/>
      <c r="U391" s="365"/>
      <c r="W391" s="173"/>
    </row>
    <row r="392" spans="1:23">
      <c r="A392" s="168"/>
      <c r="B392" s="798"/>
      <c r="I392" s="170"/>
      <c r="J392" s="98"/>
      <c r="L392" s="100"/>
      <c r="M392" s="100"/>
      <c r="U392" s="365"/>
      <c r="W392" s="173"/>
    </row>
    <row r="393" spans="1:23">
      <c r="I393" s="170"/>
      <c r="J393" s="98"/>
      <c r="L393" s="100"/>
      <c r="M393" s="100"/>
      <c r="U393" s="365"/>
      <c r="W393" s="173"/>
    </row>
    <row r="394" spans="1:23">
      <c r="I394" s="170"/>
      <c r="J394" s="98"/>
      <c r="L394" s="100"/>
      <c r="M394" s="100"/>
      <c r="U394" s="365"/>
      <c r="W394" s="173"/>
    </row>
    <row r="395" spans="1:23">
      <c r="I395" s="170"/>
      <c r="J395" s="98"/>
      <c r="L395" s="100"/>
      <c r="M395" s="100"/>
      <c r="U395" s="365"/>
      <c r="W395" s="173"/>
    </row>
    <row r="396" spans="1:23">
      <c r="I396" s="170"/>
      <c r="J396" s="98"/>
      <c r="L396" s="100"/>
      <c r="M396" s="100"/>
      <c r="U396" s="365"/>
      <c r="W396" s="173"/>
    </row>
    <row r="397" spans="1:23">
      <c r="I397" s="170"/>
      <c r="J397" s="98"/>
      <c r="L397" s="100"/>
      <c r="M397" s="100"/>
      <c r="U397" s="365"/>
      <c r="W397" s="173"/>
    </row>
    <row r="398" spans="1:23">
      <c r="I398" s="170"/>
      <c r="J398" s="98"/>
      <c r="L398" s="100"/>
      <c r="M398" s="100"/>
      <c r="U398" s="365"/>
      <c r="W398" s="173"/>
    </row>
    <row r="399" spans="1:23">
      <c r="I399" s="170"/>
      <c r="J399" s="98"/>
      <c r="L399" s="100"/>
      <c r="M399" s="100"/>
      <c r="U399" s="365"/>
      <c r="W399" s="173"/>
    </row>
    <row r="400" spans="1:23">
      <c r="I400" s="170"/>
      <c r="J400" s="98"/>
      <c r="L400" s="100"/>
      <c r="M400" s="100"/>
      <c r="U400" s="365"/>
      <c r="W400" s="173"/>
    </row>
    <row r="401" spans="9:23">
      <c r="I401" s="170"/>
      <c r="J401" s="98"/>
      <c r="L401" s="100"/>
      <c r="M401" s="100"/>
      <c r="U401" s="365"/>
      <c r="W401" s="173"/>
    </row>
    <row r="402" spans="9:23">
      <c r="I402" s="170"/>
      <c r="J402" s="98"/>
      <c r="L402" s="100"/>
      <c r="M402" s="100"/>
      <c r="U402" s="365"/>
      <c r="W402" s="173"/>
    </row>
    <row r="403" spans="9:23">
      <c r="I403" s="170"/>
      <c r="J403" s="98"/>
      <c r="L403" s="100"/>
      <c r="M403" s="100"/>
      <c r="U403" s="365"/>
      <c r="W403" s="173"/>
    </row>
    <row r="404" spans="9:23">
      <c r="I404" s="170"/>
      <c r="J404" s="98"/>
      <c r="L404" s="100"/>
      <c r="M404" s="100"/>
      <c r="U404" s="365"/>
      <c r="W404" s="173"/>
    </row>
    <row r="405" spans="9:23">
      <c r="I405" s="170"/>
      <c r="J405" s="98"/>
      <c r="L405" s="100"/>
      <c r="M405" s="100"/>
      <c r="U405" s="365"/>
      <c r="W405" s="173"/>
    </row>
    <row r="406" spans="9:23">
      <c r="I406" s="170"/>
      <c r="J406" s="98"/>
      <c r="L406" s="100"/>
      <c r="M406" s="100"/>
      <c r="U406" s="365"/>
      <c r="W406" s="173"/>
    </row>
    <row r="407" spans="9:23">
      <c r="I407" s="170"/>
      <c r="J407" s="98"/>
      <c r="L407" s="100"/>
      <c r="M407" s="100"/>
      <c r="U407" s="365"/>
      <c r="W407" s="173"/>
    </row>
    <row r="408" spans="9:23">
      <c r="I408" s="170"/>
      <c r="J408" s="98"/>
      <c r="L408" s="100"/>
      <c r="M408" s="100"/>
      <c r="U408" s="365"/>
    </row>
    <row r="409" spans="9:23">
      <c r="I409" s="170"/>
      <c r="J409" s="98"/>
      <c r="L409" s="100"/>
      <c r="M409" s="100"/>
      <c r="U409" s="365"/>
    </row>
    <row r="410" spans="9:23">
      <c r="I410" s="170"/>
      <c r="J410" s="98"/>
      <c r="L410" s="100"/>
      <c r="M410" s="100"/>
      <c r="U410" s="365"/>
    </row>
    <row r="411" spans="9:23">
      <c r="I411" s="170"/>
      <c r="J411" s="98"/>
      <c r="L411" s="100"/>
      <c r="M411" s="100"/>
      <c r="U411" s="365"/>
    </row>
    <row r="412" spans="9:23">
      <c r="I412" s="170"/>
      <c r="J412" s="98"/>
      <c r="L412" s="100"/>
      <c r="M412" s="100"/>
      <c r="U412" s="365"/>
    </row>
    <row r="413" spans="9:23">
      <c r="I413" s="170"/>
      <c r="J413" s="170"/>
      <c r="L413" s="100"/>
      <c r="M413" s="100"/>
      <c r="U413" s="365"/>
    </row>
    <row r="414" spans="9:23">
      <c r="I414" s="170"/>
      <c r="J414" s="170"/>
      <c r="L414" s="100"/>
      <c r="M414" s="100"/>
      <c r="U414" s="365"/>
    </row>
    <row r="415" spans="9:23">
      <c r="I415" s="170"/>
      <c r="J415" s="170"/>
      <c r="U415" s="365"/>
    </row>
    <row r="416" spans="9:23">
      <c r="I416" s="170"/>
      <c r="J416" s="170"/>
      <c r="U416" s="365"/>
    </row>
    <row r="417" spans="9:21">
      <c r="I417" s="170"/>
      <c r="J417" s="170"/>
      <c r="U417" s="365"/>
    </row>
    <row r="418" spans="9:21">
      <c r="I418" s="170"/>
      <c r="J418" s="170"/>
      <c r="U418" s="365"/>
    </row>
    <row r="419" spans="9:21">
      <c r="I419" s="170"/>
      <c r="J419" s="170"/>
      <c r="U419" s="365"/>
    </row>
    <row r="420" spans="9:21">
      <c r="I420" s="170"/>
      <c r="J420" s="170"/>
      <c r="U420" s="365"/>
    </row>
    <row r="421" spans="9:21">
      <c r="I421" s="170"/>
      <c r="J421" s="170"/>
      <c r="U421" s="365"/>
    </row>
    <row r="422" spans="9:21">
      <c r="I422" s="170"/>
      <c r="J422" s="170"/>
      <c r="U422" s="365"/>
    </row>
    <row r="423" spans="9:21">
      <c r="I423" s="170"/>
      <c r="J423" s="170"/>
      <c r="U423" s="365"/>
    </row>
    <row r="424" spans="9:21">
      <c r="I424" s="170"/>
      <c r="J424" s="170"/>
      <c r="U424" s="365"/>
    </row>
    <row r="425" spans="9:21">
      <c r="I425" s="170"/>
      <c r="J425" s="170"/>
      <c r="U425" s="365"/>
    </row>
    <row r="426" spans="9:21">
      <c r="I426" s="170"/>
      <c r="J426" s="170"/>
      <c r="U426" s="365"/>
    </row>
    <row r="427" spans="9:21">
      <c r="I427" s="170"/>
      <c r="J427" s="170"/>
      <c r="U427" s="365"/>
    </row>
    <row r="428" spans="9:21">
      <c r="I428" s="170"/>
      <c r="J428" s="170"/>
      <c r="U428" s="365"/>
    </row>
    <row r="429" spans="9:21">
      <c r="I429" s="170"/>
      <c r="J429" s="170"/>
      <c r="U429" s="365"/>
    </row>
    <row r="430" spans="9:21">
      <c r="I430" s="170"/>
      <c r="J430" s="170"/>
      <c r="U430" s="365"/>
    </row>
    <row r="431" spans="9:21">
      <c r="I431" s="170"/>
      <c r="J431" s="170"/>
      <c r="U431" s="365"/>
    </row>
    <row r="432" spans="9:21">
      <c r="I432" s="170"/>
      <c r="J432" s="170"/>
      <c r="U432" s="365"/>
    </row>
    <row r="433" spans="9:21">
      <c r="I433" s="170"/>
      <c r="J433" s="170"/>
      <c r="U433" s="365"/>
    </row>
    <row r="434" spans="9:21">
      <c r="I434" s="170"/>
      <c r="J434" s="170"/>
      <c r="U434" s="365"/>
    </row>
    <row r="435" spans="9:21">
      <c r="I435" s="170"/>
      <c r="J435" s="170"/>
      <c r="U435" s="365"/>
    </row>
    <row r="436" spans="9:21">
      <c r="I436" s="170"/>
      <c r="J436" s="170"/>
      <c r="U436" s="365"/>
    </row>
    <row r="437" spans="9:21">
      <c r="I437" s="170"/>
      <c r="J437" s="170"/>
      <c r="U437" s="365"/>
    </row>
    <row r="438" spans="9:21">
      <c r="I438" s="170"/>
      <c r="J438" s="170"/>
      <c r="U438" s="365"/>
    </row>
    <row r="439" spans="9:21">
      <c r="I439" s="170"/>
      <c r="J439" s="170"/>
      <c r="U439" s="365"/>
    </row>
    <row r="440" spans="9:21">
      <c r="I440" s="170"/>
      <c r="J440" s="170"/>
      <c r="U440" s="365"/>
    </row>
    <row r="441" spans="9:21">
      <c r="I441" s="170"/>
      <c r="J441" s="170"/>
      <c r="U441" s="365"/>
    </row>
    <row r="442" spans="9:21">
      <c r="I442" s="170"/>
      <c r="J442" s="170"/>
      <c r="U442" s="365"/>
    </row>
    <row r="443" spans="9:21">
      <c r="I443" s="170"/>
      <c r="J443" s="170"/>
      <c r="U443" s="365"/>
    </row>
    <row r="444" spans="9:21">
      <c r="I444" s="170"/>
      <c r="J444" s="170"/>
      <c r="U444" s="365"/>
    </row>
    <row r="445" spans="9:21">
      <c r="I445" s="170"/>
      <c r="J445" s="170"/>
      <c r="U445" s="365"/>
    </row>
    <row r="446" spans="9:21">
      <c r="I446" s="170"/>
      <c r="J446" s="170"/>
      <c r="U446" s="365"/>
    </row>
    <row r="447" spans="9:21">
      <c r="I447" s="170"/>
      <c r="J447" s="170"/>
      <c r="U447" s="365"/>
    </row>
    <row r="448" spans="9:21">
      <c r="I448" s="170"/>
      <c r="J448" s="170"/>
      <c r="U448" s="365"/>
    </row>
    <row r="449" spans="9:21">
      <c r="I449" s="170"/>
      <c r="J449" s="170"/>
      <c r="U449" s="365"/>
    </row>
    <row r="450" spans="9:21">
      <c r="I450" s="170"/>
      <c r="J450" s="170"/>
      <c r="U450" s="365"/>
    </row>
    <row r="451" spans="9:21">
      <c r="I451" s="170"/>
      <c r="J451" s="170"/>
      <c r="U451" s="365"/>
    </row>
    <row r="452" spans="9:21">
      <c r="I452" s="170"/>
      <c r="J452" s="170"/>
      <c r="U452" s="365"/>
    </row>
    <row r="453" spans="9:21">
      <c r="U453" s="365"/>
    </row>
    <row r="454" spans="9:21">
      <c r="U454" s="365"/>
    </row>
    <row r="455" spans="9:21">
      <c r="U455" s="365"/>
    </row>
    <row r="456" spans="9:21">
      <c r="U456" s="365"/>
    </row>
    <row r="457" spans="9:21">
      <c r="U457" s="365"/>
    </row>
    <row r="458" spans="9:21">
      <c r="U458" s="365"/>
    </row>
    <row r="459" spans="9:21">
      <c r="U459" s="365"/>
    </row>
  </sheetData>
  <pageMargins left="0.45" right="0.45" top="0.75" bottom="0.75" header="0.3" footer="0.3"/>
  <pageSetup scale="1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34"/>
  <sheetViews>
    <sheetView zoomScaleNormal="100" workbookViewId="0">
      <pane xSplit="1" ySplit="12" topLeftCell="J96" activePane="bottomRight" state="frozen"/>
      <selection activeCell="G113" sqref="G113"/>
      <selection pane="topRight" activeCell="G113" sqref="G113"/>
      <selection pane="bottomLeft" activeCell="G113" sqref="G113"/>
      <selection pane="bottomRight" activeCell="L125" sqref="L125"/>
    </sheetView>
  </sheetViews>
  <sheetFormatPr defaultRowHeight="12.95" customHeight="1" outlineLevelRow="1" outlineLevelCol="1"/>
  <cols>
    <col min="1" max="1" width="26" customWidth="1"/>
    <col min="2" max="3" width="15.42578125" bestFit="1" customWidth="1"/>
    <col min="4" max="4" width="1.85546875" customWidth="1"/>
    <col min="5" max="5" width="22.140625" customWidth="1"/>
    <col min="6" max="6" width="16.7109375" customWidth="1"/>
    <col min="7" max="7" width="1.85546875" customWidth="1"/>
    <col min="8" max="9" width="14.42578125" bestFit="1" customWidth="1"/>
    <col min="10" max="10" width="2.42578125" customWidth="1"/>
    <col min="11" max="11" width="17.42578125" customWidth="1"/>
    <col min="12" max="12" width="15.85546875" bestFit="1" customWidth="1"/>
    <col min="13" max="13" width="1.85546875" customWidth="1"/>
    <col min="14" max="14" width="14.85546875" bestFit="1" customWidth="1"/>
    <col min="15" max="16" width="17.85546875" bestFit="1" customWidth="1"/>
    <col min="17" max="17" width="15.42578125" bestFit="1" customWidth="1"/>
    <col min="18" max="18" width="16.42578125" bestFit="1" customWidth="1"/>
    <col min="19" max="19" width="14.85546875" customWidth="1" outlineLevel="1"/>
    <col min="20" max="20" width="13.140625" customWidth="1" outlineLevel="1"/>
    <col min="21" max="21" width="9.140625" customWidth="1" outlineLevel="1"/>
    <col min="22" max="22" width="9.5703125" bestFit="1" customWidth="1"/>
  </cols>
  <sheetData>
    <row r="1" spans="1:18" ht="12.95" customHeight="1">
      <c r="A1" s="32" t="s">
        <v>147</v>
      </c>
      <c r="B1" s="132"/>
      <c r="C1" s="132"/>
      <c r="D1" s="132"/>
      <c r="E1" s="132"/>
      <c r="F1" s="132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8" ht="12.95" customHeight="1">
      <c r="A2" s="140" t="s">
        <v>130</v>
      </c>
      <c r="B2" s="109"/>
      <c r="C2" s="109"/>
      <c r="D2" s="132"/>
      <c r="E2" s="141">
        <v>4614625</v>
      </c>
      <c r="F2" s="132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8" ht="12.95" customHeight="1">
      <c r="A3" s="140" t="s">
        <v>131</v>
      </c>
      <c r="B3" s="109"/>
      <c r="C3" s="109"/>
      <c r="D3" s="132"/>
      <c r="E3" s="142" t="s">
        <v>189</v>
      </c>
      <c r="F3" s="132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8" ht="12.95" customHeight="1">
      <c r="A4" s="32" t="s">
        <v>148</v>
      </c>
      <c r="B4" s="109"/>
      <c r="C4" s="109"/>
      <c r="D4" s="132"/>
      <c r="E4" s="132"/>
      <c r="F4" s="132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8" ht="12.95" customHeight="1">
      <c r="A5" s="32" t="s">
        <v>133</v>
      </c>
      <c r="B5" s="109"/>
      <c r="C5" s="109"/>
      <c r="D5" s="132"/>
      <c r="E5" s="143">
        <v>103</v>
      </c>
      <c r="F5" s="144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8" ht="12.95" customHeight="1">
      <c r="A6" s="32" t="s">
        <v>97</v>
      </c>
      <c r="B6" s="109"/>
      <c r="C6" s="109"/>
      <c r="D6" s="132"/>
      <c r="E6" s="37" t="s">
        <v>98</v>
      </c>
      <c r="F6" s="132"/>
      <c r="G6" s="33"/>
      <c r="H6" s="33"/>
      <c r="I6" s="33"/>
      <c r="J6" s="33"/>
      <c r="K6" s="33"/>
      <c r="L6" s="1091" t="s">
        <v>190</v>
      </c>
      <c r="M6" s="1092"/>
      <c r="N6" s="1092"/>
      <c r="O6" s="1093" t="s">
        <v>196</v>
      </c>
      <c r="P6" s="117">
        <v>9408.4599999999991</v>
      </c>
    </row>
    <row r="7" spans="1:18" ht="12.95" customHeight="1">
      <c r="A7" s="132"/>
      <c r="B7" s="132"/>
      <c r="C7" s="132"/>
      <c r="D7" s="132"/>
      <c r="E7" s="132"/>
      <c r="F7" s="132"/>
      <c r="G7" s="33"/>
      <c r="H7" s="33"/>
      <c r="I7" s="33"/>
      <c r="J7" s="33"/>
      <c r="K7" s="33"/>
      <c r="L7" s="1094"/>
      <c r="M7" s="1094"/>
      <c r="N7" s="1094"/>
      <c r="O7" s="1094"/>
      <c r="P7" s="33"/>
    </row>
    <row r="8" spans="1:18" ht="12.95" customHeight="1" thickBo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8" ht="12.95" customHeight="1">
      <c r="A9" s="38" t="s">
        <v>99</v>
      </c>
      <c r="B9" s="39" t="s">
        <v>188</v>
      </c>
      <c r="C9" s="40"/>
      <c r="D9" s="41"/>
      <c r="E9" s="42" t="s">
        <v>3</v>
      </c>
      <c r="F9" s="42"/>
      <c r="G9" s="41"/>
      <c r="H9" s="42" t="s">
        <v>100</v>
      </c>
      <c r="I9" s="42"/>
      <c r="J9" s="41"/>
      <c r="K9" s="42" t="s">
        <v>101</v>
      </c>
      <c r="L9" s="42"/>
      <c r="M9" s="110"/>
      <c r="N9" s="43" t="s">
        <v>102</v>
      </c>
      <c r="O9" s="43" t="s">
        <v>103</v>
      </c>
      <c r="P9" s="38" t="s">
        <v>104</v>
      </c>
      <c r="Q9" s="43" t="s">
        <v>29</v>
      </c>
      <c r="R9" s="43" t="s">
        <v>26</v>
      </c>
    </row>
    <row r="10" spans="1:18" ht="12.95" customHeight="1">
      <c r="A10" s="44"/>
      <c r="B10" s="45" t="s">
        <v>105</v>
      </c>
      <c r="C10" s="46" t="s">
        <v>106</v>
      </c>
      <c r="D10" s="47"/>
      <c r="E10" s="45" t="s">
        <v>105</v>
      </c>
      <c r="F10" s="46" t="s">
        <v>106</v>
      </c>
      <c r="G10" s="47"/>
      <c r="H10" s="45" t="s">
        <v>105</v>
      </c>
      <c r="I10" s="46" t="s">
        <v>106</v>
      </c>
      <c r="J10" s="47"/>
      <c r="K10" s="45" t="s">
        <v>105</v>
      </c>
      <c r="L10" s="46" t="s">
        <v>106</v>
      </c>
      <c r="M10" s="44"/>
      <c r="N10" s="47" t="s">
        <v>107</v>
      </c>
      <c r="O10" s="48">
        <v>0.35</v>
      </c>
      <c r="P10" s="49" t="s">
        <v>135</v>
      </c>
      <c r="Q10" s="48" t="s">
        <v>24</v>
      </c>
      <c r="R10" s="48" t="s">
        <v>27</v>
      </c>
    </row>
    <row r="11" spans="1:18" ht="12.95" customHeight="1">
      <c r="A11" s="44"/>
      <c r="B11" s="45" t="s">
        <v>30</v>
      </c>
      <c r="C11" s="46" t="s">
        <v>31</v>
      </c>
      <c r="D11" s="47"/>
      <c r="E11" s="45" t="s">
        <v>108</v>
      </c>
      <c r="F11" s="46" t="s">
        <v>180</v>
      </c>
      <c r="G11" s="47"/>
      <c r="H11" s="45" t="s">
        <v>137</v>
      </c>
      <c r="I11" s="46" t="s">
        <v>138</v>
      </c>
      <c r="J11" s="47"/>
      <c r="K11" s="45"/>
      <c r="L11" s="46"/>
      <c r="M11" s="44"/>
      <c r="N11" s="47"/>
      <c r="O11" s="48">
        <v>0.21</v>
      </c>
      <c r="P11" s="49" t="s">
        <v>139</v>
      </c>
      <c r="Q11" s="48"/>
      <c r="R11" s="48" t="s">
        <v>140</v>
      </c>
    </row>
    <row r="12" spans="1:18" ht="12.95" customHeight="1" thickBot="1">
      <c r="A12" s="50"/>
      <c r="B12" s="51"/>
      <c r="C12" s="52"/>
      <c r="D12" s="50"/>
      <c r="E12" s="51"/>
      <c r="F12" s="52" t="s">
        <v>96</v>
      </c>
      <c r="G12" s="50"/>
      <c r="H12" s="51" t="s">
        <v>141</v>
      </c>
      <c r="I12" s="52" t="s">
        <v>142</v>
      </c>
      <c r="J12" s="50"/>
      <c r="K12" s="51" t="s">
        <v>109</v>
      </c>
      <c r="L12" s="52" t="s">
        <v>110</v>
      </c>
      <c r="M12" s="61"/>
      <c r="N12" s="50" t="s">
        <v>111</v>
      </c>
      <c r="O12" s="53" t="s">
        <v>112</v>
      </c>
      <c r="P12" s="54" t="s">
        <v>143</v>
      </c>
      <c r="Q12" s="111" t="s">
        <v>144</v>
      </c>
      <c r="R12" s="111" t="s">
        <v>145</v>
      </c>
    </row>
    <row r="13" spans="1:18" ht="12.95" customHeight="1" thickTop="1">
      <c r="A13" s="113"/>
      <c r="B13" s="59"/>
      <c r="C13" s="59"/>
      <c r="D13" s="58"/>
      <c r="E13" s="59"/>
      <c r="F13" s="59"/>
      <c r="G13" s="58"/>
      <c r="H13" s="59"/>
      <c r="I13" s="59"/>
      <c r="J13" s="58"/>
      <c r="K13" s="59"/>
      <c r="L13" s="59"/>
      <c r="M13" s="58"/>
      <c r="N13" s="59"/>
      <c r="O13" s="59"/>
      <c r="P13" s="59"/>
      <c r="Q13" s="59"/>
      <c r="R13" s="59"/>
    </row>
    <row r="14" spans="1:18" s="109" customFormat="1" ht="12.95" customHeight="1" outlineLevel="1">
      <c r="A14" s="114">
        <v>40248</v>
      </c>
      <c r="B14" s="115">
        <f>-E2</f>
        <v>-4614625</v>
      </c>
      <c r="C14" s="115">
        <f>-E2</f>
        <v>-4614625</v>
      </c>
      <c r="D14" s="116"/>
      <c r="E14" s="115">
        <f>B14</f>
        <v>-4614625</v>
      </c>
      <c r="F14" s="115"/>
      <c r="G14" s="116"/>
      <c r="H14" s="115">
        <f>E2</f>
        <v>4614625</v>
      </c>
      <c r="I14" s="115">
        <f t="shared" ref="I14:I19" si="0">I13-F14</f>
        <v>0</v>
      </c>
      <c r="J14" s="116"/>
      <c r="K14" s="115">
        <f t="shared" ref="K14:L28" si="1">B14+H14</f>
        <v>0</v>
      </c>
      <c r="L14" s="115">
        <f>B14+I14</f>
        <v>-4614625</v>
      </c>
      <c r="M14" s="116"/>
      <c r="N14" s="115">
        <f>L14-K14</f>
        <v>-4614625</v>
      </c>
      <c r="O14" s="115">
        <v>1695875</v>
      </c>
      <c r="P14" s="115"/>
      <c r="Q14" s="115">
        <f>L14+O14</f>
        <v>-2918750</v>
      </c>
      <c r="R14" s="115">
        <f>($Q$13+Q14+SUM($Q13:Q$14)*2)/24</f>
        <v>-364843.75</v>
      </c>
    </row>
    <row r="15" spans="1:18" s="109" customFormat="1" ht="12.95" customHeight="1" outlineLevel="1">
      <c r="A15" s="114">
        <v>40298</v>
      </c>
      <c r="B15" s="115">
        <f t="shared" ref="B15:B51" si="2">B14</f>
        <v>-4614625</v>
      </c>
      <c r="C15" s="115">
        <f t="shared" ref="C15:C51" si="3">C14</f>
        <v>-4614625</v>
      </c>
      <c r="D15" s="116"/>
      <c r="E15" s="115">
        <v>0</v>
      </c>
      <c r="F15" s="115">
        <f>C15/$E$5</f>
        <v>-44802.184466019418</v>
      </c>
      <c r="G15" s="116"/>
      <c r="H15" s="115">
        <f>H14-E15</f>
        <v>4614625</v>
      </c>
      <c r="I15" s="115">
        <f>I14-F15</f>
        <v>44802.184466019418</v>
      </c>
      <c r="J15" s="116"/>
      <c r="K15" s="115">
        <f t="shared" si="1"/>
        <v>0</v>
      </c>
      <c r="L15" s="115">
        <f>C15+I15</f>
        <v>-4569822.8155339807</v>
      </c>
      <c r="M15" s="116"/>
      <c r="N15" s="115">
        <f>L15-K15</f>
        <v>-4569822.8155339807</v>
      </c>
      <c r="O15" s="115">
        <v>1614875</v>
      </c>
      <c r="P15" s="115">
        <f>-O15+O14</f>
        <v>81000</v>
      </c>
      <c r="Q15" s="115">
        <f>L15+O15</f>
        <v>-2954947.8155339807</v>
      </c>
      <c r="R15" s="115">
        <f>($Q$13+Q15+SUM($Q$14:Q14)*2)/24</f>
        <v>-366351.99231391586</v>
      </c>
    </row>
    <row r="16" spans="1:18" ht="12.95" customHeight="1" outlineLevel="1">
      <c r="A16" s="113">
        <v>40329</v>
      </c>
      <c r="B16" s="59">
        <f t="shared" si="2"/>
        <v>-4614625</v>
      </c>
      <c r="C16" s="59">
        <f t="shared" si="3"/>
        <v>-4614625</v>
      </c>
      <c r="D16" s="58"/>
      <c r="E16" s="59">
        <v>0</v>
      </c>
      <c r="F16" s="115">
        <f>C16/$E$5</f>
        <v>-44802.184466019418</v>
      </c>
      <c r="G16" s="58"/>
      <c r="H16" s="59">
        <f>H15-E16</f>
        <v>4614625</v>
      </c>
      <c r="I16" s="59">
        <f t="shared" si="0"/>
        <v>89604.368932038837</v>
      </c>
      <c r="J16" s="58"/>
      <c r="K16" s="59">
        <f t="shared" si="1"/>
        <v>0</v>
      </c>
      <c r="L16" s="59">
        <f>C16+I16</f>
        <v>-4525020.6310679615</v>
      </c>
      <c r="M16" s="58"/>
      <c r="N16" s="59">
        <f>L16-K16</f>
        <v>-4525020.6310679615</v>
      </c>
      <c r="O16" s="59">
        <v>1598875</v>
      </c>
      <c r="P16" s="59">
        <f>-O16+O15</f>
        <v>16000</v>
      </c>
      <c r="Q16" s="59">
        <f>L16+O16</f>
        <v>-2926145.6310679615</v>
      </c>
      <c r="R16" s="115">
        <f>($Q$13+Q16+SUM($Q$14:Q15)*2)/24</f>
        <v>-611397.55258899683</v>
      </c>
    </row>
    <row r="17" spans="1:21" s="109" customFormat="1" ht="12.95" customHeight="1" outlineLevel="1">
      <c r="A17" s="114">
        <v>40359</v>
      </c>
      <c r="B17" s="115">
        <f t="shared" si="2"/>
        <v>-4614625</v>
      </c>
      <c r="C17" s="115">
        <f t="shared" si="3"/>
        <v>-4614625</v>
      </c>
      <c r="D17" s="116"/>
      <c r="E17" s="115">
        <v>0</v>
      </c>
      <c r="F17" s="115">
        <f t="shared" ref="F17:F51" si="4">C17/$E$5</f>
        <v>-44802.184466019418</v>
      </c>
      <c r="G17" s="116"/>
      <c r="H17" s="115">
        <f t="shared" ref="H17:I29" si="5">H16-E17</f>
        <v>4614625</v>
      </c>
      <c r="I17" s="115">
        <f t="shared" si="0"/>
        <v>134406.55339805825</v>
      </c>
      <c r="J17" s="116"/>
      <c r="K17" s="115">
        <f t="shared" si="1"/>
        <v>0</v>
      </c>
      <c r="L17" s="115">
        <f>C17+I17</f>
        <v>-4480218.4466019422</v>
      </c>
      <c r="M17" s="116"/>
      <c r="N17" s="115">
        <f>L17-K17</f>
        <v>-4480218.4466019422</v>
      </c>
      <c r="O17" s="115">
        <v>1567875</v>
      </c>
      <c r="P17" s="115">
        <f t="shared" ref="P17:P33" si="6">-O17+O16</f>
        <v>31000</v>
      </c>
      <c r="Q17" s="115">
        <f t="shared" ref="Q17:Q33" si="7">L17+O17</f>
        <v>-2912343.4466019422</v>
      </c>
      <c r="R17" s="115">
        <f>($Q$13+Q17+SUM($Q$14:Q16)*2)/24</f>
        <v>-854667.93082524277</v>
      </c>
      <c r="S17" s="115">
        <f>($L$13+L17+SUM($L$14:L16)*2)/24</f>
        <v>-1329131.4724919095</v>
      </c>
      <c r="T17" s="115">
        <f>($O$13+O17+SUM($O$14:O16)*2)/24</f>
        <v>474463.54166666669</v>
      </c>
      <c r="U17" s="700"/>
    </row>
    <row r="18" spans="1:21" s="109" customFormat="1" ht="12.95" customHeight="1" outlineLevel="1">
      <c r="A18" s="114">
        <v>40390</v>
      </c>
      <c r="B18" s="115">
        <f t="shared" si="2"/>
        <v>-4614625</v>
      </c>
      <c r="C18" s="115">
        <f t="shared" si="3"/>
        <v>-4614625</v>
      </c>
      <c r="D18" s="116"/>
      <c r="E18" s="115">
        <v>0</v>
      </c>
      <c r="F18" s="115">
        <f t="shared" si="4"/>
        <v>-44802.184466019418</v>
      </c>
      <c r="G18" s="116"/>
      <c r="H18" s="115">
        <f>H17-E18</f>
        <v>4614625</v>
      </c>
      <c r="I18" s="115">
        <f t="shared" si="0"/>
        <v>179208.73786407767</v>
      </c>
      <c r="J18" s="116"/>
      <c r="K18" s="115">
        <f t="shared" si="1"/>
        <v>0</v>
      </c>
      <c r="L18" s="115">
        <f>C18+I18</f>
        <v>-4435416.262135922</v>
      </c>
      <c r="M18" s="116"/>
      <c r="N18" s="115">
        <f t="shared" ref="N18:N33" si="8">L18-K18</f>
        <v>-4435416.262135922</v>
      </c>
      <c r="O18" s="115">
        <v>1551875</v>
      </c>
      <c r="P18" s="115">
        <f t="shared" si="6"/>
        <v>16000</v>
      </c>
      <c r="Q18" s="115">
        <f t="shared" si="7"/>
        <v>-2883541.262135922</v>
      </c>
      <c r="R18" s="115">
        <f>($Q$13+Q18+SUM($Q$14:Q17)*2)/24</f>
        <v>-1096163.1270226538</v>
      </c>
      <c r="S18" s="115">
        <f>($L$13+L18+SUM($L$14:L17)*2)/24</f>
        <v>-1700616.2520226538</v>
      </c>
      <c r="T18" s="115">
        <f>($O$13+O18+SUM($O$14:O17)*2)/24</f>
        <v>604453.125</v>
      </c>
      <c r="U18" s="700"/>
    </row>
    <row r="19" spans="1:21" s="109" customFormat="1" ht="12.95" customHeight="1" outlineLevel="1">
      <c r="A19" s="114">
        <v>40421</v>
      </c>
      <c r="B19" s="115">
        <f t="shared" si="2"/>
        <v>-4614625</v>
      </c>
      <c r="C19" s="115">
        <f t="shared" si="3"/>
        <v>-4614625</v>
      </c>
      <c r="D19" s="116"/>
      <c r="E19" s="115">
        <v>0</v>
      </c>
      <c r="F19" s="115">
        <f t="shared" si="4"/>
        <v>-44802.184466019418</v>
      </c>
      <c r="G19" s="116"/>
      <c r="H19" s="115">
        <f t="shared" si="5"/>
        <v>4614625</v>
      </c>
      <c r="I19" s="115">
        <f t="shared" si="0"/>
        <v>224010.92233009709</v>
      </c>
      <c r="J19" s="116"/>
      <c r="K19" s="115">
        <f t="shared" si="1"/>
        <v>0</v>
      </c>
      <c r="L19" s="115">
        <f>C19+I19</f>
        <v>-4390614.0776699027</v>
      </c>
      <c r="M19" s="116"/>
      <c r="N19" s="115">
        <f t="shared" si="8"/>
        <v>-4390614.0776699027</v>
      </c>
      <c r="O19" s="115">
        <v>1535875</v>
      </c>
      <c r="P19" s="115">
        <f t="shared" si="6"/>
        <v>16000</v>
      </c>
      <c r="Q19" s="115">
        <f t="shared" si="7"/>
        <v>-2854739.0776699027</v>
      </c>
      <c r="R19" s="115">
        <f>($Q$13+Q19+SUM($Q$14:Q18)*2)/24</f>
        <v>-1335258.1411812298</v>
      </c>
      <c r="S19" s="115">
        <f>($L$13+L19+SUM($L$14:L18)*2)/24</f>
        <v>-2068367.5161812298</v>
      </c>
      <c r="T19" s="115">
        <f>($O$13+O19+SUM($O$14:O18)*2)/24</f>
        <v>733109.375</v>
      </c>
      <c r="U19" s="700"/>
    </row>
    <row r="20" spans="1:21" s="109" customFormat="1" ht="12.95" customHeight="1" outlineLevel="1">
      <c r="A20" s="114">
        <v>40451</v>
      </c>
      <c r="B20" s="115">
        <f t="shared" si="2"/>
        <v>-4614625</v>
      </c>
      <c r="C20" s="115">
        <f t="shared" si="3"/>
        <v>-4614625</v>
      </c>
      <c r="D20" s="116"/>
      <c r="E20" s="115">
        <v>0</v>
      </c>
      <c r="F20" s="115">
        <f t="shared" si="4"/>
        <v>-44802.184466019418</v>
      </c>
      <c r="G20" s="116"/>
      <c r="H20" s="115">
        <f t="shared" si="5"/>
        <v>4614625</v>
      </c>
      <c r="I20" s="115">
        <f t="shared" si="5"/>
        <v>268813.10679611651</v>
      </c>
      <c r="J20" s="116"/>
      <c r="K20" s="115">
        <f t="shared" si="1"/>
        <v>0</v>
      </c>
      <c r="L20" s="115">
        <f t="shared" si="1"/>
        <v>-4345811.8932038834</v>
      </c>
      <c r="M20" s="116"/>
      <c r="N20" s="115">
        <f t="shared" si="8"/>
        <v>-4345811.8932038834</v>
      </c>
      <c r="O20" s="115">
        <v>1521035</v>
      </c>
      <c r="P20" s="115">
        <f t="shared" si="6"/>
        <v>14840</v>
      </c>
      <c r="Q20" s="115">
        <f>L20+O20</f>
        <v>-2824776.8932038834</v>
      </c>
      <c r="R20" s="115">
        <f>($Q$13+Q20+SUM($Q$14:Q19)*2)/24</f>
        <v>-1571904.6399676378</v>
      </c>
      <c r="S20" s="115">
        <f>($L$13+L20+SUM($L$14:L19)*2)/24</f>
        <v>-2432385.2649676376</v>
      </c>
      <c r="T20" s="115">
        <f>($O$13+O20+SUM($O$14:O19)*2)/24</f>
        <v>860480.625</v>
      </c>
      <c r="U20" s="700"/>
    </row>
    <row r="21" spans="1:21" s="109" customFormat="1" ht="12.95" customHeight="1" outlineLevel="1">
      <c r="A21" s="114">
        <v>40482</v>
      </c>
      <c r="B21" s="115">
        <f t="shared" si="2"/>
        <v>-4614625</v>
      </c>
      <c r="C21" s="115">
        <f t="shared" si="3"/>
        <v>-4614625</v>
      </c>
      <c r="D21" s="116"/>
      <c r="E21" s="115">
        <v>0</v>
      </c>
      <c r="F21" s="115">
        <f t="shared" si="4"/>
        <v>-44802.184466019418</v>
      </c>
      <c r="G21" s="116"/>
      <c r="H21" s="115">
        <f t="shared" si="5"/>
        <v>4614625</v>
      </c>
      <c r="I21" s="115">
        <f t="shared" si="5"/>
        <v>313615.29126213596</v>
      </c>
      <c r="J21" s="116"/>
      <c r="K21" s="115">
        <f t="shared" si="1"/>
        <v>0</v>
      </c>
      <c r="L21" s="115">
        <f t="shared" si="1"/>
        <v>-4301009.7087378642</v>
      </c>
      <c r="M21" s="116"/>
      <c r="N21" s="115">
        <f t="shared" si="8"/>
        <v>-4301009.7087378642</v>
      </c>
      <c r="O21" s="115">
        <v>1505354</v>
      </c>
      <c r="P21" s="115">
        <f t="shared" si="6"/>
        <v>15681</v>
      </c>
      <c r="Q21" s="115">
        <f t="shared" si="7"/>
        <v>-2795655.7087378642</v>
      </c>
      <c r="R21" s="115">
        <f>($Q$13+Q21+SUM($Q$14:Q20)*2)/24</f>
        <v>-1806089.3317152106</v>
      </c>
      <c r="S21" s="115">
        <f>($L$13+L21+SUM($L$14:L20)*2)/24</f>
        <v>-2792669.4983818773</v>
      </c>
      <c r="T21" s="115">
        <f>($O$13+O21+SUM($O$14:O20)*2)/24</f>
        <v>986580.16666666663</v>
      </c>
      <c r="U21" s="700"/>
    </row>
    <row r="22" spans="1:21" s="109" customFormat="1" ht="12.95" customHeight="1" outlineLevel="1">
      <c r="A22" s="114">
        <v>40512</v>
      </c>
      <c r="B22" s="115">
        <f t="shared" si="2"/>
        <v>-4614625</v>
      </c>
      <c r="C22" s="115">
        <f t="shared" si="3"/>
        <v>-4614625</v>
      </c>
      <c r="D22" s="116"/>
      <c r="E22" s="115">
        <v>0</v>
      </c>
      <c r="F22" s="115">
        <f t="shared" si="4"/>
        <v>-44802.184466019418</v>
      </c>
      <c r="G22" s="116"/>
      <c r="H22" s="115">
        <f t="shared" si="5"/>
        <v>4614625</v>
      </c>
      <c r="I22" s="115">
        <f t="shared" si="5"/>
        <v>358417.47572815535</v>
      </c>
      <c r="J22" s="116"/>
      <c r="K22" s="115">
        <f t="shared" si="1"/>
        <v>0</v>
      </c>
      <c r="L22" s="115">
        <f t="shared" si="1"/>
        <v>-4256207.5242718449</v>
      </c>
      <c r="M22" s="116"/>
      <c r="N22" s="115">
        <f t="shared" si="8"/>
        <v>-4256207.5242718449</v>
      </c>
      <c r="O22" s="115">
        <v>1489673</v>
      </c>
      <c r="P22" s="115">
        <f t="shared" si="6"/>
        <v>15681</v>
      </c>
      <c r="Q22" s="115">
        <f t="shared" si="7"/>
        <v>-2766534.5242718449</v>
      </c>
      <c r="R22" s="115">
        <f>($Q$13+Q22+SUM($Q$14:Q21)*2)/24</f>
        <v>-2037847.2580906153</v>
      </c>
      <c r="S22" s="115">
        <f>($L$13+L22+SUM($L$14:L21)*2)/24</f>
        <v>-3149220.2164239488</v>
      </c>
      <c r="T22" s="115">
        <f>($O$13+O22+SUM($O$14:O21)*2)/24</f>
        <v>1111372.9583333333</v>
      </c>
      <c r="U22" s="700"/>
    </row>
    <row r="23" spans="1:21" s="109" customFormat="1" ht="12.95" customHeight="1" outlineLevel="1">
      <c r="A23" s="114">
        <v>40543</v>
      </c>
      <c r="B23" s="115">
        <f t="shared" si="2"/>
        <v>-4614625</v>
      </c>
      <c r="C23" s="115">
        <f t="shared" si="3"/>
        <v>-4614625</v>
      </c>
      <c r="D23" s="116"/>
      <c r="E23" s="115">
        <v>0</v>
      </c>
      <c r="F23" s="115">
        <f t="shared" si="4"/>
        <v>-44802.184466019418</v>
      </c>
      <c r="G23" s="116"/>
      <c r="H23" s="115">
        <f t="shared" si="5"/>
        <v>4614625</v>
      </c>
      <c r="I23" s="115">
        <f t="shared" si="5"/>
        <v>403219.66019417474</v>
      </c>
      <c r="J23" s="116"/>
      <c r="K23" s="115">
        <f t="shared" si="1"/>
        <v>0</v>
      </c>
      <c r="L23" s="115">
        <f t="shared" si="1"/>
        <v>-4211405.3398058256</v>
      </c>
      <c r="M23" s="116"/>
      <c r="N23" s="115">
        <f t="shared" si="8"/>
        <v>-4211405.3398058256</v>
      </c>
      <c r="O23" s="115">
        <f t="shared" ref="O23:O33" si="9">-N23*$O$10</f>
        <v>1473991.8689320388</v>
      </c>
      <c r="P23" s="115">
        <f t="shared" si="6"/>
        <v>15681.131067961222</v>
      </c>
      <c r="Q23" s="115">
        <f>L23+O23</f>
        <v>-2737413.4708737871</v>
      </c>
      <c r="R23" s="115">
        <f>($Q$13+Q23+SUM($Q$14:Q22)*2)/24</f>
        <v>-2267178.4245550167</v>
      </c>
      <c r="S23" s="115">
        <f>($L$13+L23+SUM($L$14:L22)*2)/24</f>
        <v>-3502037.4190938515</v>
      </c>
      <c r="T23" s="115">
        <f>($O$13+O23+SUM($O$14:O22)*2)/24</f>
        <v>1234858.994538835</v>
      </c>
      <c r="U23" s="700"/>
    </row>
    <row r="24" spans="1:21" ht="12.95" customHeight="1" outlineLevel="1">
      <c r="A24" s="114">
        <v>40574</v>
      </c>
      <c r="B24" s="115">
        <f t="shared" si="2"/>
        <v>-4614625</v>
      </c>
      <c r="C24" s="115">
        <f t="shared" si="3"/>
        <v>-4614625</v>
      </c>
      <c r="D24" s="116"/>
      <c r="E24" s="115">
        <v>0</v>
      </c>
      <c r="F24" s="115">
        <f t="shared" si="4"/>
        <v>-44802.184466019418</v>
      </c>
      <c r="G24" s="116"/>
      <c r="H24" s="115">
        <f t="shared" si="5"/>
        <v>4614625</v>
      </c>
      <c r="I24" s="115">
        <f t="shared" si="5"/>
        <v>448021.84466019413</v>
      </c>
      <c r="J24" s="116"/>
      <c r="K24" s="115">
        <f t="shared" si="1"/>
        <v>0</v>
      </c>
      <c r="L24" s="115">
        <f t="shared" si="1"/>
        <v>-4166603.1553398059</v>
      </c>
      <c r="M24" s="116"/>
      <c r="N24" s="115">
        <f t="shared" si="8"/>
        <v>-4166603.1553398059</v>
      </c>
      <c r="O24" s="115">
        <f t="shared" si="9"/>
        <v>1458311.1043689321</v>
      </c>
      <c r="P24" s="115">
        <f t="shared" si="6"/>
        <v>15680.764563106699</v>
      </c>
      <c r="Q24" s="115">
        <f t="shared" si="7"/>
        <v>-2708292.0509708738</v>
      </c>
      <c r="R24" s="115">
        <f>($Q$13+Q24+SUM($Q$14:Q23)*2)/24</f>
        <v>-2494082.8212985443</v>
      </c>
      <c r="S24" s="115">
        <f>($L$13+L24+SUM($L$14:L23)*2)/24</f>
        <v>-3851121.1063915864</v>
      </c>
      <c r="T24" s="115">
        <f>($O$13+O24+SUM($O$14:O23)*2)/24</f>
        <v>1357038.2850930421</v>
      </c>
      <c r="U24" s="700"/>
    </row>
    <row r="25" spans="1:21" s="109" customFormat="1" ht="12.95" customHeight="1" outlineLevel="1">
      <c r="A25" s="114">
        <v>40602</v>
      </c>
      <c r="B25" s="115">
        <f t="shared" si="2"/>
        <v>-4614625</v>
      </c>
      <c r="C25" s="115">
        <f t="shared" si="3"/>
        <v>-4614625</v>
      </c>
      <c r="D25" s="116"/>
      <c r="E25" s="115">
        <v>0</v>
      </c>
      <c r="F25" s="115">
        <f t="shared" si="4"/>
        <v>-44802.184466019418</v>
      </c>
      <c r="G25" s="116"/>
      <c r="H25" s="115">
        <f t="shared" si="5"/>
        <v>4614625</v>
      </c>
      <c r="I25" s="115">
        <f t="shared" si="5"/>
        <v>492824.02912621351</v>
      </c>
      <c r="J25" s="116"/>
      <c r="K25" s="115">
        <f t="shared" si="1"/>
        <v>0</v>
      </c>
      <c r="L25" s="115">
        <f t="shared" si="1"/>
        <v>-4121800.9708737866</v>
      </c>
      <c r="M25" s="116"/>
      <c r="N25" s="115">
        <f t="shared" si="8"/>
        <v>-4121800.9708737866</v>
      </c>
      <c r="O25" s="115">
        <f t="shared" si="9"/>
        <v>1442630.3398058251</v>
      </c>
      <c r="P25" s="115">
        <f t="shared" si="6"/>
        <v>15680.764563106932</v>
      </c>
      <c r="Q25" s="115">
        <f t="shared" si="7"/>
        <v>-2679170.6310679615</v>
      </c>
      <c r="R25" s="115">
        <f>($Q$13+Q25+SUM($Q$14:Q24)*2)/24</f>
        <v>-2718560.4330501626</v>
      </c>
      <c r="S25" s="115">
        <f>($L$13+L25+SUM($L$14:L24)*2)/24</f>
        <v>-4196471.2783171525</v>
      </c>
      <c r="T25" s="115">
        <f>($O$13+O25+SUM($O$14:O24)*2)/24</f>
        <v>1477910.8452669904</v>
      </c>
      <c r="U25" s="700"/>
    </row>
    <row r="26" spans="1:21" s="109" customFormat="1" ht="12.95" customHeight="1" outlineLevel="1">
      <c r="A26" s="114">
        <v>40633</v>
      </c>
      <c r="B26" s="115">
        <f t="shared" si="2"/>
        <v>-4614625</v>
      </c>
      <c r="C26" s="115">
        <f t="shared" si="3"/>
        <v>-4614625</v>
      </c>
      <c r="D26" s="116"/>
      <c r="E26" s="115">
        <v>0</v>
      </c>
      <c r="F26" s="115">
        <f t="shared" si="4"/>
        <v>-44802.184466019418</v>
      </c>
      <c r="G26" s="116"/>
      <c r="H26" s="115">
        <f t="shared" si="5"/>
        <v>4614625</v>
      </c>
      <c r="I26" s="115">
        <f t="shared" si="5"/>
        <v>537626.2135922329</v>
      </c>
      <c r="J26" s="116"/>
      <c r="K26" s="115">
        <f t="shared" si="1"/>
        <v>0</v>
      </c>
      <c r="L26" s="115">
        <f t="shared" si="1"/>
        <v>-4076998.7864077669</v>
      </c>
      <c r="M26" s="116"/>
      <c r="N26" s="115">
        <f t="shared" si="8"/>
        <v>-4076998.7864077669</v>
      </c>
      <c r="O26" s="115">
        <f t="shared" si="9"/>
        <v>1426949.5752427182</v>
      </c>
      <c r="P26" s="115">
        <f t="shared" si="6"/>
        <v>15680.764563106932</v>
      </c>
      <c r="Q26" s="115">
        <f t="shared" si="7"/>
        <v>-2650049.2111650486</v>
      </c>
      <c r="R26" s="115">
        <f>(Q14+Q26+SUM(Q15:Q25)*2)/24</f>
        <v>-2818996.6764765382</v>
      </c>
      <c r="S26" s="115">
        <f>($L$13+L26+SUM($L$14:L25)*2)/24</f>
        <v>-4538087.9348705513</v>
      </c>
      <c r="T26" s="115">
        <f>($O$14+O26+SUM($O$15:O25)*2)/24</f>
        <v>1526815.2167273462</v>
      </c>
      <c r="U26" s="700"/>
    </row>
    <row r="27" spans="1:21" s="109" customFormat="1" ht="12.95" customHeight="1" outlineLevel="1">
      <c r="A27" s="114">
        <v>40663</v>
      </c>
      <c r="B27" s="115">
        <f t="shared" si="2"/>
        <v>-4614625</v>
      </c>
      <c r="C27" s="115">
        <f t="shared" si="3"/>
        <v>-4614625</v>
      </c>
      <c r="D27" s="116"/>
      <c r="E27" s="115">
        <v>0</v>
      </c>
      <c r="F27" s="115">
        <f t="shared" si="4"/>
        <v>-44802.184466019418</v>
      </c>
      <c r="G27" s="116"/>
      <c r="H27" s="115">
        <f t="shared" si="5"/>
        <v>4614625</v>
      </c>
      <c r="I27" s="115">
        <f t="shared" si="5"/>
        <v>582428.39805825229</v>
      </c>
      <c r="J27" s="116"/>
      <c r="K27" s="115">
        <f t="shared" si="1"/>
        <v>0</v>
      </c>
      <c r="L27" s="115">
        <f t="shared" si="1"/>
        <v>-4032196.6019417476</v>
      </c>
      <c r="M27" s="116"/>
      <c r="N27" s="115">
        <f t="shared" si="8"/>
        <v>-4032196.6019417476</v>
      </c>
      <c r="O27" s="115">
        <f t="shared" si="9"/>
        <v>1411268.8106796115</v>
      </c>
      <c r="P27" s="115">
        <f t="shared" si="6"/>
        <v>15680.764563106699</v>
      </c>
      <c r="Q27" s="115">
        <f t="shared" si="7"/>
        <v>-2620927.7912621358</v>
      </c>
      <c r="R27" s="115">
        <f t="shared" ref="R27:R46" si="10">(Q15+Q27+SUM(Q16:Q26)*2)/24</f>
        <v>-2793883.3092637546</v>
      </c>
      <c r="S27" s="115">
        <f>($L$15+L27+SUM($L$16:L26)*2)/24</f>
        <v>-4301009.7087378651</v>
      </c>
      <c r="T27" s="115">
        <f>($O$15+O27+SUM($O$16:O26)*2)/24</f>
        <v>1507126.3994741102</v>
      </c>
      <c r="U27" s="700"/>
    </row>
    <row r="28" spans="1:21" s="109" customFormat="1" ht="12.95" customHeight="1" outlineLevel="1">
      <c r="A28" s="114">
        <v>40694</v>
      </c>
      <c r="B28" s="115">
        <f t="shared" si="2"/>
        <v>-4614625</v>
      </c>
      <c r="C28" s="115">
        <f t="shared" si="3"/>
        <v>-4614625</v>
      </c>
      <c r="D28" s="116"/>
      <c r="E28" s="115">
        <v>0</v>
      </c>
      <c r="F28" s="115">
        <f t="shared" si="4"/>
        <v>-44802.184466019418</v>
      </c>
      <c r="G28" s="116"/>
      <c r="H28" s="115">
        <f t="shared" si="5"/>
        <v>4614625</v>
      </c>
      <c r="I28" s="115">
        <f t="shared" si="5"/>
        <v>627230.58252427168</v>
      </c>
      <c r="J28" s="116"/>
      <c r="K28" s="115">
        <f t="shared" si="1"/>
        <v>0</v>
      </c>
      <c r="L28" s="115">
        <f t="shared" si="1"/>
        <v>-3987394.4174757283</v>
      </c>
      <c r="M28" s="116"/>
      <c r="N28" s="115">
        <f t="shared" si="8"/>
        <v>-3987394.4174757283</v>
      </c>
      <c r="O28" s="115">
        <f t="shared" si="9"/>
        <v>1395588.0461165048</v>
      </c>
      <c r="P28" s="115">
        <f t="shared" si="6"/>
        <v>15680.764563106699</v>
      </c>
      <c r="Q28" s="115">
        <f t="shared" si="7"/>
        <v>-2591806.3713592235</v>
      </c>
      <c r="R28" s="115">
        <f t="shared" si="10"/>
        <v>-2766035.0057645631</v>
      </c>
      <c r="S28" s="115">
        <f>($L$16+L28+SUM($L$17:L27)*2)/24</f>
        <v>-4256207.5242718458</v>
      </c>
      <c r="T28" s="115">
        <f>($O$16+O28+SUM($O$17:O27)*2)/24</f>
        <v>1490172.5185072813</v>
      </c>
      <c r="U28" s="700"/>
    </row>
    <row r="29" spans="1:21" ht="12.95" customHeight="1" outlineLevel="1">
      <c r="A29" s="114">
        <v>40724</v>
      </c>
      <c r="B29" s="59">
        <f t="shared" si="2"/>
        <v>-4614625</v>
      </c>
      <c r="C29" s="59">
        <f t="shared" si="3"/>
        <v>-4614625</v>
      </c>
      <c r="D29" s="58"/>
      <c r="E29" s="59">
        <v>0</v>
      </c>
      <c r="F29" s="115">
        <f t="shared" si="4"/>
        <v>-44802.184466019418</v>
      </c>
      <c r="G29" s="58"/>
      <c r="H29" s="59">
        <f t="shared" si="5"/>
        <v>4614625</v>
      </c>
      <c r="I29" s="59">
        <f t="shared" si="5"/>
        <v>672032.76699029107</v>
      </c>
      <c r="J29" s="58"/>
      <c r="K29" s="59">
        <f t="shared" ref="K29:L47" si="11">B29+H29</f>
        <v>0</v>
      </c>
      <c r="L29" s="59">
        <f t="shared" si="11"/>
        <v>-3942592.233009709</v>
      </c>
      <c r="M29" s="58"/>
      <c r="N29" s="59">
        <f t="shared" si="8"/>
        <v>-3942592.233009709</v>
      </c>
      <c r="O29" s="59">
        <f t="shared" si="9"/>
        <v>1379907.2815533981</v>
      </c>
      <c r="P29" s="59">
        <f t="shared" si="6"/>
        <v>15680.764563106699</v>
      </c>
      <c r="Q29" s="59">
        <f t="shared" si="7"/>
        <v>-2562684.9514563112</v>
      </c>
      <c r="R29" s="59">
        <f>(Q17+Q29+SUM(Q18:Q28)*2)/24</f>
        <v>-2737535.099312298</v>
      </c>
      <c r="S29" s="115">
        <f>($L$17+L29+SUM($L$18:L28)*2)/24</f>
        <v>-4211405.3398058256</v>
      </c>
      <c r="T29" s="115">
        <f>($O$17+O29+SUM($O$18:O28)*2)/24</f>
        <v>1473870.2404935274</v>
      </c>
      <c r="U29" s="700"/>
    </row>
    <row r="30" spans="1:21" ht="12.95" customHeight="1" outlineLevel="1">
      <c r="A30" s="114">
        <v>40755</v>
      </c>
      <c r="B30" s="115">
        <f t="shared" si="2"/>
        <v>-4614625</v>
      </c>
      <c r="C30" s="115">
        <f t="shared" si="3"/>
        <v>-4614625</v>
      </c>
      <c r="D30" s="116"/>
      <c r="E30" s="115">
        <v>0</v>
      </c>
      <c r="F30" s="115">
        <f t="shared" si="4"/>
        <v>-44802.184466019418</v>
      </c>
      <c r="G30" s="116"/>
      <c r="H30" s="115">
        <f t="shared" ref="H30:I33" si="12">H29-E30</f>
        <v>4614625</v>
      </c>
      <c r="I30" s="115">
        <f t="shared" si="12"/>
        <v>716834.95145631046</v>
      </c>
      <c r="J30" s="116"/>
      <c r="K30" s="115">
        <f t="shared" si="11"/>
        <v>0</v>
      </c>
      <c r="L30" s="115">
        <f t="shared" si="11"/>
        <v>-3897790.0485436898</v>
      </c>
      <c r="M30" s="116"/>
      <c r="N30" s="115">
        <f t="shared" si="8"/>
        <v>-3897790.0485436898</v>
      </c>
      <c r="O30" s="115">
        <f t="shared" si="9"/>
        <v>1364226.5169902914</v>
      </c>
      <c r="P30" s="115">
        <f t="shared" si="6"/>
        <v>15680.764563106699</v>
      </c>
      <c r="Q30" s="115">
        <f t="shared" si="7"/>
        <v>-2533563.5315533984</v>
      </c>
      <c r="R30" s="115">
        <f t="shared" si="10"/>
        <v>-2708383.5899069584</v>
      </c>
      <c r="S30" s="115">
        <f>(L18+L30+SUM(L19:L29)*2)/24</f>
        <v>-4166603.1553398068</v>
      </c>
      <c r="T30" s="115">
        <f>(O18+O30+SUM(O19:O29)*2)/24</f>
        <v>1458219.5654328477</v>
      </c>
      <c r="U30" s="700"/>
    </row>
    <row r="31" spans="1:21" s="109" customFormat="1" ht="12.95" customHeight="1" outlineLevel="1">
      <c r="A31" s="114">
        <v>40786</v>
      </c>
      <c r="B31" s="115">
        <f t="shared" si="2"/>
        <v>-4614625</v>
      </c>
      <c r="C31" s="115">
        <f t="shared" si="3"/>
        <v>-4614625</v>
      </c>
      <c r="D31" s="116"/>
      <c r="E31" s="115">
        <v>0</v>
      </c>
      <c r="F31" s="115">
        <f t="shared" si="4"/>
        <v>-44802.184466019418</v>
      </c>
      <c r="G31" s="116"/>
      <c r="H31" s="115">
        <f t="shared" si="12"/>
        <v>4614625</v>
      </c>
      <c r="I31" s="115">
        <f t="shared" si="12"/>
        <v>761637.13592232985</v>
      </c>
      <c r="J31" s="116"/>
      <c r="K31" s="115">
        <f t="shared" si="11"/>
        <v>0</v>
      </c>
      <c r="L31" s="115">
        <f t="shared" si="11"/>
        <v>-3852987.86407767</v>
      </c>
      <c r="M31" s="116"/>
      <c r="N31" s="115">
        <f t="shared" si="8"/>
        <v>-3852987.86407767</v>
      </c>
      <c r="O31" s="115">
        <f t="shared" si="9"/>
        <v>1348545.7524271845</v>
      </c>
      <c r="P31" s="115">
        <f t="shared" si="6"/>
        <v>15680.764563106932</v>
      </c>
      <c r="Q31" s="115">
        <f t="shared" si="7"/>
        <v>-2504442.1116504855</v>
      </c>
      <c r="R31" s="115">
        <f t="shared" si="10"/>
        <v>-2679205.4775485438</v>
      </c>
      <c r="S31" s="115">
        <f>(L19+L31+SUM(L20:L30)*2)/24</f>
        <v>-4121800.9708737875</v>
      </c>
      <c r="T31" s="115">
        <f>(O19+O31+SUM(O20:O30)*2)/24</f>
        <v>1442595.4933252428</v>
      </c>
      <c r="U31" s="700"/>
    </row>
    <row r="32" spans="1:21" s="109" customFormat="1" ht="12.95" customHeight="1" outlineLevel="1">
      <c r="A32" s="114">
        <v>40816</v>
      </c>
      <c r="B32" s="115">
        <f t="shared" si="2"/>
        <v>-4614625</v>
      </c>
      <c r="C32" s="115">
        <f t="shared" si="3"/>
        <v>-4614625</v>
      </c>
      <c r="D32" s="116"/>
      <c r="E32" s="115">
        <v>0</v>
      </c>
      <c r="F32" s="115">
        <f t="shared" si="4"/>
        <v>-44802.184466019418</v>
      </c>
      <c r="G32" s="116"/>
      <c r="H32" s="115">
        <f t="shared" si="12"/>
        <v>4614625</v>
      </c>
      <c r="I32" s="115">
        <f t="shared" si="12"/>
        <v>806439.32038834924</v>
      </c>
      <c r="J32" s="116"/>
      <c r="K32" s="115">
        <f t="shared" si="11"/>
        <v>0</v>
      </c>
      <c r="L32" s="115">
        <f t="shared" si="11"/>
        <v>-3808185.6796116508</v>
      </c>
      <c r="M32" s="116"/>
      <c r="N32" s="115">
        <f t="shared" si="8"/>
        <v>-3808185.6796116508</v>
      </c>
      <c r="O32" s="115">
        <f t="shared" si="9"/>
        <v>1332864.9878640778</v>
      </c>
      <c r="P32" s="115">
        <f t="shared" si="6"/>
        <v>15680.764563106699</v>
      </c>
      <c r="Q32" s="115">
        <f t="shared" si="7"/>
        <v>-2475320.6917475732</v>
      </c>
      <c r="R32" s="115">
        <f t="shared" si="10"/>
        <v>-2650049.0955703887</v>
      </c>
      <c r="S32" s="115">
        <f>(L20+L32+SUM(L21:L31)*2)/24</f>
        <v>-4076998.7864077683</v>
      </c>
      <c r="T32" s="115">
        <f>(O20+O32+SUM(O21:O31)*2)/24</f>
        <v>1426949.6908373786</v>
      </c>
      <c r="U32" s="700"/>
    </row>
    <row r="33" spans="1:21" s="109" customFormat="1" ht="12.95" customHeight="1" outlineLevel="1">
      <c r="A33" s="114">
        <v>40847</v>
      </c>
      <c r="B33" s="115">
        <f t="shared" si="2"/>
        <v>-4614625</v>
      </c>
      <c r="C33" s="115">
        <f t="shared" si="3"/>
        <v>-4614625</v>
      </c>
      <c r="D33" s="116"/>
      <c r="E33" s="115">
        <v>0</v>
      </c>
      <c r="F33" s="115">
        <f t="shared" si="4"/>
        <v>-44802.184466019418</v>
      </c>
      <c r="G33" s="116"/>
      <c r="H33" s="115">
        <f t="shared" si="12"/>
        <v>4614625</v>
      </c>
      <c r="I33" s="115">
        <f t="shared" si="12"/>
        <v>851241.50485436863</v>
      </c>
      <c r="J33" s="116"/>
      <c r="K33" s="115">
        <f t="shared" si="11"/>
        <v>0</v>
      </c>
      <c r="L33" s="115">
        <f t="shared" si="11"/>
        <v>-3763383.4951456315</v>
      </c>
      <c r="M33" s="116"/>
      <c r="N33" s="115">
        <f t="shared" si="8"/>
        <v>-3763383.4951456315</v>
      </c>
      <c r="O33" s="115">
        <f t="shared" si="9"/>
        <v>1317184.2233009709</v>
      </c>
      <c r="P33" s="115">
        <f t="shared" si="6"/>
        <v>15680.764563106932</v>
      </c>
      <c r="Q33" s="115">
        <f t="shared" si="7"/>
        <v>-2446199.2718446609</v>
      </c>
      <c r="R33" s="115">
        <f t="shared" si="10"/>
        <v>-2620927.7356391591</v>
      </c>
      <c r="S33" s="115">
        <f>(L21+L33+SUM(L22:L32)*2)/24</f>
        <v>-4032196.601941749</v>
      </c>
      <c r="T33" s="115">
        <f>(O21+O33+SUM(O22:O32)*2)/24</f>
        <v>1411268.866302589</v>
      </c>
      <c r="U33" s="700"/>
    </row>
    <row r="34" spans="1:21" s="109" customFormat="1" ht="12.95" customHeight="1" outlineLevel="1">
      <c r="A34" s="114">
        <v>40877</v>
      </c>
      <c r="B34" s="115">
        <f t="shared" si="2"/>
        <v>-4614625</v>
      </c>
      <c r="C34" s="115">
        <f>C33</f>
        <v>-4614625</v>
      </c>
      <c r="D34" s="116"/>
      <c r="E34" s="115">
        <v>0</v>
      </c>
      <c r="F34" s="115">
        <f t="shared" si="4"/>
        <v>-44802.184466019418</v>
      </c>
      <c r="G34" s="116"/>
      <c r="H34" s="115">
        <f>H33-E34</f>
        <v>4614625</v>
      </c>
      <c r="I34" s="115">
        <f>I33-F34</f>
        <v>896043.68932038802</v>
      </c>
      <c r="J34" s="116"/>
      <c r="K34" s="115">
        <f t="shared" si="11"/>
        <v>0</v>
      </c>
      <c r="L34" s="115">
        <f>C34+I34</f>
        <v>-3718581.3106796117</v>
      </c>
      <c r="M34" s="116"/>
      <c r="N34" s="115">
        <f>L34-K34</f>
        <v>-3718581.3106796117</v>
      </c>
      <c r="O34" s="115">
        <f>-N34*$O$10</f>
        <v>1301503.4587378639</v>
      </c>
      <c r="P34" s="115">
        <f>-O34+O33</f>
        <v>15680.764563106932</v>
      </c>
      <c r="Q34" s="115">
        <f>L34+O34</f>
        <v>-2417077.8519417476</v>
      </c>
      <c r="R34" s="115">
        <f t="shared" si="10"/>
        <v>-2591806.356088188</v>
      </c>
      <c r="S34" s="115">
        <f t="shared" ref="S34:S43" si="13">(L22+L34+SUM(L23:L33)*2)/24</f>
        <v>-3987394.4174757297</v>
      </c>
      <c r="T34" s="115">
        <f t="shared" ref="T34:T43" si="14">(O22+O34+SUM(O23:O33)*2)/24</f>
        <v>1395588.0613875405</v>
      </c>
      <c r="U34" s="700"/>
    </row>
    <row r="35" spans="1:21" s="109" customFormat="1" ht="12.95" customHeight="1" outlineLevel="1">
      <c r="A35" s="114">
        <v>40908</v>
      </c>
      <c r="B35" s="115">
        <f t="shared" si="2"/>
        <v>-4614625</v>
      </c>
      <c r="C35" s="115">
        <f t="shared" si="3"/>
        <v>-4614625</v>
      </c>
      <c r="D35" s="116"/>
      <c r="E35" s="115">
        <v>0</v>
      </c>
      <c r="F35" s="115">
        <f t="shared" si="4"/>
        <v>-44802.184466019418</v>
      </c>
      <c r="G35" s="116"/>
      <c r="H35" s="115">
        <f t="shared" ref="H35:I47" si="15">H34-E35</f>
        <v>4614625</v>
      </c>
      <c r="I35" s="115">
        <f t="shared" si="15"/>
        <v>940845.87378640741</v>
      </c>
      <c r="J35" s="116"/>
      <c r="K35" s="115">
        <f t="shared" si="11"/>
        <v>0</v>
      </c>
      <c r="L35" s="115">
        <f t="shared" si="11"/>
        <v>-3673779.1262135925</v>
      </c>
      <c r="M35" s="157"/>
      <c r="N35" s="115">
        <f t="shared" ref="N35:N47" si="16">L35-K35</f>
        <v>-3673779.1262135925</v>
      </c>
      <c r="O35" s="115">
        <f t="shared" ref="O35:O47" si="17">-N35*$O$10</f>
        <v>1285822.6941747572</v>
      </c>
      <c r="P35" s="115">
        <f t="shared" ref="P35:P46" si="18">-O35+O34</f>
        <v>15680.764563106699</v>
      </c>
      <c r="Q35" s="115">
        <f t="shared" ref="Q35:Q47" si="19">L35+O35</f>
        <v>-2387956.4320388352</v>
      </c>
      <c r="R35" s="115">
        <f>(Q23+Q35+SUM(Q24:Q34)*2)/24</f>
        <v>-2562684.9514563112</v>
      </c>
      <c r="S35" s="115">
        <f t="shared" si="13"/>
        <v>-3942592.2330097095</v>
      </c>
      <c r="T35" s="115">
        <f t="shared" si="14"/>
        <v>1379907.2815533979</v>
      </c>
      <c r="U35" s="700"/>
    </row>
    <row r="36" spans="1:21" s="109" customFormat="1" ht="12.95" customHeight="1" outlineLevel="1">
      <c r="A36" s="114">
        <v>40939</v>
      </c>
      <c r="B36" s="115">
        <f t="shared" si="2"/>
        <v>-4614625</v>
      </c>
      <c r="C36" s="115">
        <f t="shared" si="3"/>
        <v>-4614625</v>
      </c>
      <c r="D36" s="164"/>
      <c r="E36" s="115">
        <v>0</v>
      </c>
      <c r="F36" s="115">
        <f t="shared" si="4"/>
        <v>-44802.184466019418</v>
      </c>
      <c r="G36" s="164"/>
      <c r="H36" s="115">
        <f t="shared" si="15"/>
        <v>4614625</v>
      </c>
      <c r="I36" s="115">
        <f t="shared" si="15"/>
        <v>985648.0582524268</v>
      </c>
      <c r="J36" s="164"/>
      <c r="K36" s="115">
        <f t="shared" si="11"/>
        <v>0</v>
      </c>
      <c r="L36" s="115">
        <f t="shared" si="11"/>
        <v>-3628976.9417475732</v>
      </c>
      <c r="M36" s="164"/>
      <c r="N36" s="115">
        <f t="shared" si="16"/>
        <v>-3628976.9417475732</v>
      </c>
      <c r="O36" s="115">
        <f t="shared" si="17"/>
        <v>1270141.9296116505</v>
      </c>
      <c r="P36" s="115">
        <f t="shared" si="18"/>
        <v>15680.764563106699</v>
      </c>
      <c r="Q36" s="115">
        <f t="shared" si="19"/>
        <v>-2358835.0121359229</v>
      </c>
      <c r="R36" s="115">
        <f t="shared" si="10"/>
        <v>-2533563.5315533984</v>
      </c>
      <c r="S36" s="115">
        <f t="shared" si="13"/>
        <v>-3897790.0485436902</v>
      </c>
      <c r="T36" s="115">
        <f t="shared" si="14"/>
        <v>1364226.5169902912</v>
      </c>
      <c r="U36" s="700"/>
    </row>
    <row r="37" spans="1:21" s="109" customFormat="1" ht="12.95" customHeight="1" outlineLevel="1">
      <c r="A37" s="114">
        <v>40967</v>
      </c>
      <c r="B37" s="115">
        <f t="shared" si="2"/>
        <v>-4614625</v>
      </c>
      <c r="C37" s="115">
        <f t="shared" si="3"/>
        <v>-4614625</v>
      </c>
      <c r="D37" s="164"/>
      <c r="E37" s="115">
        <v>0</v>
      </c>
      <c r="F37" s="115">
        <f t="shared" si="4"/>
        <v>-44802.184466019418</v>
      </c>
      <c r="G37" s="164"/>
      <c r="H37" s="115">
        <f t="shared" si="15"/>
        <v>4614625</v>
      </c>
      <c r="I37" s="115">
        <f t="shared" si="15"/>
        <v>1030450.2427184462</v>
      </c>
      <c r="J37" s="164"/>
      <c r="K37" s="115">
        <f t="shared" si="11"/>
        <v>0</v>
      </c>
      <c r="L37" s="115">
        <f t="shared" si="11"/>
        <v>-3584174.7572815539</v>
      </c>
      <c r="M37" s="164"/>
      <c r="N37" s="115">
        <f t="shared" si="16"/>
        <v>-3584174.7572815539</v>
      </c>
      <c r="O37" s="115">
        <f t="shared" si="17"/>
        <v>1254461.1650485438</v>
      </c>
      <c r="P37" s="115">
        <f t="shared" si="18"/>
        <v>15680.764563106699</v>
      </c>
      <c r="Q37" s="115">
        <f t="shared" si="19"/>
        <v>-2329713.5922330101</v>
      </c>
      <c r="R37" s="115">
        <f t="shared" si="10"/>
        <v>-2504442.111650486</v>
      </c>
      <c r="S37" s="115">
        <f t="shared" si="13"/>
        <v>-3852987.8640776705</v>
      </c>
      <c r="T37" s="115">
        <f t="shared" si="14"/>
        <v>1348545.7524271845</v>
      </c>
      <c r="U37" s="700"/>
    </row>
    <row r="38" spans="1:21" ht="12.95" customHeight="1" outlineLevel="1">
      <c r="A38" s="113">
        <v>40999</v>
      </c>
      <c r="B38" s="59">
        <f t="shared" si="2"/>
        <v>-4614625</v>
      </c>
      <c r="C38" s="59">
        <f t="shared" si="3"/>
        <v>-4614625</v>
      </c>
      <c r="D38" s="117"/>
      <c r="E38" s="59">
        <v>0</v>
      </c>
      <c r="F38" s="115">
        <f t="shared" si="4"/>
        <v>-44802.184466019418</v>
      </c>
      <c r="G38" s="117"/>
      <c r="H38" s="59">
        <f t="shared" si="15"/>
        <v>4614625</v>
      </c>
      <c r="I38" s="59">
        <f t="shared" si="15"/>
        <v>1075252.4271844656</v>
      </c>
      <c r="J38" s="117"/>
      <c r="K38" s="59">
        <f t="shared" si="11"/>
        <v>0</v>
      </c>
      <c r="L38" s="59">
        <f t="shared" si="11"/>
        <v>-3539372.5728155347</v>
      </c>
      <c r="M38" s="117"/>
      <c r="N38" s="59">
        <f t="shared" si="16"/>
        <v>-3539372.5728155347</v>
      </c>
      <c r="O38" s="59">
        <f t="shared" si="17"/>
        <v>1238780.4004854371</v>
      </c>
      <c r="P38" s="59">
        <f t="shared" si="18"/>
        <v>15680.764563106699</v>
      </c>
      <c r="Q38" s="59">
        <f t="shared" si="19"/>
        <v>-2300592.1723300973</v>
      </c>
      <c r="R38" s="59">
        <f t="shared" si="10"/>
        <v>-2475320.6917475732</v>
      </c>
      <c r="S38" s="115">
        <f t="shared" si="13"/>
        <v>-3808185.6796116512</v>
      </c>
      <c r="T38" s="115">
        <f t="shared" si="14"/>
        <v>1332864.9878640776</v>
      </c>
      <c r="U38" s="700"/>
    </row>
    <row r="39" spans="1:21" s="109" customFormat="1" ht="12.95" customHeight="1" outlineLevel="1">
      <c r="A39" s="114">
        <v>41029</v>
      </c>
      <c r="B39" s="115">
        <f t="shared" si="2"/>
        <v>-4614625</v>
      </c>
      <c r="C39" s="115">
        <f t="shared" si="3"/>
        <v>-4614625</v>
      </c>
      <c r="D39" s="164"/>
      <c r="E39" s="115">
        <v>0</v>
      </c>
      <c r="F39" s="115">
        <f t="shared" si="4"/>
        <v>-44802.184466019418</v>
      </c>
      <c r="G39" s="164"/>
      <c r="H39" s="115">
        <f t="shared" si="15"/>
        <v>4614625</v>
      </c>
      <c r="I39" s="115">
        <f t="shared" si="15"/>
        <v>1120054.6116504851</v>
      </c>
      <c r="J39" s="164"/>
      <c r="K39" s="115">
        <f t="shared" si="11"/>
        <v>0</v>
      </c>
      <c r="L39" s="115">
        <f t="shared" si="11"/>
        <v>-3494570.3883495149</v>
      </c>
      <c r="M39" s="164"/>
      <c r="N39" s="115">
        <f t="shared" si="16"/>
        <v>-3494570.3883495149</v>
      </c>
      <c r="O39" s="115">
        <f>-N39*$O$10</f>
        <v>1223099.6359223302</v>
      </c>
      <c r="P39" s="115">
        <f t="shared" si="18"/>
        <v>15680.764563106932</v>
      </c>
      <c r="Q39" s="115">
        <f t="shared" si="19"/>
        <v>-2271470.752427185</v>
      </c>
      <c r="R39" s="115">
        <f t="shared" si="10"/>
        <v>-2446199.2718446604</v>
      </c>
      <c r="S39" s="115">
        <f t="shared" si="13"/>
        <v>-3763383.495145632</v>
      </c>
      <c r="T39" s="115">
        <f t="shared" si="14"/>
        <v>1317184.2233009709</v>
      </c>
      <c r="U39" s="700"/>
    </row>
    <row r="40" spans="1:21" s="109" customFormat="1" ht="12.95" customHeight="1" outlineLevel="1">
      <c r="A40" s="114">
        <v>41060</v>
      </c>
      <c r="B40" s="115">
        <f t="shared" si="2"/>
        <v>-4614625</v>
      </c>
      <c r="C40" s="115">
        <f t="shared" si="3"/>
        <v>-4614625</v>
      </c>
      <c r="D40" s="164"/>
      <c r="E40" s="115">
        <v>0</v>
      </c>
      <c r="F40" s="115">
        <f t="shared" si="4"/>
        <v>-44802.184466019418</v>
      </c>
      <c r="G40" s="164"/>
      <c r="H40" s="115">
        <f t="shared" si="15"/>
        <v>4614625</v>
      </c>
      <c r="I40" s="115">
        <f t="shared" si="15"/>
        <v>1164856.7961165046</v>
      </c>
      <c r="J40" s="164"/>
      <c r="K40" s="115">
        <f t="shared" si="11"/>
        <v>0</v>
      </c>
      <c r="L40" s="115">
        <f t="shared" si="11"/>
        <v>-3449768.2038834952</v>
      </c>
      <c r="M40" s="164"/>
      <c r="N40" s="115">
        <f t="shared" si="16"/>
        <v>-3449768.2038834952</v>
      </c>
      <c r="O40" s="115">
        <f t="shared" si="17"/>
        <v>1207418.8713592233</v>
      </c>
      <c r="P40" s="115">
        <f t="shared" si="18"/>
        <v>15680.764563106932</v>
      </c>
      <c r="Q40" s="115">
        <f t="shared" si="19"/>
        <v>-2242349.3325242717</v>
      </c>
      <c r="R40" s="115">
        <f t="shared" si="10"/>
        <v>-2417077.8519417481</v>
      </c>
      <c r="S40" s="115">
        <f t="shared" si="13"/>
        <v>-3718581.3106796127</v>
      </c>
      <c r="T40" s="115">
        <f t="shared" si="14"/>
        <v>1301503.4587378642</v>
      </c>
      <c r="U40" s="700"/>
    </row>
    <row r="41" spans="1:21" s="109" customFormat="1" ht="12.95" customHeight="1" outlineLevel="1">
      <c r="A41" s="114">
        <v>41090</v>
      </c>
      <c r="B41" s="115">
        <f t="shared" si="2"/>
        <v>-4614625</v>
      </c>
      <c r="C41" s="115">
        <f t="shared" si="3"/>
        <v>-4614625</v>
      </c>
      <c r="D41" s="164"/>
      <c r="E41" s="115">
        <v>0</v>
      </c>
      <c r="F41" s="115">
        <f t="shared" si="4"/>
        <v>-44802.184466019418</v>
      </c>
      <c r="G41" s="164"/>
      <c r="H41" s="115">
        <f t="shared" si="15"/>
        <v>4614625</v>
      </c>
      <c r="I41" s="115">
        <f t="shared" si="15"/>
        <v>1209658.9805825241</v>
      </c>
      <c r="J41" s="164"/>
      <c r="K41" s="115">
        <f t="shared" si="11"/>
        <v>0</v>
      </c>
      <c r="L41" s="115">
        <f t="shared" si="11"/>
        <v>-3404966.0194174759</v>
      </c>
      <c r="M41" s="164"/>
      <c r="N41" s="115">
        <f t="shared" si="16"/>
        <v>-3404966.0194174759</v>
      </c>
      <c r="O41" s="115">
        <f t="shared" si="17"/>
        <v>1191738.1067961166</v>
      </c>
      <c r="P41" s="115">
        <f t="shared" si="18"/>
        <v>15680.764563106699</v>
      </c>
      <c r="Q41" s="115">
        <f t="shared" si="19"/>
        <v>-2213227.9126213593</v>
      </c>
      <c r="R41" s="115">
        <f t="shared" si="10"/>
        <v>-2387956.4320388348</v>
      </c>
      <c r="S41" s="115">
        <f t="shared" si="13"/>
        <v>-3673779.1262135929</v>
      </c>
      <c r="T41" s="115">
        <f t="shared" si="14"/>
        <v>1285822.6941747575</v>
      </c>
      <c r="U41" s="700"/>
    </row>
    <row r="42" spans="1:21" s="109" customFormat="1" ht="12.95" customHeight="1" outlineLevel="1">
      <c r="A42" s="114">
        <v>41121</v>
      </c>
      <c r="B42" s="115">
        <f t="shared" si="2"/>
        <v>-4614625</v>
      </c>
      <c r="C42" s="115">
        <f t="shared" si="3"/>
        <v>-4614625</v>
      </c>
      <c r="D42" s="164"/>
      <c r="E42" s="115">
        <v>0</v>
      </c>
      <c r="F42" s="115">
        <f t="shared" si="4"/>
        <v>-44802.184466019418</v>
      </c>
      <c r="G42" s="164"/>
      <c r="H42" s="115">
        <f t="shared" si="15"/>
        <v>4614625</v>
      </c>
      <c r="I42" s="115">
        <f t="shared" si="15"/>
        <v>1254461.1650485436</v>
      </c>
      <c r="J42" s="164"/>
      <c r="K42" s="115">
        <f t="shared" si="11"/>
        <v>0</v>
      </c>
      <c r="L42" s="115">
        <f t="shared" si="11"/>
        <v>-3360163.8349514566</v>
      </c>
      <c r="M42" s="164"/>
      <c r="N42" s="115">
        <f t="shared" si="16"/>
        <v>-3360163.8349514566</v>
      </c>
      <c r="O42" s="115">
        <f t="shared" si="17"/>
        <v>1176057.3422330096</v>
      </c>
      <c r="P42" s="115">
        <f t="shared" si="18"/>
        <v>15680.764563106932</v>
      </c>
      <c r="Q42" s="115">
        <f t="shared" si="19"/>
        <v>-2184106.492718447</v>
      </c>
      <c r="R42" s="115">
        <f t="shared" si="10"/>
        <v>-2358835.0121359224</v>
      </c>
      <c r="S42" s="115">
        <f t="shared" si="13"/>
        <v>-3628976.9417475737</v>
      </c>
      <c r="T42" s="115">
        <f t="shared" si="14"/>
        <v>1270141.9296116505</v>
      </c>
      <c r="U42" s="700"/>
    </row>
    <row r="43" spans="1:21" s="109" customFormat="1" ht="12.95" customHeight="1" outlineLevel="1">
      <c r="A43" s="114">
        <v>41152</v>
      </c>
      <c r="B43" s="115">
        <f t="shared" si="2"/>
        <v>-4614625</v>
      </c>
      <c r="C43" s="115">
        <f t="shared" si="3"/>
        <v>-4614625</v>
      </c>
      <c r="D43" s="164"/>
      <c r="E43" s="115">
        <v>0</v>
      </c>
      <c r="F43" s="115">
        <f t="shared" si="4"/>
        <v>-44802.184466019418</v>
      </c>
      <c r="G43" s="164"/>
      <c r="H43" s="115">
        <f t="shared" si="15"/>
        <v>4614625</v>
      </c>
      <c r="I43" s="115">
        <f t="shared" si="15"/>
        <v>1299263.3495145631</v>
      </c>
      <c r="J43" s="164"/>
      <c r="K43" s="115">
        <f t="shared" si="11"/>
        <v>0</v>
      </c>
      <c r="L43" s="115">
        <f t="shared" si="11"/>
        <v>-3315361.6504854369</v>
      </c>
      <c r="M43" s="164"/>
      <c r="N43" s="115">
        <f t="shared" si="16"/>
        <v>-3315361.6504854369</v>
      </c>
      <c r="O43" s="115">
        <f t="shared" si="17"/>
        <v>1160376.5776699029</v>
      </c>
      <c r="P43" s="115">
        <f t="shared" si="18"/>
        <v>15680.764563106699</v>
      </c>
      <c r="Q43" s="115">
        <f t="shared" si="19"/>
        <v>-2154985.0728155337</v>
      </c>
      <c r="R43" s="115">
        <f t="shared" si="10"/>
        <v>-2329713.5922330096</v>
      </c>
      <c r="S43" s="115">
        <f t="shared" si="13"/>
        <v>-3584174.7572815544</v>
      </c>
      <c r="T43" s="115">
        <f t="shared" si="14"/>
        <v>1254461.1650485436</v>
      </c>
      <c r="U43" s="700"/>
    </row>
    <row r="44" spans="1:21" s="109" customFormat="1" ht="12.95" customHeight="1" outlineLevel="1">
      <c r="A44" s="114">
        <v>41182</v>
      </c>
      <c r="B44" s="115">
        <f t="shared" si="2"/>
        <v>-4614625</v>
      </c>
      <c r="C44" s="115">
        <f t="shared" si="3"/>
        <v>-4614625</v>
      </c>
      <c r="D44" s="164"/>
      <c r="E44" s="115">
        <v>0</v>
      </c>
      <c r="F44" s="115">
        <f t="shared" si="4"/>
        <v>-44802.184466019418</v>
      </c>
      <c r="G44" s="164"/>
      <c r="H44" s="115">
        <f t="shared" si="15"/>
        <v>4614625</v>
      </c>
      <c r="I44" s="115">
        <f t="shared" si="15"/>
        <v>1344065.5339805826</v>
      </c>
      <c r="J44" s="164"/>
      <c r="K44" s="115">
        <f t="shared" si="11"/>
        <v>0</v>
      </c>
      <c r="L44" s="115">
        <f t="shared" si="11"/>
        <v>-3270559.4660194172</v>
      </c>
      <c r="M44" s="164"/>
      <c r="N44" s="115">
        <f t="shared" si="16"/>
        <v>-3270559.4660194172</v>
      </c>
      <c r="O44" s="115">
        <f t="shared" si="17"/>
        <v>1144695.813106796</v>
      </c>
      <c r="P44" s="115">
        <f t="shared" si="18"/>
        <v>15680.764563106932</v>
      </c>
      <c r="Q44" s="115">
        <f t="shared" si="19"/>
        <v>-2125863.6529126214</v>
      </c>
      <c r="R44" s="115">
        <f t="shared" si="10"/>
        <v>-2300592.1723300973</v>
      </c>
      <c r="S44" s="115">
        <f t="shared" ref="S44:S74" si="20">(L32+L44+SUM(L33:L43)*2)/24</f>
        <v>-3539372.5728155337</v>
      </c>
      <c r="T44" s="115">
        <f t="shared" ref="T44:T74" si="21">(O32+O44+SUM(O33:O43)*2)/24</f>
        <v>1238780.4004854371</v>
      </c>
      <c r="U44" s="700"/>
    </row>
    <row r="45" spans="1:21" s="109" customFormat="1" ht="12.95" customHeight="1" outlineLevel="1">
      <c r="A45" s="114">
        <v>41213</v>
      </c>
      <c r="B45" s="115">
        <f t="shared" si="2"/>
        <v>-4614625</v>
      </c>
      <c r="C45" s="115">
        <f t="shared" si="3"/>
        <v>-4614625</v>
      </c>
      <c r="D45" s="164"/>
      <c r="E45" s="115">
        <v>0</v>
      </c>
      <c r="F45" s="115">
        <f t="shared" si="4"/>
        <v>-44802.184466019418</v>
      </c>
      <c r="G45" s="164"/>
      <c r="H45" s="115">
        <f t="shared" si="15"/>
        <v>4614625</v>
      </c>
      <c r="I45" s="115">
        <f t="shared" si="15"/>
        <v>1388867.7184466021</v>
      </c>
      <c r="J45" s="164"/>
      <c r="K45" s="115">
        <f t="shared" si="11"/>
        <v>0</v>
      </c>
      <c r="L45" s="115">
        <f t="shared" si="11"/>
        <v>-3225757.2815533979</v>
      </c>
      <c r="M45" s="164"/>
      <c r="N45" s="115">
        <f t="shared" si="16"/>
        <v>-3225757.2815533979</v>
      </c>
      <c r="O45" s="115">
        <f t="shared" si="17"/>
        <v>1129015.0485436891</v>
      </c>
      <c r="P45" s="115">
        <f t="shared" si="18"/>
        <v>15680.764563106932</v>
      </c>
      <c r="Q45" s="115">
        <f t="shared" si="19"/>
        <v>-2096742.2330097088</v>
      </c>
      <c r="R45" s="115">
        <f t="shared" si="10"/>
        <v>-2271470.752427185</v>
      </c>
      <c r="S45" s="115">
        <f t="shared" si="20"/>
        <v>-3494570.3883495145</v>
      </c>
      <c r="T45" s="115">
        <f t="shared" si="21"/>
        <v>1223099.6359223302</v>
      </c>
      <c r="U45" s="700"/>
    </row>
    <row r="46" spans="1:21" s="109" customFormat="1" ht="12.95" customHeight="1" outlineLevel="1">
      <c r="A46" s="114">
        <v>41243</v>
      </c>
      <c r="B46" s="115">
        <f t="shared" si="2"/>
        <v>-4614625</v>
      </c>
      <c r="C46" s="115">
        <f t="shared" si="3"/>
        <v>-4614625</v>
      </c>
      <c r="D46" s="164"/>
      <c r="E46" s="115">
        <v>0</v>
      </c>
      <c r="F46" s="115">
        <f t="shared" si="4"/>
        <v>-44802.184466019418</v>
      </c>
      <c r="G46" s="164"/>
      <c r="H46" s="115">
        <f t="shared" si="15"/>
        <v>4614625</v>
      </c>
      <c r="I46" s="115">
        <f t="shared" si="15"/>
        <v>1433669.9029126216</v>
      </c>
      <c r="J46" s="164"/>
      <c r="K46" s="115">
        <f t="shared" si="11"/>
        <v>0</v>
      </c>
      <c r="L46" s="115">
        <f t="shared" si="11"/>
        <v>-3180955.0970873786</v>
      </c>
      <c r="M46" s="164"/>
      <c r="N46" s="115">
        <f t="shared" si="16"/>
        <v>-3180955.0970873786</v>
      </c>
      <c r="O46" s="115">
        <f t="shared" si="17"/>
        <v>1113334.2839805824</v>
      </c>
      <c r="P46" s="115">
        <f t="shared" si="18"/>
        <v>15680.764563106699</v>
      </c>
      <c r="Q46" s="115">
        <f t="shared" si="19"/>
        <v>-2067620.8131067962</v>
      </c>
      <c r="R46" s="115">
        <f t="shared" si="10"/>
        <v>-2242349.3325242717</v>
      </c>
      <c r="S46" s="115">
        <f t="shared" si="20"/>
        <v>-3449768.2038834952</v>
      </c>
      <c r="T46" s="115">
        <f t="shared" si="21"/>
        <v>1207418.8713592233</v>
      </c>
      <c r="U46" s="700"/>
    </row>
    <row r="47" spans="1:21" s="109" customFormat="1" ht="12.95" customHeight="1" outlineLevel="1">
      <c r="A47" s="114">
        <v>41274</v>
      </c>
      <c r="B47" s="115">
        <f t="shared" si="2"/>
        <v>-4614625</v>
      </c>
      <c r="C47" s="115">
        <f t="shared" si="3"/>
        <v>-4614625</v>
      </c>
      <c r="D47" s="132"/>
      <c r="E47" s="115">
        <v>0</v>
      </c>
      <c r="F47" s="115">
        <f t="shared" si="4"/>
        <v>-44802.184466019418</v>
      </c>
      <c r="G47" s="132"/>
      <c r="H47" s="115">
        <f t="shared" si="15"/>
        <v>4614625</v>
      </c>
      <c r="I47" s="115">
        <f t="shared" si="15"/>
        <v>1478472.0873786411</v>
      </c>
      <c r="J47" s="132"/>
      <c r="K47" s="115">
        <f t="shared" si="11"/>
        <v>0</v>
      </c>
      <c r="L47" s="115">
        <f t="shared" si="11"/>
        <v>-3136152.9126213589</v>
      </c>
      <c r="M47" s="132"/>
      <c r="N47" s="115">
        <f t="shared" si="16"/>
        <v>-3136152.9126213589</v>
      </c>
      <c r="O47" s="115">
        <f t="shared" si="17"/>
        <v>1097653.5194174754</v>
      </c>
      <c r="P47" s="115">
        <f t="shared" ref="P47:P52" si="22">-O47+O46</f>
        <v>15680.764563106932</v>
      </c>
      <c r="Q47" s="115">
        <f t="shared" si="19"/>
        <v>-2038499.3932038834</v>
      </c>
      <c r="R47" s="115">
        <f>(Q35+Q47+SUM(Q36:Q46)*2)/24</f>
        <v>-2213227.9126213593</v>
      </c>
      <c r="S47" s="115">
        <f t="shared" si="20"/>
        <v>-3404966.0194174759</v>
      </c>
      <c r="T47" s="115">
        <f t="shared" si="21"/>
        <v>1191738.1067961166</v>
      </c>
      <c r="U47" s="700"/>
    </row>
    <row r="48" spans="1:21" s="109" customFormat="1" ht="12.95" customHeight="1" outlineLevel="1">
      <c r="A48" s="114">
        <v>41305</v>
      </c>
      <c r="B48" s="115">
        <f t="shared" si="2"/>
        <v>-4614625</v>
      </c>
      <c r="C48" s="115">
        <f t="shared" si="3"/>
        <v>-4614625</v>
      </c>
      <c r="D48" s="132"/>
      <c r="E48" s="115">
        <v>0</v>
      </c>
      <c r="F48" s="115">
        <f t="shared" si="4"/>
        <v>-44802.184466019418</v>
      </c>
      <c r="G48" s="132"/>
      <c r="H48" s="115">
        <f t="shared" ref="H48:I51" si="23">H47-E48</f>
        <v>4614625</v>
      </c>
      <c r="I48" s="115">
        <f t="shared" si="23"/>
        <v>1523274.2718446606</v>
      </c>
      <c r="J48" s="132"/>
      <c r="K48" s="115">
        <f t="shared" ref="K48:L51" si="24">B48+H48</f>
        <v>0</v>
      </c>
      <c r="L48" s="115">
        <f t="shared" si="24"/>
        <v>-3091350.7281553391</v>
      </c>
      <c r="M48" s="132"/>
      <c r="N48" s="115">
        <f>L48-K48</f>
        <v>-3091350.7281553391</v>
      </c>
      <c r="O48" s="115">
        <f>-N48*$O$10</f>
        <v>1081972.7548543687</v>
      </c>
      <c r="P48" s="115">
        <f t="shared" si="22"/>
        <v>15680.764563106699</v>
      </c>
      <c r="Q48" s="115">
        <f>L48+O48</f>
        <v>-2009377.9733009704</v>
      </c>
      <c r="R48" s="115">
        <f>(Q36+Q48+SUM(Q37:Q47)*2)/24</f>
        <v>-2184106.4927184465</v>
      </c>
      <c r="S48" s="115">
        <f t="shared" si="20"/>
        <v>-3360163.8349514562</v>
      </c>
      <c r="T48" s="115">
        <f t="shared" si="21"/>
        <v>1176057.3422330099</v>
      </c>
      <c r="U48" s="700"/>
    </row>
    <row r="49" spans="1:21" s="109" customFormat="1" ht="12.95" customHeight="1" outlineLevel="1">
      <c r="A49" s="114">
        <v>41333</v>
      </c>
      <c r="B49" s="115">
        <f t="shared" si="2"/>
        <v>-4614625</v>
      </c>
      <c r="C49" s="115">
        <f t="shared" si="3"/>
        <v>-4614625</v>
      </c>
      <c r="D49" s="132"/>
      <c r="E49" s="115">
        <v>0</v>
      </c>
      <c r="F49" s="115">
        <f t="shared" si="4"/>
        <v>-44802.184466019418</v>
      </c>
      <c r="G49" s="132"/>
      <c r="H49" s="115">
        <f t="shared" si="23"/>
        <v>4614625</v>
      </c>
      <c r="I49" s="115">
        <f t="shared" si="23"/>
        <v>1568076.4563106801</v>
      </c>
      <c r="J49" s="132"/>
      <c r="K49" s="115">
        <f t="shared" si="24"/>
        <v>0</v>
      </c>
      <c r="L49" s="115">
        <f t="shared" si="24"/>
        <v>-3046548.5436893199</v>
      </c>
      <c r="M49" s="132"/>
      <c r="N49" s="115">
        <f>L49-K49</f>
        <v>-3046548.5436893199</v>
      </c>
      <c r="O49" s="115">
        <f>-N49*$O$10</f>
        <v>1066291.9902912618</v>
      </c>
      <c r="P49" s="115">
        <f t="shared" si="22"/>
        <v>15680.764563106932</v>
      </c>
      <c r="Q49" s="115">
        <f>L49+O49</f>
        <v>-1980256.5533980581</v>
      </c>
      <c r="R49" s="115">
        <f>(Q37+Q49+SUM(Q38:Q48)*2)/24</f>
        <v>-2154985.0728155342</v>
      </c>
      <c r="S49" s="115">
        <f t="shared" si="20"/>
        <v>-3315361.6504854374</v>
      </c>
      <c r="T49" s="115">
        <f t="shared" si="21"/>
        <v>1160376.5776699027</v>
      </c>
      <c r="U49" s="700"/>
    </row>
    <row r="50" spans="1:21" ht="12.95" customHeight="1" outlineLevel="1">
      <c r="A50" s="114">
        <v>41364</v>
      </c>
      <c r="B50" s="115">
        <f t="shared" si="2"/>
        <v>-4614625</v>
      </c>
      <c r="C50" s="115">
        <f t="shared" si="3"/>
        <v>-4614625</v>
      </c>
      <c r="D50" s="132"/>
      <c r="E50" s="115">
        <v>0</v>
      </c>
      <c r="F50" s="115">
        <f t="shared" si="4"/>
        <v>-44802.184466019418</v>
      </c>
      <c r="G50" s="132"/>
      <c r="H50" s="115">
        <f t="shared" si="23"/>
        <v>4614625</v>
      </c>
      <c r="I50" s="115">
        <f t="shared" si="23"/>
        <v>1612878.6407766996</v>
      </c>
      <c r="J50" s="132"/>
      <c r="K50" s="115">
        <f t="shared" si="24"/>
        <v>0</v>
      </c>
      <c r="L50" s="115">
        <f t="shared" si="24"/>
        <v>-3001746.3592233006</v>
      </c>
      <c r="M50" s="132"/>
      <c r="N50" s="115">
        <f>L50-K50</f>
        <v>-3001746.3592233006</v>
      </c>
      <c r="O50" s="115">
        <f>-N50*$O$10</f>
        <v>1050611.2257281551</v>
      </c>
      <c r="P50" s="115">
        <f t="shared" si="22"/>
        <v>15680.764563106699</v>
      </c>
      <c r="Q50" s="115">
        <f>L50+O50</f>
        <v>-1951135.1334951455</v>
      </c>
      <c r="R50" s="115">
        <f>(Q38+Q50+SUM(Q39:Q49)*2)/24</f>
        <v>-2125863.6529126214</v>
      </c>
      <c r="S50" s="115">
        <f t="shared" si="20"/>
        <v>-3270559.4660194176</v>
      </c>
      <c r="T50" s="115">
        <f t="shared" si="21"/>
        <v>1144695.813106796</v>
      </c>
      <c r="U50" s="700"/>
    </row>
    <row r="51" spans="1:21" s="109" customFormat="1" ht="12.95" customHeight="1" outlineLevel="1">
      <c r="A51" s="114">
        <v>41394</v>
      </c>
      <c r="B51" s="115">
        <f t="shared" si="2"/>
        <v>-4614625</v>
      </c>
      <c r="C51" s="115">
        <f t="shared" si="3"/>
        <v>-4614625</v>
      </c>
      <c r="D51" s="132"/>
      <c r="E51" s="115">
        <v>0</v>
      </c>
      <c r="F51" s="115">
        <f t="shared" si="4"/>
        <v>-44802.184466019418</v>
      </c>
      <c r="G51" s="132"/>
      <c r="H51" s="115">
        <f t="shared" si="23"/>
        <v>4614625</v>
      </c>
      <c r="I51" s="115">
        <f t="shared" si="23"/>
        <v>1657680.8252427191</v>
      </c>
      <c r="J51" s="132"/>
      <c r="K51" s="115">
        <f t="shared" si="24"/>
        <v>0</v>
      </c>
      <c r="L51" s="115">
        <f t="shared" si="24"/>
        <v>-2956944.1747572809</v>
      </c>
      <c r="M51" s="132"/>
      <c r="N51" s="115">
        <f>L51-K51</f>
        <v>-2956944.1747572809</v>
      </c>
      <c r="O51" s="115">
        <f>-N51*$O$10</f>
        <v>1034930.4611650482</v>
      </c>
      <c r="P51" s="115">
        <f t="shared" si="22"/>
        <v>15680.764563106932</v>
      </c>
      <c r="Q51" s="115">
        <f>L51+O51</f>
        <v>-1922013.7135922327</v>
      </c>
      <c r="R51" s="115">
        <f>(Q39+Q51+SUM(Q40:Q50)*2)/24</f>
        <v>-2096742.2330097083</v>
      </c>
      <c r="S51" s="115">
        <f t="shared" si="20"/>
        <v>-3225757.2815533974</v>
      </c>
      <c r="T51" s="115">
        <f t="shared" si="21"/>
        <v>1129015.0485436893</v>
      </c>
      <c r="U51" s="700"/>
    </row>
    <row r="52" spans="1:21" s="109" customFormat="1" ht="12.95" customHeight="1" outlineLevel="1">
      <c r="A52" s="114">
        <v>41425</v>
      </c>
      <c r="B52" s="115">
        <f>B51</f>
        <v>-4614625</v>
      </c>
      <c r="C52" s="115">
        <f>C51</f>
        <v>-4614625</v>
      </c>
      <c r="D52" s="164"/>
      <c r="E52" s="115">
        <v>0</v>
      </c>
      <c r="F52" s="115">
        <f>C52/$E$5</f>
        <v>-44802.184466019418</v>
      </c>
      <c r="G52" s="164"/>
      <c r="H52" s="115">
        <f>H51-E52</f>
        <v>4614625</v>
      </c>
      <c r="I52" s="115">
        <f>I51-F52</f>
        <v>1702483.0097087387</v>
      </c>
      <c r="J52" s="164"/>
      <c r="K52" s="115">
        <f>B52+H52</f>
        <v>0</v>
      </c>
      <c r="L52" s="115">
        <f t="shared" ref="K52:L65" si="25">C52+I52</f>
        <v>-2912141.9902912611</v>
      </c>
      <c r="M52" s="164"/>
      <c r="N52" s="115">
        <f t="shared" ref="N52:N82" si="26">L52-K52</f>
        <v>-2912141.9902912611</v>
      </c>
      <c r="O52" s="115">
        <f>-N52*$O$10</f>
        <v>1019249.6966019414</v>
      </c>
      <c r="P52" s="115">
        <f t="shared" si="22"/>
        <v>15680.764563106815</v>
      </c>
      <c r="Q52" s="115">
        <f>L52+O52</f>
        <v>-1892892.2936893199</v>
      </c>
      <c r="R52" s="115">
        <f>(Q40+Q52+(SUM(Q41:Q51))*2)/24</f>
        <v>-2067620.8131067958</v>
      </c>
      <c r="S52" s="115">
        <f t="shared" si="20"/>
        <v>-3180955.0970873781</v>
      </c>
      <c r="T52" s="115">
        <f t="shared" si="21"/>
        <v>1113334.2839805821</v>
      </c>
      <c r="U52" s="700"/>
    </row>
    <row r="53" spans="1:21" s="109" customFormat="1" ht="12.95" customHeight="1" outlineLevel="1">
      <c r="A53" s="114">
        <v>41455</v>
      </c>
      <c r="B53" s="115">
        <f t="shared" ref="B53:C65" si="27">B52</f>
        <v>-4614625</v>
      </c>
      <c r="C53" s="115">
        <f t="shared" si="27"/>
        <v>-4614625</v>
      </c>
      <c r="D53" s="164"/>
      <c r="E53" s="115">
        <v>0</v>
      </c>
      <c r="F53" s="115">
        <f t="shared" ref="F53:F111" si="28">C53/$E$5</f>
        <v>-44802.184466019418</v>
      </c>
      <c r="G53" s="164"/>
      <c r="H53" s="115">
        <f t="shared" ref="H53:I65" si="29">H52-E53</f>
        <v>4614625</v>
      </c>
      <c r="I53" s="115">
        <f t="shared" si="29"/>
        <v>1747285.1941747582</v>
      </c>
      <c r="J53" s="164"/>
      <c r="K53" s="115">
        <f t="shared" si="25"/>
        <v>0</v>
      </c>
      <c r="L53" s="115">
        <f t="shared" si="25"/>
        <v>-2867339.8058252418</v>
      </c>
      <c r="M53" s="164"/>
      <c r="N53" s="115">
        <f t="shared" si="26"/>
        <v>-2867339.8058252418</v>
      </c>
      <c r="O53" s="115">
        <f t="shared" ref="O53:O107" si="30">-N53*$O$10</f>
        <v>1003568.9320388346</v>
      </c>
      <c r="P53" s="115">
        <f t="shared" ref="P53:P82" si="31">-O53+O52</f>
        <v>15680.764563106815</v>
      </c>
      <c r="Q53" s="115">
        <f t="shared" ref="Q53:Q82" si="32">L53+O53</f>
        <v>-1863770.8737864073</v>
      </c>
      <c r="R53" s="115">
        <f>(Q41+Q53+(SUM(Q42:Q51)+Q52)*2)/24</f>
        <v>-2038499.3932038832</v>
      </c>
      <c r="S53" s="115">
        <f t="shared" si="20"/>
        <v>-3136152.9126213584</v>
      </c>
      <c r="T53" s="115">
        <f t="shared" si="21"/>
        <v>1097653.5194174757</v>
      </c>
      <c r="U53" s="700"/>
    </row>
    <row r="54" spans="1:21" s="109" customFormat="1" ht="12.95" customHeight="1" outlineLevel="1">
      <c r="A54" s="114">
        <v>41486</v>
      </c>
      <c r="B54" s="115">
        <f t="shared" si="27"/>
        <v>-4614625</v>
      </c>
      <c r="C54" s="115">
        <f t="shared" si="27"/>
        <v>-4614625</v>
      </c>
      <c r="D54" s="164"/>
      <c r="E54" s="115">
        <v>0</v>
      </c>
      <c r="F54" s="115">
        <f t="shared" si="28"/>
        <v>-44802.184466019418</v>
      </c>
      <c r="G54" s="164"/>
      <c r="H54" s="115">
        <f t="shared" si="29"/>
        <v>4614625</v>
      </c>
      <c r="I54" s="115">
        <f t="shared" si="29"/>
        <v>1792087.3786407777</v>
      </c>
      <c r="J54" s="164"/>
      <c r="K54" s="115">
        <f t="shared" si="25"/>
        <v>0</v>
      </c>
      <c r="L54" s="115">
        <f t="shared" si="25"/>
        <v>-2822537.6213592226</v>
      </c>
      <c r="M54" s="164"/>
      <c r="N54" s="115">
        <f t="shared" si="26"/>
        <v>-2822537.6213592226</v>
      </c>
      <c r="O54" s="115">
        <f t="shared" si="30"/>
        <v>987888.16747572785</v>
      </c>
      <c r="P54" s="115">
        <f t="shared" si="31"/>
        <v>15680.764563106699</v>
      </c>
      <c r="Q54" s="115">
        <f t="shared" si="32"/>
        <v>-1834649.4538834947</v>
      </c>
      <c r="R54" s="115">
        <f>(Q42+Q54+(SUM(Q43:Q51)+Q53+Q52)*2)/24</f>
        <v>-2009377.9733009704</v>
      </c>
      <c r="S54" s="115">
        <f t="shared" si="20"/>
        <v>-3091350.7281553387</v>
      </c>
      <c r="T54" s="115">
        <f t="shared" si="21"/>
        <v>1081972.7548543687</v>
      </c>
      <c r="U54" s="700"/>
    </row>
    <row r="55" spans="1:21" s="109" customFormat="1" ht="12.95" customHeight="1" outlineLevel="1">
      <c r="A55" s="114">
        <v>41517</v>
      </c>
      <c r="B55" s="115">
        <f t="shared" si="27"/>
        <v>-4614625</v>
      </c>
      <c r="C55" s="115">
        <f t="shared" si="27"/>
        <v>-4614625</v>
      </c>
      <c r="D55" s="164"/>
      <c r="E55" s="115">
        <v>0</v>
      </c>
      <c r="F55" s="115">
        <f t="shared" si="28"/>
        <v>-44802.184466019418</v>
      </c>
      <c r="G55" s="164"/>
      <c r="H55" s="115">
        <f t="shared" si="29"/>
        <v>4614625</v>
      </c>
      <c r="I55" s="115">
        <f t="shared" si="29"/>
        <v>1836889.5631067972</v>
      </c>
      <c r="J55" s="164"/>
      <c r="K55" s="115">
        <f t="shared" si="25"/>
        <v>0</v>
      </c>
      <c r="L55" s="115">
        <f t="shared" si="25"/>
        <v>-2777735.4368932028</v>
      </c>
      <c r="M55" s="164"/>
      <c r="N55" s="115">
        <f t="shared" si="26"/>
        <v>-2777735.4368932028</v>
      </c>
      <c r="O55" s="115">
        <f t="shared" si="30"/>
        <v>972207.40291262092</v>
      </c>
      <c r="P55" s="115">
        <f t="shared" si="31"/>
        <v>15680.764563106932</v>
      </c>
      <c r="Q55" s="115">
        <f t="shared" si="32"/>
        <v>-1805528.0339805819</v>
      </c>
      <c r="R55" s="115">
        <f>(Q43+Q55+(SUM(Q44:Q51)+SUM(Q52:Q54))*2)/24</f>
        <v>-1980256.5533980578</v>
      </c>
      <c r="S55" s="115">
        <f t="shared" si="20"/>
        <v>-3046548.5436893194</v>
      </c>
      <c r="T55" s="115">
        <f t="shared" si="21"/>
        <v>1066291.990291262</v>
      </c>
      <c r="U55" s="700"/>
    </row>
    <row r="56" spans="1:21" s="109" customFormat="1" ht="12.95" customHeight="1" outlineLevel="1">
      <c r="A56" s="114">
        <v>41547</v>
      </c>
      <c r="B56" s="115">
        <f t="shared" si="27"/>
        <v>-4614625</v>
      </c>
      <c r="C56" s="115">
        <f t="shared" si="27"/>
        <v>-4614625</v>
      </c>
      <c r="D56" s="164"/>
      <c r="E56" s="115">
        <v>0</v>
      </c>
      <c r="F56" s="115">
        <f t="shared" si="28"/>
        <v>-44802.184466019418</v>
      </c>
      <c r="G56" s="164"/>
      <c r="H56" s="115">
        <f t="shared" si="29"/>
        <v>4614625</v>
      </c>
      <c r="I56" s="115">
        <f t="shared" si="29"/>
        <v>1881691.7475728167</v>
      </c>
      <c r="J56" s="164"/>
      <c r="K56" s="115">
        <f t="shared" si="25"/>
        <v>0</v>
      </c>
      <c r="L56" s="115">
        <f t="shared" si="25"/>
        <v>-2732933.2524271831</v>
      </c>
      <c r="M56" s="164"/>
      <c r="N56" s="115">
        <f t="shared" si="26"/>
        <v>-2732933.2524271831</v>
      </c>
      <c r="O56" s="115">
        <f t="shared" si="30"/>
        <v>956526.63834951399</v>
      </c>
      <c r="P56" s="115">
        <f t="shared" si="31"/>
        <v>15680.764563106932</v>
      </c>
      <c r="Q56" s="115">
        <f t="shared" si="32"/>
        <v>-1776406.6140776691</v>
      </c>
      <c r="R56" s="115">
        <f>(Q44+Q56+(SUM(Q45:Q51)+SUM(Q52:Q55))*2)/24</f>
        <v>-1951135.1334951452</v>
      </c>
      <c r="S56" s="115">
        <f t="shared" si="20"/>
        <v>-3001746.3592233001</v>
      </c>
      <c r="T56" s="115">
        <f t="shared" si="21"/>
        <v>1050611.2257281551</v>
      </c>
      <c r="U56" s="700"/>
    </row>
    <row r="57" spans="1:21" s="109" customFormat="1" ht="12.95" customHeight="1" outlineLevel="1">
      <c r="A57" s="114">
        <v>41578</v>
      </c>
      <c r="B57" s="115">
        <f t="shared" si="27"/>
        <v>-4614625</v>
      </c>
      <c r="C57" s="115">
        <f t="shared" si="27"/>
        <v>-4614625</v>
      </c>
      <c r="D57" s="164"/>
      <c r="E57" s="115">
        <v>0</v>
      </c>
      <c r="F57" s="115">
        <f t="shared" si="28"/>
        <v>-44802.184466019418</v>
      </c>
      <c r="G57" s="164"/>
      <c r="H57" s="115">
        <f t="shared" si="29"/>
        <v>4614625</v>
      </c>
      <c r="I57" s="115">
        <f t="shared" si="29"/>
        <v>1926493.9320388362</v>
      </c>
      <c r="J57" s="164"/>
      <c r="K57" s="115">
        <f t="shared" si="25"/>
        <v>0</v>
      </c>
      <c r="L57" s="115">
        <f t="shared" si="25"/>
        <v>-2688131.0679611638</v>
      </c>
      <c r="M57" s="164"/>
      <c r="N57" s="115">
        <f t="shared" si="26"/>
        <v>-2688131.0679611638</v>
      </c>
      <c r="O57" s="115">
        <f t="shared" si="30"/>
        <v>940845.87378640729</v>
      </c>
      <c r="P57" s="115">
        <f t="shared" si="31"/>
        <v>15680.764563106699</v>
      </c>
      <c r="Q57" s="115">
        <f t="shared" si="32"/>
        <v>-1747285.1941747565</v>
      </c>
      <c r="R57" s="115">
        <f>(Q45+Q57+(SUM(Q46:Q51)+SUM(Q52:Q56))*2)/24</f>
        <v>-1922013.7135922324</v>
      </c>
      <c r="S57" s="115">
        <f t="shared" si="20"/>
        <v>-2956944.1747572809</v>
      </c>
      <c r="T57" s="115">
        <f t="shared" si="21"/>
        <v>1034930.4611650483</v>
      </c>
      <c r="U57" s="700"/>
    </row>
    <row r="58" spans="1:21" s="109" customFormat="1" ht="12.95" customHeight="1" outlineLevel="1">
      <c r="A58" s="114">
        <v>41608</v>
      </c>
      <c r="B58" s="115">
        <f t="shared" si="27"/>
        <v>-4614625</v>
      </c>
      <c r="C58" s="115">
        <f t="shared" si="27"/>
        <v>-4614625</v>
      </c>
      <c r="D58" s="164"/>
      <c r="E58" s="115">
        <v>0</v>
      </c>
      <c r="F58" s="115">
        <f t="shared" si="28"/>
        <v>-44802.184466019418</v>
      </c>
      <c r="G58" s="164"/>
      <c r="H58" s="115">
        <f t="shared" si="29"/>
        <v>4614625</v>
      </c>
      <c r="I58" s="115">
        <f t="shared" si="29"/>
        <v>1971296.1165048557</v>
      </c>
      <c r="J58" s="164"/>
      <c r="K58" s="115">
        <f t="shared" si="25"/>
        <v>0</v>
      </c>
      <c r="L58" s="115">
        <f t="shared" si="25"/>
        <v>-2643328.8834951445</v>
      </c>
      <c r="M58" s="164"/>
      <c r="N58" s="115">
        <f t="shared" si="26"/>
        <v>-2643328.8834951445</v>
      </c>
      <c r="O58" s="115">
        <f t="shared" si="30"/>
        <v>925165.10922330047</v>
      </c>
      <c r="P58" s="115">
        <f t="shared" si="31"/>
        <v>15680.764563106815</v>
      </c>
      <c r="Q58" s="115">
        <f t="shared" si="32"/>
        <v>-1718163.774271844</v>
      </c>
      <c r="R58" s="115">
        <f>(Q46+Q58+(SUM(Q47:Q51)+SUM(Q52:Q57))*2)/24</f>
        <v>-1892892.2936893201</v>
      </c>
      <c r="S58" s="115">
        <f t="shared" si="20"/>
        <v>-2912141.9902912616</v>
      </c>
      <c r="T58" s="115">
        <f t="shared" si="21"/>
        <v>1019249.6966019414</v>
      </c>
      <c r="U58" s="700"/>
    </row>
    <row r="59" spans="1:21" ht="12.95" customHeight="1" outlineLevel="1">
      <c r="A59" s="113">
        <v>41639</v>
      </c>
      <c r="B59" s="59">
        <f t="shared" si="27"/>
        <v>-4614625</v>
      </c>
      <c r="C59" s="59">
        <f t="shared" si="27"/>
        <v>-4614625</v>
      </c>
      <c r="D59" s="117"/>
      <c r="E59" s="59">
        <v>0</v>
      </c>
      <c r="F59" s="115">
        <f t="shared" si="28"/>
        <v>-44802.184466019418</v>
      </c>
      <c r="G59" s="117"/>
      <c r="H59" s="59">
        <f t="shared" si="29"/>
        <v>4614625</v>
      </c>
      <c r="I59" s="59">
        <f t="shared" si="29"/>
        <v>2016098.3009708752</v>
      </c>
      <c r="J59" s="117"/>
      <c r="K59" s="59">
        <f t="shared" si="25"/>
        <v>0</v>
      </c>
      <c r="L59" s="59">
        <f t="shared" si="25"/>
        <v>-2598526.6990291248</v>
      </c>
      <c r="M59" s="117"/>
      <c r="N59" s="59">
        <f t="shared" si="26"/>
        <v>-2598526.6990291248</v>
      </c>
      <c r="O59" s="59">
        <f t="shared" si="30"/>
        <v>909484.34466019366</v>
      </c>
      <c r="P59" s="59">
        <f t="shared" si="31"/>
        <v>15680.764563106815</v>
      </c>
      <c r="Q59" s="59">
        <f t="shared" si="32"/>
        <v>-1689042.3543689311</v>
      </c>
      <c r="R59" s="115">
        <f>(Q47+Q59+(SUM(Q48:Q51)+SUM(Q52:Q58))*2)/24</f>
        <v>-1863770.8737864075</v>
      </c>
      <c r="S59" s="115">
        <f t="shared" si="20"/>
        <v>-2867339.8058252414</v>
      </c>
      <c r="T59" s="115">
        <f t="shared" si="21"/>
        <v>1003568.9320388344</v>
      </c>
      <c r="U59" s="700"/>
    </row>
    <row r="60" spans="1:21" s="109" customFormat="1" ht="12.95" customHeight="1" outlineLevel="1">
      <c r="A60" s="114">
        <v>41670</v>
      </c>
      <c r="B60" s="115">
        <f t="shared" si="27"/>
        <v>-4614625</v>
      </c>
      <c r="C60" s="115">
        <f t="shared" si="27"/>
        <v>-4614625</v>
      </c>
      <c r="D60" s="164"/>
      <c r="E60" s="115">
        <v>0</v>
      </c>
      <c r="F60" s="115">
        <f t="shared" si="28"/>
        <v>-44802.184466019418</v>
      </c>
      <c r="G60" s="164"/>
      <c r="H60" s="115">
        <f t="shared" si="29"/>
        <v>4614625</v>
      </c>
      <c r="I60" s="115">
        <f t="shared" si="29"/>
        <v>2060900.4854368947</v>
      </c>
      <c r="J60" s="164"/>
      <c r="K60" s="115">
        <f t="shared" si="25"/>
        <v>0</v>
      </c>
      <c r="L60" s="115">
        <f t="shared" si="25"/>
        <v>-2553724.5145631051</v>
      </c>
      <c r="M60" s="164"/>
      <c r="N60" s="115">
        <f t="shared" si="26"/>
        <v>-2553724.5145631051</v>
      </c>
      <c r="O60" s="115">
        <f t="shared" si="30"/>
        <v>893803.58009708673</v>
      </c>
      <c r="P60" s="115">
        <f t="shared" si="31"/>
        <v>15680.764563106932</v>
      </c>
      <c r="Q60" s="115">
        <f t="shared" si="32"/>
        <v>-1659920.9344660183</v>
      </c>
      <c r="R60" s="115">
        <f>(Q48+Q60+(SUM(Q49:Q51)+SUM(Q52:Q59))*2)/24</f>
        <v>-1834649.4538834945</v>
      </c>
      <c r="S60" s="115">
        <f t="shared" si="20"/>
        <v>-2822537.6213592221</v>
      </c>
      <c r="T60" s="115">
        <f t="shared" si="21"/>
        <v>987888.16747572785</v>
      </c>
      <c r="U60" s="700"/>
    </row>
    <row r="61" spans="1:21" ht="12.95" customHeight="1" outlineLevel="1">
      <c r="A61" s="113">
        <v>41698</v>
      </c>
      <c r="B61" s="59">
        <f t="shared" si="27"/>
        <v>-4614625</v>
      </c>
      <c r="C61" s="59">
        <f t="shared" si="27"/>
        <v>-4614625</v>
      </c>
      <c r="D61" s="117"/>
      <c r="E61" s="59">
        <v>0</v>
      </c>
      <c r="F61" s="115">
        <f t="shared" si="28"/>
        <v>-44802.184466019418</v>
      </c>
      <c r="G61" s="117"/>
      <c r="H61" s="59">
        <f t="shared" si="29"/>
        <v>4614625</v>
      </c>
      <c r="I61" s="59">
        <f t="shared" si="29"/>
        <v>2105702.6699029142</v>
      </c>
      <c r="J61" s="117"/>
      <c r="K61" s="59">
        <f t="shared" si="25"/>
        <v>0</v>
      </c>
      <c r="L61" s="59">
        <f t="shared" si="25"/>
        <v>-2508922.3300970858</v>
      </c>
      <c r="M61" s="117"/>
      <c r="N61" s="59">
        <f t="shared" si="26"/>
        <v>-2508922.3300970858</v>
      </c>
      <c r="O61" s="59">
        <f t="shared" si="30"/>
        <v>878122.81553398003</v>
      </c>
      <c r="P61" s="59">
        <f t="shared" si="31"/>
        <v>15680.764563106699</v>
      </c>
      <c r="Q61" s="59">
        <f t="shared" si="32"/>
        <v>-1630799.5145631058</v>
      </c>
      <c r="R61" s="115">
        <f>(Q49+Q61+(SUM(Q50:Q51)+SUM(Q52:Q60))*2)/24</f>
        <v>-1805528.0339805819</v>
      </c>
      <c r="S61" s="115">
        <f t="shared" si="20"/>
        <v>-2777735.4368932028</v>
      </c>
      <c r="T61" s="115">
        <f t="shared" si="21"/>
        <v>972207.4029126208</v>
      </c>
      <c r="U61" s="700"/>
    </row>
    <row r="62" spans="1:21" ht="12.95" customHeight="1" outlineLevel="1">
      <c r="A62" s="113">
        <v>41729</v>
      </c>
      <c r="B62" s="59">
        <f t="shared" si="27"/>
        <v>-4614625</v>
      </c>
      <c r="C62" s="59">
        <f t="shared" si="27"/>
        <v>-4614625</v>
      </c>
      <c r="D62" s="117"/>
      <c r="E62" s="59">
        <v>0</v>
      </c>
      <c r="F62" s="115">
        <f t="shared" si="28"/>
        <v>-44802.184466019418</v>
      </c>
      <c r="G62" s="117"/>
      <c r="H62" s="59">
        <f t="shared" si="29"/>
        <v>4614625</v>
      </c>
      <c r="I62" s="59">
        <f t="shared" si="29"/>
        <v>2150504.8543689335</v>
      </c>
      <c r="J62" s="117"/>
      <c r="K62" s="59">
        <f t="shared" si="25"/>
        <v>0</v>
      </c>
      <c r="L62" s="59">
        <f t="shared" si="25"/>
        <v>-2464120.1456310665</v>
      </c>
      <c r="M62" s="117"/>
      <c r="N62" s="59">
        <f t="shared" si="26"/>
        <v>-2464120.1456310665</v>
      </c>
      <c r="O62" s="59">
        <f t="shared" si="30"/>
        <v>862442.05097087321</v>
      </c>
      <c r="P62" s="59">
        <f t="shared" si="31"/>
        <v>15680.764563106815</v>
      </c>
      <c r="Q62" s="59">
        <f t="shared" si="32"/>
        <v>-1601678.0946601932</v>
      </c>
      <c r="R62" s="115">
        <f>(Q50+Q62+(SUM(Q51)+SUM(Q52:Q61))*2)/24</f>
        <v>-1776406.6140776689</v>
      </c>
      <c r="S62" s="115">
        <f t="shared" si="20"/>
        <v>-2732933.2524271836</v>
      </c>
      <c r="T62" s="115">
        <f t="shared" si="21"/>
        <v>956526.63834951411</v>
      </c>
      <c r="U62" s="700"/>
    </row>
    <row r="63" spans="1:21" s="109" customFormat="1" ht="12.95" customHeight="1" outlineLevel="1">
      <c r="A63" s="114">
        <v>41759</v>
      </c>
      <c r="B63" s="115">
        <f t="shared" si="27"/>
        <v>-4614625</v>
      </c>
      <c r="C63" s="115">
        <f t="shared" si="27"/>
        <v>-4614625</v>
      </c>
      <c r="D63" s="164"/>
      <c r="E63" s="115">
        <v>0</v>
      </c>
      <c r="F63" s="115">
        <f t="shared" si="28"/>
        <v>-44802.184466019418</v>
      </c>
      <c r="G63" s="164"/>
      <c r="H63" s="115">
        <f t="shared" si="29"/>
        <v>4614625</v>
      </c>
      <c r="I63" s="115">
        <f t="shared" si="29"/>
        <v>2195307.0388349527</v>
      </c>
      <c r="J63" s="164"/>
      <c r="K63" s="115">
        <f t="shared" si="25"/>
        <v>0</v>
      </c>
      <c r="L63" s="115">
        <f>C63+I63</f>
        <v>-2419317.9611650473</v>
      </c>
      <c r="M63" s="164"/>
      <c r="N63" s="115">
        <f t="shared" si="26"/>
        <v>-2419317.9611650473</v>
      </c>
      <c r="O63" s="115">
        <f t="shared" si="30"/>
        <v>846761.28640776651</v>
      </c>
      <c r="P63" s="115">
        <f t="shared" si="31"/>
        <v>15680.764563106699</v>
      </c>
      <c r="Q63" s="115">
        <f>L63+O63</f>
        <v>-1572556.6747572809</v>
      </c>
      <c r="R63" s="115">
        <f>(Q51+Q63+(SUM(Q52:Q62))*2)/24</f>
        <v>-1747285.1941747563</v>
      </c>
      <c r="S63" s="115">
        <f t="shared" si="20"/>
        <v>-2688131.0679611643</v>
      </c>
      <c r="T63" s="115">
        <f t="shared" si="21"/>
        <v>940845.87378640717</v>
      </c>
      <c r="U63" s="700"/>
    </row>
    <row r="64" spans="1:21" ht="12.95" customHeight="1" outlineLevel="1">
      <c r="A64" s="114">
        <v>41790</v>
      </c>
      <c r="B64" s="115">
        <f t="shared" si="27"/>
        <v>-4614625</v>
      </c>
      <c r="C64" s="115">
        <f t="shared" si="27"/>
        <v>-4614625</v>
      </c>
      <c r="D64" s="164"/>
      <c r="E64" s="115">
        <v>0</v>
      </c>
      <c r="F64" s="115">
        <f t="shared" si="28"/>
        <v>-44802.184466019418</v>
      </c>
      <c r="G64" s="164"/>
      <c r="H64" s="115">
        <f t="shared" si="29"/>
        <v>4614625</v>
      </c>
      <c r="I64" s="115">
        <f t="shared" si="29"/>
        <v>2240109.223300972</v>
      </c>
      <c r="J64" s="164"/>
      <c r="K64" s="115">
        <f t="shared" si="25"/>
        <v>0</v>
      </c>
      <c r="L64" s="115">
        <f t="shared" si="25"/>
        <v>-2374515.776699028</v>
      </c>
      <c r="M64" s="164"/>
      <c r="N64" s="115">
        <f t="shared" si="26"/>
        <v>-2374515.776699028</v>
      </c>
      <c r="O64" s="115">
        <f t="shared" si="30"/>
        <v>831080.5218446597</v>
      </c>
      <c r="P64" s="115">
        <f t="shared" si="31"/>
        <v>15680.764563106815</v>
      </c>
      <c r="Q64" s="115">
        <f t="shared" si="32"/>
        <v>-1543435.2548543683</v>
      </c>
      <c r="R64" s="115">
        <f>(Q52+Q64+(SUM(Q53:Q63))*2)/24</f>
        <v>-1718163.774271844</v>
      </c>
      <c r="S64" s="115">
        <f t="shared" si="20"/>
        <v>-2643328.8834951445</v>
      </c>
      <c r="T64" s="115">
        <f t="shared" si="21"/>
        <v>925165.10922330047</v>
      </c>
      <c r="U64" s="700"/>
    </row>
    <row r="65" spans="1:26" ht="12.95" customHeight="1" outlineLevel="1">
      <c r="A65" s="114">
        <v>41820</v>
      </c>
      <c r="B65" s="115">
        <f t="shared" si="27"/>
        <v>-4614625</v>
      </c>
      <c r="C65" s="115">
        <f t="shared" si="27"/>
        <v>-4614625</v>
      </c>
      <c r="D65" s="164"/>
      <c r="E65" s="115">
        <v>0</v>
      </c>
      <c r="F65" s="115">
        <f t="shared" si="28"/>
        <v>-44802.184466019418</v>
      </c>
      <c r="G65" s="164"/>
      <c r="H65" s="115">
        <f t="shared" si="29"/>
        <v>4614625</v>
      </c>
      <c r="I65" s="115">
        <f t="shared" si="29"/>
        <v>2284911.4077669913</v>
      </c>
      <c r="J65" s="164"/>
      <c r="K65" s="115">
        <f t="shared" si="25"/>
        <v>0</v>
      </c>
      <c r="L65" s="115">
        <f t="shared" si="25"/>
        <v>-2329713.5922330087</v>
      </c>
      <c r="M65" s="164"/>
      <c r="N65" s="115">
        <f t="shared" si="26"/>
        <v>-2329713.5922330087</v>
      </c>
      <c r="O65" s="115">
        <f t="shared" si="30"/>
        <v>815399.757281553</v>
      </c>
      <c r="P65" s="115">
        <f t="shared" si="31"/>
        <v>15680.764563106699</v>
      </c>
      <c r="Q65" s="115">
        <f t="shared" si="32"/>
        <v>-1514313.8349514557</v>
      </c>
      <c r="R65" s="115">
        <f t="shared" ref="R65:R123" si="33">(Q53+Q65+(SUM(Q54:Q64))*2)/24</f>
        <v>-1689042.3543689314</v>
      </c>
      <c r="S65" s="115">
        <f t="shared" si="20"/>
        <v>-2598526.6990291253</v>
      </c>
      <c r="T65" s="115">
        <f t="shared" si="21"/>
        <v>909484.34466019366</v>
      </c>
      <c r="U65" s="700"/>
    </row>
    <row r="66" spans="1:26" s="109" customFormat="1" ht="12.95" customHeight="1" outlineLevel="1">
      <c r="A66" s="114">
        <v>41851</v>
      </c>
      <c r="B66" s="115">
        <f t="shared" ref="B66:C81" si="34">B65</f>
        <v>-4614625</v>
      </c>
      <c r="C66" s="115">
        <f t="shared" si="34"/>
        <v>-4614625</v>
      </c>
      <c r="D66" s="164"/>
      <c r="E66" s="115">
        <v>0</v>
      </c>
      <c r="F66" s="115">
        <f t="shared" si="28"/>
        <v>-44802.184466019418</v>
      </c>
      <c r="G66" s="164"/>
      <c r="H66" s="115">
        <f t="shared" ref="H66:I81" si="35">H65-E66</f>
        <v>4614625</v>
      </c>
      <c r="I66" s="115">
        <f t="shared" si="35"/>
        <v>2329713.5922330106</v>
      </c>
      <c r="J66" s="164"/>
      <c r="K66" s="115">
        <f t="shared" ref="K66:L87" si="36">B66+H66</f>
        <v>0</v>
      </c>
      <c r="L66" s="115">
        <f t="shared" si="36"/>
        <v>-2284911.4077669894</v>
      </c>
      <c r="M66" s="164"/>
      <c r="N66" s="115">
        <f t="shared" si="26"/>
        <v>-2284911.4077669894</v>
      </c>
      <c r="O66" s="115">
        <f t="shared" si="30"/>
        <v>799718.9927184463</v>
      </c>
      <c r="P66" s="115">
        <f t="shared" si="31"/>
        <v>15680.764563106699</v>
      </c>
      <c r="Q66" s="115">
        <f t="shared" si="32"/>
        <v>-1485192.4150485431</v>
      </c>
      <c r="R66" s="115">
        <f t="shared" si="33"/>
        <v>-1659920.9344660186</v>
      </c>
      <c r="S66" s="115">
        <f t="shared" si="20"/>
        <v>-2553724.514563106</v>
      </c>
      <c r="T66" s="115">
        <f t="shared" si="21"/>
        <v>893803.58009708684</v>
      </c>
      <c r="U66" s="700"/>
    </row>
    <row r="67" spans="1:26" ht="12.95" customHeight="1" outlineLevel="1">
      <c r="A67" s="114">
        <v>41882</v>
      </c>
      <c r="B67" s="115">
        <f t="shared" si="34"/>
        <v>-4614625</v>
      </c>
      <c r="C67" s="115">
        <f t="shared" si="34"/>
        <v>-4614625</v>
      </c>
      <c r="D67" s="164"/>
      <c r="E67" s="115">
        <v>0</v>
      </c>
      <c r="F67" s="115">
        <f t="shared" si="28"/>
        <v>-44802.184466019418</v>
      </c>
      <c r="G67" s="164"/>
      <c r="H67" s="115">
        <f t="shared" si="35"/>
        <v>4614625</v>
      </c>
      <c r="I67" s="115">
        <f t="shared" si="35"/>
        <v>2374515.7766990298</v>
      </c>
      <c r="J67" s="164"/>
      <c r="K67" s="115">
        <f t="shared" si="36"/>
        <v>0</v>
      </c>
      <c r="L67" s="115">
        <f t="shared" si="36"/>
        <v>-2240109.2233009702</v>
      </c>
      <c r="M67" s="164"/>
      <c r="N67" s="115">
        <f t="shared" si="26"/>
        <v>-2240109.2233009702</v>
      </c>
      <c r="O67" s="115">
        <f t="shared" si="30"/>
        <v>784038.22815533949</v>
      </c>
      <c r="P67" s="115">
        <f t="shared" si="31"/>
        <v>15680.764563106815</v>
      </c>
      <c r="Q67" s="115">
        <f t="shared" si="32"/>
        <v>-1456070.9951456306</v>
      </c>
      <c r="R67" s="115">
        <f t="shared" si="33"/>
        <v>-1630799.514563106</v>
      </c>
      <c r="S67" s="115">
        <f t="shared" si="20"/>
        <v>-2508922.3300970867</v>
      </c>
      <c r="T67" s="115">
        <f t="shared" si="21"/>
        <v>878122.81553398015</v>
      </c>
      <c r="U67" s="700"/>
    </row>
    <row r="68" spans="1:26" ht="12.95" customHeight="1" outlineLevel="1">
      <c r="A68" s="114">
        <v>41912</v>
      </c>
      <c r="B68" s="115">
        <f t="shared" si="34"/>
        <v>-4614625</v>
      </c>
      <c r="C68" s="115">
        <f t="shared" si="34"/>
        <v>-4614625</v>
      </c>
      <c r="D68" s="164"/>
      <c r="E68" s="115">
        <v>0</v>
      </c>
      <c r="F68" s="115">
        <f t="shared" si="28"/>
        <v>-44802.184466019418</v>
      </c>
      <c r="G68" s="164"/>
      <c r="H68" s="115">
        <f t="shared" si="35"/>
        <v>4614625</v>
      </c>
      <c r="I68" s="115">
        <f t="shared" si="35"/>
        <v>2419317.9611650491</v>
      </c>
      <c r="J68" s="164"/>
      <c r="K68" s="115">
        <f t="shared" si="36"/>
        <v>0</v>
      </c>
      <c r="L68" s="115">
        <f t="shared" si="36"/>
        <v>-2195307.0388349509</v>
      </c>
      <c r="M68" s="164"/>
      <c r="N68" s="115">
        <f t="shared" si="26"/>
        <v>-2195307.0388349509</v>
      </c>
      <c r="O68" s="115">
        <f t="shared" si="30"/>
        <v>768357.46359223279</v>
      </c>
      <c r="P68" s="115">
        <f t="shared" si="31"/>
        <v>15680.764563106699</v>
      </c>
      <c r="Q68" s="115">
        <f t="shared" si="32"/>
        <v>-1426949.5752427182</v>
      </c>
      <c r="R68" s="115">
        <f t="shared" si="33"/>
        <v>-1601678.0946601934</v>
      </c>
      <c r="S68" s="115">
        <f t="shared" si="20"/>
        <v>-2464120.1456310675</v>
      </c>
      <c r="T68" s="115">
        <f t="shared" si="21"/>
        <v>862442.05097087333</v>
      </c>
      <c r="U68" s="700"/>
    </row>
    <row r="69" spans="1:26" ht="12.95" customHeight="1" outlineLevel="1">
      <c r="A69" s="114">
        <v>41943</v>
      </c>
      <c r="B69" s="115">
        <f t="shared" si="34"/>
        <v>-4614625</v>
      </c>
      <c r="C69" s="115">
        <f t="shared" si="34"/>
        <v>-4614625</v>
      </c>
      <c r="D69" s="164"/>
      <c r="E69" s="115">
        <v>0</v>
      </c>
      <c r="F69" s="115">
        <f t="shared" si="28"/>
        <v>-44802.184466019418</v>
      </c>
      <c r="G69" s="164"/>
      <c r="H69" s="115">
        <f t="shared" si="35"/>
        <v>4614625</v>
      </c>
      <c r="I69" s="115">
        <f t="shared" si="35"/>
        <v>2464120.1456310684</v>
      </c>
      <c r="J69" s="164"/>
      <c r="K69" s="115">
        <f t="shared" si="36"/>
        <v>0</v>
      </c>
      <c r="L69" s="115">
        <f t="shared" si="36"/>
        <v>-2150504.8543689316</v>
      </c>
      <c r="M69" s="164"/>
      <c r="N69" s="115">
        <f t="shared" si="26"/>
        <v>-2150504.8543689316</v>
      </c>
      <c r="O69" s="115">
        <f t="shared" si="30"/>
        <v>752676.69902912597</v>
      </c>
      <c r="P69" s="115">
        <f t="shared" si="31"/>
        <v>15680.764563106815</v>
      </c>
      <c r="Q69" s="115">
        <f t="shared" si="32"/>
        <v>-1397828.1553398056</v>
      </c>
      <c r="R69" s="115">
        <f t="shared" si="33"/>
        <v>-1572556.6747572806</v>
      </c>
      <c r="S69" s="115">
        <f t="shared" si="20"/>
        <v>-2419317.9611650477</v>
      </c>
      <c r="T69" s="115">
        <f t="shared" si="21"/>
        <v>846761.28640776651</v>
      </c>
      <c r="U69" s="700"/>
    </row>
    <row r="70" spans="1:26" s="109" customFormat="1" ht="12.95" customHeight="1" outlineLevel="1">
      <c r="A70" s="114">
        <v>41973</v>
      </c>
      <c r="B70" s="115">
        <f t="shared" si="34"/>
        <v>-4614625</v>
      </c>
      <c r="C70" s="115">
        <f t="shared" si="34"/>
        <v>-4614625</v>
      </c>
      <c r="D70" s="164"/>
      <c r="E70" s="115">
        <v>0</v>
      </c>
      <c r="F70" s="115">
        <f t="shared" si="28"/>
        <v>-44802.184466019418</v>
      </c>
      <c r="G70" s="164"/>
      <c r="H70" s="115">
        <f t="shared" si="35"/>
        <v>4614625</v>
      </c>
      <c r="I70" s="115">
        <f t="shared" si="35"/>
        <v>2508922.3300970877</v>
      </c>
      <c r="J70" s="164"/>
      <c r="K70" s="115">
        <f t="shared" si="36"/>
        <v>0</v>
      </c>
      <c r="L70" s="115">
        <f t="shared" si="36"/>
        <v>-2105702.6699029123</v>
      </c>
      <c r="M70" s="164"/>
      <c r="N70" s="115">
        <f t="shared" si="26"/>
        <v>-2105702.6699029123</v>
      </c>
      <c r="O70" s="115">
        <f t="shared" si="30"/>
        <v>736995.93446601927</v>
      </c>
      <c r="P70" s="115">
        <f t="shared" si="31"/>
        <v>15680.764563106699</v>
      </c>
      <c r="Q70" s="115">
        <f t="shared" si="32"/>
        <v>-1368706.7354368931</v>
      </c>
      <c r="R70" s="115">
        <f t="shared" si="33"/>
        <v>-1543435.2548543683</v>
      </c>
      <c r="S70" s="115">
        <f t="shared" si="20"/>
        <v>-2374515.7766990284</v>
      </c>
      <c r="T70" s="115">
        <f t="shared" si="21"/>
        <v>831080.52184465958</v>
      </c>
      <c r="U70" s="700"/>
    </row>
    <row r="71" spans="1:26" s="109" customFormat="1" ht="12.6" customHeight="1" outlineLevel="1">
      <c r="A71" s="114">
        <v>42004</v>
      </c>
      <c r="B71" s="115">
        <f t="shared" si="34"/>
        <v>-4614625</v>
      </c>
      <c r="C71" s="115">
        <f t="shared" si="34"/>
        <v>-4614625</v>
      </c>
      <c r="D71" s="164"/>
      <c r="E71" s="115">
        <v>0</v>
      </c>
      <c r="F71" s="115">
        <f t="shared" si="28"/>
        <v>-44802.184466019418</v>
      </c>
      <c r="G71" s="164"/>
      <c r="H71" s="115">
        <f t="shared" si="35"/>
        <v>4614625</v>
      </c>
      <c r="I71" s="115">
        <f t="shared" si="35"/>
        <v>2553724.5145631069</v>
      </c>
      <c r="J71" s="164"/>
      <c r="K71" s="115">
        <f t="shared" si="36"/>
        <v>0</v>
      </c>
      <c r="L71" s="115">
        <f t="shared" si="36"/>
        <v>-2060900.4854368931</v>
      </c>
      <c r="M71" s="164"/>
      <c r="N71" s="115">
        <f t="shared" si="26"/>
        <v>-2060900.4854368931</v>
      </c>
      <c r="O71" s="115">
        <f t="shared" si="30"/>
        <v>721315.16990291257</v>
      </c>
      <c r="P71" s="115">
        <f t="shared" si="31"/>
        <v>15680.764563106699</v>
      </c>
      <c r="Q71" s="115">
        <f t="shared" si="32"/>
        <v>-1339585.3155339805</v>
      </c>
      <c r="R71" s="115">
        <f t="shared" si="33"/>
        <v>-1514313.8349514559</v>
      </c>
      <c r="S71" s="115">
        <f t="shared" si="20"/>
        <v>-2329713.5922330092</v>
      </c>
      <c r="T71" s="115">
        <f t="shared" si="21"/>
        <v>815399.757281553</v>
      </c>
      <c r="U71" s="700"/>
    </row>
    <row r="72" spans="1:26" ht="12.95" customHeight="1">
      <c r="A72" s="113">
        <v>42035</v>
      </c>
      <c r="B72" s="59">
        <f t="shared" si="34"/>
        <v>-4614625</v>
      </c>
      <c r="C72" s="59">
        <f t="shared" si="34"/>
        <v>-4614625</v>
      </c>
      <c r="D72" s="117"/>
      <c r="E72" s="59">
        <v>0</v>
      </c>
      <c r="F72" s="115">
        <f t="shared" si="28"/>
        <v>-44802.184466019418</v>
      </c>
      <c r="G72" s="117"/>
      <c r="H72" s="59">
        <f t="shared" si="35"/>
        <v>4614625</v>
      </c>
      <c r="I72" s="59">
        <f t="shared" si="35"/>
        <v>2598526.6990291262</v>
      </c>
      <c r="J72" s="117"/>
      <c r="K72" s="59">
        <f t="shared" si="36"/>
        <v>0</v>
      </c>
      <c r="L72" s="59">
        <f t="shared" si="36"/>
        <v>-2016098.3009708738</v>
      </c>
      <c r="M72" s="117"/>
      <c r="N72" s="59">
        <f t="shared" si="26"/>
        <v>-2016098.3009708738</v>
      </c>
      <c r="O72" s="59">
        <f t="shared" si="30"/>
        <v>705634.40533980576</v>
      </c>
      <c r="P72" s="59">
        <f t="shared" si="31"/>
        <v>15680.764563106815</v>
      </c>
      <c r="Q72" s="59">
        <f t="shared" si="32"/>
        <v>-1310463.8956310679</v>
      </c>
      <c r="R72" s="115">
        <f t="shared" si="33"/>
        <v>-1485192.4150485431</v>
      </c>
      <c r="S72" s="115">
        <f t="shared" si="20"/>
        <v>-2284911.4077669899</v>
      </c>
      <c r="T72" s="115">
        <f t="shared" si="21"/>
        <v>799718.99271844642</v>
      </c>
      <c r="U72" s="700"/>
    </row>
    <row r="73" spans="1:26" s="109" customFormat="1" ht="12.95" customHeight="1">
      <c r="A73" s="114">
        <v>42063</v>
      </c>
      <c r="B73" s="115">
        <f t="shared" si="34"/>
        <v>-4614625</v>
      </c>
      <c r="C73" s="115">
        <f t="shared" si="34"/>
        <v>-4614625</v>
      </c>
      <c r="D73" s="164"/>
      <c r="E73" s="115">
        <v>0</v>
      </c>
      <c r="F73" s="115">
        <f t="shared" si="28"/>
        <v>-44802.184466019418</v>
      </c>
      <c r="G73" s="164"/>
      <c r="H73" s="115">
        <f t="shared" si="35"/>
        <v>4614625</v>
      </c>
      <c r="I73" s="115">
        <f t="shared" si="35"/>
        <v>2643328.8834951455</v>
      </c>
      <c r="J73" s="164"/>
      <c r="K73" s="115">
        <f t="shared" si="36"/>
        <v>0</v>
      </c>
      <c r="L73" s="115">
        <f t="shared" si="36"/>
        <v>-1971296.1165048545</v>
      </c>
      <c r="M73" s="164"/>
      <c r="N73" s="115">
        <f t="shared" si="26"/>
        <v>-1971296.1165048545</v>
      </c>
      <c r="O73" s="115">
        <f t="shared" si="30"/>
        <v>689953.64077669906</v>
      </c>
      <c r="P73" s="115">
        <f t="shared" si="31"/>
        <v>15680.764563106699</v>
      </c>
      <c r="Q73" s="115">
        <f t="shared" si="32"/>
        <v>-1281342.4757281556</v>
      </c>
      <c r="R73" s="115">
        <f t="shared" si="33"/>
        <v>-1456070.9951456308</v>
      </c>
      <c r="S73" s="115">
        <f t="shared" si="20"/>
        <v>-2240109.2233009706</v>
      </c>
      <c r="T73" s="115">
        <f t="shared" si="21"/>
        <v>784038.22815533949</v>
      </c>
      <c r="U73" s="700"/>
    </row>
    <row r="74" spans="1:26" s="109" customFormat="1" ht="12.95" customHeight="1">
      <c r="A74" s="114">
        <v>42094</v>
      </c>
      <c r="B74" s="115">
        <f t="shared" si="34"/>
        <v>-4614625</v>
      </c>
      <c r="C74" s="115">
        <f t="shared" si="34"/>
        <v>-4614625</v>
      </c>
      <c r="D74" s="164"/>
      <c r="E74" s="115">
        <v>0</v>
      </c>
      <c r="F74" s="115">
        <f t="shared" si="28"/>
        <v>-44802.184466019418</v>
      </c>
      <c r="G74" s="164"/>
      <c r="H74" s="115">
        <f t="shared" si="35"/>
        <v>4614625</v>
      </c>
      <c r="I74" s="115">
        <f t="shared" si="35"/>
        <v>2688131.0679611648</v>
      </c>
      <c r="J74" s="164"/>
      <c r="K74" s="115">
        <f t="shared" si="36"/>
        <v>0</v>
      </c>
      <c r="L74" s="115">
        <f t="shared" si="36"/>
        <v>-1926493.9320388352</v>
      </c>
      <c r="M74" s="164"/>
      <c r="N74" s="115">
        <f t="shared" si="26"/>
        <v>-1926493.9320388352</v>
      </c>
      <c r="O74" s="115">
        <f t="shared" si="30"/>
        <v>674272.87621359224</v>
      </c>
      <c r="P74" s="115">
        <f t="shared" si="31"/>
        <v>15680.764563106815</v>
      </c>
      <c r="Q74" s="115">
        <f t="shared" si="32"/>
        <v>-1252221.055825243</v>
      </c>
      <c r="R74" s="115">
        <f t="shared" si="33"/>
        <v>-1426949.5752427184</v>
      </c>
      <c r="S74" s="115">
        <f t="shared" si="20"/>
        <v>-2195307.0388349514</v>
      </c>
      <c r="T74" s="115">
        <f t="shared" si="21"/>
        <v>768357.46359223279</v>
      </c>
      <c r="U74" s="700"/>
    </row>
    <row r="75" spans="1:26" s="109" customFormat="1" ht="12.95" customHeight="1">
      <c r="A75" s="114">
        <v>42124</v>
      </c>
      <c r="B75" s="115">
        <f t="shared" si="34"/>
        <v>-4614625</v>
      </c>
      <c r="C75" s="115">
        <f t="shared" si="34"/>
        <v>-4614625</v>
      </c>
      <c r="D75" s="164"/>
      <c r="E75" s="115">
        <v>0</v>
      </c>
      <c r="F75" s="115">
        <f t="shared" si="28"/>
        <v>-44802.184466019418</v>
      </c>
      <c r="G75" s="164"/>
      <c r="H75" s="115">
        <f t="shared" si="35"/>
        <v>4614625</v>
      </c>
      <c r="I75" s="115">
        <f t="shared" si="35"/>
        <v>2732933.252427184</v>
      </c>
      <c r="J75" s="164"/>
      <c r="K75" s="115">
        <f t="shared" si="36"/>
        <v>0</v>
      </c>
      <c r="L75" s="115">
        <f t="shared" si="36"/>
        <v>-1881691.747572816</v>
      </c>
      <c r="M75" s="164"/>
      <c r="N75" s="115">
        <f t="shared" si="26"/>
        <v>-1881691.747572816</v>
      </c>
      <c r="O75" s="115">
        <f t="shared" si="30"/>
        <v>658592.11165048555</v>
      </c>
      <c r="P75" s="115">
        <f t="shared" si="31"/>
        <v>15680.764563106699</v>
      </c>
      <c r="Q75" s="115">
        <f t="shared" si="32"/>
        <v>-1223099.6359223304</v>
      </c>
      <c r="R75" s="115">
        <f t="shared" si="33"/>
        <v>-1397828.1553398056</v>
      </c>
      <c r="S75" s="115">
        <f t="shared" ref="S75:S79" si="37">(L63+L75+SUM(L64:L74)*2)/24</f>
        <v>-2150504.8543689321</v>
      </c>
      <c r="T75" s="115">
        <f t="shared" ref="T75:T79" si="38">(O63+O75+SUM(O64:O74)*2)/24</f>
        <v>752676.69902912609</v>
      </c>
      <c r="U75" s="700"/>
    </row>
    <row r="76" spans="1:26" ht="12.95" customHeight="1">
      <c r="A76" s="113">
        <v>42155</v>
      </c>
      <c r="B76" s="59">
        <f t="shared" si="34"/>
        <v>-4614625</v>
      </c>
      <c r="C76" s="59">
        <f t="shared" si="34"/>
        <v>-4614625</v>
      </c>
      <c r="D76" s="117"/>
      <c r="E76" s="59">
        <v>0</v>
      </c>
      <c r="F76" s="115">
        <f t="shared" si="28"/>
        <v>-44802.184466019418</v>
      </c>
      <c r="G76" s="117"/>
      <c r="H76" s="59">
        <f t="shared" si="35"/>
        <v>4614625</v>
      </c>
      <c r="I76" s="59">
        <f t="shared" si="35"/>
        <v>2777735.4368932033</v>
      </c>
      <c r="J76" s="117"/>
      <c r="K76" s="59">
        <f t="shared" si="36"/>
        <v>0</v>
      </c>
      <c r="L76" s="59">
        <f t="shared" si="36"/>
        <v>-1836889.5631067967</v>
      </c>
      <c r="M76" s="117"/>
      <c r="N76" s="59">
        <f t="shared" si="26"/>
        <v>-1836889.5631067967</v>
      </c>
      <c r="O76" s="59">
        <f t="shared" si="30"/>
        <v>642911.34708737885</v>
      </c>
      <c r="P76" s="59">
        <f t="shared" si="31"/>
        <v>15680.764563106699</v>
      </c>
      <c r="Q76" s="59">
        <f t="shared" si="32"/>
        <v>-1193978.2160194179</v>
      </c>
      <c r="R76" s="115">
        <f t="shared" si="33"/>
        <v>-1368706.7354368933</v>
      </c>
      <c r="S76" s="115">
        <f t="shared" si="37"/>
        <v>-2105702.6699029128</v>
      </c>
      <c r="T76" s="115">
        <f t="shared" si="38"/>
        <v>736995.93446601927</v>
      </c>
      <c r="U76" s="700"/>
    </row>
    <row r="77" spans="1:26" ht="12.95" customHeight="1">
      <c r="A77" s="114">
        <v>42185</v>
      </c>
      <c r="B77" s="115">
        <f t="shared" si="34"/>
        <v>-4614625</v>
      </c>
      <c r="C77" s="115">
        <f t="shared" si="34"/>
        <v>-4614625</v>
      </c>
      <c r="D77" s="164"/>
      <c r="E77" s="115">
        <v>0</v>
      </c>
      <c r="F77" s="115">
        <f t="shared" si="28"/>
        <v>-44802.184466019418</v>
      </c>
      <c r="G77" s="164"/>
      <c r="H77" s="115">
        <f t="shared" si="35"/>
        <v>4614625</v>
      </c>
      <c r="I77" s="115">
        <f t="shared" si="35"/>
        <v>2822537.6213592226</v>
      </c>
      <c r="J77" s="164"/>
      <c r="K77" s="115">
        <f t="shared" si="36"/>
        <v>0</v>
      </c>
      <c r="L77" s="115">
        <f t="shared" si="36"/>
        <v>-1792087.3786407774</v>
      </c>
      <c r="M77" s="164"/>
      <c r="N77" s="115">
        <f t="shared" si="26"/>
        <v>-1792087.3786407774</v>
      </c>
      <c r="O77" s="115">
        <f t="shared" si="30"/>
        <v>627230.58252427203</v>
      </c>
      <c r="P77" s="115">
        <f t="shared" si="31"/>
        <v>15680.764563106815</v>
      </c>
      <c r="Q77" s="115">
        <f t="shared" si="32"/>
        <v>-1164856.7961165053</v>
      </c>
      <c r="R77" s="115">
        <f t="shared" si="33"/>
        <v>-1339585.3155339805</v>
      </c>
      <c r="S77" s="115">
        <f t="shared" si="37"/>
        <v>-2060900.4854368938</v>
      </c>
      <c r="T77" s="115">
        <f t="shared" si="38"/>
        <v>721315.16990291246</v>
      </c>
      <c r="U77" s="700"/>
      <c r="V77" s="109"/>
      <c r="W77" s="109"/>
      <c r="X77" s="109"/>
      <c r="Y77" s="109"/>
      <c r="Z77" s="109"/>
    </row>
    <row r="78" spans="1:26" ht="12.6" customHeight="1">
      <c r="A78" s="114">
        <v>42216</v>
      </c>
      <c r="B78" s="115">
        <f t="shared" si="34"/>
        <v>-4614625</v>
      </c>
      <c r="C78" s="115">
        <f t="shared" si="34"/>
        <v>-4614625</v>
      </c>
      <c r="D78" s="164"/>
      <c r="E78" s="115">
        <v>0</v>
      </c>
      <c r="F78" s="115">
        <f t="shared" si="28"/>
        <v>-44802.184466019418</v>
      </c>
      <c r="G78" s="164"/>
      <c r="H78" s="115">
        <f t="shared" si="35"/>
        <v>4614625</v>
      </c>
      <c r="I78" s="115">
        <f t="shared" si="35"/>
        <v>2867339.8058252418</v>
      </c>
      <c r="J78" s="164"/>
      <c r="K78" s="115">
        <f t="shared" si="36"/>
        <v>0</v>
      </c>
      <c r="L78" s="115">
        <f t="shared" si="36"/>
        <v>-1747285.1941747582</v>
      </c>
      <c r="M78" s="164"/>
      <c r="N78" s="115">
        <f t="shared" si="26"/>
        <v>-1747285.1941747582</v>
      </c>
      <c r="O78" s="115">
        <f t="shared" si="30"/>
        <v>611549.81796116533</v>
      </c>
      <c r="P78" s="115">
        <f t="shared" si="31"/>
        <v>15680.764563106699</v>
      </c>
      <c r="Q78" s="115">
        <f t="shared" si="32"/>
        <v>-1135735.3762135929</v>
      </c>
      <c r="R78" s="115">
        <f t="shared" si="33"/>
        <v>-1310463.8956310682</v>
      </c>
      <c r="S78" s="115">
        <f t="shared" si="37"/>
        <v>-2016098.3009708745</v>
      </c>
      <c r="T78" s="115">
        <f t="shared" si="38"/>
        <v>705634.40533980576</v>
      </c>
      <c r="U78" s="700"/>
      <c r="V78" s="109"/>
      <c r="W78" s="109"/>
      <c r="X78" s="109"/>
      <c r="Y78" s="109"/>
      <c r="Z78" s="109"/>
    </row>
    <row r="79" spans="1:26" s="109" customFormat="1" ht="12.6" customHeight="1">
      <c r="A79" s="114">
        <v>42247</v>
      </c>
      <c r="B79" s="115">
        <f t="shared" si="34"/>
        <v>-4614625</v>
      </c>
      <c r="C79" s="115">
        <f t="shared" si="34"/>
        <v>-4614625</v>
      </c>
      <c r="D79" s="164"/>
      <c r="E79" s="115">
        <v>0</v>
      </c>
      <c r="F79" s="115">
        <f t="shared" si="28"/>
        <v>-44802.184466019418</v>
      </c>
      <c r="G79" s="164"/>
      <c r="H79" s="115">
        <f t="shared" si="35"/>
        <v>4614625</v>
      </c>
      <c r="I79" s="115">
        <f t="shared" si="35"/>
        <v>2912141.9902912611</v>
      </c>
      <c r="J79" s="164"/>
      <c r="K79" s="115">
        <f t="shared" si="36"/>
        <v>0</v>
      </c>
      <c r="L79" s="115">
        <f t="shared" si="36"/>
        <v>-1702483.0097087389</v>
      </c>
      <c r="M79" s="164"/>
      <c r="N79" s="115">
        <f t="shared" si="26"/>
        <v>-1702483.0097087389</v>
      </c>
      <c r="O79" s="115">
        <f t="shared" si="30"/>
        <v>595869.05339805852</v>
      </c>
      <c r="P79" s="115">
        <f t="shared" si="31"/>
        <v>15680.764563106815</v>
      </c>
      <c r="Q79" s="115">
        <f t="shared" si="32"/>
        <v>-1106613.9563106804</v>
      </c>
      <c r="R79" s="115">
        <f t="shared" si="33"/>
        <v>-1281342.4757281558</v>
      </c>
      <c r="S79" s="115">
        <f t="shared" si="37"/>
        <v>-1971296.1165048552</v>
      </c>
      <c r="T79" s="115">
        <f t="shared" si="38"/>
        <v>689953.64077669906</v>
      </c>
      <c r="U79" s="700"/>
    </row>
    <row r="80" spans="1:26" s="109" customFormat="1" ht="12.6" customHeight="1">
      <c r="A80" s="114">
        <v>42277</v>
      </c>
      <c r="B80" s="115">
        <f t="shared" si="34"/>
        <v>-4614625</v>
      </c>
      <c r="C80" s="115">
        <f t="shared" si="34"/>
        <v>-4614625</v>
      </c>
      <c r="D80" s="164"/>
      <c r="E80" s="115">
        <v>0</v>
      </c>
      <c r="F80" s="115">
        <f t="shared" si="28"/>
        <v>-44802.184466019418</v>
      </c>
      <c r="G80" s="164"/>
      <c r="H80" s="115">
        <f t="shared" si="35"/>
        <v>4614625</v>
      </c>
      <c r="I80" s="115">
        <f t="shared" si="35"/>
        <v>2956944.1747572804</v>
      </c>
      <c r="J80" s="164"/>
      <c r="K80" s="115">
        <f t="shared" si="36"/>
        <v>0</v>
      </c>
      <c r="L80" s="115">
        <f t="shared" si="36"/>
        <v>-1657680.8252427196</v>
      </c>
      <c r="M80" s="164"/>
      <c r="N80" s="115">
        <f t="shared" si="26"/>
        <v>-1657680.8252427196</v>
      </c>
      <c r="O80" s="115">
        <f t="shared" si="30"/>
        <v>580188.28883495182</v>
      </c>
      <c r="P80" s="115">
        <f t="shared" si="31"/>
        <v>15680.764563106699</v>
      </c>
      <c r="Q80" s="115">
        <f t="shared" si="32"/>
        <v>-1077492.5364077678</v>
      </c>
      <c r="R80" s="115">
        <f t="shared" si="33"/>
        <v>-1252221.055825243</v>
      </c>
      <c r="S80" s="115">
        <f t="shared" ref="S80:S81" si="39">(L68+L80+SUM(L69:L79)*2)/24</f>
        <v>-1926493.9320388359</v>
      </c>
      <c r="T80" s="115">
        <f t="shared" ref="T80:T81" si="40">(O68+O80+SUM(O69:O79)*2)/24</f>
        <v>674272.87621359236</v>
      </c>
      <c r="U80" s="700"/>
    </row>
    <row r="81" spans="1:21" s="109" customFormat="1" ht="12.95" customHeight="1">
      <c r="A81" s="114">
        <v>42308</v>
      </c>
      <c r="B81" s="115">
        <f t="shared" si="34"/>
        <v>-4614625</v>
      </c>
      <c r="C81" s="115">
        <f t="shared" si="34"/>
        <v>-4614625</v>
      </c>
      <c r="D81" s="164"/>
      <c r="E81" s="115">
        <v>0</v>
      </c>
      <c r="F81" s="115">
        <f t="shared" si="28"/>
        <v>-44802.184466019418</v>
      </c>
      <c r="G81" s="164"/>
      <c r="H81" s="115">
        <f t="shared" si="35"/>
        <v>4614625</v>
      </c>
      <c r="I81" s="115">
        <f t="shared" si="35"/>
        <v>3001746.3592232997</v>
      </c>
      <c r="J81" s="164"/>
      <c r="K81" s="115">
        <f t="shared" si="36"/>
        <v>0</v>
      </c>
      <c r="L81" s="115">
        <f t="shared" si="36"/>
        <v>-1612878.6407767003</v>
      </c>
      <c r="M81" s="164"/>
      <c r="N81" s="115">
        <f t="shared" si="26"/>
        <v>-1612878.6407767003</v>
      </c>
      <c r="O81" s="115">
        <f t="shared" si="30"/>
        <v>564507.52427184512</v>
      </c>
      <c r="P81" s="115">
        <f t="shared" si="31"/>
        <v>15680.764563106699</v>
      </c>
      <c r="Q81" s="115">
        <f t="shared" si="32"/>
        <v>-1048371.1165048552</v>
      </c>
      <c r="R81" s="115">
        <f t="shared" si="33"/>
        <v>-1223099.6359223304</v>
      </c>
      <c r="S81" s="115">
        <f t="shared" si="39"/>
        <v>-1881691.7475728167</v>
      </c>
      <c r="T81" s="115">
        <f t="shared" si="40"/>
        <v>658592.11165048555</v>
      </c>
      <c r="U81" s="700"/>
    </row>
    <row r="82" spans="1:21" s="109" customFormat="1" ht="12.95" customHeight="1">
      <c r="A82" s="114">
        <v>42338</v>
      </c>
      <c r="B82" s="115">
        <f t="shared" ref="B82:C97" si="41">B81</f>
        <v>-4614625</v>
      </c>
      <c r="C82" s="115">
        <f t="shared" si="41"/>
        <v>-4614625</v>
      </c>
      <c r="D82" s="164"/>
      <c r="E82" s="115">
        <v>0</v>
      </c>
      <c r="F82" s="115">
        <f t="shared" si="28"/>
        <v>-44802.184466019418</v>
      </c>
      <c r="G82" s="164"/>
      <c r="H82" s="115">
        <f t="shared" ref="H82:I97" si="42">H81-E82</f>
        <v>4614625</v>
      </c>
      <c r="I82" s="115">
        <f t="shared" si="42"/>
        <v>3046548.5436893189</v>
      </c>
      <c r="J82" s="164"/>
      <c r="K82" s="115">
        <f t="shared" si="36"/>
        <v>0</v>
      </c>
      <c r="L82" s="115">
        <f t="shared" si="36"/>
        <v>-1568076.4563106811</v>
      </c>
      <c r="M82" s="164"/>
      <c r="N82" s="115">
        <f t="shared" si="26"/>
        <v>-1568076.4563106811</v>
      </c>
      <c r="O82" s="115">
        <f t="shared" si="30"/>
        <v>548826.7597087383</v>
      </c>
      <c r="P82" s="115">
        <f t="shared" si="31"/>
        <v>15680.764563106815</v>
      </c>
      <c r="Q82" s="115">
        <f t="shared" si="32"/>
        <v>-1019249.6966019428</v>
      </c>
      <c r="R82" s="115">
        <f t="shared" si="33"/>
        <v>-1193978.2160194181</v>
      </c>
      <c r="S82" s="115">
        <f t="shared" ref="S82" si="43">(L70+L82+SUM(L71:L81)*2)/24</f>
        <v>-1836889.5631067974</v>
      </c>
      <c r="T82" s="115">
        <f t="shared" ref="T82" si="44">(O70+O82+SUM(O71:O81)*2)/24</f>
        <v>642911.34708737873</v>
      </c>
      <c r="U82" s="700"/>
    </row>
    <row r="83" spans="1:21" s="109" customFormat="1" ht="12.95" customHeight="1">
      <c r="A83" s="114">
        <v>42369</v>
      </c>
      <c r="B83" s="115">
        <f t="shared" si="41"/>
        <v>-4614625</v>
      </c>
      <c r="C83" s="115">
        <f t="shared" si="41"/>
        <v>-4614625</v>
      </c>
      <c r="D83" s="164"/>
      <c r="E83" s="115">
        <v>0</v>
      </c>
      <c r="F83" s="115">
        <f t="shared" si="28"/>
        <v>-44802.184466019418</v>
      </c>
      <c r="G83" s="164"/>
      <c r="H83" s="115">
        <f t="shared" si="42"/>
        <v>4614625</v>
      </c>
      <c r="I83" s="115">
        <f t="shared" si="42"/>
        <v>3091350.7281553382</v>
      </c>
      <c r="J83" s="164"/>
      <c r="K83" s="115">
        <f t="shared" si="36"/>
        <v>0</v>
      </c>
      <c r="L83" s="115">
        <f t="shared" si="36"/>
        <v>-1523274.2718446618</v>
      </c>
      <c r="M83" s="164"/>
      <c r="N83" s="115">
        <f>L83-K83</f>
        <v>-1523274.2718446618</v>
      </c>
      <c r="O83" s="115">
        <f t="shared" si="30"/>
        <v>533145.9951456316</v>
      </c>
      <c r="P83" s="115">
        <f>-O83+O82</f>
        <v>15680.764563106699</v>
      </c>
      <c r="Q83" s="115">
        <f>L83+O83</f>
        <v>-990128.27669903019</v>
      </c>
      <c r="R83" s="115">
        <f t="shared" si="33"/>
        <v>-1164856.7961165055</v>
      </c>
      <c r="S83" s="115">
        <f>(L71+L83+SUM(L72:L82)*2)/24</f>
        <v>-1792087.3786407781</v>
      </c>
      <c r="T83" s="115">
        <f>(O71+O83+SUM(O72:O82)*2)/24</f>
        <v>627230.58252427203</v>
      </c>
      <c r="U83" s="700"/>
    </row>
    <row r="84" spans="1:21" s="109" customFormat="1" ht="12.95" customHeight="1">
      <c r="A84" s="114">
        <v>42400</v>
      </c>
      <c r="B84" s="115">
        <f t="shared" si="41"/>
        <v>-4614625</v>
      </c>
      <c r="C84" s="115">
        <f t="shared" si="41"/>
        <v>-4614625</v>
      </c>
      <c r="D84" s="164"/>
      <c r="E84" s="115">
        <v>0</v>
      </c>
      <c r="F84" s="115">
        <f t="shared" si="28"/>
        <v>-44802.184466019418</v>
      </c>
      <c r="G84" s="164"/>
      <c r="H84" s="115">
        <f t="shared" si="42"/>
        <v>4614625</v>
      </c>
      <c r="I84" s="115">
        <f t="shared" si="42"/>
        <v>3136152.9126213575</v>
      </c>
      <c r="J84" s="164"/>
      <c r="K84" s="115">
        <f t="shared" si="36"/>
        <v>0</v>
      </c>
      <c r="L84" s="115">
        <f t="shared" si="36"/>
        <v>-1478472.0873786425</v>
      </c>
      <c r="M84" s="164"/>
      <c r="N84" s="115">
        <f>L84-K84</f>
        <v>-1478472.0873786425</v>
      </c>
      <c r="O84" s="115">
        <f t="shared" si="30"/>
        <v>517465.23058252485</v>
      </c>
      <c r="P84" s="115">
        <f>-O84+O83</f>
        <v>15680.764563106757</v>
      </c>
      <c r="Q84" s="115">
        <f>L84+O84</f>
        <v>-961006.85679611773</v>
      </c>
      <c r="R84" s="115">
        <f t="shared" si="33"/>
        <v>-1135735.3762135932</v>
      </c>
      <c r="S84" s="115">
        <f t="shared" ref="S84:S87" si="45">(L72+L84+SUM(L73:L83)*2)/24</f>
        <v>-1747285.1941747589</v>
      </c>
      <c r="T84" s="115">
        <f t="shared" ref="T84:T87" si="46">(O72+O84+SUM(O73:O83)*2)/24</f>
        <v>611549.81796116533</v>
      </c>
    </row>
    <row r="85" spans="1:21" s="109" customFormat="1" ht="12.95" customHeight="1">
      <c r="A85" s="114">
        <v>42429</v>
      </c>
      <c r="B85" s="115">
        <f t="shared" si="41"/>
        <v>-4614625</v>
      </c>
      <c r="C85" s="115">
        <f t="shared" si="41"/>
        <v>-4614625</v>
      </c>
      <c r="D85" s="164"/>
      <c r="E85" s="115">
        <v>0</v>
      </c>
      <c r="F85" s="115">
        <f t="shared" si="28"/>
        <v>-44802.184466019418</v>
      </c>
      <c r="G85" s="164"/>
      <c r="H85" s="115">
        <f t="shared" si="42"/>
        <v>4614625</v>
      </c>
      <c r="I85" s="115">
        <f t="shared" si="42"/>
        <v>3180955.0970873768</v>
      </c>
      <c r="J85" s="164"/>
      <c r="K85" s="115">
        <f t="shared" si="36"/>
        <v>0</v>
      </c>
      <c r="L85" s="115">
        <f t="shared" si="36"/>
        <v>-1433669.9029126232</v>
      </c>
      <c r="M85" s="164"/>
      <c r="N85" s="115">
        <f>L85-K85</f>
        <v>-1433669.9029126232</v>
      </c>
      <c r="O85" s="115">
        <f t="shared" si="30"/>
        <v>501784.46601941809</v>
      </c>
      <c r="P85" s="115">
        <f>-O85+O84</f>
        <v>15680.764563106757</v>
      </c>
      <c r="Q85" s="115">
        <f>L85+O85</f>
        <v>-931885.43689320516</v>
      </c>
      <c r="R85" s="115">
        <f t="shared" si="33"/>
        <v>-1106613.9563106804</v>
      </c>
      <c r="S85" s="115">
        <f t="shared" si="45"/>
        <v>-1702483.0097087396</v>
      </c>
      <c r="T85" s="115">
        <f t="shared" si="46"/>
        <v>595869.05339805863</v>
      </c>
    </row>
    <row r="86" spans="1:21" s="109" customFormat="1" ht="12.95" customHeight="1">
      <c r="A86" s="114">
        <v>42460</v>
      </c>
      <c r="B86" s="115">
        <f t="shared" si="41"/>
        <v>-4614625</v>
      </c>
      <c r="C86" s="115">
        <f t="shared" si="41"/>
        <v>-4614625</v>
      </c>
      <c r="D86" s="164"/>
      <c r="E86" s="115">
        <v>0</v>
      </c>
      <c r="F86" s="115">
        <f t="shared" si="28"/>
        <v>-44802.184466019418</v>
      </c>
      <c r="G86" s="164"/>
      <c r="H86" s="115">
        <f t="shared" si="42"/>
        <v>4614625</v>
      </c>
      <c r="I86" s="115">
        <f t="shared" si="42"/>
        <v>3225757.281553396</v>
      </c>
      <c r="J86" s="164"/>
      <c r="K86" s="115">
        <f t="shared" si="36"/>
        <v>0</v>
      </c>
      <c r="L86" s="115">
        <f t="shared" si="36"/>
        <v>-1388867.718446604</v>
      </c>
      <c r="M86" s="164"/>
      <c r="N86" s="115">
        <f t="shared" ref="N86:N113" si="47">L86-K86</f>
        <v>-1388867.718446604</v>
      </c>
      <c r="O86" s="115">
        <f t="shared" si="30"/>
        <v>486103.70145631133</v>
      </c>
      <c r="P86" s="115">
        <f t="shared" ref="P86:P113" si="48">-O86+O85</f>
        <v>15680.764563106757</v>
      </c>
      <c r="Q86" s="115">
        <f t="shared" ref="Q86:Q113" si="49">L86+O86</f>
        <v>-902764.01699029258</v>
      </c>
      <c r="R86" s="115">
        <f t="shared" si="33"/>
        <v>-1077492.5364077678</v>
      </c>
      <c r="S86" s="115">
        <f t="shared" si="45"/>
        <v>-1657680.8252427203</v>
      </c>
      <c r="T86" s="115">
        <f t="shared" si="46"/>
        <v>580188.28883495182</v>
      </c>
    </row>
    <row r="87" spans="1:21" ht="12.6" customHeight="1">
      <c r="A87" s="114">
        <v>42490</v>
      </c>
      <c r="B87" s="115">
        <f t="shared" si="41"/>
        <v>-4614625</v>
      </c>
      <c r="C87" s="115">
        <f t="shared" si="41"/>
        <v>-4614625</v>
      </c>
      <c r="D87" s="164"/>
      <c r="E87" s="115">
        <v>0</v>
      </c>
      <c r="F87" s="115">
        <f t="shared" si="28"/>
        <v>-44802.184466019418</v>
      </c>
      <c r="G87" s="164"/>
      <c r="H87" s="115">
        <f t="shared" si="42"/>
        <v>4614625</v>
      </c>
      <c r="I87" s="115">
        <f t="shared" si="42"/>
        <v>3270559.4660194153</v>
      </c>
      <c r="J87" s="164"/>
      <c r="K87" s="115">
        <f t="shared" si="36"/>
        <v>0</v>
      </c>
      <c r="L87" s="115">
        <f t="shared" si="36"/>
        <v>-1344065.5339805847</v>
      </c>
      <c r="M87" s="164"/>
      <c r="N87" s="115">
        <f t="shared" si="47"/>
        <v>-1344065.5339805847</v>
      </c>
      <c r="O87" s="115">
        <f t="shared" si="30"/>
        <v>470422.93689320463</v>
      </c>
      <c r="P87" s="115">
        <f t="shared" si="48"/>
        <v>15680.764563106699</v>
      </c>
      <c r="Q87" s="115">
        <f t="shared" si="49"/>
        <v>-873642.59708738001</v>
      </c>
      <c r="R87" s="115">
        <f t="shared" si="33"/>
        <v>-1048371.1165048555</v>
      </c>
      <c r="S87" s="115">
        <f t="shared" si="45"/>
        <v>-1612878.640776701</v>
      </c>
      <c r="T87" s="115">
        <f t="shared" si="46"/>
        <v>564507.524271845</v>
      </c>
    </row>
    <row r="88" spans="1:21" s="109" customFormat="1" ht="12.95" customHeight="1">
      <c r="A88" s="114">
        <v>42521</v>
      </c>
      <c r="B88" s="115">
        <f t="shared" si="41"/>
        <v>-4614625</v>
      </c>
      <c r="C88" s="115">
        <f t="shared" si="41"/>
        <v>-4614625</v>
      </c>
      <c r="D88" s="164"/>
      <c r="E88" s="115">
        <v>0</v>
      </c>
      <c r="F88" s="115">
        <f t="shared" si="28"/>
        <v>-44802.184466019418</v>
      </c>
      <c r="G88" s="164"/>
      <c r="H88" s="115">
        <f t="shared" si="42"/>
        <v>4614625</v>
      </c>
      <c r="I88" s="115">
        <f t="shared" si="42"/>
        <v>3315361.6504854346</v>
      </c>
      <c r="J88" s="164"/>
      <c r="K88" s="115">
        <f t="shared" ref="K88:L115" si="50">B88+H88</f>
        <v>0</v>
      </c>
      <c r="L88" s="115">
        <f t="shared" si="50"/>
        <v>-1299263.3495145654</v>
      </c>
      <c r="M88" s="164"/>
      <c r="N88" s="115">
        <f t="shared" si="47"/>
        <v>-1299263.3495145654</v>
      </c>
      <c r="O88" s="115">
        <f t="shared" si="30"/>
        <v>454742.17233009788</v>
      </c>
      <c r="P88" s="115">
        <f t="shared" si="48"/>
        <v>15680.764563106757</v>
      </c>
      <c r="Q88" s="115">
        <f t="shared" si="49"/>
        <v>-844521.17718446755</v>
      </c>
      <c r="R88" s="115">
        <f t="shared" si="33"/>
        <v>-1019249.6966019428</v>
      </c>
      <c r="S88" s="115">
        <f t="shared" ref="S88:S90" si="51">(L76+L88+SUM(L77:L87)*2)/24</f>
        <v>-1568076.4563106818</v>
      </c>
      <c r="T88" s="115">
        <f t="shared" ref="T88:T90" si="52">(O76+O88+SUM(O77:O87)*2)/24</f>
        <v>548826.7597087383</v>
      </c>
    </row>
    <row r="89" spans="1:21" s="109" customFormat="1" ht="12.95" customHeight="1">
      <c r="A89" s="114">
        <v>42551</v>
      </c>
      <c r="B89" s="115">
        <f t="shared" si="41"/>
        <v>-4614625</v>
      </c>
      <c r="C89" s="115">
        <f t="shared" si="41"/>
        <v>-4614625</v>
      </c>
      <c r="D89" s="164"/>
      <c r="E89" s="115">
        <v>0</v>
      </c>
      <c r="F89" s="115">
        <f t="shared" si="28"/>
        <v>-44802.184466019418</v>
      </c>
      <c r="G89" s="164"/>
      <c r="H89" s="115">
        <f t="shared" si="42"/>
        <v>4614625</v>
      </c>
      <c r="I89" s="115">
        <f t="shared" si="42"/>
        <v>3360163.8349514538</v>
      </c>
      <c r="J89" s="164"/>
      <c r="K89" s="115">
        <f t="shared" si="50"/>
        <v>0</v>
      </c>
      <c r="L89" s="115">
        <f t="shared" si="50"/>
        <v>-1254461.1650485462</v>
      </c>
      <c r="M89" s="164"/>
      <c r="N89" s="115">
        <f t="shared" si="47"/>
        <v>-1254461.1650485462</v>
      </c>
      <c r="O89" s="115">
        <f t="shared" si="30"/>
        <v>439061.40776699112</v>
      </c>
      <c r="P89" s="115">
        <f t="shared" si="48"/>
        <v>15680.764563106757</v>
      </c>
      <c r="Q89" s="115">
        <f t="shared" si="49"/>
        <v>-815399.7572815551</v>
      </c>
      <c r="R89" s="115">
        <f t="shared" si="33"/>
        <v>-990128.27669903031</v>
      </c>
      <c r="S89" s="115">
        <f t="shared" si="51"/>
        <v>-1523274.271844662</v>
      </c>
      <c r="T89" s="115">
        <f t="shared" si="52"/>
        <v>533145.9951456316</v>
      </c>
    </row>
    <row r="90" spans="1:21" ht="12.95" customHeight="1">
      <c r="A90" s="114">
        <v>42582</v>
      </c>
      <c r="B90" s="115">
        <f t="shared" si="41"/>
        <v>-4614625</v>
      </c>
      <c r="C90" s="115">
        <f t="shared" si="41"/>
        <v>-4614625</v>
      </c>
      <c r="D90" s="164"/>
      <c r="E90" s="115">
        <v>0</v>
      </c>
      <c r="F90" s="115">
        <f t="shared" si="28"/>
        <v>-44802.184466019418</v>
      </c>
      <c r="G90" s="164"/>
      <c r="H90" s="115">
        <f t="shared" si="42"/>
        <v>4614625</v>
      </c>
      <c r="I90" s="115">
        <f t="shared" si="42"/>
        <v>3404966.0194174731</v>
      </c>
      <c r="J90" s="164"/>
      <c r="K90" s="115">
        <f t="shared" si="50"/>
        <v>0</v>
      </c>
      <c r="L90" s="115">
        <f t="shared" si="50"/>
        <v>-1209658.9805825269</v>
      </c>
      <c r="M90" s="164"/>
      <c r="N90" s="115">
        <f t="shared" si="47"/>
        <v>-1209658.9805825269</v>
      </c>
      <c r="O90" s="115">
        <f t="shared" si="30"/>
        <v>423380.64320388436</v>
      </c>
      <c r="P90" s="115">
        <f t="shared" si="48"/>
        <v>15680.764563106757</v>
      </c>
      <c r="Q90" s="115">
        <f t="shared" si="49"/>
        <v>-786278.33737864252</v>
      </c>
      <c r="R90" s="115">
        <f t="shared" si="33"/>
        <v>-961006.85679611762</v>
      </c>
      <c r="S90" s="115">
        <f t="shared" si="51"/>
        <v>-1478472.0873786428</v>
      </c>
      <c r="T90" s="115">
        <f t="shared" si="52"/>
        <v>517465.23058252485</v>
      </c>
      <c r="U90" s="109"/>
    </row>
    <row r="91" spans="1:21" ht="12.95" customHeight="1">
      <c r="A91" s="114">
        <v>42613</v>
      </c>
      <c r="B91" s="115">
        <f t="shared" si="41"/>
        <v>-4614625</v>
      </c>
      <c r="C91" s="115">
        <f t="shared" si="41"/>
        <v>-4614625</v>
      </c>
      <c r="D91" s="164"/>
      <c r="E91" s="115">
        <v>0</v>
      </c>
      <c r="F91" s="115">
        <f t="shared" si="28"/>
        <v>-44802.184466019418</v>
      </c>
      <c r="G91" s="164"/>
      <c r="H91" s="115">
        <f t="shared" si="42"/>
        <v>4614625</v>
      </c>
      <c r="I91" s="115">
        <f t="shared" si="42"/>
        <v>3449768.2038834924</v>
      </c>
      <c r="J91" s="164"/>
      <c r="K91" s="115">
        <f t="shared" si="50"/>
        <v>0</v>
      </c>
      <c r="L91" s="115">
        <f t="shared" si="50"/>
        <v>-1164856.7961165076</v>
      </c>
      <c r="M91" s="164"/>
      <c r="N91" s="115">
        <f t="shared" si="47"/>
        <v>-1164856.7961165076</v>
      </c>
      <c r="O91" s="115">
        <f t="shared" si="30"/>
        <v>407699.87864077766</v>
      </c>
      <c r="P91" s="115">
        <f t="shared" si="48"/>
        <v>15680.764563106699</v>
      </c>
      <c r="Q91" s="115">
        <f t="shared" si="49"/>
        <v>-757156.91747572995</v>
      </c>
      <c r="R91" s="115">
        <f t="shared" si="33"/>
        <v>-931885.43689320516</v>
      </c>
      <c r="S91" s="115">
        <f t="shared" ref="S91:S93" si="53">(L79+L91+SUM(L80:L90)*2)/24</f>
        <v>-1433669.9029126235</v>
      </c>
      <c r="T91" s="115">
        <f t="shared" ref="T91:T93" si="54">(O79+O91+SUM(O80:O90)*2)/24</f>
        <v>501784.46601941809</v>
      </c>
    </row>
    <row r="92" spans="1:21" s="109" customFormat="1" ht="12.95" customHeight="1">
      <c r="A92" s="114">
        <v>42643</v>
      </c>
      <c r="B92" s="115">
        <f t="shared" si="41"/>
        <v>-4614625</v>
      </c>
      <c r="C92" s="115">
        <f t="shared" si="41"/>
        <v>-4614625</v>
      </c>
      <c r="D92" s="164"/>
      <c r="E92" s="115">
        <v>0</v>
      </c>
      <c r="F92" s="115">
        <f t="shared" si="28"/>
        <v>-44802.184466019418</v>
      </c>
      <c r="G92" s="164"/>
      <c r="H92" s="115">
        <f t="shared" si="42"/>
        <v>4614625</v>
      </c>
      <c r="I92" s="115">
        <f t="shared" si="42"/>
        <v>3494570.3883495117</v>
      </c>
      <c r="J92" s="164"/>
      <c r="K92" s="115">
        <f t="shared" si="50"/>
        <v>0</v>
      </c>
      <c r="L92" s="115">
        <f t="shared" si="50"/>
        <v>-1120054.6116504883</v>
      </c>
      <c r="M92" s="164"/>
      <c r="N92" s="115">
        <f t="shared" si="47"/>
        <v>-1120054.6116504883</v>
      </c>
      <c r="O92" s="115">
        <f t="shared" si="30"/>
        <v>392019.11407767091</v>
      </c>
      <c r="P92" s="115">
        <f t="shared" si="48"/>
        <v>15680.764563106757</v>
      </c>
      <c r="Q92" s="115">
        <f t="shared" si="49"/>
        <v>-728035.49757281737</v>
      </c>
      <c r="R92" s="115">
        <f t="shared" si="33"/>
        <v>-902764.0169902927</v>
      </c>
      <c r="S92" s="115">
        <f t="shared" si="53"/>
        <v>-1388867.7184466042</v>
      </c>
      <c r="T92" s="115">
        <f t="shared" si="54"/>
        <v>486103.70145631133</v>
      </c>
    </row>
    <row r="93" spans="1:21" ht="12.95" customHeight="1">
      <c r="A93" s="113">
        <v>42674</v>
      </c>
      <c r="B93" s="59">
        <f t="shared" si="41"/>
        <v>-4614625</v>
      </c>
      <c r="C93" s="59">
        <f t="shared" si="41"/>
        <v>-4614625</v>
      </c>
      <c r="D93" s="117"/>
      <c r="E93" s="59">
        <v>0</v>
      </c>
      <c r="F93" s="115">
        <f t="shared" si="28"/>
        <v>-44802.184466019418</v>
      </c>
      <c r="G93" s="117"/>
      <c r="H93" s="59">
        <f t="shared" si="42"/>
        <v>4614625</v>
      </c>
      <c r="I93" s="59">
        <f t="shared" si="42"/>
        <v>3539372.5728155309</v>
      </c>
      <c r="J93" s="117"/>
      <c r="K93" s="59">
        <f t="shared" si="50"/>
        <v>0</v>
      </c>
      <c r="L93" s="59">
        <f t="shared" si="50"/>
        <v>-1075252.4271844691</v>
      </c>
      <c r="M93" s="117"/>
      <c r="N93" s="59">
        <f t="shared" si="47"/>
        <v>-1075252.4271844691</v>
      </c>
      <c r="O93" s="59">
        <f t="shared" si="30"/>
        <v>376338.34951456415</v>
      </c>
      <c r="P93" s="59">
        <f t="shared" si="48"/>
        <v>15680.764563106757</v>
      </c>
      <c r="Q93" s="59">
        <f t="shared" si="49"/>
        <v>-698914.07766990492</v>
      </c>
      <c r="R93" s="115">
        <f t="shared" si="33"/>
        <v>-873642.59708738001</v>
      </c>
      <c r="S93" s="115">
        <f t="shared" si="53"/>
        <v>-1344065.5339805849</v>
      </c>
      <c r="T93" s="115">
        <f t="shared" si="54"/>
        <v>470422.93689320452</v>
      </c>
    </row>
    <row r="94" spans="1:21" ht="12.95" customHeight="1">
      <c r="A94" s="113">
        <v>42704</v>
      </c>
      <c r="B94" s="59">
        <f t="shared" si="41"/>
        <v>-4614625</v>
      </c>
      <c r="C94" s="59">
        <f t="shared" si="41"/>
        <v>-4614625</v>
      </c>
      <c r="D94" s="117"/>
      <c r="E94" s="59">
        <v>0</v>
      </c>
      <c r="F94" s="115">
        <f t="shared" si="28"/>
        <v>-44802.184466019418</v>
      </c>
      <c r="G94" s="117"/>
      <c r="H94" s="59">
        <f t="shared" si="42"/>
        <v>4614625</v>
      </c>
      <c r="I94" s="59">
        <f t="shared" si="42"/>
        <v>3584174.7572815502</v>
      </c>
      <c r="J94" s="117"/>
      <c r="K94" s="59">
        <f t="shared" si="50"/>
        <v>0</v>
      </c>
      <c r="L94" s="59">
        <f t="shared" si="50"/>
        <v>-1030450.2427184498</v>
      </c>
      <c r="M94" s="117"/>
      <c r="N94" s="59">
        <f t="shared" si="47"/>
        <v>-1030450.2427184498</v>
      </c>
      <c r="O94" s="59">
        <f t="shared" si="30"/>
        <v>360657.58495145739</v>
      </c>
      <c r="P94" s="59">
        <f t="shared" si="48"/>
        <v>15680.764563106757</v>
      </c>
      <c r="Q94" s="59">
        <f t="shared" si="49"/>
        <v>-669792.65776699246</v>
      </c>
      <c r="R94" s="115">
        <f t="shared" si="33"/>
        <v>-844521.17718446755</v>
      </c>
      <c r="S94" s="115">
        <f t="shared" ref="S94:S97" si="55">(L82+L94+SUM(L83:L93)*2)/24</f>
        <v>-1299263.3495145657</v>
      </c>
      <c r="T94" s="115">
        <f t="shared" ref="T94:T97" si="56">(O82+O94+SUM(O83:O93)*2)/24</f>
        <v>454742.17233009794</v>
      </c>
    </row>
    <row r="95" spans="1:21" ht="12.75">
      <c r="A95" s="113">
        <v>42735</v>
      </c>
      <c r="B95" s="59">
        <f t="shared" si="41"/>
        <v>-4614625</v>
      </c>
      <c r="C95" s="59">
        <f t="shared" si="41"/>
        <v>-4614625</v>
      </c>
      <c r="D95" s="117"/>
      <c r="E95" s="59">
        <v>0</v>
      </c>
      <c r="F95" s="115">
        <f t="shared" si="28"/>
        <v>-44802.184466019418</v>
      </c>
      <c r="G95" s="117"/>
      <c r="H95" s="59">
        <f t="shared" si="42"/>
        <v>4614625</v>
      </c>
      <c r="I95" s="59">
        <f t="shared" si="42"/>
        <v>3628976.9417475695</v>
      </c>
      <c r="J95" s="117"/>
      <c r="K95" s="59">
        <f t="shared" si="50"/>
        <v>0</v>
      </c>
      <c r="L95" s="59">
        <f t="shared" si="50"/>
        <v>-985648.05825243052</v>
      </c>
      <c r="M95" s="117"/>
      <c r="N95" s="59">
        <f t="shared" si="47"/>
        <v>-985648.05825243052</v>
      </c>
      <c r="O95" s="59">
        <f t="shared" si="30"/>
        <v>344976.82038835064</v>
      </c>
      <c r="P95" s="59">
        <f t="shared" si="48"/>
        <v>15680.764563106757</v>
      </c>
      <c r="Q95" s="59">
        <f t="shared" si="49"/>
        <v>-640671.23786407989</v>
      </c>
      <c r="R95" s="115">
        <f t="shared" si="33"/>
        <v>-815399.75728155498</v>
      </c>
      <c r="S95" s="115">
        <f t="shared" si="55"/>
        <v>-1254461.1650485464</v>
      </c>
      <c r="T95" s="115">
        <f t="shared" si="56"/>
        <v>439061.40776699112</v>
      </c>
    </row>
    <row r="96" spans="1:21" ht="12.75">
      <c r="A96" s="113">
        <v>42766</v>
      </c>
      <c r="B96" s="59">
        <f t="shared" si="41"/>
        <v>-4614625</v>
      </c>
      <c r="C96" s="59">
        <f t="shared" si="41"/>
        <v>-4614625</v>
      </c>
      <c r="D96" s="117"/>
      <c r="E96" s="59">
        <v>0</v>
      </c>
      <c r="F96" s="115">
        <f t="shared" si="28"/>
        <v>-44802.184466019418</v>
      </c>
      <c r="G96" s="117"/>
      <c r="H96" s="59">
        <f t="shared" si="42"/>
        <v>4614625</v>
      </c>
      <c r="I96" s="59">
        <f t="shared" si="42"/>
        <v>3673779.1262135888</v>
      </c>
      <c r="J96" s="117"/>
      <c r="K96" s="59">
        <f t="shared" si="50"/>
        <v>0</v>
      </c>
      <c r="L96" s="59">
        <f t="shared" si="50"/>
        <v>-940845.87378641125</v>
      </c>
      <c r="M96" s="117"/>
      <c r="N96" s="59">
        <f t="shared" si="47"/>
        <v>-940845.87378641125</v>
      </c>
      <c r="O96" s="59">
        <f t="shared" si="30"/>
        <v>329296.05582524394</v>
      </c>
      <c r="P96" s="59">
        <f t="shared" si="48"/>
        <v>15680.764563106699</v>
      </c>
      <c r="Q96" s="59">
        <f t="shared" si="49"/>
        <v>-611549.81796116731</v>
      </c>
      <c r="R96" s="115">
        <f t="shared" si="33"/>
        <v>-786278.33737864252</v>
      </c>
      <c r="S96" s="115">
        <f t="shared" si="55"/>
        <v>-1209658.9805825271</v>
      </c>
      <c r="T96" s="115">
        <f t="shared" si="56"/>
        <v>423380.64320388442</v>
      </c>
    </row>
    <row r="97" spans="1:22" ht="12.75">
      <c r="A97" s="113">
        <v>42794</v>
      </c>
      <c r="B97" s="59">
        <f t="shared" si="41"/>
        <v>-4614625</v>
      </c>
      <c r="C97" s="59">
        <f t="shared" si="41"/>
        <v>-4614625</v>
      </c>
      <c r="D97" s="117"/>
      <c r="E97" s="59">
        <v>0</v>
      </c>
      <c r="F97" s="115">
        <f t="shared" si="28"/>
        <v>-44802.184466019418</v>
      </c>
      <c r="G97" s="117"/>
      <c r="H97" s="59">
        <f t="shared" si="42"/>
        <v>4614625</v>
      </c>
      <c r="I97" s="59">
        <f t="shared" si="42"/>
        <v>3718581.310679608</v>
      </c>
      <c r="J97" s="117"/>
      <c r="K97" s="59">
        <f t="shared" si="50"/>
        <v>0</v>
      </c>
      <c r="L97" s="59">
        <f t="shared" si="50"/>
        <v>-896043.68932039198</v>
      </c>
      <c r="M97" s="117"/>
      <c r="N97" s="59">
        <f t="shared" si="47"/>
        <v>-896043.68932039198</v>
      </c>
      <c r="O97" s="59">
        <f t="shared" si="30"/>
        <v>313615.29126213718</v>
      </c>
      <c r="P97" s="59">
        <f t="shared" si="48"/>
        <v>15680.764563106757</v>
      </c>
      <c r="Q97" s="59">
        <f t="shared" si="49"/>
        <v>-582428.39805825474</v>
      </c>
      <c r="R97" s="115">
        <f t="shared" si="33"/>
        <v>-757156.91747573006</v>
      </c>
      <c r="S97" s="115">
        <f t="shared" si="55"/>
        <v>-1164856.7961165078</v>
      </c>
      <c r="T97" s="115">
        <f t="shared" si="56"/>
        <v>407699.87864077761</v>
      </c>
    </row>
    <row r="98" spans="1:22" ht="12.75">
      <c r="A98" s="113">
        <v>42825</v>
      </c>
      <c r="B98" s="59">
        <f t="shared" ref="B98:C113" si="57">B97</f>
        <v>-4614625</v>
      </c>
      <c r="C98" s="59">
        <f t="shared" si="57"/>
        <v>-4614625</v>
      </c>
      <c r="D98" s="117"/>
      <c r="E98" s="59">
        <v>0</v>
      </c>
      <c r="F98" s="115">
        <f t="shared" si="28"/>
        <v>-44802.184466019418</v>
      </c>
      <c r="G98" s="117"/>
      <c r="H98" s="59">
        <f t="shared" ref="H98:I113" si="58">H97-E98</f>
        <v>4614625</v>
      </c>
      <c r="I98" s="59">
        <f t="shared" si="58"/>
        <v>3763383.4951456273</v>
      </c>
      <c r="J98" s="117"/>
      <c r="K98" s="59">
        <f t="shared" si="50"/>
        <v>0</v>
      </c>
      <c r="L98" s="59">
        <f t="shared" si="50"/>
        <v>-851241.5048543727</v>
      </c>
      <c r="M98" s="117"/>
      <c r="N98" s="59">
        <f t="shared" si="47"/>
        <v>-851241.5048543727</v>
      </c>
      <c r="O98" s="59">
        <f t="shared" si="30"/>
        <v>297934.52669903042</v>
      </c>
      <c r="P98" s="59">
        <f t="shared" si="48"/>
        <v>15680.764563106757</v>
      </c>
      <c r="Q98" s="59">
        <f t="shared" si="49"/>
        <v>-553306.97815534228</v>
      </c>
      <c r="R98" s="115">
        <f t="shared" si="33"/>
        <v>-728035.49757281737</v>
      </c>
      <c r="S98" s="115">
        <f t="shared" ref="S98:S125" si="59">(L86+L98+SUM(L87:L97)*2)/24</f>
        <v>-1120054.6116504886</v>
      </c>
      <c r="T98" s="115">
        <f t="shared" ref="T98:T125" si="60">(O86+O98+SUM(O87:O97)*2)/24</f>
        <v>392019.11407767079</v>
      </c>
    </row>
    <row r="99" spans="1:22" ht="12.75">
      <c r="A99" s="113">
        <v>42855</v>
      </c>
      <c r="B99" s="59">
        <f t="shared" si="57"/>
        <v>-4614625</v>
      </c>
      <c r="C99" s="59">
        <f t="shared" si="57"/>
        <v>-4614625</v>
      </c>
      <c r="D99" s="117"/>
      <c r="E99" s="59">
        <v>0</v>
      </c>
      <c r="F99" s="115">
        <f t="shared" si="28"/>
        <v>-44802.184466019418</v>
      </c>
      <c r="G99" s="117"/>
      <c r="H99" s="59">
        <f t="shared" si="58"/>
        <v>4614625</v>
      </c>
      <c r="I99" s="59">
        <f t="shared" si="58"/>
        <v>3808185.6796116466</v>
      </c>
      <c r="J99" s="117"/>
      <c r="K99" s="59">
        <f t="shared" si="50"/>
        <v>0</v>
      </c>
      <c r="L99" s="59">
        <f t="shared" si="50"/>
        <v>-806439.32038835343</v>
      </c>
      <c r="M99" s="117"/>
      <c r="N99" s="59">
        <f t="shared" si="47"/>
        <v>-806439.32038835343</v>
      </c>
      <c r="O99" s="59">
        <f t="shared" si="30"/>
        <v>282253.76213592367</v>
      </c>
      <c r="P99" s="59">
        <f t="shared" si="48"/>
        <v>15680.764563106757</v>
      </c>
      <c r="Q99" s="59">
        <f t="shared" si="49"/>
        <v>-524185.55825242976</v>
      </c>
      <c r="R99" s="115">
        <f t="shared" si="33"/>
        <v>-698914.07766990492</v>
      </c>
      <c r="S99" s="115">
        <f t="shared" si="59"/>
        <v>-1075252.4271844693</v>
      </c>
      <c r="T99" s="115">
        <f t="shared" si="60"/>
        <v>376338.34951456421</v>
      </c>
    </row>
    <row r="100" spans="1:22" ht="12.75">
      <c r="A100" s="113">
        <v>42886</v>
      </c>
      <c r="B100" s="59">
        <f t="shared" si="57"/>
        <v>-4614625</v>
      </c>
      <c r="C100" s="59">
        <f t="shared" si="57"/>
        <v>-4614625</v>
      </c>
      <c r="D100" s="117"/>
      <c r="E100" s="59">
        <v>0</v>
      </c>
      <c r="F100" s="115">
        <f t="shared" si="28"/>
        <v>-44802.184466019418</v>
      </c>
      <c r="G100" s="117"/>
      <c r="H100" s="59">
        <f t="shared" si="58"/>
        <v>4614625</v>
      </c>
      <c r="I100" s="59">
        <f t="shared" si="58"/>
        <v>3852987.8640776658</v>
      </c>
      <c r="J100" s="117"/>
      <c r="K100" s="59">
        <f t="shared" si="50"/>
        <v>0</v>
      </c>
      <c r="L100" s="59">
        <f t="shared" si="50"/>
        <v>-761637.13592233416</v>
      </c>
      <c r="M100" s="117"/>
      <c r="N100" s="59">
        <f t="shared" si="47"/>
        <v>-761637.13592233416</v>
      </c>
      <c r="O100" s="59">
        <f t="shared" si="30"/>
        <v>266572.99757281697</v>
      </c>
      <c r="P100" s="59">
        <f t="shared" si="48"/>
        <v>15680.764563106699</v>
      </c>
      <c r="Q100" s="59">
        <f t="shared" si="49"/>
        <v>-495064.13834951719</v>
      </c>
      <c r="R100" s="115">
        <f t="shared" si="33"/>
        <v>-669792.65776699234</v>
      </c>
      <c r="S100" s="115">
        <f t="shared" si="59"/>
        <v>-1030450.2427184501</v>
      </c>
      <c r="T100" s="115">
        <f t="shared" si="60"/>
        <v>360657.58495145739</v>
      </c>
    </row>
    <row r="101" spans="1:22" ht="12.75">
      <c r="A101" s="113">
        <v>42916</v>
      </c>
      <c r="B101" s="59">
        <f t="shared" si="57"/>
        <v>-4614625</v>
      </c>
      <c r="C101" s="59">
        <f t="shared" si="57"/>
        <v>-4614625</v>
      </c>
      <c r="D101" s="117"/>
      <c r="E101" s="59">
        <v>0</v>
      </c>
      <c r="F101" s="115">
        <f t="shared" si="28"/>
        <v>-44802.184466019418</v>
      </c>
      <c r="G101" s="117"/>
      <c r="H101" s="59">
        <f t="shared" si="58"/>
        <v>4614625</v>
      </c>
      <c r="I101" s="59">
        <f t="shared" si="58"/>
        <v>3897790.0485436851</v>
      </c>
      <c r="J101" s="117"/>
      <c r="K101" s="59">
        <f t="shared" si="50"/>
        <v>0</v>
      </c>
      <c r="L101" s="59">
        <f t="shared" si="50"/>
        <v>-716834.95145631488</v>
      </c>
      <c r="M101" s="117"/>
      <c r="N101" s="59">
        <f t="shared" si="47"/>
        <v>-716834.95145631488</v>
      </c>
      <c r="O101" s="59">
        <f t="shared" si="30"/>
        <v>250892.23300971018</v>
      </c>
      <c r="P101" s="59">
        <f t="shared" si="48"/>
        <v>15680.764563106786</v>
      </c>
      <c r="Q101" s="59">
        <f t="shared" si="49"/>
        <v>-465942.71844660467</v>
      </c>
      <c r="R101" s="115">
        <f t="shared" si="33"/>
        <v>-640671.23786407977</v>
      </c>
      <c r="S101" s="115">
        <f t="shared" si="59"/>
        <v>-985648.05825243087</v>
      </c>
      <c r="T101" s="115">
        <f t="shared" si="60"/>
        <v>344976.82038835064</v>
      </c>
    </row>
    <row r="102" spans="1:22" ht="12.75">
      <c r="A102" s="113">
        <v>42947</v>
      </c>
      <c r="B102" s="59">
        <f t="shared" si="57"/>
        <v>-4614625</v>
      </c>
      <c r="C102" s="59">
        <f t="shared" si="57"/>
        <v>-4614625</v>
      </c>
      <c r="D102" s="117"/>
      <c r="E102" s="59">
        <v>0</v>
      </c>
      <c r="F102" s="115">
        <f t="shared" si="28"/>
        <v>-44802.184466019418</v>
      </c>
      <c r="G102" s="117"/>
      <c r="H102" s="59">
        <f t="shared" si="58"/>
        <v>4614625</v>
      </c>
      <c r="I102" s="59">
        <f t="shared" si="58"/>
        <v>3942592.2330097044</v>
      </c>
      <c r="J102" s="117"/>
      <c r="K102" s="59">
        <f t="shared" si="50"/>
        <v>0</v>
      </c>
      <c r="L102" s="59">
        <f t="shared" si="50"/>
        <v>-672032.76699029561</v>
      </c>
      <c r="M102" s="117"/>
      <c r="N102" s="59">
        <f t="shared" si="47"/>
        <v>-672032.76699029561</v>
      </c>
      <c r="O102" s="59">
        <f t="shared" si="30"/>
        <v>235211.46844660345</v>
      </c>
      <c r="P102" s="59">
        <f t="shared" si="48"/>
        <v>15680.764563106728</v>
      </c>
      <c r="Q102" s="59">
        <f t="shared" si="49"/>
        <v>-436821.29854369216</v>
      </c>
      <c r="R102" s="115">
        <f t="shared" si="33"/>
        <v>-611549.81796116743</v>
      </c>
      <c r="S102" s="115">
        <f t="shared" si="59"/>
        <v>-940845.8737864116</v>
      </c>
      <c r="T102" s="115">
        <f t="shared" si="60"/>
        <v>329296.05582524394</v>
      </c>
    </row>
    <row r="103" spans="1:22" ht="12.75">
      <c r="A103" s="113">
        <v>42978</v>
      </c>
      <c r="B103" s="59">
        <f t="shared" si="57"/>
        <v>-4614625</v>
      </c>
      <c r="C103" s="59">
        <f t="shared" si="57"/>
        <v>-4614625</v>
      </c>
      <c r="D103" s="117"/>
      <c r="E103" s="59">
        <v>0</v>
      </c>
      <c r="F103" s="115">
        <f t="shared" si="28"/>
        <v>-44802.184466019418</v>
      </c>
      <c r="G103" s="117"/>
      <c r="H103" s="59">
        <f t="shared" si="58"/>
        <v>4614625</v>
      </c>
      <c r="I103" s="59">
        <f t="shared" si="58"/>
        <v>3987394.4174757237</v>
      </c>
      <c r="J103" s="117"/>
      <c r="K103" s="59">
        <f t="shared" si="50"/>
        <v>0</v>
      </c>
      <c r="L103" s="59">
        <f t="shared" si="50"/>
        <v>-627230.58252427634</v>
      </c>
      <c r="M103" s="117"/>
      <c r="N103" s="59">
        <f t="shared" si="47"/>
        <v>-627230.58252427634</v>
      </c>
      <c r="O103" s="59">
        <f t="shared" si="30"/>
        <v>219530.7038834967</v>
      </c>
      <c r="P103" s="59">
        <f t="shared" si="48"/>
        <v>15680.764563106757</v>
      </c>
      <c r="Q103" s="59">
        <f t="shared" si="49"/>
        <v>-407699.87864077964</v>
      </c>
      <c r="R103" s="115">
        <f t="shared" si="33"/>
        <v>-582428.39805825485</v>
      </c>
      <c r="S103" s="115">
        <f t="shared" si="59"/>
        <v>-896043.68932039232</v>
      </c>
      <c r="T103" s="115">
        <f t="shared" si="60"/>
        <v>313615.29126213718</v>
      </c>
    </row>
    <row r="104" spans="1:22" ht="12.75">
      <c r="A104" s="113">
        <v>43008</v>
      </c>
      <c r="B104" s="59">
        <f t="shared" si="57"/>
        <v>-4614625</v>
      </c>
      <c r="C104" s="59">
        <f t="shared" si="57"/>
        <v>-4614625</v>
      </c>
      <c r="D104" s="117"/>
      <c r="E104" s="59">
        <v>0</v>
      </c>
      <c r="F104" s="115">
        <f t="shared" si="28"/>
        <v>-44802.184466019418</v>
      </c>
      <c r="G104" s="117"/>
      <c r="H104" s="59">
        <f t="shared" si="58"/>
        <v>4614625</v>
      </c>
      <c r="I104" s="59">
        <f t="shared" si="58"/>
        <v>4032196.6019417429</v>
      </c>
      <c r="J104" s="117"/>
      <c r="K104" s="59">
        <f t="shared" si="50"/>
        <v>0</v>
      </c>
      <c r="L104" s="59">
        <f t="shared" si="50"/>
        <v>-582428.39805825707</v>
      </c>
      <c r="M104" s="117"/>
      <c r="N104" s="59">
        <f t="shared" si="47"/>
        <v>-582428.39805825707</v>
      </c>
      <c r="O104" s="59">
        <f t="shared" si="30"/>
        <v>203849.93932038997</v>
      </c>
      <c r="P104" s="59">
        <f t="shared" si="48"/>
        <v>15680.764563106728</v>
      </c>
      <c r="Q104" s="59">
        <f t="shared" si="49"/>
        <v>-378578.45873786707</v>
      </c>
      <c r="R104" s="115">
        <f t="shared" si="33"/>
        <v>-553306.97815534228</v>
      </c>
      <c r="S104" s="115">
        <f t="shared" si="59"/>
        <v>-851241.5048543727</v>
      </c>
      <c r="T104" s="115">
        <f t="shared" si="60"/>
        <v>297934.52669903042</v>
      </c>
    </row>
    <row r="105" spans="1:22" ht="12.75">
      <c r="A105" s="113">
        <v>43039</v>
      </c>
      <c r="B105" s="59">
        <f t="shared" si="57"/>
        <v>-4614625</v>
      </c>
      <c r="C105" s="59">
        <f t="shared" si="57"/>
        <v>-4614625</v>
      </c>
      <c r="D105" s="117"/>
      <c r="E105" s="59">
        <v>0</v>
      </c>
      <c r="F105" s="115">
        <f t="shared" si="28"/>
        <v>-44802.184466019418</v>
      </c>
      <c r="G105" s="117"/>
      <c r="H105" s="59">
        <f t="shared" si="58"/>
        <v>4614625</v>
      </c>
      <c r="I105" s="59">
        <f t="shared" si="58"/>
        <v>4076998.7864077622</v>
      </c>
      <c r="J105" s="117"/>
      <c r="K105" s="59">
        <f t="shared" si="50"/>
        <v>0</v>
      </c>
      <c r="L105" s="59">
        <f t="shared" si="50"/>
        <v>-537626.21359223779</v>
      </c>
      <c r="M105" s="117"/>
      <c r="N105" s="59">
        <f t="shared" si="47"/>
        <v>-537626.21359223779</v>
      </c>
      <c r="O105" s="59">
        <f t="shared" si="30"/>
        <v>188169.17475728321</v>
      </c>
      <c r="P105" s="59">
        <f t="shared" si="48"/>
        <v>15680.764563106757</v>
      </c>
      <c r="Q105" s="59">
        <f t="shared" si="49"/>
        <v>-349457.03883495461</v>
      </c>
      <c r="R105" s="115">
        <f t="shared" si="33"/>
        <v>-524185.55825242976</v>
      </c>
      <c r="S105" s="115">
        <f t="shared" si="59"/>
        <v>-806439.32038835343</v>
      </c>
      <c r="T105" s="115">
        <f t="shared" si="60"/>
        <v>282253.76213592367</v>
      </c>
    </row>
    <row r="106" spans="1:22" ht="12.75">
      <c r="A106" s="113">
        <v>43069</v>
      </c>
      <c r="B106" s="59">
        <f t="shared" si="57"/>
        <v>-4614625</v>
      </c>
      <c r="C106" s="59">
        <f t="shared" si="57"/>
        <v>-4614625</v>
      </c>
      <c r="D106" s="117"/>
      <c r="E106" s="59">
        <v>0</v>
      </c>
      <c r="F106" s="115">
        <f t="shared" si="28"/>
        <v>-44802.184466019418</v>
      </c>
      <c r="G106" s="117"/>
      <c r="H106" s="59">
        <f t="shared" si="58"/>
        <v>4614625</v>
      </c>
      <c r="I106" s="59">
        <f t="shared" si="58"/>
        <v>4121800.9708737815</v>
      </c>
      <c r="J106" s="117"/>
      <c r="K106" s="59">
        <f t="shared" si="50"/>
        <v>0</v>
      </c>
      <c r="L106" s="59">
        <f t="shared" si="50"/>
        <v>-492824.02912621852</v>
      </c>
      <c r="M106" s="117"/>
      <c r="N106" s="59">
        <f t="shared" si="47"/>
        <v>-492824.02912621852</v>
      </c>
      <c r="O106" s="59">
        <f t="shared" si="30"/>
        <v>172488.41019417648</v>
      </c>
      <c r="P106" s="59">
        <f t="shared" si="48"/>
        <v>15680.764563106728</v>
      </c>
      <c r="Q106" s="59">
        <f t="shared" si="49"/>
        <v>-320335.61893204204</v>
      </c>
      <c r="R106" s="115">
        <f t="shared" si="33"/>
        <v>-495064.13834951719</v>
      </c>
      <c r="S106" s="115">
        <f t="shared" si="59"/>
        <v>-761637.13592233416</v>
      </c>
      <c r="T106" s="115">
        <f t="shared" si="60"/>
        <v>266572.99757281697</v>
      </c>
    </row>
    <row r="107" spans="1:22" s="1141" customFormat="1" ht="12.75">
      <c r="A107" s="1138">
        <v>43100</v>
      </c>
      <c r="B107" s="1139">
        <f t="shared" si="57"/>
        <v>-4614625</v>
      </c>
      <c r="C107" s="1139">
        <f t="shared" si="57"/>
        <v>-4614625</v>
      </c>
      <c r="D107" s="1140"/>
      <c r="E107" s="1139">
        <v>0</v>
      </c>
      <c r="F107" s="1139">
        <f t="shared" si="28"/>
        <v>-44802.184466019418</v>
      </c>
      <c r="G107" s="1140"/>
      <c r="H107" s="1139">
        <f t="shared" si="58"/>
        <v>4614625</v>
      </c>
      <c r="I107" s="1139">
        <f>I106-F107</f>
        <v>4166603.1553398008</v>
      </c>
      <c r="J107" s="1140"/>
      <c r="K107" s="1139">
        <f t="shared" si="50"/>
        <v>0</v>
      </c>
      <c r="L107" s="1139">
        <f>C107+I107</f>
        <v>-448021.84466019925</v>
      </c>
      <c r="M107" s="1140"/>
      <c r="N107" s="1139">
        <f>L107-K107</f>
        <v>-448021.84466019925</v>
      </c>
      <c r="O107" s="1139">
        <f t="shared" si="30"/>
        <v>156807.64563106972</v>
      </c>
      <c r="P107" s="1139">
        <f t="shared" si="48"/>
        <v>15680.764563106757</v>
      </c>
      <c r="Q107" s="1139">
        <f t="shared" si="49"/>
        <v>-291214.19902912952</v>
      </c>
      <c r="R107" s="1139">
        <f t="shared" si="33"/>
        <v>-465942.71844660467</v>
      </c>
      <c r="S107" s="1139">
        <f t="shared" si="59"/>
        <v>-716834.95145631488</v>
      </c>
      <c r="T107" s="1139">
        <f t="shared" si="60"/>
        <v>250892.23300971021</v>
      </c>
    </row>
    <row r="108" spans="1:22" ht="12.75">
      <c r="A108" s="113">
        <v>43131</v>
      </c>
      <c r="B108" s="59">
        <f t="shared" si="57"/>
        <v>-4614625</v>
      </c>
      <c r="C108" s="59">
        <f t="shared" si="57"/>
        <v>-4614625</v>
      </c>
      <c r="D108" s="117"/>
      <c r="E108" s="59">
        <v>0</v>
      </c>
      <c r="F108" s="115">
        <f t="shared" si="28"/>
        <v>-44802.184466019418</v>
      </c>
      <c r="G108" s="117"/>
      <c r="H108" s="59">
        <f>H107-E108</f>
        <v>4614625</v>
      </c>
      <c r="I108" s="59">
        <f t="shared" si="58"/>
        <v>4211405.33980582</v>
      </c>
      <c r="J108" s="117"/>
      <c r="K108" s="59">
        <f t="shared" si="50"/>
        <v>0</v>
      </c>
      <c r="L108" s="59">
        <f t="shared" si="50"/>
        <v>-403219.66019417997</v>
      </c>
      <c r="M108" s="117"/>
      <c r="N108" s="59">
        <f t="shared" si="47"/>
        <v>-403219.66019417997</v>
      </c>
      <c r="O108" s="59">
        <f>F108*$O$11+O107</f>
        <v>147399.18689320565</v>
      </c>
      <c r="P108" s="59">
        <f t="shared" si="48"/>
        <v>9408.4587378640717</v>
      </c>
      <c r="Q108" s="59">
        <f t="shared" si="49"/>
        <v>-255820.47330097432</v>
      </c>
      <c r="R108" s="115">
        <f t="shared" si="33"/>
        <v>-436559.95246764045</v>
      </c>
      <c r="S108" s="115">
        <f t="shared" si="59"/>
        <v>-672032.76699029561</v>
      </c>
      <c r="T108" s="115">
        <f t="shared" si="60"/>
        <v>235472.81452265522</v>
      </c>
    </row>
    <row r="109" spans="1:22" ht="12.75">
      <c r="A109" s="113">
        <v>43159</v>
      </c>
      <c r="B109" s="59">
        <f t="shared" si="57"/>
        <v>-4614625</v>
      </c>
      <c r="C109" s="59">
        <f t="shared" si="57"/>
        <v>-4614625</v>
      </c>
      <c r="D109" s="117"/>
      <c r="E109" s="59">
        <v>0</v>
      </c>
      <c r="F109" s="115">
        <f t="shared" si="28"/>
        <v>-44802.184466019418</v>
      </c>
      <c r="G109" s="117"/>
      <c r="H109" s="59">
        <f t="shared" si="58"/>
        <v>4614625</v>
      </c>
      <c r="I109" s="59">
        <f t="shared" si="58"/>
        <v>4256207.5242718393</v>
      </c>
      <c r="J109" s="117"/>
      <c r="K109" s="59">
        <f t="shared" si="50"/>
        <v>0</v>
      </c>
      <c r="L109" s="59">
        <f t="shared" si="50"/>
        <v>-358417.4757281607</v>
      </c>
      <c r="M109" s="117"/>
      <c r="N109" s="59">
        <f t="shared" si="47"/>
        <v>-358417.4757281607</v>
      </c>
      <c r="O109" s="59">
        <f t="shared" ref="O109:O119" si="61">F109*$O$11+O108</f>
        <v>137990.72815534158</v>
      </c>
      <c r="P109" s="59">
        <f t="shared" si="48"/>
        <v>9408.4587378640717</v>
      </c>
      <c r="Q109" s="59">
        <f t="shared" si="49"/>
        <v>-220426.74757281912</v>
      </c>
      <c r="R109" s="115">
        <f t="shared" si="33"/>
        <v>-406654.49433657248</v>
      </c>
      <c r="S109" s="115">
        <f t="shared" si="59"/>
        <v>-627230.58252427634</v>
      </c>
      <c r="T109" s="115">
        <f t="shared" si="60"/>
        <v>220576.08818770383</v>
      </c>
      <c r="V109" s="1142">
        <f>F109*0.21</f>
        <v>-9408.4587378640772</v>
      </c>
    </row>
    <row r="110" spans="1:22" ht="12.75">
      <c r="A110" s="113">
        <v>43190</v>
      </c>
      <c r="B110" s="59">
        <f t="shared" si="57"/>
        <v>-4614625</v>
      </c>
      <c r="C110" s="59">
        <f t="shared" si="57"/>
        <v>-4614625</v>
      </c>
      <c r="D110" s="117"/>
      <c r="E110" s="59">
        <v>0</v>
      </c>
      <c r="F110" s="115">
        <f t="shared" si="28"/>
        <v>-44802.184466019418</v>
      </c>
      <c r="G110" s="117"/>
      <c r="H110" s="59">
        <f t="shared" si="58"/>
        <v>4614625</v>
      </c>
      <c r="I110" s="59">
        <f t="shared" si="58"/>
        <v>4301009.7087378586</v>
      </c>
      <c r="J110" s="117"/>
      <c r="K110" s="59">
        <f t="shared" si="50"/>
        <v>0</v>
      </c>
      <c r="L110" s="59">
        <f t="shared" si="50"/>
        <v>-313615.29126214143</v>
      </c>
      <c r="M110" s="117"/>
      <c r="N110" s="59">
        <f t="shared" si="47"/>
        <v>-313615.29126214143</v>
      </c>
      <c r="O110" s="59">
        <f t="shared" si="61"/>
        <v>128582.26941747751</v>
      </c>
      <c r="P110" s="59">
        <f t="shared" si="48"/>
        <v>9408.4587378640717</v>
      </c>
      <c r="Q110" s="59">
        <f t="shared" si="49"/>
        <v>-185033.02184466392</v>
      </c>
      <c r="R110" s="115">
        <f t="shared" si="33"/>
        <v>-376226.34405340115</v>
      </c>
      <c r="S110" s="115">
        <f t="shared" si="59"/>
        <v>-582428.39805825707</v>
      </c>
      <c r="T110" s="115">
        <f t="shared" si="60"/>
        <v>206202.05400485592</v>
      </c>
    </row>
    <row r="111" spans="1:22" ht="12.75">
      <c r="A111" s="113">
        <v>43220</v>
      </c>
      <c r="B111" s="59">
        <f t="shared" si="57"/>
        <v>-4614625</v>
      </c>
      <c r="C111" s="59">
        <f t="shared" si="57"/>
        <v>-4614625</v>
      </c>
      <c r="D111" s="117"/>
      <c r="E111" s="59">
        <v>0</v>
      </c>
      <c r="F111" s="115">
        <f t="shared" si="28"/>
        <v>-44802.184466019418</v>
      </c>
      <c r="G111" s="117"/>
      <c r="H111" s="59">
        <f t="shared" si="58"/>
        <v>4614625</v>
      </c>
      <c r="I111" s="59">
        <f t="shared" si="58"/>
        <v>4345811.8932038778</v>
      </c>
      <c r="J111" s="117"/>
      <c r="K111" s="59">
        <f t="shared" si="50"/>
        <v>0</v>
      </c>
      <c r="L111" s="59">
        <f t="shared" si="50"/>
        <v>-268813.10679612216</v>
      </c>
      <c r="M111" s="117"/>
      <c r="N111" s="59">
        <f t="shared" si="47"/>
        <v>-268813.10679612216</v>
      </c>
      <c r="O111" s="59">
        <f t="shared" si="61"/>
        <v>119173.81067961344</v>
      </c>
      <c r="P111" s="59">
        <f t="shared" si="48"/>
        <v>9408.4587378640717</v>
      </c>
      <c r="Q111" s="59">
        <f t="shared" si="49"/>
        <v>-149639.29611650872</v>
      </c>
      <c r="R111" s="115">
        <f t="shared" si="33"/>
        <v>-345275.50161812612</v>
      </c>
      <c r="S111" s="115">
        <f t="shared" si="59"/>
        <v>-537626.21359223779</v>
      </c>
      <c r="T111" s="115">
        <f t="shared" si="60"/>
        <v>192350.71197411165</v>
      </c>
    </row>
    <row r="112" spans="1:22" ht="12.75">
      <c r="A112" s="113">
        <v>43251</v>
      </c>
      <c r="B112" s="59">
        <f t="shared" si="57"/>
        <v>-4614625</v>
      </c>
      <c r="C112" s="59">
        <f t="shared" si="57"/>
        <v>-4614625</v>
      </c>
      <c r="D112" s="117"/>
      <c r="E112" s="59">
        <v>0</v>
      </c>
      <c r="F112" s="115">
        <f t="shared" ref="F112:F117" si="62">C112/$E$5</f>
        <v>-44802.184466019418</v>
      </c>
      <c r="G112" s="117"/>
      <c r="H112" s="59">
        <f t="shared" si="58"/>
        <v>4614625</v>
      </c>
      <c r="I112" s="59">
        <f t="shared" si="58"/>
        <v>4390614.0776698971</v>
      </c>
      <c r="J112" s="117"/>
      <c r="K112" s="59">
        <f t="shared" si="50"/>
        <v>0</v>
      </c>
      <c r="L112" s="59">
        <f t="shared" si="50"/>
        <v>-224010.92233010288</v>
      </c>
      <c r="M112" s="117"/>
      <c r="N112" s="59">
        <f t="shared" si="47"/>
        <v>-224010.92233010288</v>
      </c>
      <c r="O112" s="59">
        <f t="shared" si="61"/>
        <v>109765.35194174937</v>
      </c>
      <c r="P112" s="59">
        <f t="shared" si="48"/>
        <v>9408.4587378640717</v>
      </c>
      <c r="Q112" s="59">
        <f t="shared" si="49"/>
        <v>-114245.57038835352</v>
      </c>
      <c r="R112" s="115">
        <f t="shared" si="33"/>
        <v>-313801.96703074756</v>
      </c>
      <c r="S112" s="115">
        <f t="shared" si="59"/>
        <v>-492824.02912621852</v>
      </c>
      <c r="T112" s="115">
        <f t="shared" si="60"/>
        <v>179022.06209547093</v>
      </c>
    </row>
    <row r="113" spans="1:20" s="1137" customFormat="1" ht="12.75">
      <c r="A113" s="1134">
        <v>43281</v>
      </c>
      <c r="B113" s="1135">
        <f t="shared" si="57"/>
        <v>-4614625</v>
      </c>
      <c r="C113" s="1135">
        <f t="shared" si="57"/>
        <v>-4614625</v>
      </c>
      <c r="D113" s="1136"/>
      <c r="E113" s="1135">
        <v>0</v>
      </c>
      <c r="F113" s="1135">
        <f t="shared" si="62"/>
        <v>-44802.184466019418</v>
      </c>
      <c r="G113" s="1136"/>
      <c r="H113" s="1135">
        <f t="shared" si="58"/>
        <v>4614625</v>
      </c>
      <c r="I113" s="1135">
        <f t="shared" si="58"/>
        <v>4435416.2621359164</v>
      </c>
      <c r="J113" s="1136"/>
      <c r="K113" s="1135">
        <f t="shared" si="50"/>
        <v>0</v>
      </c>
      <c r="L113" s="1135">
        <f t="shared" si="50"/>
        <v>-179208.73786408361</v>
      </c>
      <c r="M113" s="1136"/>
      <c r="N113" s="1135">
        <f t="shared" si="47"/>
        <v>-179208.73786408361</v>
      </c>
      <c r="O113" s="59">
        <f t="shared" si="61"/>
        <v>100356.89320388529</v>
      </c>
      <c r="P113" s="1135">
        <f t="shared" si="48"/>
        <v>9408.4587378640717</v>
      </c>
      <c r="Q113" s="1135">
        <f t="shared" si="49"/>
        <v>-78851.844660198316</v>
      </c>
      <c r="R113" s="1135">
        <f t="shared" si="33"/>
        <v>-281805.74029126554</v>
      </c>
      <c r="S113" s="1135">
        <f t="shared" si="59"/>
        <v>-448021.84466019925</v>
      </c>
      <c r="T113" s="1135">
        <f t="shared" si="60"/>
        <v>166216.10436893371</v>
      </c>
    </row>
    <row r="114" spans="1:20" ht="12.75">
      <c r="A114" s="113">
        <v>43312</v>
      </c>
      <c r="B114" s="59">
        <f t="shared" ref="B114:C118" si="63">B113</f>
        <v>-4614625</v>
      </c>
      <c r="C114" s="59">
        <f t="shared" si="63"/>
        <v>-4614625</v>
      </c>
      <c r="D114" s="117"/>
      <c r="E114" s="59">
        <v>0</v>
      </c>
      <c r="F114" s="115">
        <f t="shared" si="62"/>
        <v>-44802.184466019418</v>
      </c>
      <c r="G114" s="117"/>
      <c r="H114" s="59">
        <f t="shared" ref="H114:I118" si="64">H113-E114</f>
        <v>4614625</v>
      </c>
      <c r="I114" s="59">
        <f t="shared" si="64"/>
        <v>4480218.4466019357</v>
      </c>
      <c r="J114" s="117"/>
      <c r="K114" s="59">
        <f t="shared" si="50"/>
        <v>0</v>
      </c>
      <c r="L114" s="59">
        <f t="shared" si="50"/>
        <v>-134406.55339806434</v>
      </c>
      <c r="M114" s="117"/>
      <c r="N114" s="59">
        <f>L114-K114</f>
        <v>-134406.55339806434</v>
      </c>
      <c r="O114" s="59">
        <f t="shared" si="61"/>
        <v>90948.434466021223</v>
      </c>
      <c r="P114" s="59">
        <f>-O114+O113</f>
        <v>9408.4587378640717</v>
      </c>
      <c r="Q114" s="59">
        <f>L114+O114</f>
        <v>-43458.118932043115</v>
      </c>
      <c r="R114" s="115">
        <f t="shared" si="33"/>
        <v>-249286.82139967987</v>
      </c>
      <c r="S114" s="115">
        <f t="shared" si="59"/>
        <v>-403219.66019417997</v>
      </c>
      <c r="T114" s="115">
        <f t="shared" si="60"/>
        <v>153932.83879450013</v>
      </c>
    </row>
    <row r="115" spans="1:20" ht="12.75">
      <c r="A115" s="113">
        <v>43343</v>
      </c>
      <c r="B115" s="59">
        <f t="shared" si="63"/>
        <v>-4614625</v>
      </c>
      <c r="C115" s="59">
        <f t="shared" si="63"/>
        <v>-4614625</v>
      </c>
      <c r="D115" s="117"/>
      <c r="E115" s="59">
        <v>0</v>
      </c>
      <c r="F115" s="115">
        <f t="shared" si="62"/>
        <v>-44802.184466019418</v>
      </c>
      <c r="G115" s="117"/>
      <c r="H115" s="59">
        <f t="shared" si="64"/>
        <v>4614625</v>
      </c>
      <c r="I115" s="59">
        <f t="shared" si="64"/>
        <v>4525020.6310679549</v>
      </c>
      <c r="J115" s="117"/>
      <c r="K115" s="59">
        <f t="shared" si="50"/>
        <v>0</v>
      </c>
      <c r="L115" s="59">
        <f t="shared" si="50"/>
        <v>-89604.368932045065</v>
      </c>
      <c r="M115" s="117"/>
      <c r="N115" s="59">
        <f>L115-K115</f>
        <v>-89604.368932045065</v>
      </c>
      <c r="O115" s="59">
        <f t="shared" si="61"/>
        <v>81539.975728157151</v>
      </c>
      <c r="P115" s="59">
        <f>-O115+O114</f>
        <v>9408.4587378640717</v>
      </c>
      <c r="Q115" s="59">
        <f>L115+O115</f>
        <v>-8064.3932038879138</v>
      </c>
      <c r="R115" s="115">
        <f t="shared" si="33"/>
        <v>-216245.21035599068</v>
      </c>
      <c r="S115" s="115">
        <f t="shared" si="59"/>
        <v>-358417.4757281607</v>
      </c>
      <c r="T115" s="115">
        <f t="shared" si="60"/>
        <v>142172.26537217002</v>
      </c>
    </row>
    <row r="116" spans="1:20" ht="12.75">
      <c r="A116" s="113">
        <v>43373</v>
      </c>
      <c r="B116" s="59">
        <f t="shared" si="63"/>
        <v>-4614625</v>
      </c>
      <c r="C116" s="59">
        <f t="shared" si="63"/>
        <v>-4614625</v>
      </c>
      <c r="D116" s="117"/>
      <c r="E116" s="59">
        <v>0</v>
      </c>
      <c r="F116" s="115">
        <f t="shared" si="62"/>
        <v>-44802.184466019418</v>
      </c>
      <c r="G116" s="117"/>
      <c r="H116" s="59">
        <f t="shared" si="64"/>
        <v>4614625</v>
      </c>
      <c r="I116" s="59">
        <f t="shared" si="64"/>
        <v>4569822.8155339742</v>
      </c>
      <c r="J116" s="117"/>
      <c r="K116" s="59">
        <f t="shared" ref="K116:L118" si="65">B116+H116</f>
        <v>0</v>
      </c>
      <c r="L116" s="59">
        <f t="shared" si="65"/>
        <v>-44802.184466025792</v>
      </c>
      <c r="M116" s="117"/>
      <c r="N116" s="59">
        <f>L116-K116</f>
        <v>-44802.184466025792</v>
      </c>
      <c r="O116" s="59">
        <f>F116*$O$11+O115</f>
        <v>72131.516990293079</v>
      </c>
      <c r="P116" s="59">
        <f>-O116+O115</f>
        <v>9408.4587378640717</v>
      </c>
      <c r="Q116" s="59">
        <f>L116+O116</f>
        <v>27329.332524267287</v>
      </c>
      <c r="R116" s="115">
        <f t="shared" si="33"/>
        <v>-182680.90716019788</v>
      </c>
      <c r="S116" s="115">
        <f t="shared" si="59"/>
        <v>-313615.29126214143</v>
      </c>
      <c r="T116" s="115">
        <f t="shared" si="60"/>
        <v>130934.38410194352</v>
      </c>
    </row>
    <row r="117" spans="1:20" ht="12.75">
      <c r="A117" s="113">
        <v>43404</v>
      </c>
      <c r="B117" s="59">
        <f t="shared" si="63"/>
        <v>-4614625</v>
      </c>
      <c r="C117" s="59">
        <f t="shared" si="63"/>
        <v>-4614625</v>
      </c>
      <c r="D117" s="117"/>
      <c r="E117" s="59">
        <v>0</v>
      </c>
      <c r="F117" s="115">
        <f t="shared" si="62"/>
        <v>-44802.184466019418</v>
      </c>
      <c r="G117" s="117"/>
      <c r="H117" s="59">
        <f t="shared" si="64"/>
        <v>4614625</v>
      </c>
      <c r="I117" s="59">
        <f t="shared" si="64"/>
        <v>4614624.9999999935</v>
      </c>
      <c r="J117" s="117"/>
      <c r="K117" s="59">
        <f t="shared" si="65"/>
        <v>0</v>
      </c>
      <c r="L117" s="59">
        <f t="shared" si="65"/>
        <v>0</v>
      </c>
      <c r="M117" s="117"/>
      <c r="N117" s="59">
        <f>L117-K117</f>
        <v>0</v>
      </c>
      <c r="O117" s="59">
        <f t="shared" si="61"/>
        <v>62723.058252429</v>
      </c>
      <c r="P117" s="59"/>
      <c r="Q117" s="59">
        <f>L117+O117</f>
        <v>62723.058252429</v>
      </c>
      <c r="R117" s="115">
        <f t="shared" si="33"/>
        <v>-148593.91181230132</v>
      </c>
      <c r="S117" s="115">
        <f t="shared" si="59"/>
        <v>-268813.10679612187</v>
      </c>
      <c r="T117" s="115">
        <f t="shared" si="60"/>
        <v>120219.19498382056</v>
      </c>
    </row>
    <row r="118" spans="1:20" ht="12.75">
      <c r="A118" s="113">
        <v>43434</v>
      </c>
      <c r="B118" s="59">
        <f t="shared" si="63"/>
        <v>-4614625</v>
      </c>
      <c r="C118" s="59">
        <f t="shared" si="63"/>
        <v>-4614625</v>
      </c>
      <c r="D118" s="117"/>
      <c r="E118" s="59">
        <v>0</v>
      </c>
      <c r="F118" s="115"/>
      <c r="G118" s="117"/>
      <c r="H118" s="59">
        <f t="shared" si="64"/>
        <v>4614625</v>
      </c>
      <c r="I118" s="59">
        <f>I117-F118</f>
        <v>4614624.9999999935</v>
      </c>
      <c r="J118" s="117"/>
      <c r="K118" s="59">
        <f t="shared" si="65"/>
        <v>0</v>
      </c>
      <c r="L118" s="59"/>
      <c r="M118" s="117"/>
      <c r="N118" s="59">
        <f>L118-K118</f>
        <v>0</v>
      </c>
      <c r="O118" s="59">
        <f t="shared" si="61"/>
        <v>62723.058252429</v>
      </c>
      <c r="P118" s="59">
        <f>-O118+O117</f>
        <v>0</v>
      </c>
      <c r="Q118" s="59">
        <f>L118+O118</f>
        <v>62723.058252429</v>
      </c>
      <c r="R118" s="115">
        <f t="shared" si="33"/>
        <v>-115458.96288430739</v>
      </c>
      <c r="S118" s="115">
        <f t="shared" si="59"/>
        <v>-225877.6800161862</v>
      </c>
      <c r="T118" s="115">
        <f t="shared" si="60"/>
        <v>110418.71713187882</v>
      </c>
    </row>
    <row r="119" spans="1:20" ht="12.75">
      <c r="A119" s="1304">
        <v>43465</v>
      </c>
      <c r="B119" s="1305">
        <f t="shared" ref="B119:B131" si="66">B118</f>
        <v>-4614625</v>
      </c>
      <c r="C119" s="1305">
        <f t="shared" ref="C119:C131" si="67">C118</f>
        <v>-4614625</v>
      </c>
      <c r="D119" s="1306"/>
      <c r="E119" s="1305">
        <v>0</v>
      </c>
      <c r="F119" s="1305">
        <v>0</v>
      </c>
      <c r="G119" s="1307"/>
      <c r="H119" s="1305">
        <f t="shared" ref="H119:H122" si="68">H118-E119</f>
        <v>4614625</v>
      </c>
      <c r="I119" s="1305">
        <f t="shared" ref="I119:I122" si="69">I118-F119</f>
        <v>4614624.9999999935</v>
      </c>
      <c r="J119" s="1307"/>
      <c r="K119" s="1305">
        <f t="shared" ref="K119:K122" si="70">B119+H119</f>
        <v>0</v>
      </c>
      <c r="L119" s="1305"/>
      <c r="M119" s="1307"/>
      <c r="N119" s="1305">
        <f t="shared" ref="N119:N122" si="71">L119-K119</f>
        <v>0</v>
      </c>
      <c r="O119" s="59">
        <f t="shared" si="61"/>
        <v>62723.058252429</v>
      </c>
      <c r="P119" s="59">
        <f t="shared" ref="P119:P122" si="72">-O119+O118</f>
        <v>0</v>
      </c>
      <c r="Q119" s="59">
        <f t="shared" ref="Q119:Q122" si="73">L119+O119</f>
        <v>62723.058252429</v>
      </c>
      <c r="R119" s="1305">
        <f>(Q107+Q119+(SUM(Q108:Q118))*2)/24</f>
        <v>-84750.798948222815</v>
      </c>
      <c r="S119" s="1305">
        <f t="shared" si="59"/>
        <v>-186675.76860841879</v>
      </c>
      <c r="T119" s="115">
        <f t="shared" si="60"/>
        <v>101924.96966019597</v>
      </c>
    </row>
    <row r="120" spans="1:20" ht="12.75">
      <c r="A120" s="113">
        <v>43496</v>
      </c>
      <c r="B120" s="59">
        <f t="shared" si="66"/>
        <v>-4614625</v>
      </c>
      <c r="C120" s="59">
        <f t="shared" si="67"/>
        <v>-4614625</v>
      </c>
      <c r="D120" s="117"/>
      <c r="E120" s="59">
        <v>0</v>
      </c>
      <c r="F120" s="59">
        <v>0</v>
      </c>
      <c r="H120" s="59">
        <f t="shared" si="68"/>
        <v>4614625</v>
      </c>
      <c r="I120" s="59">
        <f t="shared" si="69"/>
        <v>4614624.9999999935</v>
      </c>
      <c r="K120" s="59">
        <f t="shared" si="70"/>
        <v>0</v>
      </c>
      <c r="L120" s="59"/>
      <c r="N120" s="59">
        <f t="shared" si="71"/>
        <v>0</v>
      </c>
      <c r="O120" s="1148"/>
      <c r="P120" s="59"/>
      <c r="Q120" s="59">
        <f t="shared" si="73"/>
        <v>0</v>
      </c>
      <c r="R120" s="115">
        <f t="shared" si="33"/>
        <v>-59344.226840617281</v>
      </c>
      <c r="S120" s="115">
        <f t="shared" si="59"/>
        <v>-151207.37257281967</v>
      </c>
      <c r="T120" s="115">
        <f t="shared" si="60"/>
        <v>91863.145732202393</v>
      </c>
    </row>
    <row r="121" spans="1:20" ht="12.75">
      <c r="A121" s="113">
        <v>43524</v>
      </c>
      <c r="B121" s="59">
        <f t="shared" si="66"/>
        <v>-4614625</v>
      </c>
      <c r="C121" s="59">
        <f t="shared" si="67"/>
        <v>-4614625</v>
      </c>
      <c r="D121" s="117"/>
      <c r="E121" s="59">
        <v>0</v>
      </c>
      <c r="F121" s="59">
        <v>0</v>
      </c>
      <c r="H121" s="59">
        <f t="shared" si="68"/>
        <v>4614625</v>
      </c>
      <c r="I121" s="59">
        <f t="shared" si="69"/>
        <v>4614624.9999999935</v>
      </c>
      <c r="K121" s="59">
        <f t="shared" si="70"/>
        <v>0</v>
      </c>
      <c r="L121" s="59"/>
      <c r="N121" s="59">
        <f t="shared" si="71"/>
        <v>0</v>
      </c>
      <c r="O121" s="1148"/>
      <c r="P121" s="59">
        <f t="shared" si="72"/>
        <v>0</v>
      </c>
      <c r="Q121" s="59">
        <f t="shared" si="73"/>
        <v>0</v>
      </c>
      <c r="R121" s="115">
        <f t="shared" si="33"/>
        <v>-39500.592637542562</v>
      </c>
      <c r="S121" s="115">
        <f t="shared" si="59"/>
        <v>-119472.4919093888</v>
      </c>
      <c r="T121" s="115">
        <f t="shared" si="60"/>
        <v>79971.89927184624</v>
      </c>
    </row>
    <row r="122" spans="1:20" ht="12.75">
      <c r="A122" s="113">
        <v>43555</v>
      </c>
      <c r="B122" s="59">
        <f t="shared" si="66"/>
        <v>-4614625</v>
      </c>
      <c r="C122" s="59">
        <f t="shared" si="67"/>
        <v>-4614625</v>
      </c>
      <c r="D122" s="117"/>
      <c r="E122" s="59">
        <v>0</v>
      </c>
      <c r="F122" s="59">
        <v>0</v>
      </c>
      <c r="H122" s="59">
        <f t="shared" si="68"/>
        <v>4614625</v>
      </c>
      <c r="I122" s="59">
        <f t="shared" si="69"/>
        <v>4614624.9999999935</v>
      </c>
      <c r="K122" s="59">
        <f t="shared" si="70"/>
        <v>0</v>
      </c>
      <c r="L122" s="59"/>
      <c r="N122" s="59">
        <f t="shared" si="71"/>
        <v>0</v>
      </c>
      <c r="O122" s="1148"/>
      <c r="P122" s="59">
        <f t="shared" si="72"/>
        <v>0</v>
      </c>
      <c r="Q122" s="59">
        <f t="shared" si="73"/>
        <v>0</v>
      </c>
      <c r="R122" s="115">
        <f t="shared" si="33"/>
        <v>-22606.435578480759</v>
      </c>
      <c r="S122" s="115">
        <f t="shared" si="59"/>
        <v>-91471.126618126218</v>
      </c>
      <c r="T122" s="115">
        <f t="shared" si="60"/>
        <v>68864.691039645448</v>
      </c>
    </row>
    <row r="123" spans="1:20" ht="12.75">
      <c r="A123" s="113">
        <v>43585</v>
      </c>
      <c r="B123" s="59">
        <f t="shared" si="66"/>
        <v>-4614625</v>
      </c>
      <c r="C123" s="59">
        <f t="shared" si="67"/>
        <v>-4614625</v>
      </c>
      <c r="D123" s="117"/>
      <c r="E123" s="59">
        <v>0</v>
      </c>
      <c r="F123" s="59">
        <v>0</v>
      </c>
      <c r="H123" s="59"/>
      <c r="I123" s="59"/>
      <c r="K123" s="59"/>
      <c r="L123" s="59"/>
      <c r="N123" s="59"/>
      <c r="O123" s="59"/>
      <c r="P123" s="59"/>
      <c r="Q123" s="59"/>
      <c r="R123" s="115">
        <f t="shared" si="33"/>
        <v>-8661.7556634319099</v>
      </c>
      <c r="S123" s="115">
        <f t="shared" si="59"/>
        <v>-67203.276699031892</v>
      </c>
      <c r="T123" s="115">
        <f t="shared" si="60"/>
        <v>58541.521035599988</v>
      </c>
    </row>
    <row r="124" spans="1:20" ht="12.75">
      <c r="A124" s="113">
        <v>43616</v>
      </c>
      <c r="B124" s="59">
        <f t="shared" si="66"/>
        <v>-4614625</v>
      </c>
      <c r="C124" s="59">
        <f t="shared" si="67"/>
        <v>-4614625</v>
      </c>
      <c r="D124" s="117"/>
      <c r="E124" s="59">
        <v>0</v>
      </c>
      <c r="F124" s="59">
        <v>0</v>
      </c>
      <c r="H124" s="59"/>
      <c r="I124" s="59"/>
      <c r="K124" s="59"/>
      <c r="L124" s="59"/>
      <c r="N124" s="59"/>
      <c r="O124" s="59"/>
      <c r="P124" s="59"/>
      <c r="Q124" s="59"/>
      <c r="R124" s="115"/>
      <c r="S124" s="115">
        <f t="shared" si="59"/>
        <v>-46668.942152105854</v>
      </c>
      <c r="T124" s="115">
        <f t="shared" si="60"/>
        <v>49002.389259709867</v>
      </c>
    </row>
    <row r="125" spans="1:20" ht="12.75">
      <c r="A125" s="113">
        <v>43646</v>
      </c>
      <c r="B125" s="59">
        <f t="shared" si="66"/>
        <v>-4614625</v>
      </c>
      <c r="C125" s="59">
        <f t="shared" si="67"/>
        <v>-4614625</v>
      </c>
      <c r="D125" s="117"/>
      <c r="E125" s="59">
        <v>0</v>
      </c>
      <c r="F125" s="59">
        <v>0</v>
      </c>
      <c r="H125" s="59"/>
      <c r="I125" s="59"/>
      <c r="K125" s="59"/>
      <c r="L125" s="59"/>
      <c r="N125" s="59"/>
      <c r="O125" s="59"/>
      <c r="P125" s="59"/>
      <c r="Q125" s="59"/>
      <c r="R125" s="115"/>
      <c r="S125" s="115">
        <f t="shared" si="59"/>
        <v>-29868.122977348085</v>
      </c>
      <c r="T125" s="115">
        <f t="shared" si="60"/>
        <v>40247.295711975094</v>
      </c>
    </row>
    <row r="126" spans="1:20" ht="12.75">
      <c r="A126" s="113">
        <v>43677</v>
      </c>
      <c r="B126" s="59">
        <f t="shared" si="66"/>
        <v>-4614625</v>
      </c>
      <c r="C126" s="59">
        <f t="shared" si="67"/>
        <v>-4614625</v>
      </c>
      <c r="D126" s="117"/>
      <c r="E126" s="59">
        <v>0</v>
      </c>
      <c r="F126" s="59">
        <v>0</v>
      </c>
      <c r="H126" s="59"/>
      <c r="I126" s="59"/>
      <c r="K126" s="59"/>
      <c r="L126" s="59"/>
      <c r="N126" s="59"/>
      <c r="O126" s="59"/>
      <c r="P126" s="59"/>
      <c r="Q126" s="59"/>
      <c r="R126" s="115"/>
    </row>
    <row r="127" spans="1:20" ht="12.75">
      <c r="A127" s="113">
        <v>43708</v>
      </c>
      <c r="B127" s="59">
        <f t="shared" si="66"/>
        <v>-4614625</v>
      </c>
      <c r="C127" s="59">
        <f t="shared" si="67"/>
        <v>-4614625</v>
      </c>
      <c r="D127" s="117"/>
      <c r="E127" s="59">
        <v>0</v>
      </c>
      <c r="F127" s="59">
        <v>0</v>
      </c>
      <c r="H127" s="59"/>
      <c r="I127" s="59"/>
      <c r="K127" s="59"/>
      <c r="L127" s="59"/>
      <c r="N127" s="59"/>
      <c r="O127" s="59"/>
      <c r="P127" s="59"/>
      <c r="Q127" s="59"/>
      <c r="R127" s="115"/>
    </row>
    <row r="128" spans="1:20" ht="12.75">
      <c r="A128" s="113">
        <v>43738</v>
      </c>
      <c r="B128" s="59">
        <f t="shared" si="66"/>
        <v>-4614625</v>
      </c>
      <c r="C128" s="59">
        <f t="shared" si="67"/>
        <v>-4614625</v>
      </c>
      <c r="D128" s="117"/>
      <c r="E128" s="59">
        <v>0</v>
      </c>
      <c r="F128" s="59">
        <v>0</v>
      </c>
      <c r="H128" s="59"/>
      <c r="I128" s="59"/>
      <c r="K128" s="59"/>
      <c r="L128" s="59"/>
      <c r="N128" s="59"/>
      <c r="O128" s="59"/>
      <c r="P128" s="59"/>
      <c r="Q128" s="59"/>
      <c r="R128" s="115"/>
    </row>
    <row r="129" spans="1:18" ht="12.75">
      <c r="A129" s="113">
        <v>43769</v>
      </c>
      <c r="B129" s="59">
        <f t="shared" si="66"/>
        <v>-4614625</v>
      </c>
      <c r="C129" s="59">
        <f t="shared" si="67"/>
        <v>-4614625</v>
      </c>
      <c r="D129" s="117"/>
      <c r="E129" s="59">
        <v>0</v>
      </c>
      <c r="F129" s="59">
        <v>0</v>
      </c>
      <c r="H129" s="59"/>
      <c r="I129" s="59"/>
      <c r="K129" s="59"/>
      <c r="L129" s="59"/>
      <c r="N129" s="59"/>
      <c r="O129" s="59"/>
      <c r="P129" s="59"/>
      <c r="Q129" s="59"/>
      <c r="R129" s="115"/>
    </row>
    <row r="130" spans="1:18" ht="12.75">
      <c r="A130" s="113">
        <v>43799</v>
      </c>
      <c r="B130" s="59">
        <f t="shared" si="66"/>
        <v>-4614625</v>
      </c>
      <c r="C130" s="59">
        <f t="shared" si="67"/>
        <v>-4614625</v>
      </c>
      <c r="D130" s="117"/>
      <c r="E130" s="59">
        <v>0</v>
      </c>
      <c r="F130" s="59">
        <v>0</v>
      </c>
      <c r="H130" s="59"/>
      <c r="I130" s="59"/>
      <c r="K130" s="59"/>
      <c r="L130" s="59"/>
      <c r="N130" s="59"/>
      <c r="O130" s="59"/>
      <c r="P130" s="59"/>
      <c r="Q130" s="59"/>
      <c r="R130" s="115"/>
    </row>
    <row r="131" spans="1:18" ht="12.75">
      <c r="A131" s="113">
        <v>43830</v>
      </c>
      <c r="B131" s="59">
        <f t="shared" si="66"/>
        <v>-4614625</v>
      </c>
      <c r="C131" s="59">
        <f t="shared" si="67"/>
        <v>-4614625</v>
      </c>
      <c r="D131" s="117"/>
      <c r="E131" s="59">
        <v>0</v>
      </c>
      <c r="F131" s="59">
        <v>0</v>
      </c>
      <c r="H131" s="59"/>
      <c r="I131" s="59"/>
      <c r="K131" s="59"/>
      <c r="L131" s="59"/>
      <c r="N131" s="59"/>
      <c r="O131" s="59"/>
      <c r="P131" s="59"/>
      <c r="Q131" s="59"/>
      <c r="R131" s="115"/>
    </row>
    <row r="132" spans="1:18" ht="12.95" customHeight="1">
      <c r="A132" s="118"/>
      <c r="B132" s="60"/>
      <c r="C132" s="60"/>
      <c r="D132" s="119"/>
      <c r="E132" s="60"/>
      <c r="F132" s="60"/>
      <c r="G132" s="698"/>
      <c r="H132" s="60"/>
      <c r="I132" s="60"/>
      <c r="J132" s="698"/>
      <c r="K132" s="60"/>
      <c r="L132" s="60"/>
      <c r="M132" s="698"/>
      <c r="N132" s="60"/>
      <c r="O132" s="60"/>
      <c r="P132" s="60"/>
      <c r="Q132" s="60"/>
      <c r="R132" s="128"/>
    </row>
    <row r="134" spans="1:18" ht="12.9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</row>
  </sheetData>
  <phoneticPr fontId="7" type="noConversion"/>
  <pageMargins left="0.5" right="0.5" top="0.5" bottom="0.5" header="0.5" footer="0"/>
  <pageSetup scale="56" fitToHeight="0" orientation="landscape" r:id="rId1"/>
  <headerFooter alignWithMargins="0">
    <oddFooter>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W112"/>
  <sheetViews>
    <sheetView zoomScale="87" zoomScaleNormal="87" workbookViewId="0">
      <pane xSplit="2" ySplit="10" topLeftCell="C74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140625" defaultRowHeight="12.75" outlineLevelRow="1" outlineLevelCol="1"/>
  <cols>
    <col min="1" max="1" width="2.7109375" style="525" customWidth="1"/>
    <col min="2" max="2" width="12" style="531" customWidth="1"/>
    <col min="3" max="3" width="3.85546875" style="531" customWidth="1"/>
    <col min="4" max="4" width="14" style="531" customWidth="1"/>
    <col min="5" max="5" width="17" style="531" customWidth="1"/>
    <col min="6" max="6" width="16.140625" style="531" bestFit="1" customWidth="1"/>
    <col min="7" max="7" width="14.28515625" style="531" bestFit="1" customWidth="1"/>
    <col min="8" max="8" width="16.42578125" style="531" bestFit="1" customWidth="1"/>
    <col min="9" max="9" width="15" style="531" bestFit="1" customWidth="1"/>
    <col min="10" max="10" width="14.28515625" style="531" bestFit="1" customWidth="1"/>
    <col min="11" max="11" width="18.28515625" style="531" bestFit="1" customWidth="1"/>
    <col min="12" max="12" width="16.140625" style="531" customWidth="1"/>
    <col min="13" max="13" width="15.140625" style="531" bestFit="1" customWidth="1"/>
    <col min="14" max="14" width="15.42578125" style="531" bestFit="1" customWidth="1"/>
    <col min="15" max="15" width="15" style="531" customWidth="1"/>
    <col min="16" max="16" width="6.28515625" style="531" customWidth="1" outlineLevel="1"/>
    <col min="17" max="17" width="16" style="531" bestFit="1" customWidth="1"/>
    <col min="18" max="23" width="9.140625" style="524"/>
    <col min="24" max="16384" width="9.140625" style="525"/>
  </cols>
  <sheetData>
    <row r="1" spans="1:17">
      <c r="A1" s="508"/>
      <c r="B1" s="528" t="s">
        <v>9</v>
      </c>
      <c r="C1" s="529"/>
      <c r="D1" s="529"/>
      <c r="E1" s="529"/>
      <c r="F1" s="529"/>
      <c r="G1" s="529"/>
      <c r="H1" s="529"/>
      <c r="I1" s="529"/>
      <c r="J1" s="529"/>
      <c r="K1" s="530"/>
      <c r="L1" s="530"/>
      <c r="M1" s="530"/>
      <c r="N1" s="530"/>
    </row>
    <row r="2" spans="1:17">
      <c r="A2" s="508"/>
      <c r="B2" s="1079" t="s">
        <v>854</v>
      </c>
      <c r="C2" s="529"/>
      <c r="D2" s="529"/>
      <c r="E2" s="529"/>
      <c r="F2" s="529"/>
      <c r="G2" s="529"/>
      <c r="H2" s="529"/>
      <c r="I2" s="529"/>
      <c r="J2" s="529"/>
      <c r="K2" s="530"/>
      <c r="L2" s="530"/>
      <c r="M2" s="530"/>
      <c r="N2" s="530"/>
    </row>
    <row r="3" spans="1:17">
      <c r="A3" s="508"/>
      <c r="B3" s="528" t="s">
        <v>714</v>
      </c>
      <c r="C3" s="529"/>
      <c r="D3" s="529"/>
      <c r="E3" s="529"/>
      <c r="F3" s="529"/>
      <c r="G3" s="529"/>
      <c r="H3" s="529"/>
      <c r="I3" s="529"/>
      <c r="J3" s="529"/>
      <c r="K3" s="530"/>
      <c r="L3" s="530"/>
      <c r="M3" s="530"/>
      <c r="N3" s="530"/>
    </row>
    <row r="4" spans="1:17">
      <c r="A4" s="508"/>
      <c r="B4" s="528"/>
      <c r="C4" s="529"/>
      <c r="D4" s="529"/>
      <c r="E4" s="529"/>
      <c r="F4" s="529"/>
      <c r="G4" s="529"/>
      <c r="H4" s="529"/>
      <c r="I4" s="529"/>
      <c r="J4" s="529"/>
      <c r="K4" s="530"/>
      <c r="L4" s="530"/>
      <c r="M4" s="530"/>
      <c r="N4" s="530"/>
    </row>
    <row r="5" spans="1:17">
      <c r="A5" s="508"/>
      <c r="B5" s="529"/>
      <c r="C5" s="529"/>
      <c r="D5" s="1400"/>
      <c r="E5" s="1400"/>
      <c r="F5" s="1080"/>
      <c r="G5" s="1081" t="s">
        <v>730</v>
      </c>
      <c r="H5" s="1081"/>
      <c r="I5" s="1081"/>
      <c r="J5" s="1081"/>
      <c r="K5" s="1081"/>
      <c r="L5" s="1082"/>
      <c r="M5" s="532"/>
      <c r="N5" s="532"/>
      <c r="P5"/>
      <c r="Q5"/>
    </row>
    <row r="6" spans="1:17" ht="13.5" thickBot="1">
      <c r="A6" s="523"/>
      <c r="B6" s="530"/>
      <c r="C6" s="530"/>
      <c r="D6" s="1072" t="s">
        <v>731</v>
      </c>
      <c r="E6" s="1083"/>
      <c r="F6" s="1082"/>
      <c r="G6" s="1084" t="s">
        <v>729</v>
      </c>
      <c r="H6" s="1084"/>
      <c r="I6" s="1084"/>
      <c r="J6" s="1084"/>
      <c r="K6" s="1084" t="s">
        <v>855</v>
      </c>
      <c r="L6" s="1084"/>
      <c r="M6" s="534"/>
      <c r="N6" s="534"/>
      <c r="P6"/>
      <c r="Q6"/>
    </row>
    <row r="7" spans="1:17">
      <c r="A7" s="620"/>
      <c r="B7" s="621"/>
      <c r="C7" s="621"/>
      <c r="D7" s="622" t="s">
        <v>93</v>
      </c>
      <c r="E7" s="622" t="s">
        <v>2</v>
      </c>
      <c r="F7" s="623" t="s">
        <v>115</v>
      </c>
      <c r="G7" s="622" t="s">
        <v>19</v>
      </c>
      <c r="H7" s="622" t="s">
        <v>20</v>
      </c>
      <c r="I7" s="622" t="s">
        <v>116</v>
      </c>
      <c r="J7" s="622" t="s">
        <v>18</v>
      </c>
      <c r="K7" s="622" t="s">
        <v>19</v>
      </c>
      <c r="L7" s="622" t="s">
        <v>20</v>
      </c>
      <c r="M7" s="623" t="s">
        <v>117</v>
      </c>
      <c r="N7" s="622" t="s">
        <v>118</v>
      </c>
      <c r="O7" s="536" t="s">
        <v>2</v>
      </c>
      <c r="P7"/>
      <c r="Q7"/>
    </row>
    <row r="8" spans="1:17">
      <c r="A8" s="624"/>
      <c r="B8" s="537" t="s">
        <v>17</v>
      </c>
      <c r="C8" s="537"/>
      <c r="D8" s="534" t="s">
        <v>28</v>
      </c>
      <c r="E8" s="534"/>
      <c r="F8" s="535" t="s">
        <v>2</v>
      </c>
      <c r="G8" s="534" t="s">
        <v>3</v>
      </c>
      <c r="H8" s="534" t="s">
        <v>3</v>
      </c>
      <c r="I8" s="534" t="s">
        <v>712</v>
      </c>
      <c r="J8" s="534" t="s">
        <v>16</v>
      </c>
      <c r="K8" s="534" t="s">
        <v>24</v>
      </c>
      <c r="L8" s="535" t="s">
        <v>24</v>
      </c>
      <c r="M8" s="534" t="s">
        <v>18</v>
      </c>
      <c r="N8" s="534" t="s">
        <v>117</v>
      </c>
      <c r="O8" s="538" t="s">
        <v>37</v>
      </c>
      <c r="P8"/>
      <c r="Q8"/>
    </row>
    <row r="9" spans="1:17">
      <c r="A9" s="624"/>
      <c r="B9" s="537"/>
      <c r="C9" s="537"/>
      <c r="D9" s="534" t="s">
        <v>119</v>
      </c>
      <c r="E9" s="534" t="s">
        <v>31</v>
      </c>
      <c r="F9" s="535" t="s">
        <v>32</v>
      </c>
      <c r="G9" s="534" t="s">
        <v>120</v>
      </c>
      <c r="H9" s="535" t="s">
        <v>822</v>
      </c>
      <c r="I9" s="534" t="s">
        <v>33</v>
      </c>
      <c r="J9" s="534" t="s">
        <v>122</v>
      </c>
      <c r="K9" s="534" t="s">
        <v>720</v>
      </c>
      <c r="L9" s="535" t="s">
        <v>824</v>
      </c>
      <c r="M9" s="534" t="s">
        <v>94</v>
      </c>
      <c r="N9" s="534" t="s">
        <v>125</v>
      </c>
      <c r="O9" s="538" t="s">
        <v>35</v>
      </c>
      <c r="P9"/>
      <c r="Q9"/>
    </row>
    <row r="10" spans="1:17">
      <c r="A10" s="625"/>
      <c r="B10" s="539"/>
      <c r="C10" s="539"/>
      <c r="D10" s="533"/>
      <c r="E10" s="533"/>
      <c r="F10" s="540"/>
      <c r="G10" s="1085" t="s">
        <v>713</v>
      </c>
      <c r="H10" s="540" t="s">
        <v>155</v>
      </c>
      <c r="I10" s="533"/>
      <c r="J10" s="533"/>
      <c r="K10" s="533" t="s">
        <v>821</v>
      </c>
      <c r="L10" s="540" t="s">
        <v>825</v>
      </c>
      <c r="M10" s="533"/>
      <c r="N10" s="533"/>
      <c r="O10" s="632"/>
      <c r="P10"/>
      <c r="Q10"/>
    </row>
    <row r="11" spans="1:17">
      <c r="A11" s="624"/>
      <c r="B11" s="626" t="s">
        <v>5</v>
      </c>
      <c r="C11" s="530"/>
      <c r="D11" s="534"/>
      <c r="E11" s="543">
        <v>0</v>
      </c>
      <c r="F11" s="542"/>
      <c r="G11" s="534"/>
      <c r="H11" s="534"/>
      <c r="I11" s="543"/>
      <c r="J11" s="543"/>
      <c r="K11" s="544"/>
      <c r="L11" s="544"/>
      <c r="M11" s="544"/>
      <c r="N11" s="544"/>
      <c r="O11" s="549"/>
      <c r="P11"/>
      <c r="Q11"/>
    </row>
    <row r="12" spans="1:17" hidden="1" outlineLevel="1">
      <c r="A12" s="624"/>
      <c r="B12" s="547">
        <v>41243</v>
      </c>
      <c r="C12" s="530"/>
      <c r="D12" s="543">
        <v>742318.74844325054</v>
      </c>
      <c r="E12" s="526">
        <f>E11+D12</f>
        <v>742318.74844325054</v>
      </c>
      <c r="F12" s="546">
        <f>($E$12+E12+SUM($E11:E$13)*2)/24</f>
        <v>327159.98104759393</v>
      </c>
      <c r="G12" s="534"/>
      <c r="H12" s="534"/>
      <c r="I12" s="543"/>
      <c r="J12" s="557">
        <f t="shared" ref="J12:J18" si="0">F12+I12</f>
        <v>327159.98104759393</v>
      </c>
      <c r="K12" s="546">
        <f>(-D12*0.35)+(G12*0.35)</f>
        <v>-259811.56195513767</v>
      </c>
      <c r="L12" s="546">
        <f t="shared" ref="L12:L77" si="1">L11+K12</f>
        <v>-259811.56195513767</v>
      </c>
      <c r="M12" s="546">
        <f>($L$12+L12+SUM($L11:L$13)*2)/24</f>
        <v>-114505.99336665786</v>
      </c>
      <c r="N12" s="548">
        <f t="shared" ref="N12:N23" si="2">M12+J12</f>
        <v>212653.98768093606</v>
      </c>
      <c r="O12" s="545">
        <f>+E12+H12+L12</f>
        <v>482507.1864881129</v>
      </c>
      <c r="P12"/>
      <c r="Q12"/>
    </row>
    <row r="13" spans="1:17" hidden="1" outlineLevel="1">
      <c r="A13" s="624"/>
      <c r="B13" s="547">
        <v>41274</v>
      </c>
      <c r="C13" s="547"/>
      <c r="D13" s="526">
        <v>1698963.5272413751</v>
      </c>
      <c r="E13" s="526">
        <f t="shared" ref="E13:E76" si="3">E12+D13</f>
        <v>2441282.2756846258</v>
      </c>
      <c r="F13" s="546">
        <f>($E$12+E13+SUM($E12:E$13)*2)/24</f>
        <v>397950.12801598455</v>
      </c>
      <c r="G13" s="543"/>
      <c r="H13" s="543"/>
      <c r="I13" s="543"/>
      <c r="J13" s="557">
        <f t="shared" si="0"/>
        <v>397950.12801598455</v>
      </c>
      <c r="K13" s="546">
        <f>(-D13*0.35)+(G13*0.35)</f>
        <v>-594637.23453448119</v>
      </c>
      <c r="L13" s="546">
        <f t="shared" si="1"/>
        <v>-854448.79648961884</v>
      </c>
      <c r="M13" s="546">
        <f>($L$12+L13+SUM($L12:L$13)*2)/24</f>
        <v>-139282.54480559457</v>
      </c>
      <c r="N13" s="548">
        <f t="shared" si="2"/>
        <v>258667.58321038997</v>
      </c>
      <c r="O13" s="545">
        <f>+E13+H13+L13</f>
        <v>1586833.4791950071</v>
      </c>
      <c r="P13"/>
      <c r="Q13"/>
    </row>
    <row r="14" spans="1:17" hidden="1" outlineLevel="1">
      <c r="A14" s="624"/>
      <c r="B14" s="547">
        <v>41305</v>
      </c>
      <c r="C14" s="547"/>
      <c r="D14" s="526">
        <v>2399887.3547528917</v>
      </c>
      <c r="E14" s="526">
        <f t="shared" si="3"/>
        <v>4841169.6304375175</v>
      </c>
      <c r="F14" s="546">
        <f>($E$12+E14+SUM($E$13:E13)*2)/24</f>
        <v>436085.53876041743</v>
      </c>
      <c r="G14" s="543"/>
      <c r="H14" s="543"/>
      <c r="I14" s="543"/>
      <c r="J14" s="557">
        <f t="shared" si="0"/>
        <v>436085.53876041743</v>
      </c>
      <c r="K14" s="546">
        <f t="shared" ref="K14:K73" si="4">(-D14*0.35)+(G14*0.35)</f>
        <v>-839960.57416351209</v>
      </c>
      <c r="L14" s="546">
        <f t="shared" si="1"/>
        <v>-1694409.370653131</v>
      </c>
      <c r="M14" s="546">
        <f>($L$12+L14+SUM($L$13:L13)*2)/24</f>
        <v>-152629.9385661461</v>
      </c>
      <c r="N14" s="548">
        <f t="shared" si="2"/>
        <v>283455.6001942713</v>
      </c>
      <c r="O14" s="545">
        <f t="shared" ref="O14:O77" si="5">+E14+H14+L14</f>
        <v>3146760.2597843865</v>
      </c>
      <c r="P14"/>
      <c r="Q14"/>
    </row>
    <row r="15" spans="1:17" hidden="1" outlineLevel="1">
      <c r="A15" s="624"/>
      <c r="B15" s="547">
        <v>41333</v>
      </c>
      <c r="C15" s="547"/>
      <c r="D15" s="526">
        <v>2075605.6303575297</v>
      </c>
      <c r="E15" s="526">
        <f t="shared" si="3"/>
        <v>6916775.2607950475</v>
      </c>
      <c r="F15" s="546">
        <f>($E$12+E15+SUM($E$13:E14)*2)/24</f>
        <v>925999.90922844096</v>
      </c>
      <c r="G15" s="543"/>
      <c r="H15" s="543"/>
      <c r="I15" s="543"/>
      <c r="J15" s="557">
        <f t="shared" si="0"/>
        <v>925999.90922844096</v>
      </c>
      <c r="K15" s="546">
        <f t="shared" si="4"/>
        <v>-726461.97062513535</v>
      </c>
      <c r="L15" s="546">
        <f t="shared" si="1"/>
        <v>-2420871.3412782662</v>
      </c>
      <c r="M15" s="546">
        <f>($L$12+L15+SUM($L$13:L14)*2)/24</f>
        <v>-324099.96822995431</v>
      </c>
      <c r="N15" s="548">
        <f t="shared" si="2"/>
        <v>601899.94099848671</v>
      </c>
      <c r="O15" s="545">
        <f t="shared" si="5"/>
        <v>4495903.9195167813</v>
      </c>
      <c r="P15"/>
      <c r="Q15"/>
    </row>
    <row r="16" spans="1:17" hidden="1" outlineLevel="1">
      <c r="A16" s="624"/>
      <c r="B16" s="547">
        <v>41364</v>
      </c>
      <c r="C16" s="547"/>
      <c r="D16" s="526">
        <v>2322778.3988147951</v>
      </c>
      <c r="E16" s="526">
        <f>E15+D16</f>
        <v>9239553.659609843</v>
      </c>
      <c r="F16" s="546">
        <f>($E$12+E16+SUM($E$13:E15)*2)/24</f>
        <v>1599180.2809119781</v>
      </c>
      <c r="G16" s="526"/>
      <c r="H16" s="546">
        <f t="shared" ref="H16:H79" si="6">H15-G16</f>
        <v>0</v>
      </c>
      <c r="I16" s="543"/>
      <c r="J16" s="557">
        <f t="shared" si="0"/>
        <v>1599180.2809119781</v>
      </c>
      <c r="K16" s="546">
        <f>(-D16*0.35)+(G16*0.35)</f>
        <v>-812972.43958517828</v>
      </c>
      <c r="L16" s="546">
        <f t="shared" si="1"/>
        <v>-3233843.7808634443</v>
      </c>
      <c r="M16" s="546">
        <f>($L$12+L16+SUM($L$13:L15)*2)/24</f>
        <v>-559713.0983191923</v>
      </c>
      <c r="N16" s="548">
        <f t="shared" si="2"/>
        <v>1039467.1825927858</v>
      </c>
      <c r="O16" s="545">
        <f>+E16+H16+L16</f>
        <v>6005709.8787463987</v>
      </c>
      <c r="P16"/>
      <c r="Q16"/>
    </row>
    <row r="17" spans="1:17" hidden="1" outlineLevel="1">
      <c r="A17" s="624"/>
      <c r="B17" s="547">
        <v>41394</v>
      </c>
      <c r="C17" s="627"/>
      <c r="D17" s="526">
        <v>2155150.6951426193</v>
      </c>
      <c r="E17" s="526">
        <f t="shared" si="3"/>
        <v>11394704.354752462</v>
      </c>
      <c r="F17" s="546">
        <f>($E$12+E17+SUM($E$13:E16)*2)/24</f>
        <v>2458941.0315104076</v>
      </c>
      <c r="G17" s="526"/>
      <c r="H17" s="546">
        <f t="shared" si="6"/>
        <v>0</v>
      </c>
      <c r="I17" s="543"/>
      <c r="J17" s="557">
        <f t="shared" si="0"/>
        <v>2458941.0315104076</v>
      </c>
      <c r="K17" s="546">
        <f t="shared" si="4"/>
        <v>-754302.74329991674</v>
      </c>
      <c r="L17" s="546">
        <f t="shared" si="1"/>
        <v>-3988146.5241633612</v>
      </c>
      <c r="M17" s="546">
        <f>($L$12+L17+SUM($L$13:L16)*2)/24</f>
        <v>-860629.36102864239</v>
      </c>
      <c r="N17" s="548">
        <f t="shared" si="2"/>
        <v>1598311.6704817652</v>
      </c>
      <c r="O17" s="545">
        <f t="shared" si="5"/>
        <v>7406557.8305891007</v>
      </c>
      <c r="P17"/>
      <c r="Q17"/>
    </row>
    <row r="18" spans="1:17" hidden="1" outlineLevel="1">
      <c r="A18" s="624"/>
      <c r="B18" s="547">
        <v>41425</v>
      </c>
      <c r="C18" s="547"/>
      <c r="D18" s="526">
        <v>2051520.4821853442</v>
      </c>
      <c r="E18" s="526">
        <f t="shared" si="3"/>
        <v>13446224.836937808</v>
      </c>
      <c r="F18" s="546">
        <f>($E$12+E18+SUM($E$13:E17)*2)/24</f>
        <v>3493979.7478308356</v>
      </c>
      <c r="G18" s="526"/>
      <c r="H18" s="546">
        <f t="shared" si="6"/>
        <v>0</v>
      </c>
      <c r="I18" s="543"/>
      <c r="J18" s="557">
        <f t="shared" si="0"/>
        <v>3493979.7478308356</v>
      </c>
      <c r="K18" s="546">
        <f>(-D18*0.35)+(G18*0.35)</f>
        <v>-718032.16876487038</v>
      </c>
      <c r="L18" s="546">
        <f t="shared" si="1"/>
        <v>-4706178.6929282313</v>
      </c>
      <c r="M18" s="546">
        <f>($L$12+L18+SUM($L$13:L17)*2)/24</f>
        <v>-1222892.9117407922</v>
      </c>
      <c r="N18" s="548">
        <f t="shared" si="2"/>
        <v>2271086.8360900432</v>
      </c>
      <c r="O18" s="545">
        <f t="shared" si="5"/>
        <v>8740046.1440095752</v>
      </c>
      <c r="P18"/>
      <c r="Q18"/>
    </row>
    <row r="19" spans="1:17" hidden="1" outlineLevel="1">
      <c r="A19" s="624"/>
      <c r="B19" s="547">
        <v>41455</v>
      </c>
      <c r="C19" s="547"/>
      <c r="D19" s="526">
        <v>1900108.0005569435</v>
      </c>
      <c r="E19" s="526">
        <f t="shared" si="3"/>
        <v>15346332.837494751</v>
      </c>
      <c r="F19" s="546">
        <f>($E$12+E19+SUM($E$13:E18)*2)/24</f>
        <v>4693669.6509321919</v>
      </c>
      <c r="G19" s="526"/>
      <c r="H19" s="546">
        <f t="shared" si="6"/>
        <v>0</v>
      </c>
      <c r="I19" s="543"/>
      <c r="J19" s="557">
        <f>F19+I19</f>
        <v>4693669.6509321919</v>
      </c>
      <c r="K19" s="546">
        <f>(-D19*0.35)+(G19*0.35)</f>
        <v>-665037.80019493017</v>
      </c>
      <c r="L19" s="546">
        <f t="shared" si="1"/>
        <v>-5371216.4931231616</v>
      </c>
      <c r="M19" s="546">
        <f>($L$12+L19+SUM($L$13:L18)*2)/24</f>
        <v>-1642784.3778262669</v>
      </c>
      <c r="N19" s="548">
        <f t="shared" si="2"/>
        <v>3050885.2731059249</v>
      </c>
      <c r="O19" s="545">
        <f t="shared" si="5"/>
        <v>9975116.3443715908</v>
      </c>
      <c r="P19"/>
      <c r="Q19"/>
    </row>
    <row r="20" spans="1:17" hidden="1" outlineLevel="1">
      <c r="A20" s="624"/>
      <c r="B20" s="547">
        <v>41486</v>
      </c>
      <c r="C20" s="547"/>
      <c r="D20" s="526">
        <v>2875690.1179520502</v>
      </c>
      <c r="E20" s="526">
        <f t="shared" si="3"/>
        <v>18222022.955446802</v>
      </c>
      <c r="F20" s="546">
        <f>($E$12+E20+SUM($E$13:E19)*2)/24</f>
        <v>6092351.1423047567</v>
      </c>
      <c r="G20" s="526"/>
      <c r="H20" s="546">
        <f t="shared" si="6"/>
        <v>0</v>
      </c>
      <c r="I20" s="543"/>
      <c r="J20" s="557">
        <f t="shared" ref="J20:J83" si="7">F20+I20</f>
        <v>6092351.1423047567</v>
      </c>
      <c r="K20" s="546">
        <f t="shared" si="4"/>
        <v>-1006491.5412832175</v>
      </c>
      <c r="L20" s="546">
        <f t="shared" si="1"/>
        <v>-6377708.0344063789</v>
      </c>
      <c r="M20" s="546">
        <f>($L$12+L20+SUM($L$13:L19)*2)/24</f>
        <v>-2132322.8998066648</v>
      </c>
      <c r="N20" s="548">
        <f t="shared" si="2"/>
        <v>3960028.2424980919</v>
      </c>
      <c r="O20" s="545">
        <f t="shared" si="5"/>
        <v>11844314.921040423</v>
      </c>
      <c r="P20"/>
      <c r="Q20"/>
    </row>
    <row r="21" spans="1:17" hidden="1" outlineLevel="1">
      <c r="A21" s="624"/>
      <c r="B21" s="547">
        <v>41517</v>
      </c>
      <c r="C21" s="547"/>
      <c r="D21" s="526">
        <v>2890550.1745376419</v>
      </c>
      <c r="E21" s="526">
        <f t="shared" si="3"/>
        <v>21112573.129984446</v>
      </c>
      <c r="F21" s="546">
        <f>($E$12+E21+SUM($E$13:E20)*2)/24</f>
        <v>7731292.6458643926</v>
      </c>
      <c r="G21" s="526"/>
      <c r="H21" s="546">
        <f t="shared" si="6"/>
        <v>0</v>
      </c>
      <c r="I21" s="543"/>
      <c r="J21" s="557">
        <f t="shared" si="7"/>
        <v>7731292.6458643926</v>
      </c>
      <c r="K21" s="546">
        <f t="shared" si="4"/>
        <v>-1011692.5610881746</v>
      </c>
      <c r="L21" s="546">
        <f t="shared" si="1"/>
        <v>-7389400.5954945534</v>
      </c>
      <c r="M21" s="546">
        <f>($L$12+L21+SUM($L$13:L20)*2)/24</f>
        <v>-2705952.4260525368</v>
      </c>
      <c r="N21" s="548">
        <f t="shared" si="2"/>
        <v>5025340.2198118558</v>
      </c>
      <c r="O21" s="545">
        <f t="shared" si="5"/>
        <v>13723172.534489892</v>
      </c>
      <c r="P21"/>
      <c r="Q21"/>
    </row>
    <row r="22" spans="1:17" hidden="1" outlineLevel="1">
      <c r="A22" s="624"/>
      <c r="B22" s="547">
        <v>41547</v>
      </c>
      <c r="C22" s="547"/>
      <c r="D22" s="526">
        <v>2632732.3470358723</v>
      </c>
      <c r="E22" s="526">
        <f t="shared" si="3"/>
        <v>23745305.47702032</v>
      </c>
      <c r="F22" s="546">
        <f>($E$12+E22+SUM($E$13:E21)*2)/24</f>
        <v>9600370.9211562574</v>
      </c>
      <c r="G22" s="526"/>
      <c r="H22" s="546">
        <f t="shared" si="6"/>
        <v>0</v>
      </c>
      <c r="I22" s="543"/>
      <c r="J22" s="557">
        <f t="shared" si="7"/>
        <v>9600370.9211562574</v>
      </c>
      <c r="K22" s="546">
        <f t="shared" si="4"/>
        <v>-921456.32146255521</v>
      </c>
      <c r="L22" s="546">
        <f t="shared" si="1"/>
        <v>-8310856.9169571083</v>
      </c>
      <c r="M22" s="546">
        <f>($L$12+L22+SUM($L$13:L21)*2)/24</f>
        <v>-3360129.8224046896</v>
      </c>
      <c r="N22" s="548">
        <f t="shared" si="2"/>
        <v>6240241.0987515673</v>
      </c>
      <c r="O22" s="545">
        <f t="shared" si="5"/>
        <v>15434448.560063211</v>
      </c>
      <c r="P22"/>
      <c r="Q22"/>
    </row>
    <row r="23" spans="1:17" hidden="1" outlineLevel="1">
      <c r="A23" s="624"/>
      <c r="B23" s="547">
        <v>41578</v>
      </c>
      <c r="C23" s="547"/>
      <c r="D23" s="526">
        <v>2976059.2733349549</v>
      </c>
      <c r="E23" s="526">
        <f>E22+D23</f>
        <v>26721364.750355273</v>
      </c>
      <c r="F23" s="546">
        <f>($E$12+E23+SUM($E$13:E22)*2)/24</f>
        <v>11703148.847296908</v>
      </c>
      <c r="G23" s="526"/>
      <c r="H23" s="546">
        <f t="shared" si="6"/>
        <v>0</v>
      </c>
      <c r="I23" s="543"/>
      <c r="J23" s="557">
        <f t="shared" si="7"/>
        <v>11703148.847296908</v>
      </c>
      <c r="K23" s="546">
        <f t="shared" si="4"/>
        <v>-1041620.7456672342</v>
      </c>
      <c r="L23" s="546">
        <f t="shared" si="1"/>
        <v>-9352477.6626243424</v>
      </c>
      <c r="M23" s="546">
        <f>($L$12+L23+SUM($L$13:L22)*2)/24</f>
        <v>-4096102.0965539166</v>
      </c>
      <c r="N23" s="548">
        <f t="shared" si="2"/>
        <v>7607046.7507429924</v>
      </c>
      <c r="O23" s="545">
        <f t="shared" si="5"/>
        <v>17368887.087730929</v>
      </c>
      <c r="P23"/>
      <c r="Q23"/>
    </row>
    <row r="24" spans="1:17" hidden="1" outlineLevel="1">
      <c r="A24" s="624"/>
      <c r="B24" s="547">
        <v>41608</v>
      </c>
      <c r="C24" s="547"/>
      <c r="D24" s="526">
        <v>-15775.72</v>
      </c>
      <c r="E24" s="526">
        <f t="shared" si="3"/>
        <v>26705589.030355275</v>
      </c>
      <c r="F24" s="546">
        <f>($E$12+E24+SUM($E$13:E23)*2)/24</f>
        <v>13929271.92149318</v>
      </c>
      <c r="G24" s="546">
        <v>370957.35</v>
      </c>
      <c r="H24" s="546">
        <f>H23-G24</f>
        <v>-370957.35</v>
      </c>
      <c r="I24" s="546">
        <f>(H12+H24+SUM(H13:H23)*2)/24</f>
        <v>-15456.55625</v>
      </c>
      <c r="J24" s="546">
        <f t="shared" si="7"/>
        <v>13913815.36524318</v>
      </c>
      <c r="K24" s="546">
        <f>(-D24*0.35)+(G24*0.35)</f>
        <v>135356.57449999999</v>
      </c>
      <c r="L24" s="546">
        <f>L23+K24</f>
        <v>-9217121.0881243423</v>
      </c>
      <c r="M24" s="546">
        <f>($L$12+L24+SUM($L$13:L23)*2)/24</f>
        <v>-4869835.3778351117</v>
      </c>
      <c r="N24" s="548">
        <f>M24+J24</f>
        <v>9043979.987408068</v>
      </c>
      <c r="O24" s="545">
        <f>+E24+H24+L24</f>
        <v>17117510.592230931</v>
      </c>
      <c r="P24"/>
      <c r="Q24"/>
    </row>
    <row r="25" spans="1:17" hidden="1" outlineLevel="1">
      <c r="A25" s="624"/>
      <c r="B25" s="547">
        <v>41639</v>
      </c>
      <c r="C25" s="547"/>
      <c r="D25" s="546"/>
      <c r="E25" s="546">
        <f t="shared" si="3"/>
        <v>26705589.030355275</v>
      </c>
      <c r="F25" s="546">
        <f>(E13+E25+SUM(E14:E24)*2)/24</f>
        <v>16022087.631350791</v>
      </c>
      <c r="G25" s="546">
        <v>320976</v>
      </c>
      <c r="H25" s="546">
        <f t="shared" si="6"/>
        <v>-691933.35</v>
      </c>
      <c r="I25" s="546">
        <f t="shared" ref="I25:I30" si="8">(H13+H25+SUM(H14:H24)*2)/24</f>
        <v>-59743.66874999999</v>
      </c>
      <c r="J25" s="546">
        <f>F25+I25</f>
        <v>15962343.962600792</v>
      </c>
      <c r="K25" s="546">
        <f>(-D25*0.35)+(G25*0.35)</f>
        <v>112341.59999999999</v>
      </c>
      <c r="L25" s="546">
        <f t="shared" si="1"/>
        <v>-9104779.4881243426</v>
      </c>
      <c r="M25" s="546">
        <f>(L13+L25+SUM(L14:L24)*2)/24</f>
        <v>-5586820.3869102756</v>
      </c>
      <c r="N25" s="548">
        <f>M25+J25</f>
        <v>10375523.575690515</v>
      </c>
      <c r="O25" s="545">
        <f>+E25+H25+L25</f>
        <v>16908876.192230932</v>
      </c>
      <c r="P25"/>
      <c r="Q25"/>
    </row>
    <row r="26" spans="1:17" hidden="1" outlineLevel="1">
      <c r="A26" s="624"/>
      <c r="B26" s="547">
        <v>41670</v>
      </c>
      <c r="C26" s="547"/>
      <c r="D26" s="526"/>
      <c r="E26" s="526">
        <f t="shared" si="3"/>
        <v>26705589.030355275</v>
      </c>
      <c r="F26" s="546">
        <f>(E14+E26+SUM(E15:E25)*2)/24</f>
        <v>17944117.887791973</v>
      </c>
      <c r="G26" s="546">
        <f>344629.092109527-2675</f>
        <v>341954.09210952697</v>
      </c>
      <c r="H26" s="546">
        <f>H25-G26</f>
        <v>-1033887.4421095269</v>
      </c>
      <c r="I26" s="546">
        <f>(H14+H26+SUM(H15:H25)*2)/24</f>
        <v>-131652.86842123029</v>
      </c>
      <c r="J26" s="546">
        <f>F26+I26</f>
        <v>17812465.019370742</v>
      </c>
      <c r="K26" s="546">
        <f t="shared" si="4"/>
        <v>119683.93223833443</v>
      </c>
      <c r="L26" s="546">
        <f t="shared" si="1"/>
        <v>-8985095.5558860078</v>
      </c>
      <c r="M26" s="546">
        <f t="shared" ref="M26:M38" si="9">(L14+L26+SUM(L15:L25)*2)/24</f>
        <v>-6234362.7567797573</v>
      </c>
      <c r="N26" s="548">
        <f t="shared" ref="N26:N38" si="10">M26+J26</f>
        <v>11578102.262590986</v>
      </c>
      <c r="O26" s="545">
        <f t="shared" si="5"/>
        <v>16686606.032359742</v>
      </c>
      <c r="P26"/>
      <c r="Q26"/>
    </row>
    <row r="27" spans="1:17" hidden="1" outlineLevel="1">
      <c r="A27" s="624"/>
      <c r="B27" s="547">
        <v>41698</v>
      </c>
      <c r="C27" s="547"/>
      <c r="D27" s="546"/>
      <c r="E27" s="546">
        <f t="shared" si="3"/>
        <v>26705589.030355275</v>
      </c>
      <c r="F27" s="546">
        <f>(E15+E27+SUM(E16:E26)*2)/24</f>
        <v>19679669.269853558</v>
      </c>
      <c r="G27" s="546">
        <v>344629.0921095275</v>
      </c>
      <c r="H27" s="546">
        <f t="shared" si="6"/>
        <v>-1378516.5342190545</v>
      </c>
      <c r="I27" s="546">
        <f t="shared" si="8"/>
        <v>-232169.70076825449</v>
      </c>
      <c r="J27" s="546">
        <f t="shared" si="7"/>
        <v>19447499.569085304</v>
      </c>
      <c r="K27" s="546">
        <f t="shared" si="4"/>
        <v>120620.18223833462</v>
      </c>
      <c r="L27" s="546">
        <f t="shared" si="1"/>
        <v>-8864475.3736476731</v>
      </c>
      <c r="M27" s="546">
        <f t="shared" si="9"/>
        <v>-6806624.8491798537</v>
      </c>
      <c r="N27" s="548">
        <f t="shared" si="10"/>
        <v>12640874.719905451</v>
      </c>
      <c r="O27" s="545">
        <f t="shared" si="5"/>
        <v>16462597.122488545</v>
      </c>
      <c r="P27"/>
      <c r="Q27"/>
    </row>
    <row r="28" spans="1:17" hidden="1" outlineLevel="1">
      <c r="A28" s="624"/>
      <c r="B28" s="547">
        <v>41729</v>
      </c>
      <c r="C28" s="547"/>
      <c r="D28" s="526"/>
      <c r="E28" s="526">
        <f>E27+D28</f>
        <v>26705589.030355275</v>
      </c>
      <c r="F28" s="546">
        <f t="shared" ref="F28:F38" si="11">(E16+E28+SUM(E17:E27)*2)/24</f>
        <v>21231954.650699627</v>
      </c>
      <c r="G28" s="546">
        <v>344629.0921095275</v>
      </c>
      <c r="H28" s="546">
        <f t="shared" si="6"/>
        <v>-1723145.6263285819</v>
      </c>
      <c r="I28" s="546">
        <f t="shared" si="8"/>
        <v>-361405.62412440608</v>
      </c>
      <c r="J28" s="546">
        <f t="shared" si="7"/>
        <v>20870549.026575219</v>
      </c>
      <c r="K28" s="546">
        <f>(-D28*0.35)+(G28*0.35)</f>
        <v>120620.18223833462</v>
      </c>
      <c r="L28" s="546">
        <f t="shared" si="1"/>
        <v>-8743855.1914093383</v>
      </c>
      <c r="M28" s="546">
        <f t="shared" si="9"/>
        <v>-7304692.1593013247</v>
      </c>
      <c r="N28" s="548">
        <f t="shared" si="10"/>
        <v>13565856.867273893</v>
      </c>
      <c r="O28" s="545">
        <f t="shared" si="5"/>
        <v>16238588.212617356</v>
      </c>
      <c r="P28"/>
      <c r="Q28"/>
    </row>
    <row r="29" spans="1:17" s="524" customFormat="1" hidden="1" outlineLevel="1">
      <c r="A29" s="624"/>
      <c r="B29" s="547">
        <v>41759</v>
      </c>
      <c r="C29" s="547"/>
      <c r="D29" s="546"/>
      <c r="E29" s="546">
        <f t="shared" si="3"/>
        <v>26705589.030355275</v>
      </c>
      <c r="F29" s="546">
        <f>(E17+E29+SUM(E18:E28)*2)/24</f>
        <v>22597659.652630806</v>
      </c>
      <c r="G29" s="546">
        <v>344629.0921095275</v>
      </c>
      <c r="H29" s="546">
        <f t="shared" si="6"/>
        <v>-2067774.7184381094</v>
      </c>
      <c r="I29" s="546">
        <f t="shared" si="8"/>
        <v>-519360.63848968479</v>
      </c>
      <c r="J29" s="546">
        <f t="shared" si="7"/>
        <v>22078299.01414112</v>
      </c>
      <c r="K29" s="546">
        <f>(-D29*0.35)+(G29*0.35)</f>
        <v>120620.18223833462</v>
      </c>
      <c r="L29" s="546">
        <f t="shared" si="1"/>
        <v>-8623235.0091710035</v>
      </c>
      <c r="M29" s="546">
        <f>(L17+L29+SUM(L18:L28)*2)/24</f>
        <v>-7727404.6549493894</v>
      </c>
      <c r="N29" s="548">
        <f>M29+J29</f>
        <v>14350894.359191731</v>
      </c>
      <c r="O29" s="545">
        <f t="shared" si="5"/>
        <v>16014579.30274616</v>
      </c>
      <c r="P29"/>
      <c r="Q29"/>
    </row>
    <row r="30" spans="1:17" hidden="1" outlineLevel="1">
      <c r="A30" s="624"/>
      <c r="B30" s="547">
        <v>41790</v>
      </c>
      <c r="C30" s="547"/>
      <c r="D30" s="526"/>
      <c r="E30" s="526">
        <f t="shared" si="3"/>
        <v>26705589.030355275</v>
      </c>
      <c r="F30" s="546">
        <f t="shared" si="11"/>
        <v>23788086.688839983</v>
      </c>
      <c r="G30" s="546">
        <v>344629.0921095275</v>
      </c>
      <c r="H30" s="546">
        <f t="shared" si="6"/>
        <v>-2412403.8105476368</v>
      </c>
      <c r="I30" s="546">
        <f t="shared" si="8"/>
        <v>-706034.74386409076</v>
      </c>
      <c r="J30" s="546">
        <f t="shared" si="7"/>
        <v>23082051.944975894</v>
      </c>
      <c r="K30" s="546">
        <f>(-D30*0.35)+(G30*0.35)</f>
        <v>120620.18223833462</v>
      </c>
      <c r="L30" s="546">
        <f t="shared" si="1"/>
        <v>-8502614.8269326687</v>
      </c>
      <c r="M30" s="546">
        <f t="shared" si="9"/>
        <v>-8078718.1807415588</v>
      </c>
      <c r="N30" s="548">
        <f t="shared" si="10"/>
        <v>15003333.764234334</v>
      </c>
      <c r="O30" s="545">
        <f t="shared" si="5"/>
        <v>15790570.392874971</v>
      </c>
      <c r="P30"/>
      <c r="Q30"/>
    </row>
    <row r="31" spans="1:17" hidden="1" outlineLevel="1">
      <c r="A31" s="624"/>
      <c r="B31" s="547">
        <v>41820</v>
      </c>
      <c r="C31" s="547"/>
      <c r="D31" s="546"/>
      <c r="E31" s="546">
        <f t="shared" si="3"/>
        <v>26705589.030355275</v>
      </c>
      <c r="F31" s="546">
        <f t="shared" si="11"/>
        <v>24813862.538268235</v>
      </c>
      <c r="G31" s="546">
        <v>344629.0921095275</v>
      </c>
      <c r="H31" s="546">
        <f t="shared" si="6"/>
        <v>-2757032.9026571643</v>
      </c>
      <c r="I31" s="546">
        <f t="shared" ref="I31:I38" si="12">(H19+H31+SUM(H20:H30)*2)/24</f>
        <v>-921427.94024762418</v>
      </c>
      <c r="J31" s="546">
        <f t="shared" si="7"/>
        <v>23892434.598020609</v>
      </c>
      <c r="K31" s="546">
        <f t="shared" si="4"/>
        <v>120620.18223833462</v>
      </c>
      <c r="L31" s="546">
        <f t="shared" si="1"/>
        <v>-8381994.6446943339</v>
      </c>
      <c r="M31" s="546">
        <f t="shared" si="9"/>
        <v>-8362352.10930721</v>
      </c>
      <c r="N31" s="548">
        <f t="shared" si="10"/>
        <v>15530082.488713399</v>
      </c>
      <c r="O31" s="545">
        <f t="shared" si="5"/>
        <v>15566561.483003775</v>
      </c>
      <c r="P31"/>
      <c r="Q31"/>
    </row>
    <row r="32" spans="1:17" hidden="1" outlineLevel="1">
      <c r="A32" s="624"/>
      <c r="B32" s="547">
        <v>41851</v>
      </c>
      <c r="C32" s="547"/>
      <c r="D32" s="526"/>
      <c r="E32" s="526">
        <f t="shared" si="3"/>
        <v>26705589.030355275</v>
      </c>
      <c r="F32" s="546">
        <f t="shared" si="11"/>
        <v>25640646.79942527</v>
      </c>
      <c r="G32" s="546">
        <v>344629.0921095275</v>
      </c>
      <c r="H32" s="546">
        <f t="shared" si="6"/>
        <v>-3101661.9947666917</v>
      </c>
      <c r="I32" s="546">
        <f t="shared" si="12"/>
        <v>-1165540.2276402849</v>
      </c>
      <c r="J32" s="546">
        <f t="shared" si="7"/>
        <v>24475106.571784984</v>
      </c>
      <c r="K32" s="546">
        <f t="shared" si="4"/>
        <v>120620.18223833462</v>
      </c>
      <c r="L32" s="546">
        <f t="shared" si="1"/>
        <v>-8261374.4624559991</v>
      </c>
      <c r="M32" s="546">
        <f t="shared" si="9"/>
        <v>-8566287.3001247421</v>
      </c>
      <c r="N32" s="548">
        <f t="shared" si="10"/>
        <v>15908819.271660242</v>
      </c>
      <c r="O32" s="545">
        <f t="shared" si="5"/>
        <v>15342552.573132586</v>
      </c>
      <c r="P32"/>
      <c r="Q32"/>
    </row>
    <row r="33" spans="1:17" hidden="1" outlineLevel="1">
      <c r="A33" s="624"/>
      <c r="B33" s="547">
        <v>41882</v>
      </c>
      <c r="C33" s="547"/>
      <c r="D33" s="546"/>
      <c r="E33" s="546">
        <f t="shared" si="3"/>
        <v>26705589.030355275</v>
      </c>
      <c r="F33" s="546">
        <f t="shared" si="11"/>
        <v>26227171.048395243</v>
      </c>
      <c r="G33" s="546">
        <v>344629.0921095275</v>
      </c>
      <c r="H33" s="546">
        <f t="shared" si="6"/>
        <v>-3446291.0868762191</v>
      </c>
      <c r="I33" s="546">
        <f t="shared" si="12"/>
        <v>-1438371.6060420729</v>
      </c>
      <c r="J33" s="546">
        <f t="shared" si="7"/>
        <v>24788799.44235317</v>
      </c>
      <c r="K33" s="546">
        <f t="shared" si="4"/>
        <v>120620.18223833462</v>
      </c>
      <c r="L33" s="546">
        <f t="shared" si="1"/>
        <v>-8140754.2802176643</v>
      </c>
      <c r="M33" s="546">
        <f t="shared" si="9"/>
        <v>-8676079.8048236053</v>
      </c>
      <c r="N33" s="548">
        <f t="shared" si="10"/>
        <v>16112719.637529565</v>
      </c>
      <c r="O33" s="545">
        <f t="shared" si="5"/>
        <v>15118543.663261389</v>
      </c>
      <c r="P33"/>
      <c r="Q33"/>
    </row>
    <row r="34" spans="1:17" hidden="1" outlineLevel="1">
      <c r="A34" s="624"/>
      <c r="B34" s="547">
        <v>41912</v>
      </c>
      <c r="C34" s="547"/>
      <c r="D34" s="526"/>
      <c r="E34" s="526">
        <f t="shared" si="3"/>
        <v>26705589.030355275</v>
      </c>
      <c r="F34" s="546">
        <f t="shared" si="11"/>
        <v>26583558.525632981</v>
      </c>
      <c r="G34" s="546">
        <v>344629.0921095275</v>
      </c>
      <c r="H34" s="546">
        <f t="shared" si="6"/>
        <v>-3790920.1789857466</v>
      </c>
      <c r="I34" s="546">
        <f t="shared" si="12"/>
        <v>-1739922.075452988</v>
      </c>
      <c r="J34" s="546">
        <f t="shared" si="7"/>
        <v>24843636.450179994</v>
      </c>
      <c r="K34" s="546">
        <f t="shared" si="4"/>
        <v>120620.18223833462</v>
      </c>
      <c r="L34" s="546">
        <f t="shared" si="1"/>
        <v>-8020134.0979793295</v>
      </c>
      <c r="M34" s="546">
        <f t="shared" si="9"/>
        <v>-8695272.757562995</v>
      </c>
      <c r="N34" s="548">
        <f t="shared" si="10"/>
        <v>16148363.692616999</v>
      </c>
      <c r="O34" s="545">
        <f t="shared" si="5"/>
        <v>14894534.7533902</v>
      </c>
      <c r="P34"/>
      <c r="Q34"/>
    </row>
    <row r="35" spans="1:17" hidden="1" outlineLevel="1">
      <c r="A35" s="624"/>
      <c r="B35" s="547">
        <v>41943</v>
      </c>
      <c r="C35" s="547"/>
      <c r="D35" s="546"/>
      <c r="E35" s="546">
        <f t="shared" si="3"/>
        <v>26705589.030355275</v>
      </c>
      <c r="F35" s="546">
        <f t="shared" si="11"/>
        <v>26706246.352021944</v>
      </c>
      <c r="G35" s="546">
        <v>344629.0921095275</v>
      </c>
      <c r="H35" s="546">
        <f t="shared" si="6"/>
        <v>-4135549.271095274</v>
      </c>
      <c r="I35" s="546">
        <f t="shared" si="12"/>
        <v>-2070191.6358730309</v>
      </c>
      <c r="J35" s="546">
        <f t="shared" si="7"/>
        <v>24636054.716148913</v>
      </c>
      <c r="K35" s="546">
        <f t="shared" si="4"/>
        <v>120620.18223833462</v>
      </c>
      <c r="L35" s="546">
        <f t="shared" si="1"/>
        <v>-7899513.9157409947</v>
      </c>
      <c r="M35" s="546">
        <f t="shared" si="9"/>
        <v>-8622619.1506521124</v>
      </c>
      <c r="N35" s="548">
        <f t="shared" si="10"/>
        <v>16013435.5654968</v>
      </c>
      <c r="O35" s="545">
        <f t="shared" si="5"/>
        <v>14670525.843519004</v>
      </c>
      <c r="P35"/>
      <c r="Q35"/>
    </row>
    <row r="36" spans="1:17" s="524" customFormat="1" hidden="1" outlineLevel="1">
      <c r="A36" s="624"/>
      <c r="B36" s="547">
        <v>41973</v>
      </c>
      <c r="C36" s="547"/>
      <c r="D36" s="526"/>
      <c r="E36" s="526">
        <f t="shared" si="3"/>
        <v>26705589.030355275</v>
      </c>
      <c r="F36" s="546">
        <f t="shared" si="11"/>
        <v>26705589.030355275</v>
      </c>
      <c r="G36" s="546">
        <v>344629.0921095275</v>
      </c>
      <c r="H36" s="546">
        <f t="shared" si="6"/>
        <v>-4480178.3632048015</v>
      </c>
      <c r="I36" s="546">
        <f t="shared" si="12"/>
        <v>-2413723.7310522008</v>
      </c>
      <c r="J36" s="546">
        <f t="shared" si="7"/>
        <v>24291865.299303073</v>
      </c>
      <c r="K36" s="546">
        <f t="shared" si="4"/>
        <v>120620.18223833462</v>
      </c>
      <c r="L36" s="546">
        <f t="shared" si="1"/>
        <v>-7778893.7335026599</v>
      </c>
      <c r="M36" s="546">
        <f t="shared" si="9"/>
        <v>-8502152.8547560703</v>
      </c>
      <c r="N36" s="548">
        <f t="shared" si="10"/>
        <v>15789712.444547003</v>
      </c>
      <c r="O36" s="545">
        <f t="shared" si="5"/>
        <v>14446516.933647815</v>
      </c>
      <c r="P36"/>
      <c r="Q36"/>
    </row>
    <row r="37" spans="1:17" hidden="1" outlineLevel="1">
      <c r="A37" s="624"/>
      <c r="B37" s="547">
        <v>42004</v>
      </c>
      <c r="C37" s="547"/>
      <c r="D37" s="546"/>
      <c r="E37" s="546">
        <f t="shared" si="3"/>
        <v>26705589.030355275</v>
      </c>
      <c r="F37" s="546">
        <f t="shared" si="11"/>
        <v>26705589.030355275</v>
      </c>
      <c r="G37" s="546">
        <f>(E36+H36)/59</f>
        <v>376701.87571441481</v>
      </c>
      <c r="H37" s="546">
        <f t="shared" si="6"/>
        <v>-4856880.2389192162</v>
      </c>
      <c r="I37" s="546">
        <f t="shared" si="12"/>
        <v>-2758480.7269740342</v>
      </c>
      <c r="J37" s="546">
        <f t="shared" si="7"/>
        <v>23947108.303381242</v>
      </c>
      <c r="K37" s="546">
        <f t="shared" si="4"/>
        <v>131845.65650004518</v>
      </c>
      <c r="L37" s="546">
        <f t="shared" si="1"/>
        <v>-7647048.0770026147</v>
      </c>
      <c r="M37" s="546">
        <f t="shared" si="9"/>
        <v>-8381487.9061834291</v>
      </c>
      <c r="N37" s="548">
        <f t="shared" si="10"/>
        <v>15565620.397197813</v>
      </c>
      <c r="O37" s="545">
        <f t="shared" si="5"/>
        <v>14201660.714433443</v>
      </c>
      <c r="P37"/>
      <c r="Q37"/>
    </row>
    <row r="38" spans="1:17" hidden="1" outlineLevel="1">
      <c r="A38" s="624"/>
      <c r="B38" s="547">
        <v>42035</v>
      </c>
      <c r="C38" s="547"/>
      <c r="D38" s="526"/>
      <c r="E38" s="526">
        <f t="shared" si="3"/>
        <v>26705589.030355275</v>
      </c>
      <c r="F38" s="546">
        <f t="shared" si="11"/>
        <v>26705589.030355275</v>
      </c>
      <c r="G38" s="546">
        <f t="shared" ref="G38:G95" si="13">G37</f>
        <v>376701.87571441481</v>
      </c>
      <c r="H38" s="546">
        <f t="shared" si="6"/>
        <v>-5233582.114633631</v>
      </c>
      <c r="I38" s="546">
        <f t="shared" si="12"/>
        <v>-3107007.4587008394</v>
      </c>
      <c r="J38" s="546">
        <f t="shared" si="7"/>
        <v>23598581.571654435</v>
      </c>
      <c r="K38" s="546">
        <f t="shared" si="4"/>
        <v>131845.65650004518</v>
      </c>
      <c r="L38" s="546">
        <f t="shared" si="1"/>
        <v>-7515202.4205025695</v>
      </c>
      <c r="M38" s="546">
        <f t="shared" si="9"/>
        <v>-8259503.5500790477</v>
      </c>
      <c r="N38" s="548">
        <f t="shared" si="10"/>
        <v>15339078.021575388</v>
      </c>
      <c r="O38" s="545">
        <f>+E38+H38+L38</f>
        <v>13956804.495219074</v>
      </c>
      <c r="P38"/>
      <c r="Q38"/>
    </row>
    <row r="39" spans="1:17" s="524" customFormat="1" hidden="1" outlineLevel="1">
      <c r="A39" s="624"/>
      <c r="B39" s="547">
        <v>42063</v>
      </c>
      <c r="C39" s="547"/>
      <c r="D39" s="546"/>
      <c r="E39" s="546">
        <f t="shared" si="3"/>
        <v>26705589.030355275</v>
      </c>
      <c r="F39" s="546">
        <f>(E27+E39+SUM(E28:E38)*2)/24</f>
        <v>26705589.030355275</v>
      </c>
      <c r="G39" s="546">
        <f t="shared" si="13"/>
        <v>376701.87571441481</v>
      </c>
      <c r="H39" s="546">
        <f t="shared" si="6"/>
        <v>-5610283.9903480457</v>
      </c>
      <c r="I39" s="546">
        <f>(H27+H39+SUM(H28:H38)*2)/24</f>
        <v>-3458318.3807280515</v>
      </c>
      <c r="J39" s="546">
        <f t="shared" si="7"/>
        <v>23247270.649627224</v>
      </c>
      <c r="K39" s="546">
        <f t="shared" si="4"/>
        <v>131845.65650004518</v>
      </c>
      <c r="L39" s="546">
        <f t="shared" si="1"/>
        <v>-7383356.7640025243</v>
      </c>
      <c r="M39" s="546">
        <f>(L27+L39+SUM(L28:L38)*2)/24</f>
        <v>-8136544.7273695236</v>
      </c>
      <c r="N39" s="548">
        <f>M39+J39</f>
        <v>15110725.922257699</v>
      </c>
      <c r="O39" s="545">
        <f t="shared" si="5"/>
        <v>13711948.276004706</v>
      </c>
      <c r="P39"/>
      <c r="Q39"/>
    </row>
    <row r="40" spans="1:17" hidden="1" outlineLevel="1">
      <c r="A40" s="624"/>
      <c r="B40" s="547">
        <v>42094</v>
      </c>
      <c r="C40" s="547"/>
      <c r="D40" s="526"/>
      <c r="E40" s="526">
        <f t="shared" si="3"/>
        <v>26705589.030355275</v>
      </c>
      <c r="F40" s="546">
        <f t="shared" ref="F40:F51" si="14">(E28+E40+SUM(E29:E39)*2)/24</f>
        <v>26705589.030355275</v>
      </c>
      <c r="G40" s="546">
        <f t="shared" si="13"/>
        <v>376701.87571441481</v>
      </c>
      <c r="H40" s="546">
        <f>H39-G40</f>
        <v>-5986985.8660624605</v>
      </c>
      <c r="I40" s="546">
        <f t="shared" ref="I40:I51" si="15">(H28+H40+SUM(H29:H39)*2)/24</f>
        <v>-3812302.034722338</v>
      </c>
      <c r="J40" s="546">
        <f>F40+I40</f>
        <v>22893286.995632935</v>
      </c>
      <c r="K40" s="546">
        <f t="shared" si="4"/>
        <v>131845.65650004518</v>
      </c>
      <c r="L40" s="546">
        <f t="shared" si="1"/>
        <v>-7251511.1075024791</v>
      </c>
      <c r="M40" s="546">
        <f t="shared" ref="M40:M72" si="16">(L28+L40+SUM(L29:L39)*2)/24</f>
        <v>-8012650.4484715238</v>
      </c>
      <c r="N40" s="548">
        <f t="shared" ref="N40:N95" si="17">M40+J40</f>
        <v>14880636.547161411</v>
      </c>
      <c r="O40" s="545">
        <f t="shared" si="5"/>
        <v>13467092.056790333</v>
      </c>
      <c r="P40"/>
      <c r="Q40"/>
    </row>
    <row r="41" spans="1:17" s="524" customFormat="1" hidden="1" outlineLevel="1">
      <c r="A41" s="624"/>
      <c r="B41" s="547">
        <v>42124</v>
      </c>
      <c r="C41" s="547"/>
      <c r="D41" s="546"/>
      <c r="E41" s="546">
        <f t="shared" si="3"/>
        <v>26705589.030355275</v>
      </c>
      <c r="F41" s="546">
        <f t="shared" si="14"/>
        <v>26705589.030355275</v>
      </c>
      <c r="G41" s="546">
        <f t="shared" si="13"/>
        <v>376701.87571441481</v>
      </c>
      <c r="H41" s="546">
        <f t="shared" si="6"/>
        <v>-6363687.7417768752</v>
      </c>
      <c r="I41" s="546">
        <f t="shared" si="15"/>
        <v>-4168958.4206836987</v>
      </c>
      <c r="J41" s="546">
        <f t="shared" si="7"/>
        <v>22536630.609671578</v>
      </c>
      <c r="K41" s="546">
        <f t="shared" si="4"/>
        <v>131845.65650004518</v>
      </c>
      <c r="L41" s="546">
        <f t="shared" si="1"/>
        <v>-7119665.4510024339</v>
      </c>
      <c r="M41" s="546">
        <f t="shared" si="16"/>
        <v>-7887820.7133850465</v>
      </c>
      <c r="N41" s="548">
        <f t="shared" si="17"/>
        <v>14648809.896286532</v>
      </c>
      <c r="O41" s="545">
        <f t="shared" si="5"/>
        <v>13222235.837575965</v>
      </c>
      <c r="P41"/>
      <c r="Q41"/>
    </row>
    <row r="42" spans="1:17" s="524" customFormat="1" hidden="1" outlineLevel="1">
      <c r="A42" s="624"/>
      <c r="B42" s="547">
        <v>42155</v>
      </c>
      <c r="C42" s="547"/>
      <c r="D42" s="526"/>
      <c r="E42" s="526">
        <f t="shared" si="3"/>
        <v>26705589.030355275</v>
      </c>
      <c r="F42" s="546">
        <f t="shared" si="14"/>
        <v>26705589.030355275</v>
      </c>
      <c r="G42" s="546">
        <f t="shared" si="13"/>
        <v>376701.87571441481</v>
      </c>
      <c r="H42" s="546">
        <f t="shared" si="6"/>
        <v>-6740389.61749129</v>
      </c>
      <c r="I42" s="546">
        <f t="shared" si="15"/>
        <v>-4528287.5386121329</v>
      </c>
      <c r="J42" s="546">
        <f t="shared" si="7"/>
        <v>22177301.49174314</v>
      </c>
      <c r="K42" s="546">
        <f t="shared" si="4"/>
        <v>131845.65650004518</v>
      </c>
      <c r="L42" s="546">
        <f t="shared" si="1"/>
        <v>-6987819.7945023887</v>
      </c>
      <c r="M42" s="546">
        <f t="shared" si="16"/>
        <v>-7762055.5221100943</v>
      </c>
      <c r="N42" s="548">
        <f t="shared" si="17"/>
        <v>14415245.969633047</v>
      </c>
      <c r="O42" s="545">
        <f t="shared" si="5"/>
        <v>12977379.618361596</v>
      </c>
      <c r="P42"/>
      <c r="Q42"/>
    </row>
    <row r="43" spans="1:17" hidden="1" outlineLevel="1">
      <c r="A43" s="624"/>
      <c r="B43" s="547">
        <v>42185</v>
      </c>
      <c r="C43" s="547"/>
      <c r="D43" s="526"/>
      <c r="E43" s="526">
        <f t="shared" si="3"/>
        <v>26705589.030355275</v>
      </c>
      <c r="F43" s="546">
        <f t="shared" si="14"/>
        <v>26705589.030355275</v>
      </c>
      <c r="G43" s="546">
        <f t="shared" si="13"/>
        <v>376701.87571441481</v>
      </c>
      <c r="H43" s="546">
        <f t="shared" si="6"/>
        <v>-7117091.4932057047</v>
      </c>
      <c r="I43" s="546">
        <f t="shared" si="15"/>
        <v>-4890289.3885076409</v>
      </c>
      <c r="J43" s="546">
        <f t="shared" si="7"/>
        <v>21815299.641847633</v>
      </c>
      <c r="K43" s="546">
        <f t="shared" si="4"/>
        <v>131845.65650004518</v>
      </c>
      <c r="L43" s="546">
        <f t="shared" si="1"/>
        <v>-6855974.1380023435</v>
      </c>
      <c r="M43" s="546">
        <f t="shared" si="16"/>
        <v>-7635354.8746466674</v>
      </c>
      <c r="N43" s="548">
        <f t="shared" si="17"/>
        <v>14179944.767200965</v>
      </c>
      <c r="O43" s="545">
        <f t="shared" si="5"/>
        <v>12732523.399147227</v>
      </c>
      <c r="P43"/>
      <c r="Q43"/>
    </row>
    <row r="44" spans="1:17" hidden="1" outlineLevel="1" collapsed="1">
      <c r="A44" s="624"/>
      <c r="B44" s="547">
        <v>42216</v>
      </c>
      <c r="C44" s="547"/>
      <c r="D44" s="526"/>
      <c r="E44" s="526">
        <f t="shared" si="3"/>
        <v>26705589.030355275</v>
      </c>
      <c r="F44" s="546">
        <f t="shared" si="14"/>
        <v>26705589.030355275</v>
      </c>
      <c r="G44" s="546">
        <f t="shared" si="13"/>
        <v>376701.87571441481</v>
      </c>
      <c r="H44" s="546">
        <f t="shared" si="6"/>
        <v>-7493793.3689201195</v>
      </c>
      <c r="I44" s="546">
        <f t="shared" si="15"/>
        <v>-5254963.9703702228</v>
      </c>
      <c r="J44" s="546">
        <f t="shared" si="7"/>
        <v>21450625.059985053</v>
      </c>
      <c r="K44" s="546">
        <f t="shared" si="4"/>
        <v>131845.65650004518</v>
      </c>
      <c r="L44" s="546">
        <f t="shared" si="1"/>
        <v>-6724128.4815022983</v>
      </c>
      <c r="M44" s="546">
        <f t="shared" si="16"/>
        <v>-7507718.7709947629</v>
      </c>
      <c r="N44" s="548">
        <f t="shared" si="17"/>
        <v>13942906.288990289</v>
      </c>
      <c r="O44" s="545">
        <f t="shared" si="5"/>
        <v>12487667.179932859</v>
      </c>
      <c r="P44"/>
      <c r="Q44"/>
    </row>
    <row r="45" spans="1:17" hidden="1" outlineLevel="1">
      <c r="A45" s="624"/>
      <c r="B45" s="547">
        <v>42247</v>
      </c>
      <c r="C45" s="547"/>
      <c r="D45" s="546"/>
      <c r="E45" s="546">
        <f t="shared" si="3"/>
        <v>26705589.030355275</v>
      </c>
      <c r="F45" s="546">
        <f t="shared" si="14"/>
        <v>26705589.030355275</v>
      </c>
      <c r="G45" s="546">
        <f t="shared" si="13"/>
        <v>376701.87571441481</v>
      </c>
      <c r="H45" s="546">
        <f t="shared" si="6"/>
        <v>-7870495.2446345342</v>
      </c>
      <c r="I45" s="546">
        <f t="shared" si="15"/>
        <v>-5622311.2841998786</v>
      </c>
      <c r="J45" s="546">
        <f t="shared" si="7"/>
        <v>21083277.746155396</v>
      </c>
      <c r="K45" s="546">
        <f t="shared" si="4"/>
        <v>131845.65650004518</v>
      </c>
      <c r="L45" s="546">
        <f t="shared" si="1"/>
        <v>-6592282.8250022531</v>
      </c>
      <c r="M45" s="546">
        <f t="shared" si="16"/>
        <v>-7379147.2111543827</v>
      </c>
      <c r="N45" s="548">
        <f t="shared" si="17"/>
        <v>13704130.535001013</v>
      </c>
      <c r="O45" s="545">
        <f t="shared" si="5"/>
        <v>12242810.960718486</v>
      </c>
      <c r="P45"/>
      <c r="Q45"/>
    </row>
    <row r="46" spans="1:17" s="524" customFormat="1" hidden="1" outlineLevel="1">
      <c r="A46" s="624"/>
      <c r="B46" s="547">
        <v>42277</v>
      </c>
      <c r="C46" s="547"/>
      <c r="D46" s="526"/>
      <c r="E46" s="526">
        <f t="shared" si="3"/>
        <v>26705589.030355275</v>
      </c>
      <c r="F46" s="546">
        <f t="shared" si="14"/>
        <v>26705589.030355275</v>
      </c>
      <c r="G46" s="546">
        <f t="shared" si="13"/>
        <v>376701.87571441481</v>
      </c>
      <c r="H46" s="546">
        <f t="shared" si="6"/>
        <v>-8247197.120348949</v>
      </c>
      <c r="I46" s="546">
        <f t="shared" si="15"/>
        <v>-5992331.3299966082</v>
      </c>
      <c r="J46" s="546">
        <f t="shared" si="7"/>
        <v>20713257.700358666</v>
      </c>
      <c r="K46" s="546">
        <f t="shared" si="4"/>
        <v>131845.65650004518</v>
      </c>
      <c r="L46" s="546">
        <f t="shared" si="1"/>
        <v>-6460437.1685022078</v>
      </c>
      <c r="M46" s="546">
        <f t="shared" si="16"/>
        <v>-7249640.1951255277</v>
      </c>
      <c r="N46" s="548">
        <f t="shared" si="17"/>
        <v>13463617.505233139</v>
      </c>
      <c r="O46" s="545">
        <f t="shared" si="5"/>
        <v>11997954.741504118</v>
      </c>
      <c r="P46"/>
      <c r="Q46"/>
    </row>
    <row r="47" spans="1:17" hidden="1" outlineLevel="1">
      <c r="A47" s="624"/>
      <c r="B47" s="547">
        <v>42308</v>
      </c>
      <c r="C47" s="547"/>
      <c r="D47" s="546"/>
      <c r="E47" s="546">
        <f t="shared" si="3"/>
        <v>26705589.030355275</v>
      </c>
      <c r="F47" s="546">
        <f t="shared" si="14"/>
        <v>26705589.030355275</v>
      </c>
      <c r="G47" s="546">
        <f t="shared" si="13"/>
        <v>376701.87571441481</v>
      </c>
      <c r="H47" s="546">
        <f t="shared" si="6"/>
        <v>-8623898.9960633647</v>
      </c>
      <c r="I47" s="546">
        <f t="shared" si="15"/>
        <v>-6365024.1077604108</v>
      </c>
      <c r="J47" s="546">
        <f t="shared" si="7"/>
        <v>20340564.922594864</v>
      </c>
      <c r="K47" s="546">
        <f t="shared" si="4"/>
        <v>131845.65650004518</v>
      </c>
      <c r="L47" s="546">
        <f t="shared" si="1"/>
        <v>-6328591.5120021626</v>
      </c>
      <c r="M47" s="546">
        <f t="shared" si="16"/>
        <v>-7119197.7229081979</v>
      </c>
      <c r="N47" s="548">
        <f t="shared" si="17"/>
        <v>13221367.199686665</v>
      </c>
      <c r="O47" s="545">
        <f t="shared" si="5"/>
        <v>11753098.522289746</v>
      </c>
      <c r="P47"/>
      <c r="Q47"/>
    </row>
    <row r="48" spans="1:17" hidden="1" outlineLevel="1">
      <c r="A48" s="624"/>
      <c r="B48" s="547">
        <v>42338</v>
      </c>
      <c r="C48" s="547"/>
      <c r="D48" s="526"/>
      <c r="E48" s="526">
        <f t="shared" si="3"/>
        <v>26705589.030355275</v>
      </c>
      <c r="F48" s="546">
        <f t="shared" si="14"/>
        <v>26705589.030355275</v>
      </c>
      <c r="G48" s="546">
        <f t="shared" si="13"/>
        <v>376701.87571441481</v>
      </c>
      <c r="H48" s="546">
        <f t="shared" si="6"/>
        <v>-9000600.8717777804</v>
      </c>
      <c r="I48" s="546">
        <f t="shared" si="15"/>
        <v>-6740389.61749129</v>
      </c>
      <c r="J48" s="546">
        <f t="shared" si="7"/>
        <v>19965199.412863985</v>
      </c>
      <c r="K48" s="546">
        <f t="shared" si="4"/>
        <v>131845.65650004518</v>
      </c>
      <c r="L48" s="546">
        <f t="shared" si="1"/>
        <v>-6196745.8555021174</v>
      </c>
      <c r="M48" s="546">
        <f t="shared" si="16"/>
        <v>-6987819.7945023887</v>
      </c>
      <c r="N48" s="548">
        <f t="shared" si="17"/>
        <v>12977379.618361596</v>
      </c>
      <c r="O48" s="545">
        <f t="shared" si="5"/>
        <v>11508242.303075377</v>
      </c>
      <c r="P48"/>
      <c r="Q48"/>
    </row>
    <row r="49" spans="1:17" hidden="1" outlineLevel="1">
      <c r="A49" s="624"/>
      <c r="B49" s="547">
        <v>42369</v>
      </c>
      <c r="C49" s="547"/>
      <c r="D49" s="546"/>
      <c r="E49" s="546">
        <f t="shared" si="3"/>
        <v>26705589.030355275</v>
      </c>
      <c r="F49" s="546">
        <f t="shared" si="14"/>
        <v>26705589.030355275</v>
      </c>
      <c r="G49" s="546">
        <f t="shared" si="13"/>
        <v>376701.87571441481</v>
      </c>
      <c r="H49" s="546">
        <f t="shared" si="6"/>
        <v>-9377302.747492196</v>
      </c>
      <c r="I49" s="546">
        <f t="shared" si="15"/>
        <v>-7117091.4932057047</v>
      </c>
      <c r="J49" s="546">
        <f t="shared" si="7"/>
        <v>19588497.537149571</v>
      </c>
      <c r="K49" s="546">
        <f t="shared" si="4"/>
        <v>131845.65650004518</v>
      </c>
      <c r="L49" s="546">
        <f t="shared" si="1"/>
        <v>-6064900.1990020722</v>
      </c>
      <c r="M49" s="546">
        <f t="shared" si="16"/>
        <v>-6855974.1380023435</v>
      </c>
      <c r="N49" s="548">
        <f t="shared" si="17"/>
        <v>12732523.399147227</v>
      </c>
      <c r="O49" s="545">
        <f t="shared" si="5"/>
        <v>11263386.083861008</v>
      </c>
      <c r="P49"/>
      <c r="Q49"/>
    </row>
    <row r="50" spans="1:17" hidden="1" outlineLevel="1">
      <c r="A50" s="624"/>
      <c r="B50" s="547">
        <v>42400</v>
      </c>
      <c r="C50" s="547"/>
      <c r="D50" s="526"/>
      <c r="E50" s="526">
        <f t="shared" si="3"/>
        <v>26705589.030355275</v>
      </c>
      <c r="F50" s="546">
        <f t="shared" si="14"/>
        <v>26705589.030355275</v>
      </c>
      <c r="G50" s="546">
        <f t="shared" si="13"/>
        <v>376701.87571441481</v>
      </c>
      <c r="H50" s="546">
        <f t="shared" si="6"/>
        <v>-9754004.6232066117</v>
      </c>
      <c r="I50" s="546">
        <f t="shared" si="15"/>
        <v>-7493793.3689201204</v>
      </c>
      <c r="J50" s="546">
        <f t="shared" si="7"/>
        <v>19211795.661435153</v>
      </c>
      <c r="K50" s="546">
        <f t="shared" si="4"/>
        <v>131845.65650004518</v>
      </c>
      <c r="L50" s="546">
        <f t="shared" si="1"/>
        <v>-5933054.542502027</v>
      </c>
      <c r="M50" s="546">
        <f t="shared" si="16"/>
        <v>-6724128.4815022983</v>
      </c>
      <c r="N50" s="548">
        <f t="shared" si="17"/>
        <v>12487667.179932855</v>
      </c>
      <c r="O50" s="545">
        <f t="shared" si="5"/>
        <v>11018529.864646636</v>
      </c>
      <c r="P50"/>
      <c r="Q50"/>
    </row>
    <row r="51" spans="1:17" hidden="1" outlineLevel="1">
      <c r="A51" s="624"/>
      <c r="B51" s="547">
        <v>42429</v>
      </c>
      <c r="C51" s="547"/>
      <c r="D51" s="546"/>
      <c r="E51" s="546">
        <f t="shared" si="3"/>
        <v>26705589.030355275</v>
      </c>
      <c r="F51" s="546">
        <f t="shared" si="14"/>
        <v>26705589.030355275</v>
      </c>
      <c r="G51" s="546">
        <f t="shared" si="13"/>
        <v>376701.87571441481</v>
      </c>
      <c r="H51" s="546">
        <f t="shared" si="6"/>
        <v>-10130706.498921027</v>
      </c>
      <c r="I51" s="546">
        <f t="shared" si="15"/>
        <v>-7870495.2446345361</v>
      </c>
      <c r="J51" s="546">
        <f t="shared" si="7"/>
        <v>18835093.78572074</v>
      </c>
      <c r="K51" s="546">
        <f t="shared" si="4"/>
        <v>131845.65650004518</v>
      </c>
      <c r="L51" s="546">
        <f t="shared" si="1"/>
        <v>-5801208.8860019818</v>
      </c>
      <c r="M51" s="546">
        <f t="shared" si="16"/>
        <v>-6592282.825002254</v>
      </c>
      <c r="N51" s="548">
        <f t="shared" si="17"/>
        <v>12242810.960718486</v>
      </c>
      <c r="O51" s="545">
        <f t="shared" si="5"/>
        <v>10773673.645432265</v>
      </c>
      <c r="P51"/>
      <c r="Q51"/>
    </row>
    <row r="52" spans="1:17" s="524" customFormat="1" hidden="1" outlineLevel="1">
      <c r="A52" s="624"/>
      <c r="B52" s="547">
        <v>42460</v>
      </c>
      <c r="C52" s="547"/>
      <c r="D52" s="526"/>
      <c r="E52" s="526">
        <f t="shared" si="3"/>
        <v>26705589.030355275</v>
      </c>
      <c r="F52" s="546">
        <f t="shared" ref="F52:F72" si="18">(E40+E52+SUM(E41:E51)*2)/24</f>
        <v>26705589.030355275</v>
      </c>
      <c r="G52" s="546">
        <f t="shared" si="13"/>
        <v>376701.87571441481</v>
      </c>
      <c r="H52" s="546">
        <f t="shared" si="6"/>
        <v>-10507408.374635443</v>
      </c>
      <c r="I52" s="546">
        <f>(H40+H52+SUM(H41:H51)*2)/24</f>
        <v>-8247197.1203489499</v>
      </c>
      <c r="J52" s="546">
        <f t="shared" si="7"/>
        <v>18458391.910006326</v>
      </c>
      <c r="K52" s="546">
        <f t="shared" si="4"/>
        <v>131845.65650004518</v>
      </c>
      <c r="L52" s="546">
        <f t="shared" si="1"/>
        <v>-5669363.2295019366</v>
      </c>
      <c r="M52" s="546">
        <f t="shared" si="16"/>
        <v>-6460437.1685022088</v>
      </c>
      <c r="N52" s="548">
        <f t="shared" si="17"/>
        <v>11997954.741504118</v>
      </c>
      <c r="O52" s="545">
        <f t="shared" si="5"/>
        <v>10528817.426217895</v>
      </c>
      <c r="P52"/>
      <c r="Q52"/>
    </row>
    <row r="53" spans="1:17" hidden="1" outlineLevel="1">
      <c r="A53" s="624"/>
      <c r="B53" s="547">
        <v>42490</v>
      </c>
      <c r="C53" s="547"/>
      <c r="D53" s="546"/>
      <c r="E53" s="546">
        <f t="shared" si="3"/>
        <v>26705589.030355275</v>
      </c>
      <c r="F53" s="546">
        <f t="shared" si="18"/>
        <v>26705589.030355275</v>
      </c>
      <c r="G53" s="546">
        <f t="shared" si="13"/>
        <v>376701.87571441481</v>
      </c>
      <c r="H53" s="546">
        <f t="shared" si="6"/>
        <v>-10884110.250349859</v>
      </c>
      <c r="I53" s="546">
        <f>(H41+H53+SUM(H42:H52)*2)/24</f>
        <v>-8623898.9960633647</v>
      </c>
      <c r="J53" s="546">
        <f t="shared" si="7"/>
        <v>18081690.034291908</v>
      </c>
      <c r="K53" s="546">
        <f t="shared" si="4"/>
        <v>131845.65650004518</v>
      </c>
      <c r="L53" s="546">
        <f t="shared" si="1"/>
        <v>-5537517.5730018914</v>
      </c>
      <c r="M53" s="546">
        <f t="shared" si="16"/>
        <v>-6328591.5120021626</v>
      </c>
      <c r="N53" s="548">
        <f t="shared" si="17"/>
        <v>11753098.522289746</v>
      </c>
      <c r="O53" s="545">
        <f t="shared" si="5"/>
        <v>10283961.207003525</v>
      </c>
      <c r="P53"/>
      <c r="Q53"/>
    </row>
    <row r="54" spans="1:17" s="524" customFormat="1" hidden="1" outlineLevel="1">
      <c r="A54" s="624"/>
      <c r="B54" s="547">
        <v>42521</v>
      </c>
      <c r="C54" s="547"/>
      <c r="D54" s="526"/>
      <c r="E54" s="526">
        <f t="shared" si="3"/>
        <v>26705589.030355275</v>
      </c>
      <c r="F54" s="546">
        <f t="shared" si="18"/>
        <v>26705589.030355275</v>
      </c>
      <c r="G54" s="546">
        <f t="shared" si="13"/>
        <v>376701.87571441481</v>
      </c>
      <c r="H54" s="546">
        <f t="shared" si="6"/>
        <v>-11260812.126064274</v>
      </c>
      <c r="I54" s="546">
        <f>(H42+H54+SUM(H43:H53)*2)/24</f>
        <v>-9000600.8717777822</v>
      </c>
      <c r="J54" s="546">
        <f t="shared" si="7"/>
        <v>17704988.158577494</v>
      </c>
      <c r="K54" s="546">
        <f t="shared" si="4"/>
        <v>131845.65650004518</v>
      </c>
      <c r="L54" s="546">
        <f t="shared" si="1"/>
        <v>-5405671.9165018462</v>
      </c>
      <c r="M54" s="546">
        <f t="shared" si="16"/>
        <v>-6196745.8555021174</v>
      </c>
      <c r="N54" s="548">
        <f t="shared" si="17"/>
        <v>11508242.303075377</v>
      </c>
      <c r="O54" s="545">
        <f t="shared" si="5"/>
        <v>10039104.987789154</v>
      </c>
      <c r="P54"/>
      <c r="Q54"/>
    </row>
    <row r="55" spans="1:17" s="524" customFormat="1" hidden="1" outlineLevel="1">
      <c r="A55" s="624"/>
      <c r="B55" s="547">
        <v>42551</v>
      </c>
      <c r="C55" s="547"/>
      <c r="D55" s="546"/>
      <c r="E55" s="546">
        <f t="shared" si="3"/>
        <v>26705589.030355275</v>
      </c>
      <c r="F55" s="546">
        <f t="shared" si="18"/>
        <v>26705589.030355275</v>
      </c>
      <c r="G55" s="546">
        <f t="shared" si="13"/>
        <v>376701.87571441481</v>
      </c>
      <c r="H55" s="546">
        <f t="shared" si="6"/>
        <v>-11637514.00177869</v>
      </c>
      <c r="I55" s="546">
        <f t="shared" ref="I55:I94" si="19">(H43+H55+SUM(H44:H54)*2)/24</f>
        <v>-9377302.747492196</v>
      </c>
      <c r="J55" s="546">
        <f t="shared" si="7"/>
        <v>17328286.282863081</v>
      </c>
      <c r="K55" s="546">
        <f t="shared" si="4"/>
        <v>131845.65650004518</v>
      </c>
      <c r="L55" s="546">
        <f t="shared" si="1"/>
        <v>-5273826.260001801</v>
      </c>
      <c r="M55" s="546">
        <f t="shared" si="16"/>
        <v>-6064900.1990020731</v>
      </c>
      <c r="N55" s="548">
        <f t="shared" si="17"/>
        <v>11263386.083861008</v>
      </c>
      <c r="O55" s="545">
        <f t="shared" si="5"/>
        <v>9794248.7685747836</v>
      </c>
      <c r="P55"/>
      <c r="Q55"/>
    </row>
    <row r="56" spans="1:17" s="524" customFormat="1" hidden="1" outlineLevel="1">
      <c r="A56" s="624"/>
      <c r="B56" s="547">
        <v>42582</v>
      </c>
      <c r="C56" s="547"/>
      <c r="D56" s="526"/>
      <c r="E56" s="526">
        <f t="shared" si="3"/>
        <v>26705589.030355275</v>
      </c>
      <c r="F56" s="546">
        <f t="shared" si="18"/>
        <v>26705589.030355275</v>
      </c>
      <c r="G56" s="546">
        <f t="shared" si="13"/>
        <v>376701.87571441481</v>
      </c>
      <c r="H56" s="546">
        <f t="shared" si="6"/>
        <v>-12014215.877493106</v>
      </c>
      <c r="I56" s="546">
        <f t="shared" si="19"/>
        <v>-9754004.6232066117</v>
      </c>
      <c r="J56" s="546">
        <f t="shared" si="7"/>
        <v>16951584.407148663</v>
      </c>
      <c r="K56" s="546">
        <f t="shared" si="4"/>
        <v>131845.65650004518</v>
      </c>
      <c r="L56" s="546">
        <f t="shared" si="1"/>
        <v>-5141980.6035017557</v>
      </c>
      <c r="M56" s="546">
        <f t="shared" si="16"/>
        <v>-5933054.542502027</v>
      </c>
      <c r="N56" s="548">
        <f t="shared" si="17"/>
        <v>11018529.864646636</v>
      </c>
      <c r="O56" s="545">
        <f t="shared" si="5"/>
        <v>9549392.5493604131</v>
      </c>
      <c r="P56"/>
      <c r="Q56"/>
    </row>
    <row r="57" spans="1:17" hidden="1" outlineLevel="1">
      <c r="A57" s="624"/>
      <c r="B57" s="547">
        <v>42613</v>
      </c>
      <c r="C57" s="547"/>
      <c r="D57" s="546"/>
      <c r="E57" s="546">
        <f t="shared" si="3"/>
        <v>26705589.030355275</v>
      </c>
      <c r="F57" s="546">
        <f t="shared" si="18"/>
        <v>26705589.030355275</v>
      </c>
      <c r="G57" s="546">
        <f t="shared" si="13"/>
        <v>376701.87571441481</v>
      </c>
      <c r="H57" s="546">
        <f t="shared" si="6"/>
        <v>-12390917.753207522</v>
      </c>
      <c r="I57" s="546">
        <f t="shared" si="19"/>
        <v>-10130706.498921026</v>
      </c>
      <c r="J57" s="546">
        <f t="shared" si="7"/>
        <v>16574882.531434249</v>
      </c>
      <c r="K57" s="546">
        <f t="shared" si="4"/>
        <v>131845.65650004518</v>
      </c>
      <c r="L57" s="546">
        <f t="shared" si="1"/>
        <v>-5010134.9470017105</v>
      </c>
      <c r="M57" s="546">
        <f t="shared" si="16"/>
        <v>-5801208.8860019818</v>
      </c>
      <c r="N57" s="548">
        <f t="shared" si="17"/>
        <v>10773673.645432267</v>
      </c>
      <c r="O57" s="545">
        <f t="shared" si="5"/>
        <v>9304536.3301460426</v>
      </c>
      <c r="P57"/>
      <c r="Q57"/>
    </row>
    <row r="58" spans="1:17" hidden="1" outlineLevel="1">
      <c r="A58" s="628"/>
      <c r="B58" s="547">
        <v>42643</v>
      </c>
      <c r="C58" s="547"/>
      <c r="D58" s="526"/>
      <c r="E58" s="526">
        <f t="shared" si="3"/>
        <v>26705589.030355275</v>
      </c>
      <c r="F58" s="546">
        <f t="shared" si="18"/>
        <v>26705589.030355275</v>
      </c>
      <c r="G58" s="546">
        <f t="shared" si="13"/>
        <v>376701.87571441481</v>
      </c>
      <c r="H58" s="546">
        <f t="shared" si="6"/>
        <v>-12767619.628921937</v>
      </c>
      <c r="I58" s="546">
        <f t="shared" si="19"/>
        <v>-10507408.374635443</v>
      </c>
      <c r="J58" s="546">
        <f t="shared" si="7"/>
        <v>16198180.655719832</v>
      </c>
      <c r="K58" s="546">
        <f t="shared" si="4"/>
        <v>131845.65650004518</v>
      </c>
      <c r="L58" s="546">
        <f t="shared" si="1"/>
        <v>-4878289.2905016653</v>
      </c>
      <c r="M58" s="546">
        <f t="shared" si="16"/>
        <v>-5669363.2295019366</v>
      </c>
      <c r="N58" s="548">
        <f t="shared" si="17"/>
        <v>10528817.426217895</v>
      </c>
      <c r="O58" s="545">
        <f t="shared" si="5"/>
        <v>9059680.1109316722</v>
      </c>
      <c r="P58"/>
      <c r="Q58"/>
    </row>
    <row r="59" spans="1:17" hidden="1" outlineLevel="1">
      <c r="A59" s="628"/>
      <c r="B59" s="547">
        <v>42674</v>
      </c>
      <c r="C59" s="547"/>
      <c r="D59" s="526"/>
      <c r="E59" s="526">
        <f t="shared" si="3"/>
        <v>26705589.030355275</v>
      </c>
      <c r="F59" s="546">
        <f t="shared" si="18"/>
        <v>26705589.030355275</v>
      </c>
      <c r="G59" s="546">
        <f t="shared" si="13"/>
        <v>376701.87571441481</v>
      </c>
      <c r="H59" s="546">
        <f t="shared" si="6"/>
        <v>-13144321.504636353</v>
      </c>
      <c r="I59" s="546">
        <f t="shared" si="19"/>
        <v>-10884110.250349859</v>
      </c>
      <c r="J59" s="546">
        <f t="shared" si="7"/>
        <v>15821478.780005416</v>
      </c>
      <c r="K59" s="546">
        <f t="shared" si="4"/>
        <v>131845.65650004518</v>
      </c>
      <c r="L59" s="546">
        <f t="shared" si="1"/>
        <v>-4746443.6340016201</v>
      </c>
      <c r="M59" s="546">
        <f t="shared" si="16"/>
        <v>-5537517.5730018923</v>
      </c>
      <c r="N59" s="548">
        <f t="shared" si="17"/>
        <v>10283961.207003523</v>
      </c>
      <c r="O59" s="545">
        <f t="shared" si="5"/>
        <v>8814823.8917173017</v>
      </c>
      <c r="P59"/>
      <c r="Q59"/>
    </row>
    <row r="60" spans="1:17" hidden="1" outlineLevel="1">
      <c r="A60" s="628"/>
      <c r="B60" s="547">
        <v>42704</v>
      </c>
      <c r="C60" s="547"/>
      <c r="D60" s="526"/>
      <c r="E60" s="526">
        <f t="shared" si="3"/>
        <v>26705589.030355275</v>
      </c>
      <c r="F60" s="546">
        <f t="shared" si="18"/>
        <v>26705589.030355275</v>
      </c>
      <c r="G60" s="546">
        <f t="shared" si="13"/>
        <v>376701.87571441481</v>
      </c>
      <c r="H60" s="546">
        <f t="shared" si="6"/>
        <v>-13521023.380350769</v>
      </c>
      <c r="I60" s="546">
        <f t="shared" si="19"/>
        <v>-11260812.126064273</v>
      </c>
      <c r="J60" s="546">
        <f t="shared" si="7"/>
        <v>15444776.904291002</v>
      </c>
      <c r="K60" s="546">
        <f t="shared" si="4"/>
        <v>131845.65650004518</v>
      </c>
      <c r="L60" s="546">
        <f t="shared" si="1"/>
        <v>-4614597.9775015749</v>
      </c>
      <c r="M60" s="546">
        <f t="shared" si="16"/>
        <v>-5405671.9165018462</v>
      </c>
      <c r="N60" s="548">
        <f t="shared" si="17"/>
        <v>10039104.987789156</v>
      </c>
      <c r="O60" s="545">
        <f t="shared" si="5"/>
        <v>8569967.6725029312</v>
      </c>
      <c r="P60"/>
      <c r="Q60"/>
    </row>
    <row r="61" spans="1:17" collapsed="1">
      <c r="A61" s="628"/>
      <c r="B61" s="547">
        <v>42735</v>
      </c>
      <c r="C61" s="547"/>
      <c r="D61" s="526"/>
      <c r="E61" s="526">
        <f t="shared" si="3"/>
        <v>26705589.030355275</v>
      </c>
      <c r="F61" s="546">
        <f t="shared" si="18"/>
        <v>26705589.030355275</v>
      </c>
      <c r="G61" s="546">
        <f t="shared" si="13"/>
        <v>376701.87571441481</v>
      </c>
      <c r="H61" s="546">
        <f t="shared" si="6"/>
        <v>-13897725.256065184</v>
      </c>
      <c r="I61" s="546">
        <f t="shared" si="19"/>
        <v>-11637514.00177869</v>
      </c>
      <c r="J61" s="546">
        <f t="shared" si="7"/>
        <v>15068075.028576585</v>
      </c>
      <c r="K61" s="546">
        <f t="shared" si="4"/>
        <v>131845.65650004518</v>
      </c>
      <c r="L61" s="546">
        <f t="shared" si="1"/>
        <v>-4482752.3210015297</v>
      </c>
      <c r="M61" s="546">
        <f t="shared" si="16"/>
        <v>-5273826.2600018019</v>
      </c>
      <c r="N61" s="548">
        <f t="shared" si="17"/>
        <v>9794248.7685747817</v>
      </c>
      <c r="O61" s="545">
        <f t="shared" si="5"/>
        <v>8325111.4532885607</v>
      </c>
      <c r="P61"/>
      <c r="Q61"/>
    </row>
    <row r="62" spans="1:17">
      <c r="A62" s="628"/>
      <c r="B62" s="547">
        <v>42766</v>
      </c>
      <c r="C62" s="547"/>
      <c r="D62" s="526"/>
      <c r="E62" s="526">
        <f t="shared" si="3"/>
        <v>26705589.030355275</v>
      </c>
      <c r="F62" s="546">
        <f t="shared" si="18"/>
        <v>26705589.030355275</v>
      </c>
      <c r="G62" s="546">
        <f t="shared" si="13"/>
        <v>376701.87571441481</v>
      </c>
      <c r="H62" s="546">
        <f t="shared" si="6"/>
        <v>-14274427.1317796</v>
      </c>
      <c r="I62" s="546">
        <f t="shared" si="19"/>
        <v>-12014215.877493106</v>
      </c>
      <c r="J62" s="546">
        <f t="shared" si="7"/>
        <v>14691373.152862169</v>
      </c>
      <c r="K62" s="546">
        <f t="shared" si="4"/>
        <v>131845.65650004518</v>
      </c>
      <c r="L62" s="546">
        <f t="shared" si="1"/>
        <v>-4350906.6645014845</v>
      </c>
      <c r="M62" s="546">
        <f t="shared" si="16"/>
        <v>-5141980.6035017557</v>
      </c>
      <c r="N62" s="548">
        <f t="shared" si="17"/>
        <v>9549392.5493604131</v>
      </c>
      <c r="O62" s="545">
        <f t="shared" si="5"/>
        <v>8080255.2340741903</v>
      </c>
      <c r="P62"/>
      <c r="Q62"/>
    </row>
    <row r="63" spans="1:17">
      <c r="A63" s="628"/>
      <c r="B63" s="547">
        <v>42794</v>
      </c>
      <c r="C63" s="547"/>
      <c r="D63" s="546"/>
      <c r="E63" s="546">
        <f t="shared" si="3"/>
        <v>26705589.030355275</v>
      </c>
      <c r="F63" s="546">
        <f t="shared" si="18"/>
        <v>26705589.030355275</v>
      </c>
      <c r="G63" s="546">
        <f t="shared" si="13"/>
        <v>376701.87571441481</v>
      </c>
      <c r="H63" s="546">
        <f t="shared" si="6"/>
        <v>-14651129.007494016</v>
      </c>
      <c r="I63" s="546">
        <f t="shared" si="19"/>
        <v>-12390917.753207522</v>
      </c>
      <c r="J63" s="546">
        <f t="shared" si="7"/>
        <v>14314671.277147753</v>
      </c>
      <c r="K63" s="546">
        <f t="shared" si="4"/>
        <v>131845.65650004518</v>
      </c>
      <c r="L63" s="546">
        <f t="shared" si="1"/>
        <v>-4219061.0080014393</v>
      </c>
      <c r="M63" s="546">
        <f t="shared" si="16"/>
        <v>-5010134.9470017105</v>
      </c>
      <c r="N63" s="548">
        <f t="shared" si="17"/>
        <v>9304536.3301460426</v>
      </c>
      <c r="O63" s="545">
        <f t="shared" si="5"/>
        <v>7835399.0148598198</v>
      </c>
      <c r="P63"/>
      <c r="Q63"/>
    </row>
    <row r="64" spans="1:17">
      <c r="A64" s="628"/>
      <c r="B64" s="547">
        <v>42825</v>
      </c>
      <c r="C64" s="547"/>
      <c r="D64" s="546"/>
      <c r="E64" s="546">
        <f t="shared" si="3"/>
        <v>26705589.030355275</v>
      </c>
      <c r="F64" s="546">
        <f t="shared" si="18"/>
        <v>26705589.030355275</v>
      </c>
      <c r="G64" s="546">
        <f t="shared" si="13"/>
        <v>376701.87571441481</v>
      </c>
      <c r="H64" s="546">
        <f t="shared" si="6"/>
        <v>-15027830.883208431</v>
      </c>
      <c r="I64" s="546">
        <f t="shared" si="19"/>
        <v>-12767619.628921935</v>
      </c>
      <c r="J64" s="546">
        <f t="shared" si="7"/>
        <v>13937969.401433339</v>
      </c>
      <c r="K64" s="546">
        <f t="shared" si="4"/>
        <v>131845.65650004518</v>
      </c>
      <c r="L64" s="546">
        <f t="shared" si="1"/>
        <v>-4087215.3515013941</v>
      </c>
      <c r="M64" s="546">
        <f t="shared" si="16"/>
        <v>-4878289.2905016653</v>
      </c>
      <c r="N64" s="548">
        <f t="shared" si="17"/>
        <v>9059680.110931674</v>
      </c>
      <c r="O64" s="545">
        <f t="shared" si="5"/>
        <v>7590542.7956454493</v>
      </c>
      <c r="P64"/>
      <c r="Q64"/>
    </row>
    <row r="65" spans="1:17">
      <c r="A65" s="628"/>
      <c r="B65" s="547">
        <v>42855</v>
      </c>
      <c r="C65" s="547"/>
      <c r="D65" s="546"/>
      <c r="E65" s="546">
        <f t="shared" si="3"/>
        <v>26705589.030355275</v>
      </c>
      <c r="F65" s="546">
        <f t="shared" si="18"/>
        <v>26705589.030355275</v>
      </c>
      <c r="G65" s="546">
        <f t="shared" si="13"/>
        <v>376701.87571441481</v>
      </c>
      <c r="H65" s="546">
        <f t="shared" si="6"/>
        <v>-15404532.758922847</v>
      </c>
      <c r="I65" s="546">
        <f t="shared" si="19"/>
        <v>-13144321.504636353</v>
      </c>
      <c r="J65" s="546">
        <f t="shared" si="7"/>
        <v>13561267.525718922</v>
      </c>
      <c r="K65" s="546">
        <f t="shared" si="4"/>
        <v>131845.65650004518</v>
      </c>
      <c r="L65" s="546">
        <f t="shared" si="1"/>
        <v>-3955369.6950013489</v>
      </c>
      <c r="M65" s="546">
        <f t="shared" si="16"/>
        <v>-4746443.634001621</v>
      </c>
      <c r="N65" s="548">
        <f t="shared" si="17"/>
        <v>8814823.8917172998</v>
      </c>
      <c r="O65" s="545">
        <f t="shared" si="5"/>
        <v>7345686.5764310788</v>
      </c>
      <c r="P65"/>
      <c r="Q65"/>
    </row>
    <row r="66" spans="1:17">
      <c r="A66" s="628"/>
      <c r="B66" s="547">
        <v>42886</v>
      </c>
      <c r="C66" s="547"/>
      <c r="D66" s="546"/>
      <c r="E66" s="546">
        <f t="shared" si="3"/>
        <v>26705589.030355275</v>
      </c>
      <c r="F66" s="546">
        <f t="shared" si="18"/>
        <v>26705589.030355275</v>
      </c>
      <c r="G66" s="546">
        <f t="shared" si="13"/>
        <v>376701.87571441481</v>
      </c>
      <c r="H66" s="546">
        <f t="shared" si="6"/>
        <v>-15781234.634637263</v>
      </c>
      <c r="I66" s="546">
        <f t="shared" si="19"/>
        <v>-13521023.380350769</v>
      </c>
      <c r="J66" s="546">
        <f t="shared" si="7"/>
        <v>13184565.650004506</v>
      </c>
      <c r="K66" s="546">
        <f t="shared" si="4"/>
        <v>131845.65650004518</v>
      </c>
      <c r="L66" s="546">
        <f t="shared" si="1"/>
        <v>-3823524.0385013036</v>
      </c>
      <c r="M66" s="546">
        <f t="shared" si="16"/>
        <v>-4614597.9775015749</v>
      </c>
      <c r="N66" s="548">
        <f t="shared" si="17"/>
        <v>8569967.6725029312</v>
      </c>
      <c r="O66" s="545">
        <f t="shared" si="5"/>
        <v>7100830.3572167084</v>
      </c>
      <c r="P66"/>
      <c r="Q66"/>
    </row>
    <row r="67" spans="1:17">
      <c r="A67" s="628"/>
      <c r="B67" s="547">
        <v>42916</v>
      </c>
      <c r="C67" s="547"/>
      <c r="D67" s="526"/>
      <c r="E67" s="526">
        <f t="shared" si="3"/>
        <v>26705589.030355275</v>
      </c>
      <c r="F67" s="546">
        <f t="shared" si="18"/>
        <v>26705589.030355275</v>
      </c>
      <c r="G67" s="546">
        <f t="shared" si="13"/>
        <v>376701.87571441481</v>
      </c>
      <c r="H67" s="546">
        <f t="shared" si="6"/>
        <v>-16157936.510351678</v>
      </c>
      <c r="I67" s="546">
        <f t="shared" si="19"/>
        <v>-13897725.256065184</v>
      </c>
      <c r="J67" s="546">
        <f t="shared" si="7"/>
        <v>12807863.77429009</v>
      </c>
      <c r="K67" s="546">
        <f t="shared" si="4"/>
        <v>131845.65650004518</v>
      </c>
      <c r="L67" s="546">
        <f t="shared" si="1"/>
        <v>-3691678.3820012584</v>
      </c>
      <c r="M67" s="546">
        <f t="shared" si="16"/>
        <v>-4482752.3210015297</v>
      </c>
      <c r="N67" s="548">
        <f t="shared" si="17"/>
        <v>8325111.4532885607</v>
      </c>
      <c r="O67" s="545">
        <f t="shared" si="5"/>
        <v>6855974.1380023379</v>
      </c>
      <c r="P67"/>
      <c r="Q67"/>
    </row>
    <row r="68" spans="1:17">
      <c r="A68" s="628"/>
      <c r="B68" s="547">
        <v>42947</v>
      </c>
      <c r="C68" s="547"/>
      <c r="D68" s="526"/>
      <c r="E68" s="526">
        <f t="shared" si="3"/>
        <v>26705589.030355275</v>
      </c>
      <c r="F68" s="546">
        <f t="shared" si="18"/>
        <v>26705589.030355275</v>
      </c>
      <c r="G68" s="546">
        <f t="shared" si="13"/>
        <v>376701.87571441481</v>
      </c>
      <c r="H68" s="546">
        <f t="shared" si="6"/>
        <v>-16534638.386066094</v>
      </c>
      <c r="I68" s="546">
        <f t="shared" si="19"/>
        <v>-14274427.131779602</v>
      </c>
      <c r="J68" s="546">
        <f t="shared" si="7"/>
        <v>12431161.898575673</v>
      </c>
      <c r="K68" s="546">
        <f t="shared" si="4"/>
        <v>131845.65650004518</v>
      </c>
      <c r="L68" s="546">
        <f t="shared" si="1"/>
        <v>-3559832.7255012132</v>
      </c>
      <c r="M68" s="546">
        <f t="shared" si="16"/>
        <v>-4350906.6645014845</v>
      </c>
      <c r="N68" s="548">
        <f t="shared" si="17"/>
        <v>8080255.2340741884</v>
      </c>
      <c r="O68" s="545">
        <f t="shared" si="5"/>
        <v>6611117.9187879674</v>
      </c>
      <c r="P68"/>
      <c r="Q68"/>
    </row>
    <row r="69" spans="1:17">
      <c r="A69" s="628"/>
      <c r="B69" s="547">
        <v>42978</v>
      </c>
      <c r="C69" s="547"/>
      <c r="D69" s="526"/>
      <c r="E69" s="526">
        <f t="shared" si="3"/>
        <v>26705589.030355275</v>
      </c>
      <c r="F69" s="546">
        <f t="shared" si="18"/>
        <v>26705589.030355275</v>
      </c>
      <c r="G69" s="546">
        <f t="shared" si="13"/>
        <v>376701.87571441481</v>
      </c>
      <c r="H69" s="546">
        <f t="shared" si="6"/>
        <v>-16911340.261780508</v>
      </c>
      <c r="I69" s="546">
        <f t="shared" si="19"/>
        <v>-14651129.007494016</v>
      </c>
      <c r="J69" s="546">
        <f t="shared" si="7"/>
        <v>12054460.022861259</v>
      </c>
      <c r="K69" s="546">
        <f t="shared" si="4"/>
        <v>131845.65650004518</v>
      </c>
      <c r="L69" s="546">
        <f t="shared" si="1"/>
        <v>-3427987.069001168</v>
      </c>
      <c r="M69" s="546">
        <f t="shared" si="16"/>
        <v>-4219061.0080014402</v>
      </c>
      <c r="N69" s="548">
        <f t="shared" si="17"/>
        <v>7835399.0148598189</v>
      </c>
      <c r="O69" s="545">
        <f t="shared" si="5"/>
        <v>6366261.6995735988</v>
      </c>
      <c r="P69"/>
      <c r="Q69"/>
    </row>
    <row r="70" spans="1:17">
      <c r="A70" s="628"/>
      <c r="B70" s="547">
        <v>43008</v>
      </c>
      <c r="C70" s="547"/>
      <c r="D70" s="526"/>
      <c r="E70" s="526">
        <f t="shared" si="3"/>
        <v>26705589.030355275</v>
      </c>
      <c r="F70" s="546">
        <f t="shared" si="18"/>
        <v>26705589.030355275</v>
      </c>
      <c r="G70" s="546">
        <f t="shared" si="13"/>
        <v>376701.87571441481</v>
      </c>
      <c r="H70" s="546">
        <f t="shared" si="6"/>
        <v>-17288042.137494922</v>
      </c>
      <c r="I70" s="546">
        <f t="shared" si="19"/>
        <v>-15027830.883208429</v>
      </c>
      <c r="J70" s="546">
        <f t="shared" si="7"/>
        <v>11677758.147146845</v>
      </c>
      <c r="K70" s="546">
        <f t="shared" si="4"/>
        <v>131845.65650004518</v>
      </c>
      <c r="L70" s="546">
        <f t="shared" si="1"/>
        <v>-3296141.4125011228</v>
      </c>
      <c r="M70" s="546">
        <f t="shared" si="16"/>
        <v>-4087215.3515013941</v>
      </c>
      <c r="N70" s="548">
        <f t="shared" si="17"/>
        <v>7590542.7956454512</v>
      </c>
      <c r="O70" s="545">
        <f t="shared" si="5"/>
        <v>6121405.4803592302</v>
      </c>
      <c r="P70"/>
      <c r="Q70"/>
    </row>
    <row r="71" spans="1:17">
      <c r="A71" s="628"/>
      <c r="B71" s="547">
        <v>43039</v>
      </c>
      <c r="C71" s="547"/>
      <c r="D71" s="526"/>
      <c r="E71" s="526">
        <f t="shared" si="3"/>
        <v>26705589.030355275</v>
      </c>
      <c r="F71" s="546">
        <f t="shared" si="18"/>
        <v>26705589.030355275</v>
      </c>
      <c r="G71" s="546">
        <f t="shared" si="13"/>
        <v>376701.87571441481</v>
      </c>
      <c r="H71" s="546">
        <f t="shared" si="6"/>
        <v>-17664744.013209336</v>
      </c>
      <c r="I71" s="546">
        <f t="shared" si="19"/>
        <v>-15404532.758922845</v>
      </c>
      <c r="J71" s="546">
        <f t="shared" si="7"/>
        <v>11301056.27143243</v>
      </c>
      <c r="K71" s="546">
        <f t="shared" si="4"/>
        <v>131845.65650004518</v>
      </c>
      <c r="L71" s="546">
        <f t="shared" si="1"/>
        <v>-3164295.7560010776</v>
      </c>
      <c r="M71" s="546">
        <f t="shared" si="16"/>
        <v>-3955369.6950013489</v>
      </c>
      <c r="N71" s="548">
        <f t="shared" si="17"/>
        <v>7345686.5764310807</v>
      </c>
      <c r="O71" s="545">
        <f t="shared" si="5"/>
        <v>5876549.2611448616</v>
      </c>
      <c r="P71"/>
      <c r="Q71"/>
    </row>
    <row r="72" spans="1:17">
      <c r="A72" s="628"/>
      <c r="B72" s="547">
        <v>43069</v>
      </c>
      <c r="C72" s="547"/>
      <c r="D72" s="526"/>
      <c r="E72" s="526">
        <f t="shared" si="3"/>
        <v>26705589.030355275</v>
      </c>
      <c r="F72" s="546">
        <f t="shared" si="18"/>
        <v>26705589.030355275</v>
      </c>
      <c r="G72" s="546">
        <f t="shared" si="13"/>
        <v>376701.87571441481</v>
      </c>
      <c r="H72" s="546">
        <f t="shared" si="6"/>
        <v>-18041445.888923749</v>
      </c>
      <c r="I72" s="546">
        <f t="shared" si="19"/>
        <v>-15781234.634637265</v>
      </c>
      <c r="J72" s="546">
        <f t="shared" si="7"/>
        <v>10924354.39571801</v>
      </c>
      <c r="K72" s="546">
        <f t="shared" si="4"/>
        <v>131845.65650004518</v>
      </c>
      <c r="L72" s="546">
        <f t="shared" si="1"/>
        <v>-3032450.0995010324</v>
      </c>
      <c r="M72" s="546">
        <f t="shared" si="16"/>
        <v>-3823524.0385013036</v>
      </c>
      <c r="N72" s="548">
        <f t="shared" si="17"/>
        <v>7100830.3572167065</v>
      </c>
      <c r="O72" s="545">
        <f t="shared" si="5"/>
        <v>5631693.041930493</v>
      </c>
      <c r="P72" s="109"/>
      <c r="Q72" s="109"/>
    </row>
    <row r="73" spans="1:17">
      <c r="A73" s="628"/>
      <c r="B73" s="547">
        <v>43100</v>
      </c>
      <c r="C73" s="547"/>
      <c r="D73" s="526"/>
      <c r="E73" s="526">
        <f t="shared" si="3"/>
        <v>26705589.030355275</v>
      </c>
      <c r="F73" s="546">
        <f t="shared" ref="F73:F95" si="20">(E61+E73+SUM(E62:E72)*2)/24</f>
        <v>26705589.030355275</v>
      </c>
      <c r="G73" s="546">
        <f t="shared" si="13"/>
        <v>376701.87571441481</v>
      </c>
      <c r="H73" s="546">
        <f t="shared" si="6"/>
        <v>-18418147.764638163</v>
      </c>
      <c r="I73" s="546">
        <f t="shared" si="19"/>
        <v>-16157936.510351673</v>
      </c>
      <c r="J73" s="546">
        <f t="shared" si="7"/>
        <v>10547652.520003602</v>
      </c>
      <c r="K73" s="546">
        <f t="shared" si="4"/>
        <v>131845.65650004518</v>
      </c>
      <c r="L73" s="546">
        <f t="shared" si="1"/>
        <v>-2900604.4430009872</v>
      </c>
      <c r="M73" s="546">
        <f t="shared" ref="M73:M95" si="21">(L61+L73+SUM(L62:L72)*2)/24</f>
        <v>-3691678.3820012589</v>
      </c>
      <c r="N73" s="548">
        <f t="shared" si="17"/>
        <v>6855974.1380023435</v>
      </c>
      <c r="O73" s="545">
        <f t="shared" si="5"/>
        <v>5386836.8227161244</v>
      </c>
      <c r="P73" s="109"/>
      <c r="Q73" s="109"/>
    </row>
    <row r="74" spans="1:17" s="1317" customFormat="1">
      <c r="A74" s="1311"/>
      <c r="B74" s="1312">
        <v>43131</v>
      </c>
      <c r="C74" s="1312"/>
      <c r="D74" s="1313"/>
      <c r="E74" s="1313">
        <f t="shared" si="3"/>
        <v>26705589.030355275</v>
      </c>
      <c r="F74" s="1314">
        <f t="shared" si="20"/>
        <v>26705589.030355275</v>
      </c>
      <c r="G74" s="1314">
        <f t="shared" si="13"/>
        <v>376701.87571441481</v>
      </c>
      <c r="H74" s="1314">
        <f t="shared" si="6"/>
        <v>-18794849.640352577</v>
      </c>
      <c r="I74" s="1314">
        <f t="shared" si="19"/>
        <v>-16534638.386066092</v>
      </c>
      <c r="J74" s="1314">
        <f t="shared" si="7"/>
        <v>10170950.644289182</v>
      </c>
      <c r="K74" s="1314">
        <f t="shared" ref="K74:K95" si="22">(-D74*0.21)+(G74*0.21)</f>
        <v>79107.393900027106</v>
      </c>
      <c r="L74" s="1314">
        <f t="shared" si="1"/>
        <v>-2821497.0491009601</v>
      </c>
      <c r="M74" s="1314">
        <f t="shared" si="21"/>
        <v>-3562030.1531095472</v>
      </c>
      <c r="N74" s="1315">
        <f t="shared" si="17"/>
        <v>6608920.4911796357</v>
      </c>
      <c r="O74" s="1316">
        <f t="shared" si="5"/>
        <v>5089242.340901738</v>
      </c>
      <c r="P74" s="1137"/>
      <c r="Q74" s="1137"/>
    </row>
    <row r="75" spans="1:17">
      <c r="A75" s="628"/>
      <c r="B75" s="547">
        <v>43159</v>
      </c>
      <c r="C75" s="547"/>
      <c r="D75" s="526"/>
      <c r="E75" s="526">
        <f t="shared" si="3"/>
        <v>26705589.030355275</v>
      </c>
      <c r="F75" s="546">
        <f t="shared" si="20"/>
        <v>26705589.030355275</v>
      </c>
      <c r="G75" s="546">
        <f t="shared" si="13"/>
        <v>376701.87571441481</v>
      </c>
      <c r="H75" s="546">
        <f t="shared" si="6"/>
        <v>-19171551.516066991</v>
      </c>
      <c r="I75" s="546">
        <f t="shared" si="19"/>
        <v>-16911340.261780504</v>
      </c>
      <c r="J75" s="546">
        <f t="shared" si="7"/>
        <v>9794248.7685747705</v>
      </c>
      <c r="K75" s="546">
        <f t="shared" si="22"/>
        <v>79107.393900027106</v>
      </c>
      <c r="L75" s="546">
        <f t="shared" si="1"/>
        <v>-2742389.6552009331</v>
      </c>
      <c r="M75" s="546">
        <f t="shared" si="21"/>
        <v>-3436776.779434504</v>
      </c>
      <c r="N75" s="548">
        <f t="shared" si="17"/>
        <v>6357471.9891402666</v>
      </c>
      <c r="O75" s="545">
        <f t="shared" si="5"/>
        <v>4791647.8590873508</v>
      </c>
      <c r="P75" s="109"/>
      <c r="Q75" s="109"/>
    </row>
    <row r="76" spans="1:17">
      <c r="A76" s="628"/>
      <c r="B76" s="547">
        <v>43190</v>
      </c>
      <c r="C76" s="547"/>
      <c r="D76" s="526"/>
      <c r="E76" s="526">
        <f t="shared" si="3"/>
        <v>26705589.030355275</v>
      </c>
      <c r="F76" s="546">
        <f t="shared" si="20"/>
        <v>26705589.030355275</v>
      </c>
      <c r="G76" s="546">
        <f t="shared" si="13"/>
        <v>376701.87571441481</v>
      </c>
      <c r="H76" s="546">
        <f t="shared" si="6"/>
        <v>-19548253.391781405</v>
      </c>
      <c r="I76" s="546">
        <f t="shared" si="19"/>
        <v>-17288042.137494922</v>
      </c>
      <c r="J76" s="546">
        <f t="shared" si="7"/>
        <v>9417546.892860353</v>
      </c>
      <c r="K76" s="546">
        <f t="shared" si="22"/>
        <v>79107.393900027106</v>
      </c>
      <c r="L76" s="546">
        <f t="shared" si="1"/>
        <v>-2663282.2613009061</v>
      </c>
      <c r="M76" s="546">
        <f t="shared" si="21"/>
        <v>-3315918.2609761297</v>
      </c>
      <c r="N76" s="548">
        <f t="shared" si="17"/>
        <v>6101628.6318842229</v>
      </c>
      <c r="O76" s="545">
        <f t="shared" si="5"/>
        <v>4494053.3772729635</v>
      </c>
      <c r="P76" s="109"/>
      <c r="Q76" s="109"/>
    </row>
    <row r="77" spans="1:17">
      <c r="A77" s="628"/>
      <c r="B77" s="547">
        <v>43220</v>
      </c>
      <c r="C77" s="547"/>
      <c r="D77" s="526"/>
      <c r="E77" s="526">
        <f t="shared" ref="E77:E95" si="23">E76+D77</f>
        <v>26705589.030355275</v>
      </c>
      <c r="F77" s="546">
        <f t="shared" si="20"/>
        <v>26705589.030355275</v>
      </c>
      <c r="G77" s="546">
        <f t="shared" si="13"/>
        <v>376701.87571441481</v>
      </c>
      <c r="H77" s="546">
        <f t="shared" si="6"/>
        <v>-19924955.267495818</v>
      </c>
      <c r="I77" s="546">
        <f t="shared" si="19"/>
        <v>-17664744.013209339</v>
      </c>
      <c r="J77" s="546">
        <f t="shared" si="7"/>
        <v>9040845.0171459354</v>
      </c>
      <c r="K77" s="546">
        <f t="shared" si="22"/>
        <v>79107.393900027106</v>
      </c>
      <c r="L77" s="546">
        <f t="shared" si="1"/>
        <v>-2584174.867400879</v>
      </c>
      <c r="M77" s="546">
        <f t="shared" si="21"/>
        <v>-3199454.5977344234</v>
      </c>
      <c r="N77" s="548">
        <f t="shared" si="17"/>
        <v>5841390.4194115121</v>
      </c>
      <c r="O77" s="545">
        <f t="shared" si="5"/>
        <v>4196458.8954585772</v>
      </c>
      <c r="P77" s="109"/>
      <c r="Q77" s="109"/>
    </row>
    <row r="78" spans="1:17">
      <c r="A78" s="628"/>
      <c r="B78" s="547">
        <v>43251</v>
      </c>
      <c r="C78" s="547"/>
      <c r="D78" s="526"/>
      <c r="E78" s="526">
        <f t="shared" si="23"/>
        <v>26705589.030355275</v>
      </c>
      <c r="F78" s="546">
        <f t="shared" si="20"/>
        <v>26705589.030355275</v>
      </c>
      <c r="G78" s="546">
        <f t="shared" si="13"/>
        <v>376701.87571441481</v>
      </c>
      <c r="H78" s="546">
        <f t="shared" si="6"/>
        <v>-20301657.143210232</v>
      </c>
      <c r="I78" s="546">
        <f t="shared" si="19"/>
        <v>-18041445.888923749</v>
      </c>
      <c r="J78" s="546">
        <f t="shared" si="7"/>
        <v>8664143.1414315253</v>
      </c>
      <c r="K78" s="546">
        <f t="shared" si="22"/>
        <v>79107.393900027106</v>
      </c>
      <c r="L78" s="546">
        <f t="shared" ref="L78:L95" si="24">L77+K78</f>
        <v>-2505067.473500852</v>
      </c>
      <c r="M78" s="546">
        <f t="shared" si="21"/>
        <v>-3087385.789709385</v>
      </c>
      <c r="N78" s="548">
        <f t="shared" si="17"/>
        <v>5576757.3517221399</v>
      </c>
      <c r="O78" s="545">
        <f t="shared" ref="O78:O94" si="25">+E78+H78+L78</f>
        <v>3898864.4136441904</v>
      </c>
      <c r="P78" s="109"/>
      <c r="Q78" s="109"/>
    </row>
    <row r="79" spans="1:17" s="1317" customFormat="1">
      <c r="A79" s="1311"/>
      <c r="B79" s="1312">
        <v>43281</v>
      </c>
      <c r="C79" s="1312"/>
      <c r="D79" s="1313"/>
      <c r="E79" s="1313">
        <f t="shared" si="23"/>
        <v>26705589.030355275</v>
      </c>
      <c r="F79" s="1314">
        <f t="shared" si="20"/>
        <v>26705589.030355275</v>
      </c>
      <c r="G79" s="1314">
        <f t="shared" si="13"/>
        <v>376701.87571441481</v>
      </c>
      <c r="H79" s="1314">
        <f t="shared" si="6"/>
        <v>-20678359.018924646</v>
      </c>
      <c r="I79" s="1314">
        <f t="shared" si="19"/>
        <v>-18418147.764638163</v>
      </c>
      <c r="J79" s="1314">
        <f t="shared" si="7"/>
        <v>8287441.2657171115</v>
      </c>
      <c r="K79" s="1314">
        <f t="shared" si="22"/>
        <v>79107.393900027106</v>
      </c>
      <c r="L79" s="1314">
        <f t="shared" si="24"/>
        <v>-2425960.079600825</v>
      </c>
      <c r="M79" s="1314">
        <f t="shared" si="21"/>
        <v>-2979711.8369010147</v>
      </c>
      <c r="N79" s="1315">
        <f t="shared" si="17"/>
        <v>5307729.4288160969</v>
      </c>
      <c r="O79" s="1316">
        <f t="shared" si="25"/>
        <v>3601269.9318298036</v>
      </c>
      <c r="P79" s="1137"/>
      <c r="Q79" s="1137"/>
    </row>
    <row r="80" spans="1:17">
      <c r="A80" s="628"/>
      <c r="B80" s="547">
        <v>43312</v>
      </c>
      <c r="C80" s="547"/>
      <c r="D80" s="526"/>
      <c r="E80" s="526">
        <f t="shared" si="23"/>
        <v>26705589.030355275</v>
      </c>
      <c r="F80" s="546">
        <f t="shared" si="20"/>
        <v>26705589.030355275</v>
      </c>
      <c r="G80" s="546">
        <f t="shared" si="13"/>
        <v>376701.87571441481</v>
      </c>
      <c r="H80" s="546">
        <f t="shared" ref="H80:H94" si="26">H79-G80</f>
        <v>-21055060.89463906</v>
      </c>
      <c r="I80" s="546">
        <f t="shared" si="19"/>
        <v>-18794849.640352581</v>
      </c>
      <c r="J80" s="546">
        <f t="shared" si="7"/>
        <v>7910739.390002694</v>
      </c>
      <c r="K80" s="546">
        <f t="shared" si="22"/>
        <v>79107.393900027106</v>
      </c>
      <c r="L80" s="546">
        <f t="shared" si="24"/>
        <v>-2346852.6857007979</v>
      </c>
      <c r="M80" s="546">
        <f t="shared" si="21"/>
        <v>-2876432.7393093123</v>
      </c>
      <c r="N80" s="548">
        <f t="shared" si="17"/>
        <v>5034306.6506933812</v>
      </c>
      <c r="O80" s="545">
        <f t="shared" si="25"/>
        <v>3303675.4500154168</v>
      </c>
      <c r="P80" s="109"/>
      <c r="Q80" s="109"/>
    </row>
    <row r="81" spans="1:17">
      <c r="A81" s="628"/>
      <c r="B81" s="547">
        <v>43343</v>
      </c>
      <c r="C81" s="547"/>
      <c r="D81" s="526"/>
      <c r="E81" s="526">
        <f t="shared" si="23"/>
        <v>26705589.030355275</v>
      </c>
      <c r="F81" s="546">
        <f t="shared" si="20"/>
        <v>26705589.030355275</v>
      </c>
      <c r="G81" s="546">
        <f t="shared" si="13"/>
        <v>376701.87571441481</v>
      </c>
      <c r="H81" s="546">
        <f t="shared" si="26"/>
        <v>-21431762.770353474</v>
      </c>
      <c r="I81" s="546">
        <f t="shared" si="19"/>
        <v>-19171551.516066991</v>
      </c>
      <c r="J81" s="546">
        <f t="shared" si="7"/>
        <v>7534037.5142882839</v>
      </c>
      <c r="K81" s="546">
        <f t="shared" si="22"/>
        <v>79107.393900027106</v>
      </c>
      <c r="L81" s="546">
        <f t="shared" si="24"/>
        <v>-2267745.2918007709</v>
      </c>
      <c r="M81" s="546">
        <f t="shared" si="21"/>
        <v>-2777548.4969342784</v>
      </c>
      <c r="N81" s="548">
        <f t="shared" si="17"/>
        <v>4756489.0173540059</v>
      </c>
      <c r="O81" s="545">
        <f t="shared" si="25"/>
        <v>3006080.96820103</v>
      </c>
      <c r="P81" s="109"/>
      <c r="Q81" s="109"/>
    </row>
    <row r="82" spans="1:17">
      <c r="A82" s="628"/>
      <c r="B82" s="547">
        <v>43373</v>
      </c>
      <c r="C82" s="547"/>
      <c r="D82" s="526"/>
      <c r="E82" s="526">
        <f t="shared" si="23"/>
        <v>26705589.030355275</v>
      </c>
      <c r="F82" s="546">
        <f t="shared" si="20"/>
        <v>26705589.030355275</v>
      </c>
      <c r="G82" s="546">
        <f t="shared" si="13"/>
        <v>376701.87571441481</v>
      </c>
      <c r="H82" s="546">
        <f t="shared" si="26"/>
        <v>-21808464.646067888</v>
      </c>
      <c r="I82" s="546">
        <f t="shared" si="19"/>
        <v>-19548253.391781405</v>
      </c>
      <c r="J82" s="546">
        <f t="shared" si="7"/>
        <v>7157335.6385738701</v>
      </c>
      <c r="K82" s="546">
        <f t="shared" si="22"/>
        <v>79107.393900027106</v>
      </c>
      <c r="L82" s="546">
        <f t="shared" si="24"/>
        <v>-2188637.8979007439</v>
      </c>
      <c r="M82" s="546">
        <f t="shared" si="21"/>
        <v>-2683059.1097759129</v>
      </c>
      <c r="N82" s="548">
        <f t="shared" si="17"/>
        <v>4474276.5287979571</v>
      </c>
      <c r="O82" s="545">
        <f t="shared" si="25"/>
        <v>2708486.4863866433</v>
      </c>
      <c r="P82" s="109"/>
      <c r="Q82" s="109"/>
    </row>
    <row r="83" spans="1:17">
      <c r="A83" s="628"/>
      <c r="B83" s="547">
        <v>43404</v>
      </c>
      <c r="C83" s="547"/>
      <c r="D83" s="526"/>
      <c r="E83" s="526">
        <f t="shared" si="23"/>
        <v>26705589.030355275</v>
      </c>
      <c r="F83" s="546">
        <f t="shared" si="20"/>
        <v>26705589.030355275</v>
      </c>
      <c r="G83" s="546">
        <f t="shared" si="13"/>
        <v>376701.87571441481</v>
      </c>
      <c r="H83" s="546">
        <f t="shared" si="26"/>
        <v>-22185166.521782301</v>
      </c>
      <c r="I83" s="546">
        <f t="shared" si="19"/>
        <v>-19924955.267495815</v>
      </c>
      <c r="J83" s="546">
        <f t="shared" si="7"/>
        <v>6780633.76285946</v>
      </c>
      <c r="K83" s="546">
        <f t="shared" si="22"/>
        <v>79107.393900027106</v>
      </c>
      <c r="L83" s="546">
        <f t="shared" si="24"/>
        <v>-2109530.5040007168</v>
      </c>
      <c r="M83" s="546">
        <f t="shared" si="21"/>
        <v>-2592964.5778342155</v>
      </c>
      <c r="N83" s="548">
        <f t="shared" si="17"/>
        <v>4187669.1850252445</v>
      </c>
      <c r="O83" s="545">
        <f t="shared" si="25"/>
        <v>2410892.0045722565</v>
      </c>
      <c r="P83" s="109"/>
      <c r="Q83" s="109"/>
    </row>
    <row r="84" spans="1:17">
      <c r="A84" s="628"/>
      <c r="B84" s="547">
        <v>43434</v>
      </c>
      <c r="C84" s="547"/>
      <c r="D84" s="526"/>
      <c r="E84" s="526">
        <f t="shared" si="23"/>
        <v>26705589.030355275</v>
      </c>
      <c r="F84" s="546">
        <f t="shared" si="20"/>
        <v>26705589.030355275</v>
      </c>
      <c r="G84" s="546">
        <f t="shared" si="13"/>
        <v>376701.87571441481</v>
      </c>
      <c r="H84" s="546">
        <f t="shared" si="26"/>
        <v>-22561868.397496715</v>
      </c>
      <c r="I84" s="546">
        <f t="shared" si="19"/>
        <v>-20301657.143210236</v>
      </c>
      <c r="J84" s="546">
        <f t="shared" ref="J84:J95" si="27">F84+I84</f>
        <v>6403931.8871450387</v>
      </c>
      <c r="K84" s="546">
        <f t="shared" si="22"/>
        <v>79107.393900027106</v>
      </c>
      <c r="L84" s="546">
        <f t="shared" si="24"/>
        <v>-2030423.1101006898</v>
      </c>
      <c r="M84" s="546">
        <f t="shared" si="21"/>
        <v>-2507264.901109186</v>
      </c>
      <c r="N84" s="548">
        <f t="shared" si="17"/>
        <v>3896666.9860358527</v>
      </c>
      <c r="O84" s="545">
        <f t="shared" si="25"/>
        <v>2113297.5227578697</v>
      </c>
      <c r="P84" s="109"/>
      <c r="Q84" s="109"/>
    </row>
    <row r="85" spans="1:17" s="1317" customFormat="1">
      <c r="A85" s="1311"/>
      <c r="B85" s="1312">
        <v>43465</v>
      </c>
      <c r="C85" s="1312"/>
      <c r="D85" s="1313"/>
      <c r="E85" s="1313">
        <f t="shared" si="23"/>
        <v>26705589.030355275</v>
      </c>
      <c r="F85" s="1314">
        <f t="shared" si="20"/>
        <v>26705589.030355275</v>
      </c>
      <c r="G85" s="1314">
        <f t="shared" si="13"/>
        <v>376701.87571441481</v>
      </c>
      <c r="H85" s="1314">
        <f t="shared" si="26"/>
        <v>-22938570.273211129</v>
      </c>
      <c r="I85" s="1314">
        <f t="shared" si="19"/>
        <v>-20678359.01892465</v>
      </c>
      <c r="J85" s="1314">
        <f t="shared" si="27"/>
        <v>6027230.0114306249</v>
      </c>
      <c r="K85" s="1314">
        <f t="shared" si="22"/>
        <v>79107.393900027106</v>
      </c>
      <c r="L85" s="1314">
        <f t="shared" si="24"/>
        <v>-1951315.7162006628</v>
      </c>
      <c r="M85" s="1314">
        <f t="shared" si="21"/>
        <v>-2425960.079600825</v>
      </c>
      <c r="N85" s="1315">
        <f t="shared" si="17"/>
        <v>3601269.9318297999</v>
      </c>
      <c r="O85" s="1316">
        <f t="shared" si="25"/>
        <v>1815703.0409434829</v>
      </c>
      <c r="P85" s="1137"/>
      <c r="Q85" s="1137"/>
    </row>
    <row r="86" spans="1:17">
      <c r="A86" s="628"/>
      <c r="B86" s="547">
        <v>43496</v>
      </c>
      <c r="C86" s="547"/>
      <c r="D86" s="526"/>
      <c r="E86" s="526">
        <f t="shared" si="23"/>
        <v>26705589.030355275</v>
      </c>
      <c r="F86" s="546">
        <f t="shared" si="20"/>
        <v>26705589.030355275</v>
      </c>
      <c r="G86" s="546">
        <f t="shared" si="13"/>
        <v>376701.87571441481</v>
      </c>
      <c r="H86" s="546">
        <f t="shared" si="26"/>
        <v>-23315272.148925543</v>
      </c>
      <c r="I86" s="546">
        <f t="shared" si="19"/>
        <v>-21055060.89463906</v>
      </c>
      <c r="J86" s="546">
        <f t="shared" si="27"/>
        <v>5650528.1357162148</v>
      </c>
      <c r="K86" s="546">
        <f t="shared" si="22"/>
        <v>79107.393900027106</v>
      </c>
      <c r="L86" s="546">
        <f t="shared" si="24"/>
        <v>-1872208.3223006357</v>
      </c>
      <c r="M86" s="546">
        <f t="shared" si="21"/>
        <v>-2346852.6857007979</v>
      </c>
      <c r="N86" s="548">
        <f t="shared" si="17"/>
        <v>3303675.4500154168</v>
      </c>
      <c r="O86" s="545">
        <f t="shared" si="25"/>
        <v>1518108.5591290961</v>
      </c>
      <c r="P86" s="109"/>
      <c r="Q86" s="109"/>
    </row>
    <row r="87" spans="1:17">
      <c r="A87" s="628"/>
      <c r="B87" s="547">
        <v>43524</v>
      </c>
      <c r="C87" s="547"/>
      <c r="D87" s="526"/>
      <c r="E87" s="526">
        <f t="shared" si="23"/>
        <v>26705589.030355275</v>
      </c>
      <c r="F87" s="546">
        <f t="shared" si="20"/>
        <v>26705589.030355275</v>
      </c>
      <c r="G87" s="546">
        <f t="shared" si="13"/>
        <v>376701.87571441481</v>
      </c>
      <c r="H87" s="546">
        <f t="shared" si="26"/>
        <v>-23691974.024639957</v>
      </c>
      <c r="I87" s="546">
        <f t="shared" si="19"/>
        <v>-21431762.770353474</v>
      </c>
      <c r="J87" s="546">
        <f t="shared" si="27"/>
        <v>5273826.260001801</v>
      </c>
      <c r="K87" s="546">
        <f t="shared" si="22"/>
        <v>79107.393900027106</v>
      </c>
      <c r="L87" s="546">
        <f t="shared" si="24"/>
        <v>-1793100.9284006087</v>
      </c>
      <c r="M87" s="546">
        <f t="shared" si="21"/>
        <v>-2267745.2918007704</v>
      </c>
      <c r="N87" s="548">
        <f t="shared" si="17"/>
        <v>3006080.9682010305</v>
      </c>
      <c r="O87" s="545">
        <f t="shared" si="25"/>
        <v>1220514.0773147093</v>
      </c>
      <c r="P87" s="109"/>
      <c r="Q87" s="109"/>
    </row>
    <row r="88" spans="1:17">
      <c r="A88" s="628"/>
      <c r="B88" s="547">
        <v>43555</v>
      </c>
      <c r="C88" s="547"/>
      <c r="D88" s="526"/>
      <c r="E88" s="526">
        <f t="shared" si="23"/>
        <v>26705589.030355275</v>
      </c>
      <c r="F88" s="546">
        <f t="shared" si="20"/>
        <v>26705589.030355275</v>
      </c>
      <c r="G88" s="546">
        <f t="shared" si="13"/>
        <v>376701.87571441481</v>
      </c>
      <c r="H88" s="546">
        <f t="shared" si="26"/>
        <v>-24068675.90035437</v>
      </c>
      <c r="I88" s="546">
        <f t="shared" si="19"/>
        <v>-21808464.646067891</v>
      </c>
      <c r="J88" s="546">
        <f t="shared" si="27"/>
        <v>4897124.3842873834</v>
      </c>
      <c r="K88" s="546">
        <f t="shared" si="22"/>
        <v>79107.393900027106</v>
      </c>
      <c r="L88" s="546">
        <f t="shared" si="24"/>
        <v>-1713993.5345005817</v>
      </c>
      <c r="M88" s="546">
        <f t="shared" si="21"/>
        <v>-2188637.8979007439</v>
      </c>
      <c r="N88" s="548">
        <f t="shared" si="17"/>
        <v>2708486.4863866395</v>
      </c>
      <c r="O88" s="545">
        <f t="shared" si="25"/>
        <v>922919.59550032252</v>
      </c>
      <c r="P88" s="109"/>
      <c r="Q88" s="109"/>
    </row>
    <row r="89" spans="1:17">
      <c r="A89" s="628"/>
      <c r="B89" s="547">
        <v>43585</v>
      </c>
      <c r="C89" s="547"/>
      <c r="D89" s="526"/>
      <c r="E89" s="526">
        <f t="shared" si="23"/>
        <v>26705589.030355275</v>
      </c>
      <c r="F89" s="546">
        <f t="shared" si="20"/>
        <v>26705589.030355275</v>
      </c>
      <c r="G89" s="546">
        <f t="shared" si="13"/>
        <v>376701.87571441481</v>
      </c>
      <c r="H89" s="546">
        <f t="shared" si="26"/>
        <v>-24445377.776068784</v>
      </c>
      <c r="I89" s="546">
        <f t="shared" si="19"/>
        <v>-22185166.521782301</v>
      </c>
      <c r="J89" s="546">
        <f t="shared" si="27"/>
        <v>4520422.5085729733</v>
      </c>
      <c r="K89" s="546">
        <f t="shared" si="22"/>
        <v>79107.393900027106</v>
      </c>
      <c r="L89" s="546">
        <f t="shared" si="24"/>
        <v>-1634886.1406005546</v>
      </c>
      <c r="M89" s="546">
        <f t="shared" si="21"/>
        <v>-2109530.5040007164</v>
      </c>
      <c r="N89" s="548">
        <f t="shared" si="17"/>
        <v>2410892.0045722569</v>
      </c>
      <c r="O89" s="545">
        <f t="shared" si="25"/>
        <v>625325.11368593574</v>
      </c>
      <c r="P89" s="109"/>
      <c r="Q89" s="109"/>
    </row>
    <row r="90" spans="1:17">
      <c r="A90" s="628"/>
      <c r="B90" s="547">
        <v>43616</v>
      </c>
      <c r="C90" s="547"/>
      <c r="D90" s="526"/>
      <c r="E90" s="526">
        <f t="shared" si="23"/>
        <v>26705589.030355275</v>
      </c>
      <c r="F90" s="546">
        <f t="shared" si="20"/>
        <v>26705589.030355275</v>
      </c>
      <c r="G90" s="546">
        <f t="shared" si="13"/>
        <v>376701.87571441481</v>
      </c>
      <c r="H90" s="546">
        <f t="shared" si="26"/>
        <v>-24822079.651783198</v>
      </c>
      <c r="I90" s="546">
        <f t="shared" si="19"/>
        <v>-22561868.397496715</v>
      </c>
      <c r="J90" s="546">
        <f t="shared" si="27"/>
        <v>4143720.6328585595</v>
      </c>
      <c r="K90" s="546">
        <f t="shared" si="22"/>
        <v>79107.393900027106</v>
      </c>
      <c r="L90" s="546">
        <f t="shared" si="24"/>
        <v>-1555778.7467005276</v>
      </c>
      <c r="M90" s="546">
        <f t="shared" si="21"/>
        <v>-2030423.11010069</v>
      </c>
      <c r="N90" s="548">
        <f t="shared" si="17"/>
        <v>2113297.5227578692</v>
      </c>
      <c r="O90" s="545">
        <f t="shared" si="25"/>
        <v>327730.63187154895</v>
      </c>
      <c r="P90" s="109"/>
      <c r="Q90" s="109"/>
    </row>
    <row r="91" spans="1:17">
      <c r="A91" s="628"/>
      <c r="B91" s="547">
        <v>43646</v>
      </c>
      <c r="C91" s="547"/>
      <c r="D91" s="526"/>
      <c r="E91" s="526">
        <f t="shared" si="23"/>
        <v>26705589.030355275</v>
      </c>
      <c r="F91" s="546">
        <f t="shared" si="20"/>
        <v>26705589.030355275</v>
      </c>
      <c r="G91" s="546">
        <f t="shared" si="13"/>
        <v>376701.87571441481</v>
      </c>
      <c r="H91" s="546">
        <f t="shared" si="26"/>
        <v>-25198781.527497612</v>
      </c>
      <c r="I91" s="546">
        <f t="shared" si="19"/>
        <v>-22938570.273211125</v>
      </c>
      <c r="J91" s="546">
        <f t="shared" si="27"/>
        <v>3767018.7571441494</v>
      </c>
      <c r="K91" s="546">
        <f t="shared" si="22"/>
        <v>79107.393900027106</v>
      </c>
      <c r="L91" s="546">
        <f t="shared" si="24"/>
        <v>-1476671.3528005006</v>
      </c>
      <c r="M91" s="546">
        <f t="shared" si="21"/>
        <v>-1951315.7162006628</v>
      </c>
      <c r="N91" s="548">
        <f t="shared" si="17"/>
        <v>1815703.0409434866</v>
      </c>
      <c r="O91" s="545">
        <f t="shared" si="25"/>
        <v>30136.150057162158</v>
      </c>
      <c r="P91"/>
      <c r="Q91"/>
    </row>
    <row r="92" spans="1:17">
      <c r="A92" s="628"/>
      <c r="B92" s="547">
        <v>43677</v>
      </c>
      <c r="C92" s="547"/>
      <c r="D92" s="526"/>
      <c r="E92" s="526">
        <f t="shared" si="23"/>
        <v>26705589.030355275</v>
      </c>
      <c r="F92" s="546">
        <f t="shared" si="20"/>
        <v>26705589.030355275</v>
      </c>
      <c r="G92" s="546">
        <f t="shared" si="13"/>
        <v>376701.87571441481</v>
      </c>
      <c r="H92" s="546">
        <f t="shared" si="26"/>
        <v>-25575483.403212026</v>
      </c>
      <c r="I92" s="546">
        <f t="shared" si="19"/>
        <v>-23315272.148925543</v>
      </c>
      <c r="J92" s="546">
        <f t="shared" si="27"/>
        <v>3390316.8814297318</v>
      </c>
      <c r="K92" s="546">
        <f t="shared" si="22"/>
        <v>79107.393900027106</v>
      </c>
      <c r="L92" s="546">
        <f t="shared" si="24"/>
        <v>-1397563.9589004735</v>
      </c>
      <c r="M92" s="546">
        <f t="shared" si="21"/>
        <v>-1872208.322300636</v>
      </c>
      <c r="N92" s="548">
        <f t="shared" si="17"/>
        <v>1518108.5591290959</v>
      </c>
      <c r="O92" s="545">
        <f t="shared" si="25"/>
        <v>-267458.33175722463</v>
      </c>
      <c r="P92"/>
      <c r="Q92"/>
    </row>
    <row r="93" spans="1:17">
      <c r="A93" s="628"/>
      <c r="B93" s="547">
        <v>43708</v>
      </c>
      <c r="C93" s="547"/>
      <c r="D93" s="526"/>
      <c r="E93" s="526">
        <f t="shared" si="23"/>
        <v>26705589.030355275</v>
      </c>
      <c r="F93" s="546">
        <f t="shared" si="20"/>
        <v>26705589.030355275</v>
      </c>
      <c r="G93" s="546">
        <f t="shared" si="13"/>
        <v>376701.87571441481</v>
      </c>
      <c r="H93" s="546">
        <f t="shared" si="26"/>
        <v>-25952185.27892644</v>
      </c>
      <c r="I93" s="546">
        <f t="shared" si="19"/>
        <v>-23691974.02463996</v>
      </c>
      <c r="J93" s="546">
        <f t="shared" si="27"/>
        <v>3013615.0057153143</v>
      </c>
      <c r="K93" s="546">
        <f t="shared" si="22"/>
        <v>79107.393900027106</v>
      </c>
      <c r="L93" s="546">
        <f t="shared" si="24"/>
        <v>-1318456.5650004465</v>
      </c>
      <c r="M93" s="546">
        <f t="shared" si="21"/>
        <v>-1793100.9284006087</v>
      </c>
      <c r="N93" s="548">
        <f t="shared" si="17"/>
        <v>1220514.0773147056</v>
      </c>
      <c r="O93" s="545">
        <f t="shared" si="25"/>
        <v>-565052.81357161142</v>
      </c>
      <c r="P93"/>
      <c r="Q93"/>
    </row>
    <row r="94" spans="1:17">
      <c r="A94" s="628"/>
      <c r="B94" s="547">
        <v>43738</v>
      </c>
      <c r="C94" s="547"/>
      <c r="D94" s="526"/>
      <c r="E94" s="526">
        <f t="shared" si="23"/>
        <v>26705589.030355275</v>
      </c>
      <c r="F94" s="546">
        <f t="shared" si="20"/>
        <v>26705589.030355275</v>
      </c>
      <c r="G94" s="546">
        <f t="shared" si="13"/>
        <v>376701.87571441481</v>
      </c>
      <c r="H94" s="546">
        <f t="shared" si="26"/>
        <v>-26328887.154640853</v>
      </c>
      <c r="I94" s="546">
        <f t="shared" si="19"/>
        <v>-24068675.90035437</v>
      </c>
      <c r="J94" s="546">
        <f t="shared" si="27"/>
        <v>2636913.1300009042</v>
      </c>
      <c r="K94" s="546">
        <f t="shared" si="22"/>
        <v>79107.393900027106</v>
      </c>
      <c r="L94" s="546">
        <f t="shared" si="24"/>
        <v>-1239349.1711004195</v>
      </c>
      <c r="M94" s="546">
        <f t="shared" si="21"/>
        <v>-1713993.5345005812</v>
      </c>
      <c r="N94" s="548">
        <f t="shared" si="17"/>
        <v>922919.59550032299</v>
      </c>
      <c r="O94" s="545">
        <f t="shared" si="25"/>
        <v>-862647.29538599821</v>
      </c>
      <c r="P94"/>
      <c r="Q94"/>
    </row>
    <row r="95" spans="1:17">
      <c r="A95" s="628"/>
      <c r="B95" s="547">
        <v>43769</v>
      </c>
      <c r="C95" s="547"/>
      <c r="D95" s="526"/>
      <c r="E95" s="526">
        <f t="shared" si="23"/>
        <v>26705589.030355275</v>
      </c>
      <c r="F95" s="546">
        <f t="shared" si="20"/>
        <v>26705589.030355275</v>
      </c>
      <c r="G95" s="546">
        <f t="shared" si="13"/>
        <v>376701.87571441481</v>
      </c>
      <c r="H95" s="546">
        <f>H94-G95</f>
        <v>-26705589.030355267</v>
      </c>
      <c r="I95" s="546">
        <f>(H83+H95+SUM(H84:H94)*2)/24</f>
        <v>-24445377.776068788</v>
      </c>
      <c r="J95" s="546">
        <f t="shared" si="27"/>
        <v>2260211.2542864867</v>
      </c>
      <c r="K95" s="546">
        <f t="shared" si="22"/>
        <v>79107.393900027106</v>
      </c>
      <c r="L95" s="546">
        <f t="shared" si="24"/>
        <v>-1160241.7772003924</v>
      </c>
      <c r="M95" s="546">
        <f t="shared" si="21"/>
        <v>-1634886.1406005546</v>
      </c>
      <c r="N95" s="548">
        <f t="shared" si="17"/>
        <v>625325.11368593201</v>
      </c>
      <c r="O95" s="545">
        <f>+E95+H95+L95</f>
        <v>-1160241.777200385</v>
      </c>
      <c r="P95"/>
      <c r="Q95"/>
    </row>
    <row r="96" spans="1:17">
      <c r="A96" s="628"/>
      <c r="B96" s="547">
        <v>43799</v>
      </c>
      <c r="C96" s="547"/>
      <c r="D96" s="526"/>
      <c r="E96" s="526">
        <f t="shared" ref="E96" si="28">E95+D96</f>
        <v>26705589.030355275</v>
      </c>
      <c r="F96" s="546">
        <f t="shared" ref="F96" si="29">(E84+E96+SUM(E85:E95)*2)/24</f>
        <v>26705589.030355275</v>
      </c>
      <c r="G96" s="546"/>
      <c r="H96" s="546">
        <f t="shared" ref="H96" si="30">H95-G96</f>
        <v>-26705589.030355267</v>
      </c>
      <c r="I96" s="546">
        <f>(H84+H96+SUM(H85:H95)*2)/24</f>
        <v>-24806383.740295101</v>
      </c>
      <c r="J96" s="546">
        <f t="shared" ref="J96" si="31">F96+I96</f>
        <v>1899205.2900601737</v>
      </c>
      <c r="K96" s="546">
        <f t="shared" ref="K96" si="32">(-D96*0.35)+(G96*0.35)</f>
        <v>0</v>
      </c>
      <c r="L96" s="546">
        <f t="shared" ref="L96" si="33">L95+K96</f>
        <v>-1160241.7772003924</v>
      </c>
      <c r="M96" s="546">
        <f t="shared" ref="M96" si="34">(L84+L96+SUM(L85:L95)*2)/24</f>
        <v>-1559074.8881130286</v>
      </c>
      <c r="N96" s="548">
        <f t="shared" ref="N96" si="35">M96+J96</f>
        <v>340130.40194714512</v>
      </c>
      <c r="O96" s="545">
        <f>+E96+H96+L96</f>
        <v>-1160241.777200385</v>
      </c>
      <c r="P96"/>
      <c r="Q96"/>
    </row>
    <row r="97" spans="1:17">
      <c r="A97" s="628"/>
      <c r="B97" s="547">
        <v>43830</v>
      </c>
      <c r="C97" s="547"/>
      <c r="D97" s="526"/>
      <c r="E97" s="526">
        <f t="shared" ref="E97:E107" si="36">E96+D97</f>
        <v>26705589.030355275</v>
      </c>
      <c r="F97" s="546">
        <f t="shared" ref="F97:F107" si="37">(E85+E97+SUM(E86:E96)*2)/24</f>
        <v>26705589.030355275</v>
      </c>
      <c r="G97" s="546"/>
      <c r="H97" s="546">
        <f t="shared" ref="H97:H107" si="38">H96-G97</f>
        <v>-26705589.030355267</v>
      </c>
      <c r="I97" s="546">
        <f t="shared" ref="I97:I104" si="39">(H85+H97+SUM(H86:H96)*2)/24</f>
        <v>-25135997.881545205</v>
      </c>
      <c r="J97" s="546">
        <f t="shared" ref="J97:J107" si="40">F97+I97</f>
        <v>1569591.14881007</v>
      </c>
      <c r="K97" s="546">
        <f t="shared" ref="K97:K107" si="41">(-D97*0.35)+(G97*0.35)</f>
        <v>0</v>
      </c>
      <c r="L97" s="546">
        <f t="shared" ref="L97:L107" si="42">L96+K97</f>
        <v>-1160241.7772003924</v>
      </c>
      <c r="M97" s="546">
        <f t="shared" ref="M97:M107" si="43">(L85+L97+SUM(L86:L96)*2)/24</f>
        <v>-1489855.9184505052</v>
      </c>
      <c r="N97" s="548">
        <f t="shared" ref="N97:N107" si="44">M97+J97</f>
        <v>79735.230359564768</v>
      </c>
      <c r="O97" s="545">
        <f t="shared" ref="O97:O104" si="45">+E97+H97+L97</f>
        <v>-1160241.777200385</v>
      </c>
      <c r="P97"/>
      <c r="Q97"/>
    </row>
    <row r="98" spans="1:17">
      <c r="A98" s="628"/>
      <c r="B98" s="547">
        <v>43861</v>
      </c>
      <c r="C98" s="547"/>
      <c r="D98" s="526"/>
      <c r="E98" s="526">
        <f t="shared" si="36"/>
        <v>26705589.030355275</v>
      </c>
      <c r="F98" s="546">
        <f t="shared" si="37"/>
        <v>26705589.030355275</v>
      </c>
      <c r="G98" s="546"/>
      <c r="H98" s="546">
        <f t="shared" si="38"/>
        <v>-26705589.030355267</v>
      </c>
      <c r="I98" s="546">
        <f t="shared" si="39"/>
        <v>-25434220.199819118</v>
      </c>
      <c r="J98" s="546">
        <f t="shared" si="40"/>
        <v>1271368.8305361569</v>
      </c>
      <c r="K98" s="546">
        <f t="shared" si="41"/>
        <v>0</v>
      </c>
      <c r="L98" s="546">
        <f t="shared" si="42"/>
        <v>-1160241.7772003924</v>
      </c>
      <c r="M98" s="546">
        <f t="shared" si="43"/>
        <v>-1427229.2316129839</v>
      </c>
      <c r="N98" s="548">
        <f t="shared" si="44"/>
        <v>-155860.40107682697</v>
      </c>
      <c r="O98" s="545">
        <f t="shared" si="45"/>
        <v>-1160241.777200385</v>
      </c>
      <c r="P98"/>
      <c r="Q98"/>
    </row>
    <row r="99" spans="1:17">
      <c r="A99" s="628"/>
      <c r="B99" s="547">
        <v>43890</v>
      </c>
      <c r="C99" s="547"/>
      <c r="D99" s="526"/>
      <c r="E99" s="526">
        <f t="shared" si="36"/>
        <v>26705589.030355275</v>
      </c>
      <c r="F99" s="546">
        <f t="shared" si="37"/>
        <v>26705589.030355275</v>
      </c>
      <c r="G99" s="546"/>
      <c r="H99" s="546">
        <f t="shared" si="38"/>
        <v>-26705589.030355267</v>
      </c>
      <c r="I99" s="546">
        <f t="shared" si="39"/>
        <v>-25701050.695116833</v>
      </c>
      <c r="J99" s="546">
        <f t="shared" si="40"/>
        <v>1004538.3352384418</v>
      </c>
      <c r="K99" s="546">
        <f t="shared" si="41"/>
        <v>0</v>
      </c>
      <c r="L99" s="546">
        <f t="shared" si="42"/>
        <v>-1160241.7772003924</v>
      </c>
      <c r="M99" s="546">
        <f t="shared" si="43"/>
        <v>-1371194.8276004645</v>
      </c>
      <c r="N99" s="548">
        <f t="shared" si="44"/>
        <v>-366656.49236202263</v>
      </c>
      <c r="O99" s="545">
        <f t="shared" si="45"/>
        <v>-1160241.777200385</v>
      </c>
      <c r="P99"/>
      <c r="Q99"/>
    </row>
    <row r="100" spans="1:17">
      <c r="A100" s="628"/>
      <c r="B100" s="547">
        <v>43921</v>
      </c>
      <c r="C100" s="547"/>
      <c r="D100" s="526"/>
      <c r="E100" s="526">
        <f t="shared" si="36"/>
        <v>26705589.030355275</v>
      </c>
      <c r="F100" s="546">
        <f t="shared" si="37"/>
        <v>26705589.030355275</v>
      </c>
      <c r="G100" s="546"/>
      <c r="H100" s="546">
        <f t="shared" si="38"/>
        <v>-26705589.030355267</v>
      </c>
      <c r="I100" s="546">
        <f t="shared" si="39"/>
        <v>-25936489.367438342</v>
      </c>
      <c r="J100" s="546">
        <f t="shared" si="40"/>
        <v>769099.66291693226</v>
      </c>
      <c r="K100" s="546">
        <f t="shared" si="41"/>
        <v>0</v>
      </c>
      <c r="L100" s="546">
        <f t="shared" si="42"/>
        <v>-1160241.7772003924</v>
      </c>
      <c r="M100" s="546">
        <f t="shared" si="43"/>
        <v>-1321752.706412948</v>
      </c>
      <c r="N100" s="548">
        <f t="shared" si="44"/>
        <v>-552653.04349601571</v>
      </c>
      <c r="O100" s="545">
        <f t="shared" si="45"/>
        <v>-1160241.777200385</v>
      </c>
      <c r="P100"/>
      <c r="Q100"/>
    </row>
    <row r="101" spans="1:17">
      <c r="A101" s="628"/>
      <c r="B101" s="547">
        <v>43951</v>
      </c>
      <c r="C101" s="547"/>
      <c r="D101" s="526"/>
      <c r="E101" s="526">
        <f t="shared" si="36"/>
        <v>26705589.030355275</v>
      </c>
      <c r="F101" s="546">
        <f t="shared" si="37"/>
        <v>26705589.030355275</v>
      </c>
      <c r="G101" s="546"/>
      <c r="H101" s="546">
        <f t="shared" si="38"/>
        <v>-26705589.030355267</v>
      </c>
      <c r="I101" s="546">
        <f t="shared" si="39"/>
        <v>-26140536.216783646</v>
      </c>
      <c r="J101" s="546">
        <f t="shared" si="40"/>
        <v>565052.81357162818</v>
      </c>
      <c r="K101" s="546">
        <f t="shared" si="41"/>
        <v>0</v>
      </c>
      <c r="L101" s="546">
        <f t="shared" si="42"/>
        <v>-1160241.7772003924</v>
      </c>
      <c r="M101" s="546">
        <f t="shared" si="43"/>
        <v>-1278902.8680504335</v>
      </c>
      <c r="N101" s="548">
        <f t="shared" si="44"/>
        <v>-713850.05447880528</v>
      </c>
      <c r="O101" s="545">
        <f t="shared" si="45"/>
        <v>-1160241.777200385</v>
      </c>
      <c r="P101"/>
      <c r="Q101"/>
    </row>
    <row r="102" spans="1:17">
      <c r="A102" s="628"/>
      <c r="B102" s="547">
        <v>43982</v>
      </c>
      <c r="C102" s="547"/>
      <c r="D102" s="526"/>
      <c r="E102" s="526">
        <f t="shared" si="36"/>
        <v>26705589.030355275</v>
      </c>
      <c r="F102" s="546">
        <f t="shared" si="37"/>
        <v>26705589.030355275</v>
      </c>
      <c r="G102" s="546"/>
      <c r="H102" s="546">
        <f t="shared" si="38"/>
        <v>-26705589.030355267</v>
      </c>
      <c r="I102" s="546">
        <f t="shared" si="39"/>
        <v>-26313191.243152753</v>
      </c>
      <c r="J102" s="546">
        <f t="shared" si="40"/>
        <v>392397.78720252216</v>
      </c>
      <c r="K102" s="546">
        <f t="shared" si="41"/>
        <v>0</v>
      </c>
      <c r="L102" s="546">
        <f t="shared" si="42"/>
        <v>-1160241.7772003924</v>
      </c>
      <c r="M102" s="546">
        <f t="shared" si="43"/>
        <v>-1242645.3125129209</v>
      </c>
      <c r="N102" s="548">
        <f t="shared" si="44"/>
        <v>-850247.52531039878</v>
      </c>
      <c r="O102" s="545">
        <f t="shared" si="45"/>
        <v>-1160241.777200385</v>
      </c>
      <c r="P102"/>
      <c r="Q102"/>
    </row>
    <row r="103" spans="1:17">
      <c r="A103" s="628"/>
      <c r="B103" s="547">
        <v>44012</v>
      </c>
      <c r="C103" s="547"/>
      <c r="D103" s="526"/>
      <c r="E103" s="526">
        <f t="shared" si="36"/>
        <v>26705589.030355275</v>
      </c>
      <c r="F103" s="546">
        <f t="shared" si="37"/>
        <v>26705589.030355275</v>
      </c>
      <c r="G103" s="546"/>
      <c r="H103" s="546">
        <f t="shared" si="38"/>
        <v>-26705589.030355267</v>
      </c>
      <c r="I103" s="546">
        <f t="shared" si="39"/>
        <v>-26454454.44654566</v>
      </c>
      <c r="J103" s="546">
        <f t="shared" si="40"/>
        <v>251134.58380961418</v>
      </c>
      <c r="K103" s="546">
        <f t="shared" si="41"/>
        <v>0</v>
      </c>
      <c r="L103" s="546">
        <f t="shared" si="42"/>
        <v>-1160241.7772003924</v>
      </c>
      <c r="M103" s="546">
        <f t="shared" si="43"/>
        <v>-1212980.0398004106</v>
      </c>
      <c r="N103" s="548">
        <f t="shared" si="44"/>
        <v>-961845.45599079644</v>
      </c>
      <c r="O103" s="545">
        <f t="shared" si="45"/>
        <v>-1160241.777200385</v>
      </c>
      <c r="P103"/>
      <c r="Q103"/>
    </row>
    <row r="104" spans="1:17">
      <c r="A104" s="628"/>
      <c r="B104" s="547">
        <v>44043</v>
      </c>
      <c r="C104" s="547"/>
      <c r="D104" s="526"/>
      <c r="E104" s="526">
        <f t="shared" si="36"/>
        <v>26705589.030355275</v>
      </c>
      <c r="F104" s="546">
        <f t="shared" si="37"/>
        <v>26705589.030355275</v>
      </c>
      <c r="G104" s="546"/>
      <c r="H104" s="546">
        <f t="shared" si="38"/>
        <v>-26705589.030355267</v>
      </c>
      <c r="I104" s="546">
        <f t="shared" si="39"/>
        <v>-26564325.826962367</v>
      </c>
      <c r="J104" s="546">
        <f t="shared" si="40"/>
        <v>141263.20339290798</v>
      </c>
      <c r="K104" s="546">
        <f t="shared" si="41"/>
        <v>0</v>
      </c>
      <c r="L104" s="546">
        <f t="shared" si="42"/>
        <v>-1160241.7772003924</v>
      </c>
      <c r="M104" s="546">
        <f t="shared" si="43"/>
        <v>-1189907.0499129028</v>
      </c>
      <c r="N104" s="548">
        <f t="shared" si="44"/>
        <v>-1048643.8465199948</v>
      </c>
      <c r="O104" s="545">
        <f t="shared" si="45"/>
        <v>-1160241.777200385</v>
      </c>
      <c r="Q104" s="560"/>
    </row>
    <row r="105" spans="1:17">
      <c r="A105" s="628"/>
      <c r="B105" s="547">
        <v>44074</v>
      </c>
      <c r="C105" s="547"/>
      <c r="D105" s="526"/>
      <c r="E105" s="526">
        <f t="shared" si="36"/>
        <v>26705589.030355275</v>
      </c>
      <c r="F105" s="546">
        <f t="shared" si="37"/>
        <v>26705589.030355275</v>
      </c>
      <c r="G105" s="546"/>
      <c r="H105" s="546">
        <f t="shared" si="38"/>
        <v>-26705589.030355267</v>
      </c>
      <c r="I105" s="546">
        <f>(H93+H105+SUM(H94:H104)*2)/24</f>
        <v>-26642805.384402867</v>
      </c>
      <c r="J105" s="546">
        <f t="shared" si="40"/>
        <v>62783.645952407271</v>
      </c>
      <c r="K105" s="546">
        <f t="shared" si="41"/>
        <v>0</v>
      </c>
      <c r="L105" s="546">
        <f t="shared" si="42"/>
        <v>-1160241.7772003924</v>
      </c>
      <c r="M105" s="546">
        <f t="shared" si="43"/>
        <v>-1173426.3428503971</v>
      </c>
      <c r="N105" s="548">
        <f t="shared" si="44"/>
        <v>-1110642.6968979898</v>
      </c>
      <c r="O105" s="545">
        <f>+E105+H105+L105</f>
        <v>-1160241.777200385</v>
      </c>
      <c r="Q105" s="560"/>
    </row>
    <row r="106" spans="1:17">
      <c r="A106" s="628"/>
      <c r="B106" s="547">
        <v>44104</v>
      </c>
      <c r="C106" s="547"/>
      <c r="D106" s="526"/>
      <c r="E106" s="526">
        <f t="shared" si="36"/>
        <v>26705589.030355275</v>
      </c>
      <c r="F106" s="546">
        <f t="shared" si="37"/>
        <v>26705589.030355275</v>
      </c>
      <c r="G106" s="546"/>
      <c r="H106" s="546">
        <f t="shared" si="38"/>
        <v>-26705589.030355267</v>
      </c>
      <c r="I106" s="546">
        <f>(H94+H106+SUM(H95:H105)*2)/24</f>
        <v>-26689893.11886717</v>
      </c>
      <c r="J106" s="546">
        <f t="shared" si="40"/>
        <v>15695.911488104612</v>
      </c>
      <c r="K106" s="546">
        <f t="shared" si="41"/>
        <v>0</v>
      </c>
      <c r="L106" s="546">
        <f t="shared" si="42"/>
        <v>-1160241.7772003924</v>
      </c>
      <c r="M106" s="546">
        <f t="shared" si="43"/>
        <v>-1163537.9186128939</v>
      </c>
      <c r="N106" s="548">
        <f t="shared" si="44"/>
        <v>-1147842.0071247893</v>
      </c>
      <c r="O106" s="545">
        <f>+E106+H106+L106</f>
        <v>-1160241.777200385</v>
      </c>
      <c r="Q106" s="560"/>
    </row>
    <row r="107" spans="1:17">
      <c r="A107" s="628"/>
      <c r="B107" s="547">
        <v>44135</v>
      </c>
      <c r="C107" s="547"/>
      <c r="D107" s="526"/>
      <c r="E107" s="526">
        <f t="shared" si="36"/>
        <v>26705589.030355275</v>
      </c>
      <c r="F107" s="546">
        <f t="shared" si="37"/>
        <v>26705589.030355275</v>
      </c>
      <c r="G107" s="546"/>
      <c r="H107" s="546">
        <f t="shared" si="38"/>
        <v>-26705589.030355267</v>
      </c>
      <c r="I107" s="546">
        <f>(H95+H107+SUM(H96:H106)*2)/24</f>
        <v>-26705589.030355271</v>
      </c>
      <c r="J107" s="546">
        <f t="shared" si="40"/>
        <v>0</v>
      </c>
      <c r="K107" s="546">
        <f t="shared" si="41"/>
        <v>0</v>
      </c>
      <c r="L107" s="546">
        <f t="shared" si="42"/>
        <v>-1160241.7772003924</v>
      </c>
      <c r="M107" s="546">
        <f t="shared" si="43"/>
        <v>-1160241.7772003927</v>
      </c>
      <c r="N107" s="548">
        <f t="shared" si="44"/>
        <v>-1160241.7772003927</v>
      </c>
      <c r="O107" s="545">
        <f>+E107+H107+L107</f>
        <v>-1160241.777200385</v>
      </c>
      <c r="Q107" s="560"/>
    </row>
    <row r="108" spans="1:17" ht="13.5" thickBot="1">
      <c r="A108" s="628"/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/>
      <c r="N108" s="629"/>
      <c r="O108" s="549"/>
    </row>
    <row r="109" spans="1:17" ht="13.5" thickBot="1">
      <c r="A109" s="630"/>
      <c r="B109" s="550" t="s">
        <v>715</v>
      </c>
      <c r="C109" s="551"/>
      <c r="D109" s="527"/>
      <c r="E109" s="527"/>
      <c r="F109" s="552"/>
      <c r="G109" s="552">
        <f>SUM(G24:G35)</f>
        <v>4135549.271095274</v>
      </c>
      <c r="H109" s="552"/>
      <c r="I109" s="552"/>
      <c r="J109" s="552"/>
      <c r="K109" s="552"/>
      <c r="L109" s="552"/>
      <c r="M109" s="552"/>
      <c r="N109" s="553"/>
      <c r="O109" s="631"/>
    </row>
    <row r="111" spans="1:17">
      <c r="B111" s="1343" t="s">
        <v>941</v>
      </c>
      <c r="G111" s="1344">
        <f>SUM(G68:G79)</f>
        <v>4520422.508572978</v>
      </c>
    </row>
    <row r="112" spans="1:17">
      <c r="B112" s="1343" t="s">
        <v>942</v>
      </c>
      <c r="G112" s="1344">
        <f>SUM(G74:G85)</f>
        <v>4520422.508572978</v>
      </c>
    </row>
  </sheetData>
  <mergeCells count="1">
    <mergeCell ref="D5:E5"/>
  </mergeCells>
  <printOptions horizontalCentered="1"/>
  <pageMargins left="0" right="0" top="0.75" bottom="0.75" header="0.3" footer="0.3"/>
  <pageSetup scale="6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56"/>
  <sheetViews>
    <sheetView zoomScaleNormal="100" workbookViewId="0">
      <pane xSplit="3" ySplit="9" topLeftCell="F69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140625" defaultRowHeight="12.75" outlineLevelRow="1" outlineLevelCol="1"/>
  <cols>
    <col min="1" max="1" width="3.7109375" style="554" customWidth="1"/>
    <col min="2" max="2" width="11.85546875" style="554" bestFit="1" customWidth="1"/>
    <col min="3" max="3" width="3.42578125" style="554" customWidth="1"/>
    <col min="4" max="4" width="14.7109375" style="554" bestFit="1" customWidth="1"/>
    <col min="5" max="6" width="16.140625" style="554" bestFit="1" customWidth="1"/>
    <col min="7" max="7" width="22.28515625" style="554" bestFit="1" customWidth="1"/>
    <col min="8" max="9" width="18.28515625" style="554" bestFit="1" customWidth="1"/>
    <col min="10" max="10" width="17.7109375" style="554" bestFit="1" customWidth="1"/>
    <col min="11" max="11" width="22.7109375" style="554" bestFit="1" customWidth="1"/>
    <col min="12" max="12" width="19.42578125" style="554" bestFit="1" customWidth="1"/>
    <col min="13" max="14" width="17.5703125" style="554" bestFit="1" customWidth="1"/>
    <col min="15" max="15" width="17" style="554" bestFit="1" customWidth="1"/>
    <col min="16" max="16" width="10" style="554" customWidth="1" outlineLevel="1"/>
    <col min="17" max="16384" width="9.140625" style="554"/>
  </cols>
  <sheetData>
    <row r="1" spans="1:16">
      <c r="A1" s="507" t="s">
        <v>9</v>
      </c>
      <c r="C1" s="506"/>
      <c r="D1" s="506"/>
      <c r="E1" s="506"/>
      <c r="F1" s="506"/>
      <c r="G1" s="506"/>
      <c r="H1" s="508"/>
      <c r="I1" s="508"/>
      <c r="J1" s="508"/>
      <c r="K1" s="509"/>
      <c r="L1" s="509"/>
      <c r="M1" s="509"/>
      <c r="N1" s="509"/>
    </row>
    <row r="2" spans="1:16">
      <c r="A2" s="1067" t="s">
        <v>915</v>
      </c>
      <c r="C2" s="506"/>
      <c r="D2" s="506"/>
      <c r="E2" s="506"/>
      <c r="F2" s="506"/>
      <c r="G2" s="506"/>
      <c r="H2" s="508"/>
      <c r="I2" s="508"/>
      <c r="J2" s="508"/>
      <c r="K2" s="509"/>
      <c r="L2" s="509"/>
      <c r="M2" s="509"/>
      <c r="N2" s="509"/>
    </row>
    <row r="3" spans="1:16">
      <c r="A3" s="507" t="s">
        <v>826</v>
      </c>
      <c r="C3" s="506"/>
      <c r="D3" s="506"/>
      <c r="E3" s="506"/>
      <c r="F3" s="506"/>
      <c r="G3" s="506"/>
      <c r="H3" s="508"/>
      <c r="I3" s="508"/>
      <c r="J3" s="508"/>
      <c r="K3" s="509"/>
      <c r="L3" s="509"/>
      <c r="M3" s="509"/>
      <c r="N3" s="509"/>
    </row>
    <row r="4" spans="1:16">
      <c r="A4" s="506"/>
      <c r="B4" s="506"/>
      <c r="C4" s="506"/>
      <c r="D4" s="1068"/>
      <c r="E4" s="1069"/>
      <c r="F4" s="1070"/>
      <c r="G4" s="1071" t="s">
        <v>728</v>
      </c>
      <c r="H4" s="511"/>
      <c r="I4" s="511"/>
      <c r="J4" s="511"/>
      <c r="K4" s="512"/>
      <c r="L4" s="512"/>
      <c r="M4" s="512"/>
      <c r="N4" s="512"/>
    </row>
    <row r="5" spans="1:16">
      <c r="A5" s="509"/>
      <c r="B5" s="509"/>
      <c r="C5" s="509"/>
      <c r="D5" s="1072" t="s">
        <v>731</v>
      </c>
      <c r="E5" s="1073"/>
      <c r="F5" s="1074"/>
      <c r="G5" s="1075" t="s">
        <v>727</v>
      </c>
      <c r="H5" s="515"/>
      <c r="I5" s="515"/>
      <c r="J5" s="515"/>
      <c r="K5" s="1077" t="s">
        <v>808</v>
      </c>
      <c r="L5" s="515"/>
      <c r="M5" s="515"/>
      <c r="N5" s="515"/>
    </row>
    <row r="6" spans="1:16" ht="15">
      <c r="A6" s="641"/>
      <c r="B6" s="642"/>
      <c r="C6" s="642"/>
      <c r="D6" s="643" t="s">
        <v>93</v>
      </c>
      <c r="E6" s="643" t="s">
        <v>2</v>
      </c>
      <c r="F6" s="644" t="s">
        <v>115</v>
      </c>
      <c r="G6" s="643" t="s">
        <v>19</v>
      </c>
      <c r="H6" s="643" t="s">
        <v>20</v>
      </c>
      <c r="I6" s="643" t="s">
        <v>116</v>
      </c>
      <c r="J6" s="643" t="s">
        <v>18</v>
      </c>
      <c r="K6" s="643" t="s">
        <v>19</v>
      </c>
      <c r="L6" s="643" t="s">
        <v>20</v>
      </c>
      <c r="M6" s="644" t="s">
        <v>117</v>
      </c>
      <c r="N6" s="645" t="s">
        <v>118</v>
      </c>
      <c r="O6" s="646" t="s">
        <v>2</v>
      </c>
    </row>
    <row r="7" spans="1:16" ht="15">
      <c r="A7" s="647"/>
      <c r="B7" s="648" t="s">
        <v>718</v>
      </c>
      <c r="C7" s="649"/>
      <c r="D7" s="648" t="s">
        <v>28</v>
      </c>
      <c r="E7" s="648"/>
      <c r="F7" s="650" t="s">
        <v>2</v>
      </c>
      <c r="G7" s="648" t="s">
        <v>3</v>
      </c>
      <c r="H7" s="648" t="s">
        <v>3</v>
      </c>
      <c r="I7" s="648" t="s">
        <v>712</v>
      </c>
      <c r="J7" s="648" t="s">
        <v>16</v>
      </c>
      <c r="K7" s="648" t="s">
        <v>24</v>
      </c>
      <c r="L7" s="650" t="s">
        <v>24</v>
      </c>
      <c r="M7" s="648" t="s">
        <v>18</v>
      </c>
      <c r="N7" s="651" t="s">
        <v>117</v>
      </c>
      <c r="O7" s="652" t="s">
        <v>37</v>
      </c>
    </row>
    <row r="8" spans="1:16" ht="15">
      <c r="A8" s="647"/>
      <c r="B8" s="648" t="s">
        <v>7</v>
      </c>
      <c r="C8" s="649"/>
      <c r="D8" s="648" t="s">
        <v>119</v>
      </c>
      <c r="E8" s="648" t="s">
        <v>31</v>
      </c>
      <c r="F8" s="650" t="s">
        <v>32</v>
      </c>
      <c r="G8" s="648" t="s">
        <v>120</v>
      </c>
      <c r="H8" s="650" t="s">
        <v>719</v>
      </c>
      <c r="I8" s="648" t="s">
        <v>33</v>
      </c>
      <c r="J8" s="648" t="s">
        <v>122</v>
      </c>
      <c r="K8" s="648" t="s">
        <v>720</v>
      </c>
      <c r="L8" s="650" t="s">
        <v>721</v>
      </c>
      <c r="M8" s="648" t="s">
        <v>94</v>
      </c>
      <c r="N8" s="651" t="s">
        <v>125</v>
      </c>
      <c r="O8" s="652" t="s">
        <v>35</v>
      </c>
    </row>
    <row r="9" spans="1:16" ht="15">
      <c r="A9" s="653"/>
      <c r="B9" s="654"/>
      <c r="C9" s="654"/>
      <c r="D9" s="655"/>
      <c r="E9" s="655"/>
      <c r="F9" s="656"/>
      <c r="G9" s="1076" t="s">
        <v>913</v>
      </c>
      <c r="H9" s="656" t="s">
        <v>722</v>
      </c>
      <c r="I9" s="655"/>
      <c r="J9" s="655"/>
      <c r="K9" s="655" t="s">
        <v>723</v>
      </c>
      <c r="L9" s="657" t="s">
        <v>724</v>
      </c>
      <c r="M9" s="655"/>
      <c r="N9" s="658"/>
      <c r="O9" s="659"/>
    </row>
    <row r="10" spans="1:16" ht="15" outlineLevel="1">
      <c r="A10" s="647"/>
      <c r="B10" s="660"/>
      <c r="C10" s="661"/>
      <c r="D10" s="648"/>
      <c r="E10" s="662"/>
      <c r="F10" s="663"/>
      <c r="G10" s="648"/>
      <c r="H10" s="648"/>
      <c r="I10" s="662"/>
      <c r="J10" s="662"/>
      <c r="K10" s="664"/>
      <c r="L10" s="664"/>
      <c r="M10" s="664"/>
      <c r="N10" s="665"/>
      <c r="O10" s="666"/>
    </row>
    <row r="11" spans="1:16" ht="15" outlineLevel="1">
      <c r="A11" s="647"/>
      <c r="B11" s="667" t="s">
        <v>5</v>
      </c>
      <c r="C11" s="667"/>
      <c r="D11" s="668"/>
      <c r="E11" s="662">
        <f>E10+D11</f>
        <v>0</v>
      </c>
      <c r="F11" s="670"/>
      <c r="G11" s="662"/>
      <c r="H11" s="662"/>
      <c r="I11" s="662"/>
      <c r="J11" s="662"/>
      <c r="K11" s="670">
        <f>(-D11*0.35)+(G11*0.35)</f>
        <v>0</v>
      </c>
      <c r="L11" s="670">
        <f t="shared" ref="L11:L74" si="0">L10+K11</f>
        <v>0</v>
      </c>
      <c r="M11" s="670"/>
      <c r="N11" s="665"/>
      <c r="O11" s="671">
        <f>+E11+H11+L11</f>
        <v>0</v>
      </c>
    </row>
    <row r="12" spans="1:16" ht="15" outlineLevel="1">
      <c r="A12" s="647"/>
      <c r="B12" s="667">
        <v>41394</v>
      </c>
      <c r="C12" s="667"/>
      <c r="D12" s="637">
        <v>771004.6448886086</v>
      </c>
      <c r="E12" s="637">
        <f>E11+D12</f>
        <v>771004.6448886086</v>
      </c>
      <c r="F12" s="670">
        <f>($E$12+E12+SUM($E11:E$13)*2)/24</f>
        <v>331469.5190470994</v>
      </c>
      <c r="G12" s="662"/>
      <c r="H12" s="662"/>
      <c r="I12" s="662"/>
      <c r="J12" s="670">
        <f>($E$12+I12+SUM($E11:I$13)*2)/24</f>
        <v>360369.17692729668</v>
      </c>
      <c r="K12" s="670">
        <f t="shared" ref="K12:K68" si="1">(-D12*0.35)+(G12*0.35)</f>
        <v>-269851.62571101298</v>
      </c>
      <c r="L12" s="670">
        <f t="shared" si="0"/>
        <v>-269851.62571101298</v>
      </c>
      <c r="M12" s="670">
        <f>($E$12+L12+SUM($E11:L$13)*2)/24</f>
        <v>244621.13177200439</v>
      </c>
      <c r="N12" s="672">
        <f t="shared" ref="N12:N18" si="2">M12+J12</f>
        <v>604990.30869930109</v>
      </c>
      <c r="O12" s="671">
        <f>+E12+H12+L12</f>
        <v>501153.01917759562</v>
      </c>
    </row>
    <row r="13" spans="1:16" ht="15" outlineLevel="1">
      <c r="A13" s="647"/>
      <c r="B13" s="667">
        <v>41425</v>
      </c>
      <c r="C13" s="667"/>
      <c r="D13" s="637">
        <v>1664620.2938993666</v>
      </c>
      <c r="E13" s="637">
        <f>E12+D13</f>
        <v>2435624.9387879753</v>
      </c>
      <c r="F13" s="670">
        <f>($E$12+E13+SUM($E12:E$13)*2)/24</f>
        <v>400828.69795957301</v>
      </c>
      <c r="G13" s="662"/>
      <c r="H13" s="662"/>
      <c r="I13" s="662"/>
      <c r="J13" s="670">
        <f>($E$12+I13+SUM($E12:I$13)*2)/24</f>
        <v>360369.17692729668</v>
      </c>
      <c r="K13" s="670">
        <f t="shared" si="1"/>
        <v>-582617.10286477825</v>
      </c>
      <c r="L13" s="670">
        <f t="shared" si="0"/>
        <v>-852468.72857579123</v>
      </c>
      <c r="M13" s="670">
        <f>($E$12+L13+SUM($E12:L$13)*2)/24</f>
        <v>220345.41915263861</v>
      </c>
      <c r="N13" s="672">
        <f t="shared" si="2"/>
        <v>580714.59607993532</v>
      </c>
      <c r="O13" s="671">
        <f t="shared" ref="O13:O76" si="3">+E13+H13+L13</f>
        <v>1583156.2102121841</v>
      </c>
      <c r="P13" s="555"/>
    </row>
    <row r="14" spans="1:16" ht="15" outlineLevel="1">
      <c r="A14" s="647"/>
      <c r="B14" s="667">
        <v>41455</v>
      </c>
      <c r="C14" s="667"/>
      <c r="D14" s="637">
        <v>1721683.5112911761</v>
      </c>
      <c r="E14" s="637">
        <f t="shared" ref="E14:E77" si="4">E13+D14</f>
        <v>4157308.4500791514</v>
      </c>
      <c r="F14" s="670">
        <f>($E$12+E14+SUM($E$13:E13)*2)/24</f>
        <v>408315.12385598797</v>
      </c>
      <c r="G14" s="637"/>
      <c r="H14" s="670"/>
      <c r="I14" s="662"/>
      <c r="J14" s="670">
        <f>($E$12+I14+SUM($E$13:I13)*2)/24</f>
        <v>268496.32993265439</v>
      </c>
      <c r="K14" s="670">
        <f t="shared" si="1"/>
        <v>-602589.22895191156</v>
      </c>
      <c r="L14" s="670">
        <f t="shared" si="0"/>
        <v>-1455057.9575277027</v>
      </c>
      <c r="M14" s="670">
        <f>($E$12+L14+SUM($E$13:L13)*2)/24</f>
        <v>118309.19382622738</v>
      </c>
      <c r="N14" s="672">
        <f t="shared" si="2"/>
        <v>386805.52375888178</v>
      </c>
      <c r="O14" s="671">
        <f t="shared" si="3"/>
        <v>2702250.4925514488</v>
      </c>
      <c r="P14" s="555"/>
    </row>
    <row r="15" spans="1:16" ht="15" outlineLevel="1">
      <c r="A15" s="647"/>
      <c r="B15" s="667">
        <v>41486</v>
      </c>
      <c r="C15" s="673"/>
      <c r="D15" s="637">
        <v>822367.28247177368</v>
      </c>
      <c r="E15" s="637">
        <f t="shared" si="4"/>
        <v>4979675.7325509246</v>
      </c>
      <c r="F15" s="670">
        <f>($E$12+E15+SUM($E$13:E14)*2)/24</f>
        <v>789022.79813224112</v>
      </c>
      <c r="G15" s="637"/>
      <c r="H15" s="670"/>
      <c r="I15" s="662"/>
      <c r="J15" s="670">
        <f>($E$12+I15+SUM($E$13:I14)*2)/24</f>
        <v>648964.96109391598</v>
      </c>
      <c r="K15" s="670">
        <f t="shared" si="1"/>
        <v>-287828.54886512074</v>
      </c>
      <c r="L15" s="670">
        <f t="shared" si="0"/>
        <v>-1742886.5063928235</v>
      </c>
      <c r="M15" s="670">
        <f>($E$12+L15+SUM($E$13:L14)*2)/24</f>
        <v>337689.06407252897</v>
      </c>
      <c r="N15" s="672">
        <f t="shared" si="2"/>
        <v>986654.02516644495</v>
      </c>
      <c r="O15" s="671">
        <f t="shared" si="3"/>
        <v>3236789.2261581011</v>
      </c>
      <c r="P15" s="555"/>
    </row>
    <row r="16" spans="1:16" ht="15" outlineLevel="1">
      <c r="A16" s="647"/>
      <c r="B16" s="667">
        <v>41517</v>
      </c>
      <c r="C16" s="667"/>
      <c r="D16" s="637">
        <v>1668009.3420199833</v>
      </c>
      <c r="E16" s="637">
        <f t="shared" si="4"/>
        <v>6647685.0745709082</v>
      </c>
      <c r="F16" s="670">
        <f>($E$12+E16+SUM($E$13:E15)*2)/24</f>
        <v>1273496.1650956508</v>
      </c>
      <c r="G16" s="637"/>
      <c r="H16" s="670"/>
      <c r="I16" s="670"/>
      <c r="J16" s="670">
        <f>($E$12+I16+SUM($E$13:I15)*2)/24</f>
        <v>1129689.8386508466</v>
      </c>
      <c r="K16" s="670">
        <f>(-D16*0.35)+(G16*0.35)</f>
        <v>-583803.26970699418</v>
      </c>
      <c r="L16" s="670">
        <f t="shared" si="0"/>
        <v>-2326689.7760998178</v>
      </c>
      <c r="M16" s="670">
        <f>($E$12+L16+SUM($E$13:L15)*2)/24</f>
        <v>678942.96421133215</v>
      </c>
      <c r="N16" s="672">
        <f t="shared" si="2"/>
        <v>1808632.8028621788</v>
      </c>
      <c r="O16" s="671">
        <f t="shared" si="3"/>
        <v>4320995.2984710904</v>
      </c>
      <c r="P16" s="555"/>
    </row>
    <row r="17" spans="1:17" ht="15" outlineLevel="1">
      <c r="A17" s="647"/>
      <c r="B17" s="667">
        <v>41547</v>
      </c>
      <c r="C17" s="667"/>
      <c r="D17" s="637">
        <v>2778035.3910547914</v>
      </c>
      <c r="E17" s="637">
        <f t="shared" si="4"/>
        <v>9425720.4656256996</v>
      </c>
      <c r="F17" s="670">
        <f>($E$12+E17+SUM($E$13:E16)*2)/24</f>
        <v>1943221.3959371762</v>
      </c>
      <c r="G17" s="637"/>
      <c r="H17" s="670"/>
      <c r="I17" s="670"/>
      <c r="J17" s="670">
        <f>($E$12+I17+SUM($E$13:I16)*2)/24</f>
        <v>1789788.2752897264</v>
      </c>
      <c r="K17" s="670">
        <f t="shared" si="1"/>
        <v>-972312.38686917687</v>
      </c>
      <c r="L17" s="670">
        <f t="shared" si="0"/>
        <v>-3299002.1629689946</v>
      </c>
      <c r="M17" s="670">
        <f>($E$12+L17+SUM($E$13:L16)*2)/24</f>
        <v>1150128.1174676658</v>
      </c>
      <c r="N17" s="672">
        <f t="shared" si="2"/>
        <v>2939916.3927573925</v>
      </c>
      <c r="O17" s="671">
        <f t="shared" si="3"/>
        <v>6126718.3026567046</v>
      </c>
      <c r="P17" s="682"/>
    </row>
    <row r="18" spans="1:17" ht="15" outlineLevel="1">
      <c r="A18" s="647"/>
      <c r="B18" s="667">
        <v>41578</v>
      </c>
      <c r="C18" s="667"/>
      <c r="D18" s="637">
        <v>3010586.4047993221</v>
      </c>
      <c r="E18" s="637">
        <f t="shared" si="4"/>
        <v>12436306.870425021</v>
      </c>
      <c r="F18" s="670">
        <f>($E$12+E18+SUM($E$13:E17)*2)/24</f>
        <v>2854139.2016059565</v>
      </c>
      <c r="G18" s="637"/>
      <c r="H18" s="670"/>
      <c r="I18" s="670"/>
      <c r="J18" s="670">
        <f>($E$12+I18+SUM($E$13:I17)*2)/24</f>
        <v>2737200.0970866326</v>
      </c>
      <c r="K18" s="670">
        <f t="shared" si="1"/>
        <v>-1053705.2416797627</v>
      </c>
      <c r="L18" s="670">
        <f t="shared" si="0"/>
        <v>-4352707.4046487575</v>
      </c>
      <c r="M18" s="670">
        <f>($E$12+L18+SUM($E$13:L17)*2)/24</f>
        <v>1846841.6979822114</v>
      </c>
      <c r="N18" s="672">
        <f t="shared" si="2"/>
        <v>4584041.7950688442</v>
      </c>
      <c r="O18" s="671">
        <f t="shared" si="3"/>
        <v>8083599.4657762637</v>
      </c>
      <c r="P18" s="682"/>
    </row>
    <row r="19" spans="1:17" ht="15" outlineLevel="1">
      <c r="A19" s="647"/>
      <c r="B19" s="667">
        <v>41608</v>
      </c>
      <c r="C19" s="667"/>
      <c r="D19" s="637"/>
      <c r="E19" s="637">
        <f t="shared" si="4"/>
        <v>12436306.870425021</v>
      </c>
      <c r="F19" s="670">
        <f>($E$12+E19+SUM($E$13:E18)*2)/24</f>
        <v>3890498.1074747075</v>
      </c>
      <c r="G19" s="637">
        <v>172726.47</v>
      </c>
      <c r="H19" s="637">
        <f>H18-G19</f>
        <v>-172726.47</v>
      </c>
      <c r="I19" s="637">
        <f>(H10+H19+SUM(H11:H18)*2)/24</f>
        <v>-7196.9362499999997</v>
      </c>
      <c r="J19" s="637">
        <f>F19+I19</f>
        <v>3883301.1712247077</v>
      </c>
      <c r="K19" s="637">
        <f t="shared" si="1"/>
        <v>60454.264499999997</v>
      </c>
      <c r="L19" s="670">
        <f>L18+K19</f>
        <v>-4292253.140148758</v>
      </c>
      <c r="M19" s="670">
        <f>(L12+L19+SUM(L13:L18)*2)/24</f>
        <v>-1359155.4099286476</v>
      </c>
      <c r="N19" s="672">
        <f>M19+J19</f>
        <v>2524145.7612960599</v>
      </c>
      <c r="O19" s="671">
        <f>+E19+H19+L19</f>
        <v>7971327.2602762626</v>
      </c>
      <c r="P19" s="682"/>
    </row>
    <row r="20" spans="1:17" ht="15" outlineLevel="1">
      <c r="A20" s="647"/>
      <c r="B20" s="667">
        <v>41639</v>
      </c>
      <c r="C20" s="667"/>
      <c r="D20" s="637"/>
      <c r="E20" s="637">
        <f t="shared" si="4"/>
        <v>12436306.870425021</v>
      </c>
      <c r="F20" s="670">
        <f>(E10+E20+SUM(E11:E19)*2)/24</f>
        <v>4958982.2068804847</v>
      </c>
      <c r="G20" s="637">
        <v>149590</v>
      </c>
      <c r="H20" s="637">
        <f t="shared" ref="H20:H82" si="5">H19-G20</f>
        <v>-322316.46999999997</v>
      </c>
      <c r="I20" s="637">
        <f>(H10+H20+SUM(H11:H19)*2)/24</f>
        <v>-27823.725416666664</v>
      </c>
      <c r="J20" s="637">
        <f>F20+I20</f>
        <v>4931158.4814638179</v>
      </c>
      <c r="K20" s="637">
        <f t="shared" si="1"/>
        <v>52356.5</v>
      </c>
      <c r="L20" s="670">
        <f t="shared" si="0"/>
        <v>-4239896.640148758</v>
      </c>
      <c r="M20" s="670">
        <f>(L10+L20+SUM(L11:L19)*2)/24</f>
        <v>-1725905.4685123367</v>
      </c>
      <c r="N20" s="672">
        <f>M20+J20</f>
        <v>3205253.0129514812</v>
      </c>
      <c r="O20" s="671">
        <f t="shared" si="3"/>
        <v>7874093.7602762626</v>
      </c>
      <c r="P20" s="682"/>
    </row>
    <row r="21" spans="1:17" ht="15" outlineLevel="1">
      <c r="A21" s="647"/>
      <c r="B21" s="667">
        <v>41670</v>
      </c>
      <c r="C21" s="667"/>
      <c r="D21" s="637"/>
      <c r="E21" s="637">
        <f t="shared" si="4"/>
        <v>12436306.870425021</v>
      </c>
      <c r="F21" s="670">
        <f>(E9+E21+SUM(E10:E20)*2)/24</f>
        <v>5995341.1127492376</v>
      </c>
      <c r="G21" s="637">
        <f>160011.952852139-2291</f>
        <v>157720.95285213899</v>
      </c>
      <c r="H21" s="637">
        <f t="shared" si="5"/>
        <v>-480037.42285213899</v>
      </c>
      <c r="I21" s="637">
        <f>(H10+H21+SUM(H11:H20)*2)/24</f>
        <v>-61255.137618839122</v>
      </c>
      <c r="J21" s="637">
        <f>F21+I21</f>
        <v>5934085.9751303988</v>
      </c>
      <c r="K21" s="637">
        <f t="shared" si="1"/>
        <v>55202.333498248641</v>
      </c>
      <c r="L21" s="670">
        <f t="shared" si="0"/>
        <v>-4184694.3066505091</v>
      </c>
      <c r="M21" s="670">
        <f>(L12+L21+SUM(L13:L20)*2)/24</f>
        <v>-2065686.2735576804</v>
      </c>
      <c r="N21" s="672">
        <f>M21+J21</f>
        <v>3868399.7015727181</v>
      </c>
      <c r="O21" s="671">
        <f t="shared" si="3"/>
        <v>7771575.1409223741</v>
      </c>
      <c r="P21" s="682"/>
    </row>
    <row r="22" spans="1:17" ht="15" outlineLevel="1">
      <c r="A22" s="647"/>
      <c r="B22" s="667">
        <v>41698</v>
      </c>
      <c r="C22" s="667"/>
      <c r="D22" s="637"/>
      <c r="E22" s="637">
        <f t="shared" si="4"/>
        <v>12436306.870425021</v>
      </c>
      <c r="F22" s="670">
        <f>(E10+E22+SUM(E11:E21)*2)/24</f>
        <v>7031700.0186179886</v>
      </c>
      <c r="G22" s="637">
        <v>160011.95285213852</v>
      </c>
      <c r="H22" s="637">
        <f>H21-G22</f>
        <v>-640049.37570427754</v>
      </c>
      <c r="I22" s="637">
        <f>(H10+H22+SUM(H11:H21)*2)/24</f>
        <v>-107925.42089202313</v>
      </c>
      <c r="J22" s="637">
        <f>F22+I22</f>
        <v>6923774.5977259651</v>
      </c>
      <c r="K22" s="637">
        <f t="shared" si="1"/>
        <v>56004.18349824848</v>
      </c>
      <c r="L22" s="670">
        <f t="shared" si="0"/>
        <v>-4128690.1231522607</v>
      </c>
      <c r="M22" s="670">
        <f>(L10+L22+SUM(L11:L21)*2)/24</f>
        <v>-2423321.1092040883</v>
      </c>
      <c r="N22" s="672">
        <f>M22+J22</f>
        <v>4500453.4885218767</v>
      </c>
      <c r="O22" s="671">
        <f t="shared" si="3"/>
        <v>7667567.3715684833</v>
      </c>
      <c r="P22" s="682"/>
    </row>
    <row r="23" spans="1:17" ht="15" outlineLevel="1">
      <c r="A23" s="647"/>
      <c r="B23" s="667">
        <v>41729</v>
      </c>
      <c r="C23" s="667"/>
      <c r="D23" s="637"/>
      <c r="E23" s="637">
        <f t="shared" si="4"/>
        <v>12436306.870425021</v>
      </c>
      <c r="F23" s="670">
        <f>(E11+E23+SUM(E12:E22)*2)/24</f>
        <v>8068058.9244867405</v>
      </c>
      <c r="G23" s="637">
        <v>160011.95285213852</v>
      </c>
      <c r="H23" s="637">
        <f t="shared" si="5"/>
        <v>-800061.32855641609</v>
      </c>
      <c r="I23" s="637">
        <f t="shared" ref="I23:I28" si="6">(H11+H23+SUM(H12:H22)*2)/24</f>
        <v>-167930.03356955203</v>
      </c>
      <c r="J23" s="637">
        <f t="shared" ref="J23:J84" si="7">F23+I23</f>
        <v>7900128.8909171885</v>
      </c>
      <c r="K23" s="637">
        <f t="shared" si="1"/>
        <v>56004.18349824848</v>
      </c>
      <c r="L23" s="670">
        <f t="shared" si="0"/>
        <v>-4072685.9396540122</v>
      </c>
      <c r="M23" s="670">
        <f t="shared" ref="M23:M36" si="8">(L11+L23+SUM(L12:L22)*2)/24</f>
        <v>-2765045.1118210163</v>
      </c>
      <c r="N23" s="672">
        <f t="shared" ref="N23:N36" si="9">M23+J23</f>
        <v>5135083.7790961722</v>
      </c>
      <c r="O23" s="671">
        <f t="shared" si="3"/>
        <v>7563559.6022145925</v>
      </c>
      <c r="P23" s="682"/>
    </row>
    <row r="24" spans="1:17" ht="15" outlineLevel="1">
      <c r="A24" s="647"/>
      <c r="B24" s="667">
        <v>41759</v>
      </c>
      <c r="C24" s="667"/>
      <c r="D24" s="637"/>
      <c r="E24" s="637">
        <f t="shared" si="4"/>
        <v>12436306.870425021</v>
      </c>
      <c r="F24" s="670">
        <f>(E12+E24+SUM(E13:E23)*2)/24</f>
        <v>9072292.6368184667</v>
      </c>
      <c r="G24" s="637">
        <v>160011.95285213852</v>
      </c>
      <c r="H24" s="637">
        <f t="shared" si="5"/>
        <v>-960073.28140855464</v>
      </c>
      <c r="I24" s="637">
        <f t="shared" si="6"/>
        <v>-241268.9756514258</v>
      </c>
      <c r="J24" s="637">
        <f t="shared" si="7"/>
        <v>8831023.6611670405</v>
      </c>
      <c r="K24" s="637">
        <f t="shared" si="1"/>
        <v>56004.18349824848</v>
      </c>
      <c r="L24" s="670">
        <f t="shared" si="0"/>
        <v>-4016681.7561557638</v>
      </c>
      <c r="M24" s="670">
        <f t="shared" si="8"/>
        <v>-3090858.2814084645</v>
      </c>
      <c r="N24" s="672">
        <f t="shared" si="9"/>
        <v>5740165.3797585759</v>
      </c>
      <c r="O24" s="671">
        <f t="shared" si="3"/>
        <v>7459551.8328607036</v>
      </c>
      <c r="P24" s="682"/>
    </row>
    <row r="25" spans="1:17" ht="15" outlineLevel="1">
      <c r="A25" s="647"/>
      <c r="B25" s="667">
        <v>41790</v>
      </c>
      <c r="C25" s="667"/>
      <c r="D25" s="637"/>
      <c r="E25" s="637">
        <f t="shared" si="4"/>
        <v>12436306.870425021</v>
      </c>
      <c r="F25" s="670">
        <f>(E13+E25+SUM(E14:E24)*2)/24</f>
        <v>9975041.9767006934</v>
      </c>
      <c r="G25" s="637">
        <v>160011.95285213852</v>
      </c>
      <c r="H25" s="637">
        <f t="shared" si="5"/>
        <v>-1120085.2342606932</v>
      </c>
      <c r="I25" s="637">
        <f t="shared" si="6"/>
        <v>-327942.2471376445</v>
      </c>
      <c r="J25" s="637">
        <f t="shared" si="7"/>
        <v>9647099.7295630481</v>
      </c>
      <c r="K25" s="637">
        <f t="shared" si="1"/>
        <v>56004.18349824848</v>
      </c>
      <c r="L25" s="670">
        <f t="shared" si="0"/>
        <v>-3960677.5726575153</v>
      </c>
      <c r="M25" s="670">
        <f t="shared" si="8"/>
        <v>-3376484.9053470679</v>
      </c>
      <c r="N25" s="672">
        <f t="shared" si="9"/>
        <v>6270614.8242159802</v>
      </c>
      <c r="O25" s="694">
        <f t="shared" si="3"/>
        <v>7355544.0635068128</v>
      </c>
      <c r="P25" s="682"/>
      <c r="Q25" s="833"/>
    </row>
    <row r="26" spans="1:17" ht="15" outlineLevel="1">
      <c r="A26" s="647"/>
      <c r="B26" s="667">
        <v>41820</v>
      </c>
      <c r="C26" s="667"/>
      <c r="D26" s="637"/>
      <c r="E26" s="637">
        <f>E25+D26</f>
        <v>12436306.870425021</v>
      </c>
      <c r="F26" s="670">
        <f t="shared" ref="F26:F36" si="10">(E14+E26+SUM(E15:E25)*2)/24</f>
        <v>10736695.324699981</v>
      </c>
      <c r="G26" s="637">
        <v>160011.95285213852</v>
      </c>
      <c r="H26" s="637">
        <f t="shared" si="5"/>
        <v>-1280097.1871128317</v>
      </c>
      <c r="I26" s="637">
        <f t="shared" si="6"/>
        <v>-427949.84802820807</v>
      </c>
      <c r="J26" s="637">
        <f t="shared" si="7"/>
        <v>10308745.476671774</v>
      </c>
      <c r="K26" s="637">
        <f>(-D26*0.35)+(G26*0.35)</f>
        <v>56004.18349824848</v>
      </c>
      <c r="L26" s="670">
        <f t="shared" si="0"/>
        <v>-3904673.3891592668</v>
      </c>
      <c r="M26" s="670">
        <f t="shared" si="8"/>
        <v>-3608060.9168351218</v>
      </c>
      <c r="N26" s="672">
        <f t="shared" si="9"/>
        <v>6700684.5598366521</v>
      </c>
      <c r="O26" s="671">
        <f t="shared" si="3"/>
        <v>7251536.294152922</v>
      </c>
      <c r="P26" s="682"/>
    </row>
    <row r="27" spans="1:17" ht="15" outlineLevel="1">
      <c r="A27" s="647"/>
      <c r="B27" s="667">
        <v>41851</v>
      </c>
      <c r="C27" s="667"/>
      <c r="D27" s="637"/>
      <c r="E27" s="637">
        <f t="shared" si="4"/>
        <v>12436306.870425021</v>
      </c>
      <c r="F27" s="670">
        <f>(E15+E27+SUM(E16:E26)*2)/24</f>
        <v>11392346.55629248</v>
      </c>
      <c r="G27" s="637">
        <v>160011.95285213852</v>
      </c>
      <c r="H27" s="637">
        <f t="shared" si="5"/>
        <v>-1440109.1399649703</v>
      </c>
      <c r="I27" s="637">
        <f t="shared" si="6"/>
        <v>-541291.77832311636</v>
      </c>
      <c r="J27" s="637">
        <f t="shared" si="7"/>
        <v>10851054.777969364</v>
      </c>
      <c r="K27" s="637">
        <f>(-D27*0.35)+(G27*0.35)</f>
        <v>56004.18349824848</v>
      </c>
      <c r="L27" s="670">
        <f t="shared" si="0"/>
        <v>-3848669.2056610184</v>
      </c>
      <c r="M27" s="670">
        <f>(L15+L27+SUM(L16:L26)*2)/24</f>
        <v>-3797869.1722892784</v>
      </c>
      <c r="N27" s="672">
        <f>M27+J27</f>
        <v>7053185.6056800857</v>
      </c>
      <c r="O27" s="671">
        <f t="shared" si="3"/>
        <v>7147528.5247990331</v>
      </c>
      <c r="P27" s="682"/>
    </row>
    <row r="28" spans="1:17" ht="15" outlineLevel="1">
      <c r="A28" s="647"/>
      <c r="B28" s="667">
        <v>41882</v>
      </c>
      <c r="C28" s="667"/>
      <c r="D28" s="637"/>
      <c r="E28" s="637">
        <f t="shared" si="4"/>
        <v>12436306.870425021</v>
      </c>
      <c r="F28" s="670">
        <f>(E16+E28+SUM(E17:E27)*2)/24</f>
        <v>11944232.095197821</v>
      </c>
      <c r="G28" s="670">
        <v>160011.95285213852</v>
      </c>
      <c r="H28" s="637">
        <f t="shared" si="5"/>
        <v>-1600121.0928171088</v>
      </c>
      <c r="I28" s="637">
        <f t="shared" si="6"/>
        <v>-667968.03802236973</v>
      </c>
      <c r="J28" s="637">
        <f t="shared" si="7"/>
        <v>11276264.057175452</v>
      </c>
      <c r="K28" s="637">
        <f>(-D28*0.35)+(G28*0.35)</f>
        <v>56004.18349824848</v>
      </c>
      <c r="L28" s="670">
        <f t="shared" si="0"/>
        <v>-3792665.0221627699</v>
      </c>
      <c r="M28" s="670">
        <f t="shared" si="8"/>
        <v>-3946692.4200114091</v>
      </c>
      <c r="N28" s="672">
        <f t="shared" si="9"/>
        <v>7329571.6371640433</v>
      </c>
      <c r="O28" s="671">
        <f t="shared" si="3"/>
        <v>7043520.7554451423</v>
      </c>
      <c r="P28" s="682"/>
    </row>
    <row r="29" spans="1:17" ht="15" outlineLevel="1">
      <c r="A29" s="647"/>
      <c r="B29" s="667">
        <v>41912</v>
      </c>
      <c r="C29" s="667"/>
      <c r="D29" s="637"/>
      <c r="E29" s="637">
        <f t="shared" si="4"/>
        <v>12436306.870425021</v>
      </c>
      <c r="F29" s="670">
        <f t="shared" si="10"/>
        <v>12310865.770225048</v>
      </c>
      <c r="G29" s="637">
        <v>160011.95285213852</v>
      </c>
      <c r="H29" s="637">
        <f t="shared" si="5"/>
        <v>-1760133.0456692474</v>
      </c>
      <c r="I29" s="637">
        <f t="shared" ref="I29:I36" si="11">(H17+H29+SUM(H18:H28)*2)/24</f>
        <v>-807978.62712596788</v>
      </c>
      <c r="J29" s="637">
        <f t="shared" si="7"/>
        <v>11502887.143099081</v>
      </c>
      <c r="K29" s="637">
        <f t="shared" si="1"/>
        <v>56004.18349824848</v>
      </c>
      <c r="L29" s="670">
        <f t="shared" si="0"/>
        <v>-3736660.8386645215</v>
      </c>
      <c r="M29" s="670">
        <f t="shared" si="8"/>
        <v>-4026010.5000846791</v>
      </c>
      <c r="N29" s="672">
        <f t="shared" si="9"/>
        <v>7476876.6430144012</v>
      </c>
      <c r="O29" s="694">
        <f t="shared" si="3"/>
        <v>6939512.9860912515</v>
      </c>
      <c r="P29" s="682"/>
      <c r="Q29" s="833"/>
    </row>
    <row r="30" spans="1:17" ht="15" outlineLevel="1">
      <c r="A30" s="647"/>
      <c r="B30" s="667">
        <v>41943</v>
      </c>
      <c r="C30" s="667"/>
      <c r="D30" s="637"/>
      <c r="E30" s="637">
        <f t="shared" si="4"/>
        <v>12436306.870425021</v>
      </c>
      <c r="F30" s="670">
        <f t="shared" si="10"/>
        <v>12436306.870425018</v>
      </c>
      <c r="G30" s="637">
        <v>160011.95285213852</v>
      </c>
      <c r="H30" s="637">
        <f t="shared" si="5"/>
        <v>-1920144.9985213859</v>
      </c>
      <c r="I30" s="637">
        <f t="shared" si="11"/>
        <v>-961323.54563391116</v>
      </c>
      <c r="J30" s="637">
        <f t="shared" si="7"/>
        <v>11474983.324791107</v>
      </c>
      <c r="K30" s="637">
        <f t="shared" si="1"/>
        <v>56004.18349824848</v>
      </c>
      <c r="L30" s="670">
        <f t="shared" si="0"/>
        <v>-3680656.655166273</v>
      </c>
      <c r="M30" s="670">
        <f t="shared" si="8"/>
        <v>-4016244.1636768896</v>
      </c>
      <c r="N30" s="672">
        <f t="shared" si="9"/>
        <v>7458739.1611142177</v>
      </c>
      <c r="O30" s="694">
        <f t="shared" si="3"/>
        <v>6835505.2167373626</v>
      </c>
      <c r="P30" s="682"/>
      <c r="Q30" s="833"/>
    </row>
    <row r="31" spans="1:17" s="833" customFormat="1" ht="15" outlineLevel="1">
      <c r="A31" s="647"/>
      <c r="B31" s="667">
        <v>41973</v>
      </c>
      <c r="C31" s="667"/>
      <c r="D31" s="637"/>
      <c r="E31" s="637">
        <f t="shared" si="4"/>
        <v>12436306.870425021</v>
      </c>
      <c r="F31" s="670">
        <f t="shared" si="10"/>
        <v>12436306.870425018</v>
      </c>
      <c r="G31" s="637">
        <v>160011.95285213852</v>
      </c>
      <c r="H31" s="670">
        <f t="shared" si="5"/>
        <v>-2080156.9513735245</v>
      </c>
      <c r="I31" s="670">
        <f t="shared" si="11"/>
        <v>-1120805.8572961988</v>
      </c>
      <c r="J31" s="670">
        <f t="shared" si="7"/>
        <v>11315501.013128819</v>
      </c>
      <c r="K31" s="670">
        <f t="shared" si="1"/>
        <v>56004.18349824848</v>
      </c>
      <c r="L31" s="670">
        <f t="shared" si="0"/>
        <v>-3624652.4716680245</v>
      </c>
      <c r="M31" s="670">
        <f t="shared" si="8"/>
        <v>-3960425.3545950879</v>
      </c>
      <c r="N31" s="672">
        <f t="shared" si="9"/>
        <v>7355075.6585337315</v>
      </c>
      <c r="O31" s="694">
        <f t="shared" si="3"/>
        <v>6731497.4473834718</v>
      </c>
      <c r="P31" s="682"/>
    </row>
    <row r="32" spans="1:17" ht="15" outlineLevel="1">
      <c r="A32" s="647"/>
      <c r="B32" s="667">
        <v>42004</v>
      </c>
      <c r="C32" s="667"/>
      <c r="D32" s="637"/>
      <c r="E32" s="637">
        <f t="shared" si="4"/>
        <v>12436306.870425021</v>
      </c>
      <c r="F32" s="670">
        <f t="shared" si="10"/>
        <v>12436306.870425018</v>
      </c>
      <c r="G32" s="637">
        <f>(E31+H31)/47</f>
        <v>220343.61529896801</v>
      </c>
      <c r="H32" s="670">
        <f t="shared" si="5"/>
        <v>-2300500.5666724923</v>
      </c>
      <c r="I32" s="670">
        <f>(H20+H32+SUM(H21:H31)*2)/24</f>
        <v>-1282706.464714783</v>
      </c>
      <c r="J32" s="670">
        <f t="shared" si="7"/>
        <v>11153600.405710235</v>
      </c>
      <c r="K32" s="670">
        <f t="shared" si="1"/>
        <v>77120.265354638803</v>
      </c>
      <c r="L32" s="670">
        <f t="shared" si="0"/>
        <v>-3547532.2063133856</v>
      </c>
      <c r="M32" s="670">
        <f t="shared" si="8"/>
        <v>-3903760.1419985839</v>
      </c>
      <c r="N32" s="672">
        <f t="shared" si="9"/>
        <v>7249840.2637116518</v>
      </c>
      <c r="O32" s="694">
        <f t="shared" si="3"/>
        <v>6588274.0974391429</v>
      </c>
      <c r="P32" s="682"/>
      <c r="Q32" s="833"/>
    </row>
    <row r="33" spans="1:17" ht="15" outlineLevel="1">
      <c r="A33" s="647"/>
      <c r="B33" s="667">
        <v>42035</v>
      </c>
      <c r="C33" s="667"/>
      <c r="D33" s="637"/>
      <c r="E33" s="637">
        <f t="shared" si="4"/>
        <v>12436306.870425021</v>
      </c>
      <c r="F33" s="670">
        <f t="shared" si="10"/>
        <v>12436306.870425018</v>
      </c>
      <c r="G33" s="637">
        <f t="shared" ref="G33:G78" si="12">G32</f>
        <v>220343.61529896801</v>
      </c>
      <c r="H33" s="670">
        <f t="shared" si="5"/>
        <v>-2520844.1819714601</v>
      </c>
      <c r="I33" s="670">
        <f t="shared" si="11"/>
        <v>-1450164.4170394419</v>
      </c>
      <c r="J33" s="670">
        <f t="shared" si="7"/>
        <v>10986142.453385577</v>
      </c>
      <c r="K33" s="670">
        <f t="shared" si="1"/>
        <v>77120.265354638803</v>
      </c>
      <c r="L33" s="670">
        <f t="shared" si="0"/>
        <v>-3470411.9409587467</v>
      </c>
      <c r="M33" s="670">
        <f t="shared" si="8"/>
        <v>-3845149.8586849533</v>
      </c>
      <c r="N33" s="672">
        <f t="shared" si="9"/>
        <v>7140992.5947006233</v>
      </c>
      <c r="O33" s="671">
        <f t="shared" si="3"/>
        <v>6445050.747494814</v>
      </c>
      <c r="P33" s="682"/>
    </row>
    <row r="34" spans="1:17" s="833" customFormat="1" ht="15" outlineLevel="1">
      <c r="A34" s="647"/>
      <c r="B34" s="667">
        <v>42063</v>
      </c>
      <c r="C34" s="667"/>
      <c r="D34" s="637"/>
      <c r="E34" s="637">
        <f t="shared" si="4"/>
        <v>12436306.870425021</v>
      </c>
      <c r="F34" s="670">
        <f t="shared" si="10"/>
        <v>12436306.870425018</v>
      </c>
      <c r="G34" s="637">
        <f t="shared" si="12"/>
        <v>220343.61529896801</v>
      </c>
      <c r="H34" s="670">
        <f t="shared" si="5"/>
        <v>-2741187.7972704279</v>
      </c>
      <c r="I34" s="670">
        <f t="shared" si="11"/>
        <v>-1622745.4662346698</v>
      </c>
      <c r="J34" s="670">
        <f t="shared" si="7"/>
        <v>10813561.404190348</v>
      </c>
      <c r="K34" s="670">
        <f t="shared" si="1"/>
        <v>77120.265354638803</v>
      </c>
      <c r="L34" s="670">
        <f t="shared" si="0"/>
        <v>-3393291.6756041078</v>
      </c>
      <c r="M34" s="670">
        <f t="shared" si="8"/>
        <v>-3784746.4914666228</v>
      </c>
      <c r="N34" s="672">
        <f t="shared" si="9"/>
        <v>7028814.9127237257</v>
      </c>
      <c r="O34" s="694">
        <f t="shared" si="3"/>
        <v>6301827.3975504851</v>
      </c>
      <c r="P34" s="682"/>
    </row>
    <row r="35" spans="1:17" ht="15" outlineLevel="1">
      <c r="A35" s="647"/>
      <c r="B35" s="667">
        <v>42094</v>
      </c>
      <c r="C35" s="667"/>
      <c r="D35" s="637"/>
      <c r="E35" s="637">
        <f t="shared" si="4"/>
        <v>12436306.870425021</v>
      </c>
      <c r="F35" s="670">
        <f t="shared" si="10"/>
        <v>12436306.870425018</v>
      </c>
      <c r="G35" s="637">
        <f t="shared" si="12"/>
        <v>220343.61529896801</v>
      </c>
      <c r="H35" s="670">
        <f t="shared" si="5"/>
        <v>-2961531.4125693957</v>
      </c>
      <c r="I35" s="670">
        <f t="shared" si="11"/>
        <v>-1800354.1539671337</v>
      </c>
      <c r="J35" s="670">
        <f t="shared" si="7"/>
        <v>10635952.716457885</v>
      </c>
      <c r="K35" s="670">
        <f t="shared" si="1"/>
        <v>77120.265354638803</v>
      </c>
      <c r="L35" s="670">
        <f t="shared" si="0"/>
        <v>-3316171.4102494689</v>
      </c>
      <c r="M35" s="670">
        <f t="shared" si="8"/>
        <v>-3722583.4507602602</v>
      </c>
      <c r="N35" s="672">
        <f t="shared" si="9"/>
        <v>6913369.2656976245</v>
      </c>
      <c r="O35" s="671">
        <f t="shared" si="3"/>
        <v>6158604.0476061562</v>
      </c>
      <c r="P35" s="682"/>
    </row>
    <row r="36" spans="1:17" s="833" customFormat="1" ht="15" outlineLevel="1">
      <c r="A36" s="647"/>
      <c r="B36" s="667">
        <v>42124</v>
      </c>
      <c r="C36" s="667"/>
      <c r="D36" s="637"/>
      <c r="E36" s="637">
        <f t="shared" si="4"/>
        <v>12436306.870425021</v>
      </c>
      <c r="F36" s="670">
        <f t="shared" si="10"/>
        <v>12436306.870425018</v>
      </c>
      <c r="G36" s="637">
        <f t="shared" si="12"/>
        <v>220343.61529896801</v>
      </c>
      <c r="H36" s="670">
        <f t="shared" si="5"/>
        <v>-3181875.0278683635</v>
      </c>
      <c r="I36" s="670">
        <f t="shared" si="11"/>
        <v>-1982990.480236833</v>
      </c>
      <c r="J36" s="670">
        <f t="shared" si="7"/>
        <v>10453316.390188184</v>
      </c>
      <c r="K36" s="670">
        <f t="shared" si="1"/>
        <v>77120.265354638803</v>
      </c>
      <c r="L36" s="670">
        <f t="shared" si="0"/>
        <v>-3239051.14489483</v>
      </c>
      <c r="M36" s="670">
        <f t="shared" si="8"/>
        <v>-3658660.736565866</v>
      </c>
      <c r="N36" s="672">
        <f t="shared" si="9"/>
        <v>6794655.6536223181</v>
      </c>
      <c r="O36" s="694">
        <f t="shared" si="3"/>
        <v>6015380.6976618273</v>
      </c>
      <c r="P36" s="682"/>
    </row>
    <row r="37" spans="1:17" ht="15" outlineLevel="1">
      <c r="A37" s="647"/>
      <c r="B37" s="667">
        <v>42155</v>
      </c>
      <c r="C37" s="667"/>
      <c r="D37" s="670"/>
      <c r="E37" s="670">
        <f t="shared" si="4"/>
        <v>12436306.870425021</v>
      </c>
      <c r="F37" s="670">
        <f>(E25+E37+SUM(E26:E36)*2)/24</f>
        <v>12436306.870425018</v>
      </c>
      <c r="G37" s="637">
        <f t="shared" si="12"/>
        <v>220343.61529896801</v>
      </c>
      <c r="H37" s="670">
        <f t="shared" si="5"/>
        <v>-3402218.6431673313</v>
      </c>
      <c r="I37" s="670">
        <f>(H25+H37+SUM(H26:H36)*2)/24</f>
        <v>-2170654.4450437683</v>
      </c>
      <c r="J37" s="670">
        <f t="shared" si="7"/>
        <v>10265652.425381249</v>
      </c>
      <c r="K37" s="670">
        <f t="shared" si="1"/>
        <v>77120.265354638803</v>
      </c>
      <c r="L37" s="670">
        <f t="shared" si="0"/>
        <v>-3161930.879540191</v>
      </c>
      <c r="M37" s="670">
        <f>(L25+L37+SUM(L26:L36)*2)/24</f>
        <v>-3592978.3488834389</v>
      </c>
      <c r="N37" s="672">
        <f>M37+J37</f>
        <v>6672674.07649781</v>
      </c>
      <c r="O37" s="671">
        <f t="shared" si="3"/>
        <v>5872157.3477174984</v>
      </c>
      <c r="P37" s="682"/>
    </row>
    <row r="38" spans="1:17" ht="15" outlineLevel="1">
      <c r="A38" s="647"/>
      <c r="B38" s="667">
        <v>42185</v>
      </c>
      <c r="C38" s="667"/>
      <c r="D38" s="670"/>
      <c r="E38" s="670">
        <f t="shared" si="4"/>
        <v>12436306.870425021</v>
      </c>
      <c r="F38" s="670">
        <f t="shared" ref="F38:F101" si="13">(E26+E38+SUM(E27:E37)*2)/24</f>
        <v>12436306.870425018</v>
      </c>
      <c r="G38" s="637">
        <f t="shared" si="12"/>
        <v>220343.61529896801</v>
      </c>
      <c r="H38" s="670">
        <f t="shared" si="5"/>
        <v>-3622562.2584662992</v>
      </c>
      <c r="I38" s="670">
        <f t="shared" ref="I38:I101" si="14">(H26+H38+SUM(H27:H37)*2)/24</f>
        <v>-2363346.0483879396</v>
      </c>
      <c r="J38" s="670">
        <f t="shared" si="7"/>
        <v>10072960.822037078</v>
      </c>
      <c r="K38" s="670">
        <f t="shared" si="1"/>
        <v>77120.265354638803</v>
      </c>
      <c r="L38" s="670">
        <f t="shared" si="0"/>
        <v>-3084810.6141855521</v>
      </c>
      <c r="M38" s="670">
        <f t="shared" ref="M38:M101" si="15">(L26+L38+SUM(L27:L37)*2)/24</f>
        <v>-3525536.2877129787</v>
      </c>
      <c r="N38" s="672">
        <f t="shared" ref="N38:N101" si="16">M38+J38</f>
        <v>6547424.5343241002</v>
      </c>
      <c r="O38" s="671">
        <f t="shared" si="3"/>
        <v>5728933.9977731695</v>
      </c>
      <c r="P38" s="682"/>
    </row>
    <row r="39" spans="1:17" s="833" customFormat="1" ht="15" outlineLevel="1">
      <c r="A39" s="647"/>
      <c r="B39" s="667">
        <v>42216</v>
      </c>
      <c r="C39" s="667"/>
      <c r="D39" s="670"/>
      <c r="E39" s="670">
        <f t="shared" si="4"/>
        <v>12436306.870425021</v>
      </c>
      <c r="F39" s="670">
        <f t="shared" si="13"/>
        <v>12436306.870425018</v>
      </c>
      <c r="G39" s="637">
        <f t="shared" si="12"/>
        <v>220343.61529896801</v>
      </c>
      <c r="H39" s="670">
        <f t="shared" si="5"/>
        <v>-3842905.873765267</v>
      </c>
      <c r="I39" s="670">
        <f t="shared" si="14"/>
        <v>-2561065.2902693464</v>
      </c>
      <c r="J39" s="670">
        <f t="shared" si="7"/>
        <v>9875241.5801556706</v>
      </c>
      <c r="K39" s="670">
        <f t="shared" si="1"/>
        <v>77120.265354638803</v>
      </c>
      <c r="L39" s="670">
        <f t="shared" si="0"/>
        <v>-3007690.3488309132</v>
      </c>
      <c r="M39" s="670">
        <f t="shared" si="15"/>
        <v>-3456334.5530544869</v>
      </c>
      <c r="N39" s="672">
        <f t="shared" si="16"/>
        <v>6418907.0271011833</v>
      </c>
      <c r="O39" s="694">
        <f t="shared" si="3"/>
        <v>5585710.6478288407</v>
      </c>
      <c r="P39" s="682"/>
    </row>
    <row r="40" spans="1:17" ht="15" outlineLevel="1">
      <c r="A40" s="647"/>
      <c r="B40" s="667">
        <v>42247</v>
      </c>
      <c r="C40" s="667"/>
      <c r="D40" s="670"/>
      <c r="E40" s="670">
        <f t="shared" si="4"/>
        <v>12436306.870425021</v>
      </c>
      <c r="F40" s="670">
        <f t="shared" si="13"/>
        <v>12436306.870425018</v>
      </c>
      <c r="G40" s="637">
        <f t="shared" si="12"/>
        <v>220343.61529896801</v>
      </c>
      <c r="H40" s="670">
        <f t="shared" si="5"/>
        <v>-4063249.4890642348</v>
      </c>
      <c r="I40" s="670">
        <f t="shared" si="14"/>
        <v>-2763812.1706879889</v>
      </c>
      <c r="J40" s="670">
        <f t="shared" si="7"/>
        <v>9672494.6997370292</v>
      </c>
      <c r="K40" s="670">
        <f t="shared" si="1"/>
        <v>77120.265354638803</v>
      </c>
      <c r="L40" s="674">
        <f t="shared" si="0"/>
        <v>-2930570.0834762743</v>
      </c>
      <c r="M40" s="670">
        <f t="shared" si="15"/>
        <v>-3385373.1449079611</v>
      </c>
      <c r="N40" s="672">
        <f t="shared" si="16"/>
        <v>6287121.5548290685</v>
      </c>
      <c r="O40" s="694">
        <f t="shared" si="3"/>
        <v>5442487.2978845118</v>
      </c>
      <c r="P40" s="682"/>
      <c r="Q40" s="833"/>
    </row>
    <row r="41" spans="1:17" ht="15" outlineLevel="1">
      <c r="A41" s="647"/>
      <c r="B41" s="667">
        <v>42277</v>
      </c>
      <c r="C41" s="667"/>
      <c r="D41" s="670"/>
      <c r="E41" s="670">
        <f t="shared" si="4"/>
        <v>12436306.870425021</v>
      </c>
      <c r="F41" s="670">
        <f t="shared" si="13"/>
        <v>12436306.870425018</v>
      </c>
      <c r="G41" s="637">
        <f t="shared" si="12"/>
        <v>220343.61529896801</v>
      </c>
      <c r="H41" s="670">
        <f t="shared" si="5"/>
        <v>-4283593.104363203</v>
      </c>
      <c r="I41" s="670">
        <f t="shared" si="14"/>
        <v>-2971586.6896438673</v>
      </c>
      <c r="J41" s="670">
        <f t="shared" si="7"/>
        <v>9464720.1807811502</v>
      </c>
      <c r="K41" s="670">
        <f t="shared" si="1"/>
        <v>77120.265354638803</v>
      </c>
      <c r="L41" s="674">
        <f t="shared" si="0"/>
        <v>-2853449.8181216354</v>
      </c>
      <c r="M41" s="670">
        <f t="shared" si="15"/>
        <v>-3312652.0632734038</v>
      </c>
      <c r="N41" s="672">
        <f t="shared" si="16"/>
        <v>6152068.1175077464</v>
      </c>
      <c r="O41" s="694">
        <f t="shared" si="3"/>
        <v>5299263.9479401829</v>
      </c>
      <c r="P41" s="682"/>
      <c r="Q41" s="833"/>
    </row>
    <row r="42" spans="1:17" ht="15">
      <c r="A42" s="647"/>
      <c r="B42" s="667">
        <v>42308</v>
      </c>
      <c r="C42" s="667"/>
      <c r="D42" s="670"/>
      <c r="E42" s="670">
        <f t="shared" si="4"/>
        <v>12436306.870425021</v>
      </c>
      <c r="F42" s="670">
        <f t="shared" si="13"/>
        <v>12436306.870425018</v>
      </c>
      <c r="G42" s="637">
        <f t="shared" si="12"/>
        <v>220343.61529896801</v>
      </c>
      <c r="H42" s="670">
        <f t="shared" si="5"/>
        <v>-4503936.7196621709</v>
      </c>
      <c r="I42" s="670">
        <f t="shared" si="14"/>
        <v>-3184388.8471369818</v>
      </c>
      <c r="J42" s="670">
        <f t="shared" si="7"/>
        <v>9251918.0232880358</v>
      </c>
      <c r="K42" s="670">
        <f t="shared" si="1"/>
        <v>77120.265354638803</v>
      </c>
      <c r="L42" s="674">
        <f t="shared" si="0"/>
        <v>-2776329.5527669964</v>
      </c>
      <c r="M42" s="670">
        <f t="shared" si="15"/>
        <v>-3238171.3081508144</v>
      </c>
      <c r="N42" s="672">
        <f t="shared" si="16"/>
        <v>6013746.7151372209</v>
      </c>
      <c r="O42" s="671">
        <f t="shared" si="3"/>
        <v>5156040.597995854</v>
      </c>
      <c r="P42" s="682"/>
    </row>
    <row r="43" spans="1:17" s="833" customFormat="1" ht="15">
      <c r="A43" s="647"/>
      <c r="B43" s="667">
        <v>42338</v>
      </c>
      <c r="C43" s="667"/>
      <c r="D43" s="670"/>
      <c r="E43" s="670">
        <f t="shared" si="4"/>
        <v>12436306.870425021</v>
      </c>
      <c r="F43" s="670">
        <f t="shared" si="13"/>
        <v>12436306.870425018</v>
      </c>
      <c r="G43" s="637">
        <f t="shared" si="12"/>
        <v>220343.61529896801</v>
      </c>
      <c r="H43" s="670">
        <f t="shared" si="5"/>
        <v>-4724280.3349611387</v>
      </c>
      <c r="I43" s="670">
        <f t="shared" si="14"/>
        <v>-3402218.6431673318</v>
      </c>
      <c r="J43" s="670">
        <f t="shared" si="7"/>
        <v>9034088.2272576857</v>
      </c>
      <c r="K43" s="670">
        <f t="shared" si="1"/>
        <v>77120.265354638803</v>
      </c>
      <c r="L43" s="674">
        <f t="shared" si="0"/>
        <v>-2699209.2874123575</v>
      </c>
      <c r="M43" s="670">
        <f t="shared" si="15"/>
        <v>-3161930.8795401906</v>
      </c>
      <c r="N43" s="672">
        <f t="shared" si="16"/>
        <v>5872157.3477174956</v>
      </c>
      <c r="O43" s="694">
        <f t="shared" si="3"/>
        <v>5012817.2480515251</v>
      </c>
      <c r="P43" s="682"/>
    </row>
    <row r="44" spans="1:17" ht="15">
      <c r="A44" s="647"/>
      <c r="B44" s="667">
        <v>42369</v>
      </c>
      <c r="C44" s="667"/>
      <c r="D44" s="637"/>
      <c r="E44" s="670">
        <f t="shared" si="4"/>
        <v>12436306.870425021</v>
      </c>
      <c r="F44" s="670">
        <f t="shared" si="13"/>
        <v>12436306.870425018</v>
      </c>
      <c r="G44" s="637">
        <f t="shared" si="12"/>
        <v>220343.61529896801</v>
      </c>
      <c r="H44" s="670">
        <f t="shared" si="5"/>
        <v>-4944623.9502601065</v>
      </c>
      <c r="I44" s="670">
        <f t="shared" si="14"/>
        <v>-3622562.2584662996</v>
      </c>
      <c r="J44" s="670">
        <f t="shared" si="7"/>
        <v>8813744.6119587179</v>
      </c>
      <c r="K44" s="670">
        <f t="shared" si="1"/>
        <v>77120.265354638803</v>
      </c>
      <c r="L44" s="674">
        <f t="shared" si="0"/>
        <v>-2622089.0220577186</v>
      </c>
      <c r="M44" s="670">
        <f t="shared" si="15"/>
        <v>-3084810.6141855516</v>
      </c>
      <c r="N44" s="672">
        <f t="shared" si="16"/>
        <v>5728933.9977731667</v>
      </c>
      <c r="O44" s="694">
        <f t="shared" si="3"/>
        <v>4869593.8981071962</v>
      </c>
      <c r="P44" s="682"/>
    </row>
    <row r="45" spans="1:17" ht="15" outlineLevel="1">
      <c r="A45" s="647"/>
      <c r="B45" s="667">
        <v>42400</v>
      </c>
      <c r="C45" s="667"/>
      <c r="D45" s="637"/>
      <c r="E45" s="670">
        <f t="shared" si="4"/>
        <v>12436306.870425021</v>
      </c>
      <c r="F45" s="670">
        <f t="shared" si="13"/>
        <v>12436306.870425018</v>
      </c>
      <c r="G45" s="637">
        <f t="shared" si="12"/>
        <v>220343.61529896801</v>
      </c>
      <c r="H45" s="670">
        <f t="shared" si="5"/>
        <v>-5164967.5655590743</v>
      </c>
      <c r="I45" s="670">
        <f t="shared" si="14"/>
        <v>-3842905.873765267</v>
      </c>
      <c r="J45" s="670">
        <f t="shared" si="7"/>
        <v>8593400.9966597501</v>
      </c>
      <c r="K45" s="670">
        <f t="shared" si="1"/>
        <v>77120.265354638803</v>
      </c>
      <c r="L45" s="674">
        <f t="shared" si="0"/>
        <v>-2544968.7567030797</v>
      </c>
      <c r="M45" s="670">
        <f t="shared" si="15"/>
        <v>-3007690.3488309137</v>
      </c>
      <c r="N45" s="672">
        <f t="shared" si="16"/>
        <v>5585710.647828836</v>
      </c>
      <c r="O45" s="694">
        <f t="shared" si="3"/>
        <v>4726370.5481628673</v>
      </c>
      <c r="P45" s="682"/>
    </row>
    <row r="46" spans="1:17" ht="15" outlineLevel="1">
      <c r="A46" s="647"/>
      <c r="B46" s="667">
        <v>42428</v>
      </c>
      <c r="C46" s="667"/>
      <c r="D46" s="637"/>
      <c r="E46" s="670">
        <f t="shared" si="4"/>
        <v>12436306.870425021</v>
      </c>
      <c r="F46" s="670">
        <f t="shared" si="13"/>
        <v>12436306.870425018</v>
      </c>
      <c r="G46" s="637">
        <f t="shared" si="12"/>
        <v>220343.61529896801</v>
      </c>
      <c r="H46" s="670">
        <f t="shared" si="5"/>
        <v>-5385311.1808580421</v>
      </c>
      <c r="I46" s="670">
        <f t="shared" si="14"/>
        <v>-4063249.4890642338</v>
      </c>
      <c r="J46" s="670">
        <f t="shared" si="7"/>
        <v>8373057.3813607842</v>
      </c>
      <c r="K46" s="670">
        <f t="shared" si="1"/>
        <v>77120.265354638803</v>
      </c>
      <c r="L46" s="674">
        <f t="shared" si="0"/>
        <v>-2467848.4913484408</v>
      </c>
      <c r="M46" s="670">
        <f t="shared" si="15"/>
        <v>-2930570.0834762738</v>
      </c>
      <c r="N46" s="672">
        <f t="shared" si="16"/>
        <v>5442487.2978845108</v>
      </c>
      <c r="O46" s="694">
        <f t="shared" si="3"/>
        <v>4583147.1982185384</v>
      </c>
      <c r="P46" s="682"/>
    </row>
    <row r="47" spans="1:17" s="833" customFormat="1" ht="15" outlineLevel="1">
      <c r="A47" s="647"/>
      <c r="B47" s="667">
        <v>42460</v>
      </c>
      <c r="C47" s="667"/>
      <c r="D47" s="637"/>
      <c r="E47" s="670">
        <f t="shared" si="4"/>
        <v>12436306.870425021</v>
      </c>
      <c r="F47" s="670">
        <f t="shared" si="13"/>
        <v>12436306.870425018</v>
      </c>
      <c r="G47" s="637">
        <f t="shared" si="12"/>
        <v>220343.61529896801</v>
      </c>
      <c r="H47" s="670">
        <f t="shared" si="5"/>
        <v>-5605654.7961570099</v>
      </c>
      <c r="I47" s="670">
        <f t="shared" si="14"/>
        <v>-4283593.104363203</v>
      </c>
      <c r="J47" s="670">
        <f t="shared" si="7"/>
        <v>8152713.7660618145</v>
      </c>
      <c r="K47" s="670">
        <f t="shared" si="1"/>
        <v>77120.265354638803</v>
      </c>
      <c r="L47" s="674">
        <f t="shared" si="0"/>
        <v>-2390728.2259938018</v>
      </c>
      <c r="M47" s="670">
        <f t="shared" si="15"/>
        <v>-2853449.8181216358</v>
      </c>
      <c r="N47" s="672">
        <f t="shared" si="16"/>
        <v>5299263.9479401782</v>
      </c>
      <c r="O47" s="694">
        <f t="shared" si="3"/>
        <v>4439923.8482742095</v>
      </c>
      <c r="P47" s="682"/>
    </row>
    <row r="48" spans="1:17" ht="15" outlineLevel="1">
      <c r="A48" s="647"/>
      <c r="B48" s="667">
        <v>42490</v>
      </c>
      <c r="C48" s="667"/>
      <c r="D48" s="637"/>
      <c r="E48" s="670">
        <f t="shared" si="4"/>
        <v>12436306.870425021</v>
      </c>
      <c r="F48" s="670">
        <f t="shared" si="13"/>
        <v>12436306.870425018</v>
      </c>
      <c r="G48" s="637">
        <f t="shared" si="12"/>
        <v>220343.61529896801</v>
      </c>
      <c r="H48" s="670">
        <f t="shared" si="5"/>
        <v>-5825998.4114559777</v>
      </c>
      <c r="I48" s="670">
        <f t="shared" si="14"/>
        <v>-4503936.7196621709</v>
      </c>
      <c r="J48" s="670">
        <f t="shared" si="7"/>
        <v>7932370.1507628467</v>
      </c>
      <c r="K48" s="670">
        <f t="shared" si="1"/>
        <v>77120.265354638803</v>
      </c>
      <c r="L48" s="674">
        <f t="shared" si="0"/>
        <v>-2313607.9606391629</v>
      </c>
      <c r="M48" s="670">
        <f t="shared" si="15"/>
        <v>-2776329.5527669964</v>
      </c>
      <c r="N48" s="672">
        <f t="shared" si="16"/>
        <v>5156040.5979958503</v>
      </c>
      <c r="O48" s="671">
        <f t="shared" si="3"/>
        <v>4296700.4983298806</v>
      </c>
      <c r="P48" s="682"/>
    </row>
    <row r="49" spans="1:16" s="833" customFormat="1" ht="15" outlineLevel="1">
      <c r="A49" s="647"/>
      <c r="B49" s="667">
        <v>42521</v>
      </c>
      <c r="C49" s="667"/>
      <c r="D49" s="637"/>
      <c r="E49" s="670">
        <f t="shared" si="4"/>
        <v>12436306.870425021</v>
      </c>
      <c r="F49" s="670">
        <f t="shared" si="13"/>
        <v>12436306.870425018</v>
      </c>
      <c r="G49" s="637">
        <f t="shared" si="12"/>
        <v>220343.61529896801</v>
      </c>
      <c r="H49" s="670">
        <f t="shared" si="5"/>
        <v>-6046342.0267549455</v>
      </c>
      <c r="I49" s="670">
        <f t="shared" si="14"/>
        <v>-4724280.3349611396</v>
      </c>
      <c r="J49" s="670">
        <f t="shared" si="7"/>
        <v>7712026.535463878</v>
      </c>
      <c r="K49" s="670">
        <f t="shared" si="1"/>
        <v>77120.265354638803</v>
      </c>
      <c r="L49" s="674">
        <f t="shared" si="0"/>
        <v>-2236487.695284524</v>
      </c>
      <c r="M49" s="670">
        <f t="shared" si="15"/>
        <v>-2699209.2874123575</v>
      </c>
      <c r="N49" s="672">
        <f t="shared" si="16"/>
        <v>5012817.2480515204</v>
      </c>
      <c r="O49" s="694">
        <f t="shared" si="3"/>
        <v>4153477.1483855518</v>
      </c>
      <c r="P49" s="682"/>
    </row>
    <row r="50" spans="1:16" s="833" customFormat="1" ht="15" outlineLevel="1">
      <c r="A50" s="647"/>
      <c r="B50" s="667">
        <v>42551</v>
      </c>
      <c r="C50" s="667"/>
      <c r="D50" s="637"/>
      <c r="E50" s="670">
        <f t="shared" si="4"/>
        <v>12436306.870425021</v>
      </c>
      <c r="F50" s="670">
        <f t="shared" si="13"/>
        <v>12436306.870425018</v>
      </c>
      <c r="G50" s="637">
        <f t="shared" si="12"/>
        <v>220343.61529896801</v>
      </c>
      <c r="H50" s="670">
        <f t="shared" si="5"/>
        <v>-6266685.6420539133</v>
      </c>
      <c r="I50" s="670">
        <f t="shared" si="14"/>
        <v>-4944623.9502601065</v>
      </c>
      <c r="J50" s="670">
        <f t="shared" si="7"/>
        <v>7491682.9201649111</v>
      </c>
      <c r="K50" s="670">
        <f t="shared" si="1"/>
        <v>77120.265354638803</v>
      </c>
      <c r="L50" s="674">
        <f t="shared" si="0"/>
        <v>-2159367.4299298851</v>
      </c>
      <c r="M50" s="670">
        <f t="shared" si="15"/>
        <v>-2622089.0220577186</v>
      </c>
      <c r="N50" s="672">
        <f t="shared" si="16"/>
        <v>4869593.8981071925</v>
      </c>
      <c r="O50" s="694">
        <f t="shared" si="3"/>
        <v>4010253.7984412229</v>
      </c>
      <c r="P50" s="682"/>
    </row>
    <row r="51" spans="1:16" ht="15" outlineLevel="1">
      <c r="A51" s="647"/>
      <c r="B51" s="667">
        <v>42582</v>
      </c>
      <c r="C51" s="667"/>
      <c r="D51" s="637"/>
      <c r="E51" s="670">
        <f t="shared" si="4"/>
        <v>12436306.870425021</v>
      </c>
      <c r="F51" s="670">
        <f t="shared" si="13"/>
        <v>12436306.870425018</v>
      </c>
      <c r="G51" s="637">
        <f t="shared" si="12"/>
        <v>220343.61529896801</v>
      </c>
      <c r="H51" s="670">
        <f t="shared" si="5"/>
        <v>-6487029.2573528811</v>
      </c>
      <c r="I51" s="670">
        <f t="shared" si="14"/>
        <v>-5164967.5655590743</v>
      </c>
      <c r="J51" s="670">
        <f t="shared" si="7"/>
        <v>7271339.3048659433</v>
      </c>
      <c r="K51" s="670">
        <f t="shared" si="1"/>
        <v>77120.265354638803</v>
      </c>
      <c r="L51" s="674">
        <f t="shared" si="0"/>
        <v>-2082247.1645752462</v>
      </c>
      <c r="M51" s="670">
        <f t="shared" si="15"/>
        <v>-2544968.7567030797</v>
      </c>
      <c r="N51" s="672">
        <f t="shared" si="16"/>
        <v>4726370.5481628636</v>
      </c>
      <c r="O51" s="671">
        <f t="shared" si="3"/>
        <v>3867030.448496894</v>
      </c>
    </row>
    <row r="52" spans="1:16" s="833" customFormat="1" ht="15" outlineLevel="1">
      <c r="A52" s="647"/>
      <c r="B52" s="667">
        <v>42613</v>
      </c>
      <c r="C52" s="667"/>
      <c r="D52" s="637"/>
      <c r="E52" s="670">
        <f t="shared" si="4"/>
        <v>12436306.870425021</v>
      </c>
      <c r="F52" s="670">
        <f t="shared" si="13"/>
        <v>12436306.870425018</v>
      </c>
      <c r="G52" s="637">
        <f t="shared" si="12"/>
        <v>220343.61529896801</v>
      </c>
      <c r="H52" s="670">
        <f t="shared" si="5"/>
        <v>-6707372.8726518489</v>
      </c>
      <c r="I52" s="670">
        <f t="shared" si="14"/>
        <v>-5385311.1808580421</v>
      </c>
      <c r="J52" s="670">
        <f t="shared" si="7"/>
        <v>7050995.6895669755</v>
      </c>
      <c r="K52" s="670">
        <f t="shared" si="1"/>
        <v>77120.265354638803</v>
      </c>
      <c r="L52" s="674">
        <f t="shared" si="0"/>
        <v>-2005126.8992206072</v>
      </c>
      <c r="M52" s="670">
        <f t="shared" si="15"/>
        <v>-2467848.4913484408</v>
      </c>
      <c r="N52" s="672">
        <f t="shared" si="16"/>
        <v>4583147.1982185347</v>
      </c>
      <c r="O52" s="694">
        <f t="shared" si="3"/>
        <v>3723807.0985525651</v>
      </c>
    </row>
    <row r="53" spans="1:16" ht="15" outlineLevel="1">
      <c r="A53" s="647"/>
      <c r="B53" s="667">
        <v>42643</v>
      </c>
      <c r="C53" s="667"/>
      <c r="D53" s="637"/>
      <c r="E53" s="670">
        <f t="shared" si="4"/>
        <v>12436306.870425021</v>
      </c>
      <c r="F53" s="670">
        <f t="shared" si="13"/>
        <v>12436306.870425018</v>
      </c>
      <c r="G53" s="637">
        <f t="shared" si="12"/>
        <v>220343.61529896801</v>
      </c>
      <c r="H53" s="670">
        <f t="shared" si="5"/>
        <v>-6927716.4879508168</v>
      </c>
      <c r="I53" s="670">
        <f t="shared" si="14"/>
        <v>-5605654.7961570099</v>
      </c>
      <c r="J53" s="670">
        <f t="shared" si="7"/>
        <v>6830652.0742680077</v>
      </c>
      <c r="K53" s="670">
        <f t="shared" si="1"/>
        <v>77120.265354638803</v>
      </c>
      <c r="L53" s="674">
        <f t="shared" si="0"/>
        <v>-1928006.6338659683</v>
      </c>
      <c r="M53" s="670">
        <f t="shared" si="15"/>
        <v>-2390728.2259938018</v>
      </c>
      <c r="N53" s="672">
        <f t="shared" si="16"/>
        <v>4439923.8482742058</v>
      </c>
      <c r="O53" s="694">
        <f t="shared" si="3"/>
        <v>3580583.7486082362</v>
      </c>
    </row>
    <row r="54" spans="1:16" ht="15" outlineLevel="1">
      <c r="A54" s="647"/>
      <c r="B54" s="667">
        <v>42674</v>
      </c>
      <c r="C54" s="667"/>
      <c r="D54" s="637"/>
      <c r="E54" s="670">
        <f t="shared" si="4"/>
        <v>12436306.870425021</v>
      </c>
      <c r="F54" s="670">
        <f t="shared" si="13"/>
        <v>12436306.870425018</v>
      </c>
      <c r="G54" s="637">
        <f t="shared" si="12"/>
        <v>220343.61529896801</v>
      </c>
      <c r="H54" s="670">
        <f t="shared" si="5"/>
        <v>-7148060.1032497846</v>
      </c>
      <c r="I54" s="670">
        <f t="shared" si="14"/>
        <v>-5825998.4114559777</v>
      </c>
      <c r="J54" s="670">
        <f t="shared" si="7"/>
        <v>6610308.4589690398</v>
      </c>
      <c r="K54" s="670">
        <f t="shared" si="1"/>
        <v>77120.265354638803</v>
      </c>
      <c r="L54" s="674">
        <f t="shared" si="0"/>
        <v>-1850886.3685113294</v>
      </c>
      <c r="M54" s="670">
        <f t="shared" si="15"/>
        <v>-2313607.9606391629</v>
      </c>
      <c r="N54" s="672">
        <f t="shared" si="16"/>
        <v>4296700.4983298769</v>
      </c>
      <c r="O54" s="694">
        <f t="shared" si="3"/>
        <v>3437360.3986639073</v>
      </c>
    </row>
    <row r="55" spans="1:16" ht="15" outlineLevel="1">
      <c r="A55" s="647"/>
      <c r="B55" s="667">
        <v>42704</v>
      </c>
      <c r="C55" s="667"/>
      <c r="D55" s="637"/>
      <c r="E55" s="670">
        <f t="shared" si="4"/>
        <v>12436306.870425021</v>
      </c>
      <c r="F55" s="670">
        <f t="shared" si="13"/>
        <v>12436306.870425018</v>
      </c>
      <c r="G55" s="637">
        <f t="shared" si="12"/>
        <v>220343.61529896801</v>
      </c>
      <c r="H55" s="670">
        <f t="shared" si="5"/>
        <v>-7368403.7185487524</v>
      </c>
      <c r="I55" s="670">
        <f t="shared" si="14"/>
        <v>-6046342.0267549455</v>
      </c>
      <c r="J55" s="670">
        <f t="shared" si="7"/>
        <v>6389964.843670072</v>
      </c>
      <c r="K55" s="670">
        <f t="shared" si="1"/>
        <v>77120.265354638803</v>
      </c>
      <c r="L55" s="674">
        <f t="shared" si="0"/>
        <v>-1773766.1031566905</v>
      </c>
      <c r="M55" s="670">
        <f t="shared" si="15"/>
        <v>-2236487.695284524</v>
      </c>
      <c r="N55" s="672">
        <f t="shared" si="16"/>
        <v>4153477.148385548</v>
      </c>
      <c r="O55" s="694">
        <f t="shared" si="3"/>
        <v>3294137.0487195784</v>
      </c>
    </row>
    <row r="56" spans="1:16" ht="15" outlineLevel="1">
      <c r="A56" s="675"/>
      <c r="B56" s="667">
        <v>42735</v>
      </c>
      <c r="C56" s="1078"/>
      <c r="D56" s="1078"/>
      <c r="E56" s="670">
        <f t="shared" si="4"/>
        <v>12436306.870425021</v>
      </c>
      <c r="F56" s="670">
        <f t="shared" si="13"/>
        <v>12436306.870425018</v>
      </c>
      <c r="G56" s="637">
        <f t="shared" si="12"/>
        <v>220343.61529896801</v>
      </c>
      <c r="H56" s="670">
        <f t="shared" si="5"/>
        <v>-7588747.3338477202</v>
      </c>
      <c r="I56" s="670">
        <f t="shared" si="14"/>
        <v>-6266685.6420539133</v>
      </c>
      <c r="J56" s="670">
        <f t="shared" si="7"/>
        <v>6169621.2283711042</v>
      </c>
      <c r="K56" s="670">
        <f t="shared" si="1"/>
        <v>77120.265354638803</v>
      </c>
      <c r="L56" s="674">
        <f t="shared" si="0"/>
        <v>-1696645.8378020516</v>
      </c>
      <c r="M56" s="670">
        <f t="shared" si="15"/>
        <v>-2159367.4299298851</v>
      </c>
      <c r="N56" s="672">
        <f t="shared" si="16"/>
        <v>4010253.7984412191</v>
      </c>
      <c r="O56" s="694">
        <f t="shared" si="3"/>
        <v>3150913.6987752495</v>
      </c>
    </row>
    <row r="57" spans="1:16" ht="15" outlineLevel="1">
      <c r="A57" s="675"/>
      <c r="B57" s="667">
        <v>42766</v>
      </c>
      <c r="C57" s="1078"/>
      <c r="D57" s="1078"/>
      <c r="E57" s="670">
        <f t="shared" si="4"/>
        <v>12436306.870425021</v>
      </c>
      <c r="F57" s="670">
        <f t="shared" si="13"/>
        <v>12436306.870425018</v>
      </c>
      <c r="G57" s="637">
        <f t="shared" si="12"/>
        <v>220343.61529896801</v>
      </c>
      <c r="H57" s="670">
        <f t="shared" si="5"/>
        <v>-7809090.949146688</v>
      </c>
      <c r="I57" s="670">
        <f t="shared" si="14"/>
        <v>-6487029.2573528811</v>
      </c>
      <c r="J57" s="670">
        <f t="shared" si="7"/>
        <v>5949277.6130721364</v>
      </c>
      <c r="K57" s="670">
        <f t="shared" si="1"/>
        <v>77120.265354638803</v>
      </c>
      <c r="L57" s="674">
        <f t="shared" si="0"/>
        <v>-1619525.5724474126</v>
      </c>
      <c r="M57" s="670">
        <f t="shared" si="15"/>
        <v>-2082247.1645752462</v>
      </c>
      <c r="N57" s="672">
        <f t="shared" si="16"/>
        <v>3867030.4484968903</v>
      </c>
      <c r="O57" s="694">
        <f t="shared" si="3"/>
        <v>3007690.3488309206</v>
      </c>
    </row>
    <row r="58" spans="1:16" ht="15" outlineLevel="1">
      <c r="A58" s="675"/>
      <c r="B58" s="667">
        <v>42794</v>
      </c>
      <c r="C58" s="1078"/>
      <c r="D58" s="1078"/>
      <c r="E58" s="670">
        <f t="shared" si="4"/>
        <v>12436306.870425021</v>
      </c>
      <c r="F58" s="670">
        <f t="shared" si="13"/>
        <v>12436306.870425018</v>
      </c>
      <c r="G58" s="637">
        <f t="shared" si="12"/>
        <v>220343.61529896801</v>
      </c>
      <c r="H58" s="670">
        <f t="shared" si="5"/>
        <v>-8029434.5644456558</v>
      </c>
      <c r="I58" s="670">
        <f t="shared" si="14"/>
        <v>-6707372.8726518489</v>
      </c>
      <c r="J58" s="670">
        <f t="shared" si="7"/>
        <v>5728933.9977731686</v>
      </c>
      <c r="K58" s="670">
        <f t="shared" si="1"/>
        <v>77120.265354638803</v>
      </c>
      <c r="L58" s="674">
        <f t="shared" si="0"/>
        <v>-1542405.3070927737</v>
      </c>
      <c r="M58" s="670">
        <f t="shared" si="15"/>
        <v>-2005126.8992206072</v>
      </c>
      <c r="N58" s="672">
        <f t="shared" si="16"/>
        <v>3723807.0985525614</v>
      </c>
      <c r="O58" s="694">
        <f t="shared" si="3"/>
        <v>2864466.9988865918</v>
      </c>
    </row>
    <row r="59" spans="1:16" ht="15" outlineLevel="1">
      <c r="A59" s="675"/>
      <c r="B59" s="667">
        <v>42825</v>
      </c>
      <c r="C59" s="676"/>
      <c r="D59" s="676"/>
      <c r="E59" s="670">
        <f t="shared" si="4"/>
        <v>12436306.870425021</v>
      </c>
      <c r="F59" s="670">
        <f t="shared" si="13"/>
        <v>12436306.870425018</v>
      </c>
      <c r="G59" s="637">
        <f t="shared" si="12"/>
        <v>220343.61529896801</v>
      </c>
      <c r="H59" s="670">
        <f t="shared" si="5"/>
        <v>-8249778.1797446236</v>
      </c>
      <c r="I59" s="670">
        <f t="shared" si="14"/>
        <v>-6927716.4879508177</v>
      </c>
      <c r="J59" s="670">
        <f t="shared" si="7"/>
        <v>5508590.3824741999</v>
      </c>
      <c r="K59" s="670">
        <f t="shared" si="1"/>
        <v>77120.265354638803</v>
      </c>
      <c r="L59" s="674">
        <f t="shared" si="0"/>
        <v>-1465285.0417381348</v>
      </c>
      <c r="M59" s="670">
        <f t="shared" si="15"/>
        <v>-1928006.6338659683</v>
      </c>
      <c r="N59" s="672">
        <f t="shared" si="16"/>
        <v>3580583.7486082315</v>
      </c>
      <c r="O59" s="671">
        <f t="shared" si="3"/>
        <v>2721243.6489422629</v>
      </c>
    </row>
    <row r="60" spans="1:16" ht="15" outlineLevel="1">
      <c r="A60" s="675"/>
      <c r="B60" s="667">
        <v>42855</v>
      </c>
      <c r="C60" s="676"/>
      <c r="D60" s="676"/>
      <c r="E60" s="670">
        <f t="shared" si="4"/>
        <v>12436306.870425021</v>
      </c>
      <c r="F60" s="670">
        <f t="shared" si="13"/>
        <v>12436306.870425018</v>
      </c>
      <c r="G60" s="637">
        <f t="shared" si="12"/>
        <v>220343.61529896801</v>
      </c>
      <c r="H60" s="670">
        <f t="shared" si="5"/>
        <v>-8470121.7950435914</v>
      </c>
      <c r="I60" s="670">
        <f t="shared" si="14"/>
        <v>-7148060.1032497855</v>
      </c>
      <c r="J60" s="670">
        <f t="shared" si="7"/>
        <v>5288246.7671752321</v>
      </c>
      <c r="K60" s="670">
        <f t="shared" si="1"/>
        <v>77120.265354638803</v>
      </c>
      <c r="L60" s="674">
        <f t="shared" si="0"/>
        <v>-1388164.7763834959</v>
      </c>
      <c r="M60" s="670">
        <f t="shared" si="15"/>
        <v>-1850886.3685113294</v>
      </c>
      <c r="N60" s="672">
        <f t="shared" si="16"/>
        <v>3437360.3986639027</v>
      </c>
      <c r="O60" s="671">
        <f t="shared" si="3"/>
        <v>2578020.298997934</v>
      </c>
    </row>
    <row r="61" spans="1:16" ht="15" outlineLevel="1">
      <c r="A61" s="675"/>
      <c r="B61" s="667">
        <v>42886</v>
      </c>
      <c r="C61" s="676"/>
      <c r="D61" s="676"/>
      <c r="E61" s="670">
        <f t="shared" si="4"/>
        <v>12436306.870425021</v>
      </c>
      <c r="F61" s="670">
        <f t="shared" si="13"/>
        <v>12436306.870425018</v>
      </c>
      <c r="G61" s="637">
        <f t="shared" si="12"/>
        <v>220343.61529896801</v>
      </c>
      <c r="H61" s="670">
        <f t="shared" si="5"/>
        <v>-8690465.4103425592</v>
      </c>
      <c r="I61" s="670">
        <f t="shared" si="14"/>
        <v>-7368403.7185487524</v>
      </c>
      <c r="J61" s="670">
        <f t="shared" si="7"/>
        <v>5067903.1518762652</v>
      </c>
      <c r="K61" s="670">
        <f t="shared" si="1"/>
        <v>77120.265354638803</v>
      </c>
      <c r="L61" s="674">
        <f t="shared" si="0"/>
        <v>-1311044.511028857</v>
      </c>
      <c r="M61" s="670">
        <f t="shared" si="15"/>
        <v>-1773766.1031566905</v>
      </c>
      <c r="N61" s="672">
        <f t="shared" si="16"/>
        <v>3294137.0487195747</v>
      </c>
      <c r="O61" s="671">
        <f t="shared" si="3"/>
        <v>2434796.9490536051</v>
      </c>
    </row>
    <row r="62" spans="1:16" ht="15" outlineLevel="1">
      <c r="A62" s="675"/>
      <c r="B62" s="667">
        <v>42916</v>
      </c>
      <c r="C62" s="676"/>
      <c r="D62" s="676"/>
      <c r="E62" s="670">
        <f t="shared" si="4"/>
        <v>12436306.870425021</v>
      </c>
      <c r="F62" s="670">
        <f t="shared" si="13"/>
        <v>12436306.870425018</v>
      </c>
      <c r="G62" s="637">
        <f t="shared" si="12"/>
        <v>220343.61529896801</v>
      </c>
      <c r="H62" s="670">
        <f t="shared" si="5"/>
        <v>-8910809.025641527</v>
      </c>
      <c r="I62" s="670">
        <f t="shared" si="14"/>
        <v>-7588747.3338477202</v>
      </c>
      <c r="J62" s="670">
        <f t="shared" si="7"/>
        <v>4847559.5365772974</v>
      </c>
      <c r="K62" s="670">
        <f t="shared" si="1"/>
        <v>77120.265354638803</v>
      </c>
      <c r="L62" s="674">
        <f t="shared" si="0"/>
        <v>-1233924.2456742181</v>
      </c>
      <c r="M62" s="670">
        <f t="shared" si="15"/>
        <v>-1696645.8378020516</v>
      </c>
      <c r="N62" s="672">
        <f t="shared" si="16"/>
        <v>3150913.6987752458</v>
      </c>
      <c r="O62" s="671">
        <f t="shared" si="3"/>
        <v>2291573.5991092762</v>
      </c>
    </row>
    <row r="63" spans="1:16" ht="15" outlineLevel="1">
      <c r="A63" s="675"/>
      <c r="B63" s="667">
        <v>42947</v>
      </c>
      <c r="C63" s="676"/>
      <c r="D63" s="676"/>
      <c r="E63" s="670">
        <f t="shared" si="4"/>
        <v>12436306.870425021</v>
      </c>
      <c r="F63" s="670">
        <f t="shared" si="13"/>
        <v>12436306.870425018</v>
      </c>
      <c r="G63" s="637">
        <f t="shared" si="12"/>
        <v>220343.61529896801</v>
      </c>
      <c r="H63" s="670">
        <f t="shared" si="5"/>
        <v>-9131152.6409404948</v>
      </c>
      <c r="I63" s="670">
        <f t="shared" si="14"/>
        <v>-7809090.9491466889</v>
      </c>
      <c r="J63" s="670">
        <f t="shared" si="7"/>
        <v>4627215.9212783286</v>
      </c>
      <c r="K63" s="670">
        <f t="shared" si="1"/>
        <v>77120.265354638803</v>
      </c>
      <c r="L63" s="674">
        <f t="shared" si="0"/>
        <v>-1156803.9803195791</v>
      </c>
      <c r="M63" s="670">
        <f t="shared" si="15"/>
        <v>-1619525.5724474126</v>
      </c>
      <c r="N63" s="672">
        <f t="shared" si="16"/>
        <v>3007690.348830916</v>
      </c>
      <c r="O63" s="671">
        <f t="shared" si="3"/>
        <v>2148350.2491649473</v>
      </c>
    </row>
    <row r="64" spans="1:16" ht="15" outlineLevel="1">
      <c r="A64" s="675"/>
      <c r="B64" s="667">
        <v>42978</v>
      </c>
      <c r="C64" s="676"/>
      <c r="D64" s="676"/>
      <c r="E64" s="670">
        <f t="shared" si="4"/>
        <v>12436306.870425021</v>
      </c>
      <c r="F64" s="670">
        <f t="shared" si="13"/>
        <v>12436306.870425018</v>
      </c>
      <c r="G64" s="637">
        <f t="shared" si="12"/>
        <v>220343.61529896801</v>
      </c>
      <c r="H64" s="670">
        <f t="shared" si="5"/>
        <v>-9351496.2562394626</v>
      </c>
      <c r="I64" s="670">
        <f t="shared" si="14"/>
        <v>-8029434.5644456558</v>
      </c>
      <c r="J64" s="670">
        <f t="shared" si="7"/>
        <v>4406872.3059793618</v>
      </c>
      <c r="K64" s="670">
        <f t="shared" si="1"/>
        <v>77120.265354638803</v>
      </c>
      <c r="L64" s="674">
        <f t="shared" si="0"/>
        <v>-1079683.7149649402</v>
      </c>
      <c r="M64" s="670">
        <f t="shared" si="15"/>
        <v>-1542405.3070927737</v>
      </c>
      <c r="N64" s="672">
        <f t="shared" si="16"/>
        <v>2864466.998886588</v>
      </c>
      <c r="O64" s="671">
        <f t="shared" si="3"/>
        <v>2005126.8992206184</v>
      </c>
    </row>
    <row r="65" spans="1:15" ht="15" outlineLevel="1">
      <c r="A65" s="675"/>
      <c r="B65" s="667">
        <v>43008</v>
      </c>
      <c r="C65" s="676"/>
      <c r="D65" s="676"/>
      <c r="E65" s="670">
        <f t="shared" si="4"/>
        <v>12436306.870425021</v>
      </c>
      <c r="F65" s="670">
        <f t="shared" si="13"/>
        <v>12436306.870425018</v>
      </c>
      <c r="G65" s="637">
        <f t="shared" si="12"/>
        <v>220343.61529896801</v>
      </c>
      <c r="H65" s="670">
        <f t="shared" si="5"/>
        <v>-9571839.8715384305</v>
      </c>
      <c r="I65" s="670">
        <f t="shared" si="14"/>
        <v>-8249778.1797446236</v>
      </c>
      <c r="J65" s="670">
        <f t="shared" si="7"/>
        <v>4186528.6906803939</v>
      </c>
      <c r="K65" s="670">
        <f t="shared" si="1"/>
        <v>77120.265354638803</v>
      </c>
      <c r="L65" s="674">
        <f t="shared" si="0"/>
        <v>-1002563.4496103014</v>
      </c>
      <c r="M65" s="670">
        <f t="shared" si="15"/>
        <v>-1465285.0417381348</v>
      </c>
      <c r="N65" s="672">
        <f t="shared" si="16"/>
        <v>2721243.6489422591</v>
      </c>
      <c r="O65" s="671">
        <f t="shared" si="3"/>
        <v>1861903.5492762895</v>
      </c>
    </row>
    <row r="66" spans="1:15" ht="15" outlineLevel="1">
      <c r="A66" s="675"/>
      <c r="B66" s="667">
        <v>43039</v>
      </c>
      <c r="C66" s="676"/>
      <c r="D66" s="676"/>
      <c r="E66" s="670">
        <f t="shared" si="4"/>
        <v>12436306.870425021</v>
      </c>
      <c r="F66" s="670">
        <f t="shared" si="13"/>
        <v>12436306.870425018</v>
      </c>
      <c r="G66" s="637">
        <f t="shared" si="12"/>
        <v>220343.61529896801</v>
      </c>
      <c r="H66" s="670">
        <f t="shared" si="5"/>
        <v>-9792183.4868373983</v>
      </c>
      <c r="I66" s="670">
        <f t="shared" si="14"/>
        <v>-8470121.7950435914</v>
      </c>
      <c r="J66" s="670">
        <f t="shared" si="7"/>
        <v>3966185.0753814261</v>
      </c>
      <c r="K66" s="670">
        <f t="shared" si="1"/>
        <v>77120.265354638803</v>
      </c>
      <c r="L66" s="674">
        <f t="shared" si="0"/>
        <v>-925443.18425566261</v>
      </c>
      <c r="M66" s="670">
        <f t="shared" si="15"/>
        <v>-1388164.7763834959</v>
      </c>
      <c r="N66" s="672">
        <f t="shared" si="16"/>
        <v>2578020.2989979303</v>
      </c>
      <c r="O66" s="671">
        <f t="shared" si="3"/>
        <v>1718680.1993319604</v>
      </c>
    </row>
    <row r="67" spans="1:15" ht="15" outlineLevel="1">
      <c r="A67" s="675"/>
      <c r="B67" s="667">
        <v>43069</v>
      </c>
      <c r="C67" s="676"/>
      <c r="D67" s="676"/>
      <c r="E67" s="670">
        <f t="shared" si="4"/>
        <v>12436306.870425021</v>
      </c>
      <c r="F67" s="670">
        <f t="shared" si="13"/>
        <v>12436306.870425018</v>
      </c>
      <c r="G67" s="637">
        <f t="shared" si="12"/>
        <v>220343.61529896801</v>
      </c>
      <c r="H67" s="670">
        <f t="shared" si="5"/>
        <v>-10012527.102136366</v>
      </c>
      <c r="I67" s="670">
        <f t="shared" si="14"/>
        <v>-8690465.4103425611</v>
      </c>
      <c r="J67" s="670">
        <f t="shared" si="7"/>
        <v>3745841.4600824565</v>
      </c>
      <c r="K67" s="670">
        <f t="shared" si="1"/>
        <v>77120.265354638803</v>
      </c>
      <c r="L67" s="674">
        <f t="shared" si="0"/>
        <v>-848322.9189010238</v>
      </c>
      <c r="M67" s="670">
        <f t="shared" si="15"/>
        <v>-1311044.5110288572</v>
      </c>
      <c r="N67" s="672">
        <f t="shared" si="16"/>
        <v>2434796.9490535995</v>
      </c>
      <c r="O67" s="671">
        <f t="shared" si="3"/>
        <v>1575456.8493876313</v>
      </c>
    </row>
    <row r="68" spans="1:15" ht="15" outlineLevel="1">
      <c r="A68" s="675"/>
      <c r="B68" s="667">
        <v>43100</v>
      </c>
      <c r="C68" s="676"/>
      <c r="D68" s="676"/>
      <c r="E68" s="670">
        <f t="shared" si="4"/>
        <v>12436306.870425021</v>
      </c>
      <c r="F68" s="670">
        <f t="shared" si="13"/>
        <v>12436306.870425018</v>
      </c>
      <c r="G68" s="637">
        <f t="shared" si="12"/>
        <v>220343.61529896801</v>
      </c>
      <c r="H68" s="670">
        <f t="shared" si="5"/>
        <v>-10232870.717435334</v>
      </c>
      <c r="I68" s="670">
        <f t="shared" si="14"/>
        <v>-8910809.0256415289</v>
      </c>
      <c r="J68" s="670">
        <f t="shared" si="7"/>
        <v>3525497.8447834887</v>
      </c>
      <c r="K68" s="670">
        <f t="shared" si="1"/>
        <v>77120.265354638803</v>
      </c>
      <c r="L68" s="674">
        <f t="shared" si="0"/>
        <v>-771202.653546385</v>
      </c>
      <c r="M68" s="670">
        <f t="shared" si="15"/>
        <v>-1233924.2456742183</v>
      </c>
      <c r="N68" s="672">
        <f t="shared" si="16"/>
        <v>2291573.5991092706</v>
      </c>
      <c r="O68" s="671">
        <f t="shared" si="3"/>
        <v>1432233.4994433024</v>
      </c>
    </row>
    <row r="69" spans="1:15" s="1342" customFormat="1" ht="15" outlineLevel="1">
      <c r="A69" s="1334"/>
      <c r="B69" s="1335">
        <v>43131</v>
      </c>
      <c r="C69" s="1336"/>
      <c r="D69" s="1336"/>
      <c r="E69" s="1337">
        <f t="shared" si="4"/>
        <v>12436306.870425021</v>
      </c>
      <c r="F69" s="1337">
        <f t="shared" si="13"/>
        <v>12436306.870425018</v>
      </c>
      <c r="G69" s="1338">
        <f t="shared" si="12"/>
        <v>220343.61529896801</v>
      </c>
      <c r="H69" s="1337">
        <f t="shared" si="5"/>
        <v>-10453214.332734302</v>
      </c>
      <c r="I69" s="1337">
        <f t="shared" si="14"/>
        <v>-9131152.6409404948</v>
      </c>
      <c r="J69" s="1337">
        <f t="shared" si="7"/>
        <v>3305154.2294845227</v>
      </c>
      <c r="K69" s="1337">
        <v>-962821</v>
      </c>
      <c r="L69" s="1339">
        <f t="shared" si="0"/>
        <v>-1734023.653546385</v>
      </c>
      <c r="M69" s="1337">
        <f t="shared" si="15"/>
        <v>-1200134.8663760228</v>
      </c>
      <c r="N69" s="1340">
        <f t="shared" si="16"/>
        <v>2105019.3631084999</v>
      </c>
      <c r="O69" s="1341">
        <f t="shared" si="3"/>
        <v>249068.88414433459</v>
      </c>
    </row>
    <row r="70" spans="1:15" ht="15" outlineLevel="1">
      <c r="A70" s="675"/>
      <c r="B70" s="667">
        <v>43159</v>
      </c>
      <c r="C70" s="676"/>
      <c r="D70" s="676"/>
      <c r="E70" s="670">
        <f t="shared" si="4"/>
        <v>12436306.870425021</v>
      </c>
      <c r="F70" s="670">
        <f t="shared" si="13"/>
        <v>12436306.870425018</v>
      </c>
      <c r="G70" s="637">
        <f t="shared" si="12"/>
        <v>220343.61529896801</v>
      </c>
      <c r="H70" s="670">
        <f t="shared" si="5"/>
        <v>-10673557.948033269</v>
      </c>
      <c r="I70" s="670">
        <f t="shared" si="14"/>
        <v>-9351496.2562394608</v>
      </c>
      <c r="J70" s="670">
        <f t="shared" si="7"/>
        <v>3084810.6141855568</v>
      </c>
      <c r="K70" s="670">
        <f>(-D70*0.21)+(G70*0.21)</f>
        <v>46272.159212783277</v>
      </c>
      <c r="L70" s="674">
        <f t="shared" si="0"/>
        <v>-1687751.4943336018</v>
      </c>
      <c r="M70" s="670">
        <f t="shared" si="15"/>
        <v>-1210961.7108901811</v>
      </c>
      <c r="N70" s="672">
        <f t="shared" si="16"/>
        <v>1873848.9032953756</v>
      </c>
      <c r="O70" s="694">
        <f t="shared" si="3"/>
        <v>74997.428058149992</v>
      </c>
    </row>
    <row r="71" spans="1:15" ht="15" outlineLevel="1">
      <c r="A71" s="675"/>
      <c r="B71" s="667">
        <v>43190</v>
      </c>
      <c r="C71" s="676"/>
      <c r="D71" s="676"/>
      <c r="E71" s="670">
        <f t="shared" si="4"/>
        <v>12436306.870425021</v>
      </c>
      <c r="F71" s="670">
        <f t="shared" si="13"/>
        <v>12436306.870425018</v>
      </c>
      <c r="G71" s="637">
        <f t="shared" si="12"/>
        <v>220343.61529896801</v>
      </c>
      <c r="H71" s="670">
        <f t="shared" si="5"/>
        <v>-10893901.563332237</v>
      </c>
      <c r="I71" s="670">
        <f t="shared" si="14"/>
        <v>-9571839.8715384323</v>
      </c>
      <c r="J71" s="670">
        <f t="shared" si="7"/>
        <v>2864466.9988865852</v>
      </c>
      <c r="K71" s="670">
        <f>(-D71*0.21)+(G71*0.21)</f>
        <v>46272.159212783277</v>
      </c>
      <c r="L71" s="674">
        <f t="shared" si="0"/>
        <v>-1641479.3351208186</v>
      </c>
      <c r="M71" s="670">
        <f t="shared" si="15"/>
        <v>-1224359.2309161606</v>
      </c>
      <c r="N71" s="672">
        <f t="shared" si="16"/>
        <v>1640107.7679704246</v>
      </c>
      <c r="O71" s="694">
        <f t="shared" si="3"/>
        <v>-99074.028028034605</v>
      </c>
    </row>
    <row r="72" spans="1:15" ht="15" outlineLevel="1">
      <c r="A72" s="675"/>
      <c r="B72" s="667">
        <v>43220</v>
      </c>
      <c r="C72" s="676"/>
      <c r="D72" s="676"/>
      <c r="E72" s="670">
        <f t="shared" si="4"/>
        <v>12436306.870425021</v>
      </c>
      <c r="F72" s="670">
        <f t="shared" si="13"/>
        <v>12436306.870425018</v>
      </c>
      <c r="G72" s="637">
        <f t="shared" si="12"/>
        <v>220343.61529896801</v>
      </c>
      <c r="H72" s="670">
        <f t="shared" si="5"/>
        <v>-11114245.178631205</v>
      </c>
      <c r="I72" s="670">
        <f t="shared" si="14"/>
        <v>-9792183.4868373983</v>
      </c>
      <c r="J72" s="670">
        <f t="shared" si="7"/>
        <v>2644123.3835876193</v>
      </c>
      <c r="K72" s="670">
        <f>(-D72*0.21)+(G72*0.21)</f>
        <v>46272.159212783277</v>
      </c>
      <c r="L72" s="674">
        <f t="shared" si="0"/>
        <v>-1595207.1759080354</v>
      </c>
      <c r="M72" s="670">
        <f t="shared" si="15"/>
        <v>-1240327.4264539618</v>
      </c>
      <c r="N72" s="672">
        <f t="shared" si="16"/>
        <v>1403795.9571336575</v>
      </c>
      <c r="O72" s="694">
        <f t="shared" si="3"/>
        <v>-273145.4841142192</v>
      </c>
    </row>
    <row r="73" spans="1:15" ht="15" outlineLevel="1">
      <c r="A73" s="675"/>
      <c r="B73" s="667">
        <v>43251</v>
      </c>
      <c r="C73" s="676"/>
      <c r="D73" s="676"/>
      <c r="E73" s="670">
        <f t="shared" si="4"/>
        <v>12436306.870425021</v>
      </c>
      <c r="F73" s="670">
        <f t="shared" si="13"/>
        <v>12436306.870425018</v>
      </c>
      <c r="G73" s="637">
        <f t="shared" si="12"/>
        <v>220343.61529896801</v>
      </c>
      <c r="H73" s="670">
        <f t="shared" si="5"/>
        <v>-11334588.793930173</v>
      </c>
      <c r="I73" s="670">
        <f t="shared" si="14"/>
        <v>-10012527.102136366</v>
      </c>
      <c r="J73" s="670">
        <f t="shared" si="7"/>
        <v>2423779.7682886515</v>
      </c>
      <c r="K73" s="670">
        <f>(-D73*0.21)+(G73*0.21)</f>
        <v>46272.159212783277</v>
      </c>
      <c r="L73" s="674">
        <f t="shared" si="0"/>
        <v>-1548935.0166952522</v>
      </c>
      <c r="M73" s="670">
        <f t="shared" si="15"/>
        <v>-1258866.2975035838</v>
      </c>
      <c r="N73" s="672">
        <f t="shared" si="16"/>
        <v>1164913.4707850676</v>
      </c>
      <c r="O73" s="694">
        <f t="shared" si="3"/>
        <v>-447216.9402004038</v>
      </c>
    </row>
    <row r="74" spans="1:15" ht="15" outlineLevel="1">
      <c r="A74" s="675"/>
      <c r="B74" s="667">
        <v>43281</v>
      </c>
      <c r="C74" s="676"/>
      <c r="D74" s="676"/>
      <c r="E74" s="670">
        <f t="shared" si="4"/>
        <v>12436306.870425021</v>
      </c>
      <c r="F74" s="670">
        <f t="shared" si="13"/>
        <v>12436306.870425018</v>
      </c>
      <c r="G74" s="637">
        <f t="shared" si="12"/>
        <v>220343.61529896801</v>
      </c>
      <c r="H74" s="670">
        <f t="shared" si="5"/>
        <v>-11554932.409229141</v>
      </c>
      <c r="I74" s="670">
        <f t="shared" si="14"/>
        <v>-10232870.717435334</v>
      </c>
      <c r="J74" s="670">
        <f t="shared" si="7"/>
        <v>2203436.1529896837</v>
      </c>
      <c r="K74" s="670">
        <f>(-D74*0.21)+(G74*0.21)</f>
        <v>46272.159212783277</v>
      </c>
      <c r="L74" s="674">
        <f t="shared" si="0"/>
        <v>-1502662.8574824689</v>
      </c>
      <c r="M74" s="670">
        <f t="shared" si="15"/>
        <v>-1279975.8440650273</v>
      </c>
      <c r="N74" s="672">
        <f t="shared" si="16"/>
        <v>923460.30892465636</v>
      </c>
      <c r="O74" s="694">
        <f t="shared" si="3"/>
        <v>-621288.3962865884</v>
      </c>
    </row>
    <row r="75" spans="1:15" s="1342" customFormat="1" ht="15" outlineLevel="1">
      <c r="A75" s="1334"/>
      <c r="B75" s="1335">
        <v>43312</v>
      </c>
      <c r="C75" s="1336"/>
      <c r="D75" s="1336"/>
      <c r="E75" s="1337">
        <f t="shared" si="4"/>
        <v>12436306.870425021</v>
      </c>
      <c r="F75" s="1337">
        <f t="shared" si="13"/>
        <v>12436306.870425018</v>
      </c>
      <c r="G75" s="1338">
        <f t="shared" si="12"/>
        <v>220343.61529896801</v>
      </c>
      <c r="H75" s="1337">
        <f t="shared" si="5"/>
        <v>-11775276.024528109</v>
      </c>
      <c r="I75" s="1337">
        <f t="shared" si="14"/>
        <v>-10453214.332734304</v>
      </c>
      <c r="J75" s="1337">
        <f t="shared" si="7"/>
        <v>1983092.537690714</v>
      </c>
      <c r="K75" s="1337">
        <v>998394</v>
      </c>
      <c r="L75" s="1339">
        <f t="shared" ref="L75:L102" si="17">L74+K75</f>
        <v>-504268.85748246894</v>
      </c>
      <c r="M75" s="1337">
        <f t="shared" si="15"/>
        <v>-1263984.3227721581</v>
      </c>
      <c r="N75" s="1340">
        <f t="shared" si="16"/>
        <v>719108.21491855592</v>
      </c>
      <c r="O75" s="1341">
        <f t="shared" si="3"/>
        <v>156761.9884144438</v>
      </c>
    </row>
    <row r="76" spans="1:15" ht="15" outlineLevel="1">
      <c r="A76" s="675"/>
      <c r="B76" s="667">
        <v>43343</v>
      </c>
      <c r="C76" s="676"/>
      <c r="D76" s="676"/>
      <c r="E76" s="670">
        <f t="shared" si="4"/>
        <v>12436306.870425021</v>
      </c>
      <c r="F76" s="670">
        <f t="shared" si="13"/>
        <v>12436306.870425018</v>
      </c>
      <c r="G76" s="637">
        <f t="shared" si="12"/>
        <v>220343.61529896801</v>
      </c>
      <c r="H76" s="670">
        <f t="shared" si="5"/>
        <v>-11995619.639827076</v>
      </c>
      <c r="I76" s="670">
        <f t="shared" si="14"/>
        <v>-10673557.948033271</v>
      </c>
      <c r="J76" s="670">
        <f>F76+I76</f>
        <v>1762748.9223917462</v>
      </c>
      <c r="K76" s="670">
        <f>(-D76*0.21)+(G76*0.21)</f>
        <v>46272.159212783277</v>
      </c>
      <c r="L76" s="674">
        <f t="shared" si="17"/>
        <v>-457996.69826968567</v>
      </c>
      <c r="M76" s="670">
        <f t="shared" si="15"/>
        <v>-1210891.7336249764</v>
      </c>
      <c r="N76" s="672">
        <f t="shared" si="16"/>
        <v>551857.18876676983</v>
      </c>
      <c r="O76" s="694">
        <f t="shared" si="3"/>
        <v>-17309.467671740742</v>
      </c>
    </row>
    <row r="77" spans="1:15" ht="15" outlineLevel="1">
      <c r="A77" s="675"/>
      <c r="B77" s="667">
        <v>43373</v>
      </c>
      <c r="C77" s="676"/>
      <c r="D77" s="676"/>
      <c r="E77" s="670">
        <f t="shared" si="4"/>
        <v>12436306.870425021</v>
      </c>
      <c r="F77" s="670">
        <f t="shared" si="13"/>
        <v>12436306.870425018</v>
      </c>
      <c r="G77" s="637">
        <f t="shared" si="12"/>
        <v>220343.61529896801</v>
      </c>
      <c r="H77" s="670">
        <f t="shared" si="5"/>
        <v>-12215963.255126044</v>
      </c>
      <c r="I77" s="670">
        <f t="shared" si="14"/>
        <v>-10893901.563332237</v>
      </c>
      <c r="J77" s="670">
        <f t="shared" si="7"/>
        <v>1542405.3070927802</v>
      </c>
      <c r="K77" s="670">
        <f>(-D77*0.21)+(G77*0.21)</f>
        <v>46272.159212783277</v>
      </c>
      <c r="L77" s="674">
        <f t="shared" si="17"/>
        <v>-411724.5390569024</v>
      </c>
      <c r="M77" s="670">
        <f t="shared" si="15"/>
        <v>-1160369.8199896158</v>
      </c>
      <c r="N77" s="672">
        <f t="shared" si="16"/>
        <v>382035.48710316443</v>
      </c>
      <c r="O77" s="694">
        <f t="shared" ref="O77:O102" si="18">+E77+H77+L77</f>
        <v>-191380.92375792528</v>
      </c>
    </row>
    <row r="78" spans="1:15" ht="15" outlineLevel="1">
      <c r="A78" s="675"/>
      <c r="B78" s="667">
        <v>43404</v>
      </c>
      <c r="C78" s="676"/>
      <c r="D78" s="676"/>
      <c r="E78" s="670">
        <f t="shared" ref="E78:E102" si="19">E77+D78</f>
        <v>12436306.870425021</v>
      </c>
      <c r="F78" s="670">
        <f t="shared" si="13"/>
        <v>12436306.870425018</v>
      </c>
      <c r="G78" s="637">
        <f t="shared" si="12"/>
        <v>220343.61529896801</v>
      </c>
      <c r="H78" s="670">
        <f t="shared" si="5"/>
        <v>-12436306.870425012</v>
      </c>
      <c r="I78" s="670">
        <f t="shared" si="14"/>
        <v>-11114245.178631203</v>
      </c>
      <c r="J78" s="670">
        <f t="shared" si="7"/>
        <v>1322061.6917938143</v>
      </c>
      <c r="K78" s="670">
        <f>(-D78*0.21)+(G78*0.21)</f>
        <v>46272.159212783277</v>
      </c>
      <c r="L78" s="674">
        <f t="shared" si="17"/>
        <v>-365452.37984411913</v>
      </c>
      <c r="M78" s="670">
        <f t="shared" si="15"/>
        <v>-1112418.5818660764</v>
      </c>
      <c r="N78" s="672">
        <f t="shared" si="16"/>
        <v>209643.10992773785</v>
      </c>
      <c r="O78" s="694">
        <f t="shared" si="18"/>
        <v>-365452.37984410982</v>
      </c>
    </row>
    <row r="79" spans="1:15" ht="15" outlineLevel="1">
      <c r="A79" s="675"/>
      <c r="B79" s="667">
        <v>43434</v>
      </c>
      <c r="C79" s="676"/>
      <c r="D79" s="676"/>
      <c r="E79" s="670">
        <f t="shared" si="19"/>
        <v>12436306.870425021</v>
      </c>
      <c r="F79" s="670">
        <f t="shared" si="13"/>
        <v>12436306.870425018</v>
      </c>
      <c r="G79" s="637"/>
      <c r="H79" s="670">
        <f t="shared" si="5"/>
        <v>-12436306.870425012</v>
      </c>
      <c r="I79" s="670">
        <f t="shared" si="14"/>
        <v>-11325407.809959384</v>
      </c>
      <c r="J79" s="670">
        <f t="shared" si="7"/>
        <v>1110899.0604656339</v>
      </c>
      <c r="K79" s="670">
        <f t="shared" ref="K79:K85" si="20">(-D79*0.21)+(G79*0.21)</f>
        <v>0</v>
      </c>
      <c r="L79" s="674">
        <f t="shared" si="17"/>
        <v>-365452.37984411913</v>
      </c>
      <c r="M79" s="670">
        <f t="shared" si="15"/>
        <v>-1068966.0258882246</v>
      </c>
      <c r="N79" s="672">
        <f t="shared" si="16"/>
        <v>41933.034577409271</v>
      </c>
      <c r="O79" s="694">
        <f t="shared" si="18"/>
        <v>-365452.37984410982</v>
      </c>
    </row>
    <row r="80" spans="1:15" ht="15" outlineLevel="1">
      <c r="A80" s="675"/>
      <c r="B80" s="667">
        <v>43465</v>
      </c>
      <c r="C80" s="676"/>
      <c r="D80" s="676"/>
      <c r="E80" s="670">
        <f t="shared" si="19"/>
        <v>12436306.870425021</v>
      </c>
      <c r="F80" s="670">
        <f t="shared" si="13"/>
        <v>12436306.870425018</v>
      </c>
      <c r="G80" s="637"/>
      <c r="H80" s="670">
        <f t="shared" si="5"/>
        <v>-12436306.870425012</v>
      </c>
      <c r="I80" s="670">
        <f t="shared" si="14"/>
        <v>-11518208.47334598</v>
      </c>
      <c r="J80" s="670">
        <f t="shared" si="7"/>
        <v>918098.3970790375</v>
      </c>
      <c r="K80" s="670">
        <f t="shared" si="20"/>
        <v>0</v>
      </c>
      <c r="L80" s="674">
        <f t="shared" si="17"/>
        <v>-365452.37984411913</v>
      </c>
      <c r="M80" s="670">
        <f t="shared" si="15"/>
        <v>-1031940.1586899259</v>
      </c>
      <c r="N80" s="672">
        <f t="shared" si="16"/>
        <v>-113841.76161088841</v>
      </c>
      <c r="O80" s="694">
        <f t="shared" si="18"/>
        <v>-365452.37984410982</v>
      </c>
    </row>
    <row r="81" spans="1:15" ht="15" outlineLevel="1">
      <c r="A81" s="675"/>
      <c r="B81" s="667">
        <v>43496</v>
      </c>
      <c r="C81" s="676"/>
      <c r="D81" s="676"/>
      <c r="E81" s="670">
        <f t="shared" si="19"/>
        <v>12436306.870425021</v>
      </c>
      <c r="F81" s="670">
        <f t="shared" si="13"/>
        <v>12436306.870425018</v>
      </c>
      <c r="G81" s="637"/>
      <c r="H81" s="670">
        <f t="shared" si="5"/>
        <v>-12436306.870425012</v>
      </c>
      <c r="I81" s="670">
        <f t="shared" si="14"/>
        <v>-11692647.168790996</v>
      </c>
      <c r="J81" s="670">
        <f t="shared" si="7"/>
        <v>743659.70163402148</v>
      </c>
      <c r="K81" s="670">
        <f t="shared" si="20"/>
        <v>0</v>
      </c>
      <c r="L81" s="674">
        <f t="shared" si="17"/>
        <v>-365452.37984411913</v>
      </c>
      <c r="M81" s="670">
        <f t="shared" si="15"/>
        <v>-958010.09421473707</v>
      </c>
      <c r="N81" s="672">
        <f t="shared" si="16"/>
        <v>-214350.39258071559</v>
      </c>
      <c r="O81" s="694">
        <f t="shared" si="18"/>
        <v>-365452.37984410982</v>
      </c>
    </row>
    <row r="82" spans="1:15" ht="15" outlineLevel="1">
      <c r="A82" s="675"/>
      <c r="B82" s="667">
        <v>43524</v>
      </c>
      <c r="C82" s="676"/>
      <c r="D82" s="676"/>
      <c r="E82" s="670">
        <f t="shared" si="19"/>
        <v>12436306.870425021</v>
      </c>
      <c r="F82" s="670">
        <f t="shared" si="13"/>
        <v>12436306.870425018</v>
      </c>
      <c r="G82" s="637"/>
      <c r="H82" s="670">
        <f t="shared" si="5"/>
        <v>-12436306.870425012</v>
      </c>
      <c r="I82" s="670">
        <f t="shared" si="14"/>
        <v>-11848723.896294432</v>
      </c>
      <c r="J82" s="670">
        <f t="shared" si="7"/>
        <v>587582.97413058579</v>
      </c>
      <c r="K82" s="670">
        <f t="shared" si="20"/>
        <v>0</v>
      </c>
      <c r="L82" s="674">
        <f t="shared" si="17"/>
        <v>-365452.37984411913</v>
      </c>
      <c r="M82" s="670">
        <f t="shared" si="15"/>
        <v>-845890.49470674747</v>
      </c>
      <c r="N82" s="672">
        <f t="shared" si="16"/>
        <v>-258307.52057616168</v>
      </c>
      <c r="O82" s="694">
        <f t="shared" si="18"/>
        <v>-365452.37984410982</v>
      </c>
    </row>
    <row r="83" spans="1:15" ht="15" outlineLevel="1">
      <c r="A83" s="675"/>
      <c r="B83" s="667">
        <v>43555</v>
      </c>
      <c r="C83" s="676"/>
      <c r="D83" s="676"/>
      <c r="E83" s="670">
        <f t="shared" si="19"/>
        <v>12436306.870425021</v>
      </c>
      <c r="F83" s="670">
        <f t="shared" si="13"/>
        <v>12436306.870425018</v>
      </c>
      <c r="G83" s="637"/>
      <c r="H83" s="670">
        <f t="shared" ref="H83:H89" si="21">H82-G83</f>
        <v>-12436306.870425012</v>
      </c>
      <c r="I83" s="670">
        <f t="shared" si="14"/>
        <v>-11986438.655856289</v>
      </c>
      <c r="J83" s="670">
        <f t="shared" si="7"/>
        <v>449868.21456872858</v>
      </c>
      <c r="K83" s="670">
        <f t="shared" si="20"/>
        <v>0</v>
      </c>
      <c r="L83" s="674">
        <f t="shared" si="17"/>
        <v>-365452.37984411913</v>
      </c>
      <c r="M83" s="670">
        <f t="shared" si="15"/>
        <v>-737626.90846648964</v>
      </c>
      <c r="N83" s="672">
        <f t="shared" si="16"/>
        <v>-287758.69389776106</v>
      </c>
      <c r="O83" s="694">
        <f t="shared" si="18"/>
        <v>-365452.37984410982</v>
      </c>
    </row>
    <row r="84" spans="1:15" ht="15" outlineLevel="1">
      <c r="A84" s="675"/>
      <c r="B84" s="667">
        <v>43585</v>
      </c>
      <c r="C84" s="676"/>
      <c r="D84" s="676"/>
      <c r="E84" s="670">
        <f t="shared" si="19"/>
        <v>12436306.870425021</v>
      </c>
      <c r="F84" s="670">
        <f t="shared" si="13"/>
        <v>12436306.870425018</v>
      </c>
      <c r="G84" s="637"/>
      <c r="H84" s="670">
        <f t="shared" si="21"/>
        <v>-12436306.870425012</v>
      </c>
      <c r="I84" s="670">
        <f t="shared" si="14"/>
        <v>-12105791.44747656</v>
      </c>
      <c r="J84" s="670">
        <f t="shared" si="7"/>
        <v>330515.4229484573</v>
      </c>
      <c r="K84" s="670">
        <f t="shared" si="20"/>
        <v>0</v>
      </c>
      <c r="L84" s="674">
        <f t="shared" si="17"/>
        <v>-365452.37984411913</v>
      </c>
      <c r="M84" s="670">
        <f t="shared" si="15"/>
        <v>-633219.33549396403</v>
      </c>
      <c r="N84" s="672">
        <f t="shared" si="16"/>
        <v>-302703.91254550673</v>
      </c>
      <c r="O84" s="694">
        <f t="shared" si="18"/>
        <v>-365452.37984410982</v>
      </c>
    </row>
    <row r="85" spans="1:15" ht="15" outlineLevel="1">
      <c r="A85" s="675"/>
      <c r="B85" s="667">
        <v>43616</v>
      </c>
      <c r="C85" s="676"/>
      <c r="D85" s="676"/>
      <c r="E85" s="670">
        <f t="shared" si="19"/>
        <v>12436306.870425021</v>
      </c>
      <c r="F85" s="670">
        <f t="shared" si="13"/>
        <v>12436306.870425018</v>
      </c>
      <c r="G85" s="637"/>
      <c r="H85" s="670">
        <f t="shared" si="21"/>
        <v>-12436306.870425012</v>
      </c>
      <c r="I85" s="670">
        <f t="shared" si="14"/>
        <v>-12206782.271155253</v>
      </c>
      <c r="J85" s="670">
        <f t="shared" ref="J85:J102" si="22">F85+I85</f>
        <v>229524.5992697645</v>
      </c>
      <c r="K85" s="670">
        <f t="shared" si="20"/>
        <v>0</v>
      </c>
      <c r="L85" s="674">
        <f t="shared" si="17"/>
        <v>-365452.37984411913</v>
      </c>
      <c r="M85" s="670">
        <f t="shared" si="15"/>
        <v>-532667.77578917041</v>
      </c>
      <c r="N85" s="672">
        <f t="shared" si="16"/>
        <v>-303143.17651940591</v>
      </c>
      <c r="O85" s="694">
        <f t="shared" si="18"/>
        <v>-365452.37984410982</v>
      </c>
    </row>
    <row r="86" spans="1:15" ht="15" outlineLevel="1">
      <c r="A86" s="675"/>
      <c r="B86" s="667">
        <v>43646</v>
      </c>
      <c r="C86" s="676"/>
      <c r="D86" s="676"/>
      <c r="E86" s="670">
        <f t="shared" si="19"/>
        <v>12436306.870425021</v>
      </c>
      <c r="F86" s="670">
        <f t="shared" si="13"/>
        <v>12436306.870425018</v>
      </c>
      <c r="G86" s="637"/>
      <c r="H86" s="670">
        <f t="shared" si="21"/>
        <v>-12436306.870425012</v>
      </c>
      <c r="I86" s="670">
        <f t="shared" si="14"/>
        <v>-12289411.126892367</v>
      </c>
      <c r="J86" s="670">
        <f t="shared" si="22"/>
        <v>146895.74353265017</v>
      </c>
      <c r="K86" s="670">
        <f t="shared" ref="K86:K102" si="23">(-D86*0.35)+(G86*0.35)</f>
        <v>0</v>
      </c>
      <c r="L86" s="674">
        <f t="shared" si="17"/>
        <v>-365452.37984411913</v>
      </c>
      <c r="M86" s="670">
        <f t="shared" si="15"/>
        <v>-435972.22935210873</v>
      </c>
      <c r="N86" s="672">
        <f t="shared" si="16"/>
        <v>-289076.48581945855</v>
      </c>
      <c r="O86" s="694">
        <f t="shared" si="18"/>
        <v>-365452.37984410982</v>
      </c>
    </row>
    <row r="87" spans="1:15" ht="15" outlineLevel="1">
      <c r="A87" s="675"/>
      <c r="B87" s="667">
        <v>43677</v>
      </c>
      <c r="C87" s="676"/>
      <c r="D87" s="676"/>
      <c r="E87" s="670">
        <f t="shared" si="19"/>
        <v>12436306.870425021</v>
      </c>
      <c r="F87" s="670">
        <f t="shared" si="13"/>
        <v>12436306.870425018</v>
      </c>
      <c r="G87" s="637"/>
      <c r="H87" s="670">
        <f t="shared" si="21"/>
        <v>-12436306.870425012</v>
      </c>
      <c r="I87" s="670">
        <f t="shared" si="14"/>
        <v>-12353678.014687901</v>
      </c>
      <c r="J87" s="670">
        <f t="shared" si="22"/>
        <v>82628.855737116188</v>
      </c>
      <c r="K87" s="670">
        <f t="shared" si="23"/>
        <v>0</v>
      </c>
      <c r="L87" s="674">
        <f t="shared" si="17"/>
        <v>-365452.37984411913</v>
      </c>
      <c r="M87" s="670">
        <f t="shared" si="15"/>
        <v>-382804.43954891292</v>
      </c>
      <c r="N87" s="672">
        <f t="shared" si="16"/>
        <v>-300175.58381179674</v>
      </c>
      <c r="O87" s="671">
        <f t="shared" si="18"/>
        <v>-365452.37984410982</v>
      </c>
    </row>
    <row r="88" spans="1:15" ht="15" outlineLevel="1">
      <c r="A88" s="675"/>
      <c r="B88" s="667">
        <v>43708</v>
      </c>
      <c r="C88" s="676"/>
      <c r="D88" s="676"/>
      <c r="E88" s="670">
        <f t="shared" si="19"/>
        <v>12436306.870425021</v>
      </c>
      <c r="F88" s="670">
        <f t="shared" si="13"/>
        <v>12436306.870425018</v>
      </c>
      <c r="G88" s="637"/>
      <c r="H88" s="670">
        <f t="shared" si="21"/>
        <v>-12436306.870425012</v>
      </c>
      <c r="I88" s="670">
        <f t="shared" si="14"/>
        <v>-12399582.934541851</v>
      </c>
      <c r="J88" s="670">
        <f t="shared" si="22"/>
        <v>36723.935883166268</v>
      </c>
      <c r="K88" s="670">
        <f t="shared" si="23"/>
        <v>0</v>
      </c>
      <c r="L88" s="674">
        <f t="shared" si="17"/>
        <v>-365452.37984411913</v>
      </c>
      <c r="M88" s="670">
        <f t="shared" si="15"/>
        <v>-373164.40637958306</v>
      </c>
      <c r="N88" s="672">
        <f t="shared" si="16"/>
        <v>-336440.47049641679</v>
      </c>
      <c r="O88" s="671">
        <f t="shared" si="18"/>
        <v>-365452.37984410982</v>
      </c>
    </row>
    <row r="89" spans="1:15" ht="15" outlineLevel="1">
      <c r="A89" s="675"/>
      <c r="B89" s="667">
        <v>43738</v>
      </c>
      <c r="C89" s="676"/>
      <c r="D89" s="676"/>
      <c r="E89" s="670">
        <f t="shared" si="19"/>
        <v>12436306.870425021</v>
      </c>
      <c r="F89" s="670">
        <f t="shared" si="13"/>
        <v>12436306.870425018</v>
      </c>
      <c r="G89" s="637"/>
      <c r="H89" s="670">
        <f t="shared" si="21"/>
        <v>-12436306.870425012</v>
      </c>
      <c r="I89" s="670">
        <f t="shared" si="14"/>
        <v>-12427125.886454223</v>
      </c>
      <c r="J89" s="670">
        <f t="shared" si="22"/>
        <v>9180.9839707948267</v>
      </c>
      <c r="K89" s="670">
        <f t="shared" si="23"/>
        <v>0</v>
      </c>
      <c r="L89" s="674">
        <f t="shared" si="17"/>
        <v>-365452.37984411913</v>
      </c>
      <c r="M89" s="670">
        <f t="shared" si="15"/>
        <v>-367380.38647798519</v>
      </c>
      <c r="N89" s="672">
        <f t="shared" si="16"/>
        <v>-358199.40250719036</v>
      </c>
      <c r="O89" s="671">
        <f t="shared" si="18"/>
        <v>-365452.37984410982</v>
      </c>
    </row>
    <row r="90" spans="1:15" ht="15" outlineLevel="1">
      <c r="A90" s="675"/>
      <c r="B90" s="667">
        <v>43769</v>
      </c>
      <c r="C90" s="676"/>
      <c r="D90" s="676"/>
      <c r="E90" s="670">
        <f t="shared" si="19"/>
        <v>12436306.870425021</v>
      </c>
      <c r="F90" s="670">
        <f t="shared" si="13"/>
        <v>12436306.870425018</v>
      </c>
      <c r="G90" s="637"/>
      <c r="H90" s="670">
        <f>H89-G90</f>
        <v>-12436306.870425012</v>
      </c>
      <c r="I90" s="670">
        <f t="shared" si="14"/>
        <v>-12436306.870425014</v>
      </c>
      <c r="J90" s="670">
        <f t="shared" si="22"/>
        <v>0</v>
      </c>
      <c r="K90" s="670">
        <f t="shared" si="23"/>
        <v>0</v>
      </c>
      <c r="L90" s="674">
        <f t="shared" si="17"/>
        <v>-365452.37984411913</v>
      </c>
      <c r="M90" s="670">
        <f t="shared" si="15"/>
        <v>-365452.37984411925</v>
      </c>
      <c r="N90" s="672">
        <f t="shared" si="16"/>
        <v>-365452.37984411925</v>
      </c>
      <c r="O90" s="671">
        <f t="shared" si="18"/>
        <v>-365452.37984410982</v>
      </c>
    </row>
    <row r="91" spans="1:15" ht="15" outlineLevel="1">
      <c r="A91" s="675"/>
      <c r="B91" s="667">
        <v>43799</v>
      </c>
      <c r="C91" s="676"/>
      <c r="D91" s="676"/>
      <c r="E91" s="670">
        <f t="shared" si="19"/>
        <v>12436306.870425021</v>
      </c>
      <c r="F91" s="670">
        <f t="shared" si="13"/>
        <v>12436306.870425018</v>
      </c>
      <c r="G91" s="637"/>
      <c r="H91" s="670">
        <f t="shared" ref="H91:H102" si="24">H90-G91</f>
        <v>-12436306.870425012</v>
      </c>
      <c r="I91" s="670">
        <f t="shared" si="14"/>
        <v>-12436306.870425014</v>
      </c>
      <c r="J91" s="670">
        <f t="shared" si="22"/>
        <v>0</v>
      </c>
      <c r="K91" s="670">
        <f t="shared" si="23"/>
        <v>0</v>
      </c>
      <c r="L91" s="674">
        <f t="shared" si="17"/>
        <v>-365452.37984411913</v>
      </c>
      <c r="M91" s="670">
        <f t="shared" si="15"/>
        <v>-365452.37984411925</v>
      </c>
      <c r="N91" s="672">
        <f t="shared" si="16"/>
        <v>-365452.37984411925</v>
      </c>
      <c r="O91" s="671">
        <f t="shared" si="18"/>
        <v>-365452.37984410982</v>
      </c>
    </row>
    <row r="92" spans="1:15" ht="15" outlineLevel="1">
      <c r="A92" s="675"/>
      <c r="B92" s="667">
        <v>43830</v>
      </c>
      <c r="C92" s="676"/>
      <c r="D92" s="676"/>
      <c r="E92" s="670">
        <f t="shared" si="19"/>
        <v>12436306.870425021</v>
      </c>
      <c r="F92" s="670">
        <f t="shared" si="13"/>
        <v>12436306.870425018</v>
      </c>
      <c r="G92" s="637"/>
      <c r="H92" s="670">
        <f t="shared" si="24"/>
        <v>-12436306.870425012</v>
      </c>
      <c r="I92" s="670">
        <f t="shared" si="14"/>
        <v>-12436306.870425014</v>
      </c>
      <c r="J92" s="670">
        <f t="shared" si="22"/>
        <v>0</v>
      </c>
      <c r="K92" s="670">
        <f t="shared" si="23"/>
        <v>0</v>
      </c>
      <c r="L92" s="674">
        <f t="shared" si="17"/>
        <v>-365452.37984411913</v>
      </c>
      <c r="M92" s="670">
        <f t="shared" si="15"/>
        <v>-365452.37984411925</v>
      </c>
      <c r="N92" s="672">
        <f t="shared" si="16"/>
        <v>-365452.37984411925</v>
      </c>
      <c r="O92" s="671">
        <f t="shared" si="18"/>
        <v>-365452.37984410982</v>
      </c>
    </row>
    <row r="93" spans="1:15" ht="15" outlineLevel="1">
      <c r="A93" s="675"/>
      <c r="B93" s="667">
        <v>43861</v>
      </c>
      <c r="C93" s="676"/>
      <c r="D93" s="676"/>
      <c r="E93" s="670">
        <f t="shared" si="19"/>
        <v>12436306.870425021</v>
      </c>
      <c r="F93" s="670">
        <f t="shared" si="13"/>
        <v>12436306.870425018</v>
      </c>
      <c r="G93" s="637"/>
      <c r="H93" s="670">
        <f t="shared" si="24"/>
        <v>-12436306.870425012</v>
      </c>
      <c r="I93" s="670">
        <f t="shared" si="14"/>
        <v>-12436306.870425014</v>
      </c>
      <c r="J93" s="670">
        <f t="shared" si="22"/>
        <v>0</v>
      </c>
      <c r="K93" s="670">
        <f t="shared" si="23"/>
        <v>0</v>
      </c>
      <c r="L93" s="674">
        <f t="shared" si="17"/>
        <v>-365452.37984411913</v>
      </c>
      <c r="M93" s="670">
        <f t="shared" si="15"/>
        <v>-365452.37984411925</v>
      </c>
      <c r="N93" s="672">
        <f t="shared" si="16"/>
        <v>-365452.37984411925</v>
      </c>
      <c r="O93" s="671">
        <f t="shared" si="18"/>
        <v>-365452.37984410982</v>
      </c>
    </row>
    <row r="94" spans="1:15" ht="15" outlineLevel="1">
      <c r="A94" s="675"/>
      <c r="B94" s="667">
        <v>43889</v>
      </c>
      <c r="C94" s="676"/>
      <c r="D94" s="676"/>
      <c r="E94" s="670">
        <f t="shared" si="19"/>
        <v>12436306.870425021</v>
      </c>
      <c r="F94" s="670">
        <f t="shared" si="13"/>
        <v>12436306.870425018</v>
      </c>
      <c r="G94" s="637"/>
      <c r="H94" s="670">
        <f t="shared" si="24"/>
        <v>-12436306.870425012</v>
      </c>
      <c r="I94" s="670">
        <f t="shared" si="14"/>
        <v>-12436306.870425014</v>
      </c>
      <c r="J94" s="670">
        <f t="shared" si="22"/>
        <v>0</v>
      </c>
      <c r="K94" s="670">
        <f t="shared" si="23"/>
        <v>0</v>
      </c>
      <c r="L94" s="674">
        <f t="shared" si="17"/>
        <v>-365452.37984411913</v>
      </c>
      <c r="M94" s="670">
        <f t="shared" si="15"/>
        <v>-365452.37984411925</v>
      </c>
      <c r="N94" s="672">
        <f t="shared" si="16"/>
        <v>-365452.37984411925</v>
      </c>
      <c r="O94" s="671">
        <f t="shared" si="18"/>
        <v>-365452.37984410982</v>
      </c>
    </row>
    <row r="95" spans="1:15" ht="15" outlineLevel="1">
      <c r="A95" s="675"/>
      <c r="B95" s="667">
        <v>43921</v>
      </c>
      <c r="C95" s="676"/>
      <c r="D95" s="676"/>
      <c r="E95" s="670">
        <f t="shared" si="19"/>
        <v>12436306.870425021</v>
      </c>
      <c r="F95" s="670">
        <f t="shared" si="13"/>
        <v>12436306.870425018</v>
      </c>
      <c r="G95" s="637"/>
      <c r="H95" s="670">
        <f t="shared" si="24"/>
        <v>-12436306.870425012</v>
      </c>
      <c r="I95" s="670">
        <f t="shared" si="14"/>
        <v>-12436306.870425014</v>
      </c>
      <c r="J95" s="670">
        <f t="shared" si="22"/>
        <v>0</v>
      </c>
      <c r="K95" s="670">
        <f t="shared" si="23"/>
        <v>0</v>
      </c>
      <c r="L95" s="674">
        <f t="shared" si="17"/>
        <v>-365452.37984411913</v>
      </c>
      <c r="M95" s="670">
        <f t="shared" si="15"/>
        <v>-365452.37984411925</v>
      </c>
      <c r="N95" s="672">
        <f t="shared" si="16"/>
        <v>-365452.37984411925</v>
      </c>
      <c r="O95" s="671">
        <f t="shared" si="18"/>
        <v>-365452.37984410982</v>
      </c>
    </row>
    <row r="96" spans="1:15" ht="15" outlineLevel="1">
      <c r="A96" s="675"/>
      <c r="B96" s="667">
        <v>43951</v>
      </c>
      <c r="C96" s="676"/>
      <c r="D96" s="676"/>
      <c r="E96" s="670">
        <f t="shared" si="19"/>
        <v>12436306.870425021</v>
      </c>
      <c r="F96" s="670">
        <f t="shared" si="13"/>
        <v>12436306.870425018</v>
      </c>
      <c r="G96" s="637"/>
      <c r="H96" s="670">
        <f t="shared" si="24"/>
        <v>-12436306.870425012</v>
      </c>
      <c r="I96" s="670">
        <f t="shared" si="14"/>
        <v>-12436306.870425014</v>
      </c>
      <c r="J96" s="670">
        <f t="shared" si="22"/>
        <v>0</v>
      </c>
      <c r="K96" s="670">
        <f t="shared" si="23"/>
        <v>0</v>
      </c>
      <c r="L96" s="674">
        <f t="shared" si="17"/>
        <v>-365452.37984411913</v>
      </c>
      <c r="M96" s="670">
        <f t="shared" si="15"/>
        <v>-365452.37984411925</v>
      </c>
      <c r="N96" s="672">
        <f t="shared" si="16"/>
        <v>-365452.37984411925</v>
      </c>
      <c r="O96" s="671">
        <f t="shared" si="18"/>
        <v>-365452.37984410982</v>
      </c>
    </row>
    <row r="97" spans="1:15" ht="15" outlineLevel="1">
      <c r="A97" s="675"/>
      <c r="B97" s="667">
        <v>43982</v>
      </c>
      <c r="C97" s="676"/>
      <c r="D97" s="676"/>
      <c r="E97" s="670">
        <f t="shared" si="19"/>
        <v>12436306.870425021</v>
      </c>
      <c r="F97" s="670">
        <f t="shared" si="13"/>
        <v>12436306.870425018</v>
      </c>
      <c r="G97" s="637"/>
      <c r="H97" s="670">
        <f t="shared" si="24"/>
        <v>-12436306.870425012</v>
      </c>
      <c r="I97" s="670">
        <f t="shared" si="14"/>
        <v>-12436306.870425014</v>
      </c>
      <c r="J97" s="670">
        <f t="shared" si="22"/>
        <v>0</v>
      </c>
      <c r="K97" s="670">
        <f t="shared" si="23"/>
        <v>0</v>
      </c>
      <c r="L97" s="674">
        <f t="shared" si="17"/>
        <v>-365452.37984411913</v>
      </c>
      <c r="M97" s="670">
        <f t="shared" si="15"/>
        <v>-365452.37984411925</v>
      </c>
      <c r="N97" s="672">
        <f t="shared" si="16"/>
        <v>-365452.37984411925</v>
      </c>
      <c r="O97" s="671">
        <f t="shared" si="18"/>
        <v>-365452.37984410982</v>
      </c>
    </row>
    <row r="98" spans="1:15" ht="15" outlineLevel="1">
      <c r="A98" s="675"/>
      <c r="B98" s="667">
        <v>44012</v>
      </c>
      <c r="C98" s="676"/>
      <c r="D98" s="676"/>
      <c r="E98" s="670">
        <f t="shared" si="19"/>
        <v>12436306.870425021</v>
      </c>
      <c r="F98" s="670">
        <f t="shared" si="13"/>
        <v>12436306.870425018</v>
      </c>
      <c r="G98" s="637"/>
      <c r="H98" s="670">
        <f t="shared" si="24"/>
        <v>-12436306.870425012</v>
      </c>
      <c r="I98" s="670">
        <f t="shared" si="14"/>
        <v>-12436306.870425014</v>
      </c>
      <c r="J98" s="670">
        <f t="shared" si="22"/>
        <v>0</v>
      </c>
      <c r="K98" s="670">
        <f t="shared" si="23"/>
        <v>0</v>
      </c>
      <c r="L98" s="674">
        <f t="shared" si="17"/>
        <v>-365452.37984411913</v>
      </c>
      <c r="M98" s="670">
        <f t="shared" si="15"/>
        <v>-365452.37984411925</v>
      </c>
      <c r="N98" s="672">
        <f t="shared" si="16"/>
        <v>-365452.37984411925</v>
      </c>
      <c r="O98" s="671">
        <f t="shared" si="18"/>
        <v>-365452.37984410982</v>
      </c>
    </row>
    <row r="99" spans="1:15" ht="15" outlineLevel="1">
      <c r="A99" s="675"/>
      <c r="B99" s="667">
        <v>44043</v>
      </c>
      <c r="C99" s="676"/>
      <c r="D99" s="676"/>
      <c r="E99" s="670">
        <f t="shared" si="19"/>
        <v>12436306.870425021</v>
      </c>
      <c r="F99" s="670">
        <f t="shared" si="13"/>
        <v>12436306.870425018</v>
      </c>
      <c r="G99" s="637"/>
      <c r="H99" s="670">
        <f t="shared" si="24"/>
        <v>-12436306.870425012</v>
      </c>
      <c r="I99" s="670">
        <f t="shared" si="14"/>
        <v>-12436306.870425014</v>
      </c>
      <c r="J99" s="670">
        <f t="shared" si="22"/>
        <v>0</v>
      </c>
      <c r="K99" s="670">
        <f t="shared" si="23"/>
        <v>0</v>
      </c>
      <c r="L99" s="674">
        <f t="shared" si="17"/>
        <v>-365452.37984411913</v>
      </c>
      <c r="M99" s="670">
        <f t="shared" si="15"/>
        <v>-365452.37984411925</v>
      </c>
      <c r="N99" s="672">
        <f t="shared" si="16"/>
        <v>-365452.37984411925</v>
      </c>
      <c r="O99" s="671">
        <f t="shared" si="18"/>
        <v>-365452.37984410982</v>
      </c>
    </row>
    <row r="100" spans="1:15" ht="15" outlineLevel="1">
      <c r="A100" s="675"/>
      <c r="B100" s="667">
        <v>44074</v>
      </c>
      <c r="C100" s="676"/>
      <c r="D100" s="676"/>
      <c r="E100" s="670">
        <f t="shared" si="19"/>
        <v>12436306.870425021</v>
      </c>
      <c r="F100" s="670">
        <f t="shared" si="13"/>
        <v>12436306.870425018</v>
      </c>
      <c r="G100" s="637"/>
      <c r="H100" s="670">
        <f t="shared" si="24"/>
        <v>-12436306.870425012</v>
      </c>
      <c r="I100" s="670">
        <f t="shared" si="14"/>
        <v>-12436306.870425014</v>
      </c>
      <c r="J100" s="670">
        <f t="shared" si="22"/>
        <v>0</v>
      </c>
      <c r="K100" s="670">
        <f t="shared" si="23"/>
        <v>0</v>
      </c>
      <c r="L100" s="674">
        <f t="shared" si="17"/>
        <v>-365452.37984411913</v>
      </c>
      <c r="M100" s="670">
        <f t="shared" si="15"/>
        <v>-365452.37984411925</v>
      </c>
      <c r="N100" s="672">
        <f t="shared" si="16"/>
        <v>-365452.37984411925</v>
      </c>
      <c r="O100" s="671">
        <f t="shared" si="18"/>
        <v>-365452.37984410982</v>
      </c>
    </row>
    <row r="101" spans="1:15" ht="15" outlineLevel="1">
      <c r="A101" s="675"/>
      <c r="B101" s="667">
        <v>44104</v>
      </c>
      <c r="C101" s="676"/>
      <c r="D101" s="676"/>
      <c r="E101" s="670">
        <f t="shared" si="19"/>
        <v>12436306.870425021</v>
      </c>
      <c r="F101" s="670">
        <f t="shared" si="13"/>
        <v>12436306.870425018</v>
      </c>
      <c r="G101" s="637"/>
      <c r="H101" s="670">
        <f t="shared" si="24"/>
        <v>-12436306.870425012</v>
      </c>
      <c r="I101" s="670">
        <f t="shared" si="14"/>
        <v>-12436306.870425014</v>
      </c>
      <c r="J101" s="670">
        <f t="shared" si="22"/>
        <v>0</v>
      </c>
      <c r="K101" s="670">
        <f t="shared" si="23"/>
        <v>0</v>
      </c>
      <c r="L101" s="674">
        <f t="shared" si="17"/>
        <v>-365452.37984411913</v>
      </c>
      <c r="M101" s="670">
        <f t="shared" si="15"/>
        <v>-365452.37984411925</v>
      </c>
      <c r="N101" s="672">
        <f t="shared" si="16"/>
        <v>-365452.37984411925</v>
      </c>
      <c r="O101" s="671">
        <f t="shared" si="18"/>
        <v>-365452.37984410982</v>
      </c>
    </row>
    <row r="102" spans="1:15" ht="15" outlineLevel="1">
      <c r="A102" s="675"/>
      <c r="B102" s="667">
        <v>44135</v>
      </c>
      <c r="C102" s="676"/>
      <c r="D102" s="676"/>
      <c r="E102" s="670">
        <f t="shared" si="19"/>
        <v>12436306.870425021</v>
      </c>
      <c r="F102" s="670">
        <f>(E90+E102+SUM(E91:E101)*2)/24</f>
        <v>12436306.870425018</v>
      </c>
      <c r="G102" s="637"/>
      <c r="H102" s="670">
        <f t="shared" si="24"/>
        <v>-12436306.870425012</v>
      </c>
      <c r="I102" s="670">
        <f>(H90+H102+SUM(H91:H101)*2)/24</f>
        <v>-12436306.870425014</v>
      </c>
      <c r="J102" s="670">
        <f t="shared" si="22"/>
        <v>0</v>
      </c>
      <c r="K102" s="670">
        <f t="shared" si="23"/>
        <v>0</v>
      </c>
      <c r="L102" s="674">
        <f t="shared" si="17"/>
        <v>-365452.37984411913</v>
      </c>
      <c r="M102" s="670">
        <f>(L90+L102+SUM(L91:L101)*2)/24</f>
        <v>-365452.37984411925</v>
      </c>
      <c r="N102" s="672">
        <f>M102+J102</f>
        <v>-365452.37984411925</v>
      </c>
      <c r="O102" s="671">
        <f t="shared" si="18"/>
        <v>-365452.37984410982</v>
      </c>
    </row>
    <row r="103" spans="1:15" ht="15">
      <c r="A103" s="677"/>
      <c r="B103" s="678"/>
      <c r="C103" s="678"/>
      <c r="D103" s="678"/>
      <c r="E103" s="678"/>
      <c r="F103" s="678"/>
      <c r="G103" s="638"/>
      <c r="H103" s="678"/>
      <c r="I103" s="678"/>
      <c r="J103" s="678"/>
      <c r="K103" s="678"/>
      <c r="L103" s="678"/>
      <c r="M103" s="678"/>
      <c r="N103" s="679"/>
      <c r="O103" s="680"/>
    </row>
    <row r="104" spans="1:15" ht="15">
      <c r="A104" s="681"/>
      <c r="B104" s="681"/>
      <c r="C104" s="681"/>
      <c r="D104" s="681"/>
      <c r="E104" s="681"/>
      <c r="F104" s="681"/>
      <c r="G104" s="640"/>
      <c r="H104" s="681"/>
      <c r="I104" s="681"/>
      <c r="J104" s="681"/>
      <c r="K104" s="681"/>
      <c r="L104" s="681"/>
      <c r="M104" s="681"/>
      <c r="N104" s="681"/>
      <c r="O104" s="681"/>
    </row>
    <row r="105" spans="1:15">
      <c r="B105" s="1333" t="s">
        <v>941</v>
      </c>
      <c r="C105" s="857"/>
      <c r="D105" s="856"/>
      <c r="E105" s="856"/>
      <c r="F105" s="639"/>
      <c r="G105" s="856">
        <f>SUM(G63:G74)</f>
        <v>2644123.3835876156</v>
      </c>
      <c r="H105" s="639"/>
      <c r="I105" s="639"/>
      <c r="J105" s="639"/>
      <c r="K105" s="639"/>
      <c r="L105" s="639"/>
      <c r="M105" s="639"/>
      <c r="N105" s="639"/>
    </row>
    <row r="106" spans="1:15">
      <c r="B106" s="1333" t="s">
        <v>942</v>
      </c>
      <c r="C106" s="856"/>
      <c r="D106" s="856"/>
      <c r="E106" s="856"/>
      <c r="F106" s="639"/>
      <c r="G106" s="856">
        <f>SUM(G69:G80)</f>
        <v>2203436.1529896799</v>
      </c>
      <c r="H106" s="639"/>
      <c r="I106" s="639"/>
      <c r="J106" s="639"/>
      <c r="K106" s="639"/>
      <c r="L106" s="639"/>
      <c r="M106" s="639"/>
      <c r="N106" s="639"/>
    </row>
    <row r="107" spans="1:15" ht="15">
      <c r="D107" s="639"/>
      <c r="E107" s="639"/>
      <c r="F107" s="639"/>
      <c r="G107" s="640"/>
      <c r="H107" s="639"/>
      <c r="I107" s="639"/>
      <c r="J107" s="639"/>
      <c r="K107" s="639"/>
      <c r="L107" s="639"/>
      <c r="M107" s="639"/>
      <c r="N107" s="639"/>
    </row>
    <row r="108" spans="1:15" ht="15">
      <c r="D108" s="639"/>
      <c r="E108" s="639"/>
      <c r="F108" s="639"/>
      <c r="G108" s="640"/>
      <c r="H108" s="639"/>
      <c r="I108" s="639"/>
      <c r="J108" s="639"/>
      <c r="K108" s="639"/>
      <c r="L108" s="639"/>
      <c r="M108" s="639"/>
      <c r="N108" s="639"/>
    </row>
    <row r="109" spans="1:15" ht="15">
      <c r="D109" s="639"/>
      <c r="E109" s="639"/>
      <c r="F109" s="639"/>
      <c r="G109" s="640"/>
      <c r="H109" s="639"/>
      <c r="I109" s="639"/>
      <c r="J109" s="639"/>
      <c r="K109" s="639"/>
      <c r="L109" s="639"/>
      <c r="M109" s="639"/>
      <c r="N109" s="639"/>
    </row>
    <row r="110" spans="1:15" ht="15">
      <c r="D110" s="639"/>
      <c r="E110" s="639"/>
      <c r="F110" s="639"/>
      <c r="G110" s="640"/>
      <c r="H110" s="639"/>
      <c r="I110" s="639"/>
      <c r="J110" s="639"/>
      <c r="K110" s="639"/>
      <c r="L110" s="639"/>
      <c r="M110" s="639"/>
      <c r="N110" s="639"/>
    </row>
    <row r="111" spans="1:15" ht="15">
      <c r="D111" s="639"/>
      <c r="E111" s="639"/>
      <c r="F111" s="639"/>
      <c r="G111" s="640"/>
      <c r="H111" s="639"/>
      <c r="I111" s="639"/>
      <c r="J111" s="639"/>
      <c r="K111" s="639"/>
      <c r="L111" s="639"/>
      <c r="M111" s="639"/>
      <c r="N111" s="639"/>
    </row>
    <row r="112" spans="1:15" ht="15">
      <c r="D112" s="639"/>
      <c r="E112" s="639"/>
      <c r="F112" s="639"/>
      <c r="G112" s="640"/>
      <c r="H112" s="639"/>
      <c r="I112" s="639"/>
      <c r="J112" s="639"/>
      <c r="K112" s="639"/>
      <c r="L112" s="639"/>
      <c r="M112" s="639"/>
      <c r="N112" s="639"/>
    </row>
    <row r="113" spans="4:14" ht="15">
      <c r="D113" s="639"/>
      <c r="E113" s="639"/>
      <c r="F113" s="639"/>
      <c r="G113" s="640"/>
      <c r="H113" s="639"/>
      <c r="I113" s="639"/>
      <c r="J113" s="639"/>
      <c r="K113" s="639"/>
      <c r="L113" s="639"/>
      <c r="M113" s="639"/>
      <c r="N113" s="639"/>
    </row>
    <row r="114" spans="4:14" ht="15">
      <c r="D114" s="639"/>
      <c r="E114" s="639"/>
      <c r="F114" s="639"/>
      <c r="G114" s="640"/>
      <c r="H114" s="639"/>
      <c r="I114" s="639"/>
      <c r="J114" s="639"/>
      <c r="K114" s="639"/>
      <c r="L114" s="639"/>
      <c r="M114" s="639"/>
      <c r="N114" s="639"/>
    </row>
    <row r="115" spans="4:14" ht="15">
      <c r="D115" s="639"/>
      <c r="E115" s="639"/>
      <c r="F115" s="639"/>
      <c r="G115" s="640"/>
      <c r="H115" s="639"/>
      <c r="I115" s="639"/>
      <c r="J115" s="639"/>
      <c r="K115" s="639"/>
      <c r="L115" s="639"/>
      <c r="M115" s="639"/>
      <c r="N115" s="639"/>
    </row>
    <row r="116" spans="4:14" ht="15">
      <c r="D116" s="639"/>
      <c r="E116" s="639"/>
      <c r="F116" s="639"/>
      <c r="G116" s="640"/>
      <c r="H116" s="639"/>
      <c r="I116" s="639"/>
      <c r="J116" s="639"/>
      <c r="K116" s="639"/>
      <c r="L116" s="639"/>
      <c r="M116" s="639"/>
      <c r="N116" s="639"/>
    </row>
    <row r="117" spans="4:14" ht="15">
      <c r="D117" s="639"/>
      <c r="E117" s="639"/>
      <c r="F117" s="639"/>
      <c r="G117" s="640"/>
      <c r="H117" s="639"/>
      <c r="I117" s="639"/>
      <c r="J117" s="639"/>
      <c r="K117" s="639"/>
      <c r="L117" s="639"/>
      <c r="M117" s="639"/>
      <c r="N117" s="639"/>
    </row>
    <row r="118" spans="4:14" ht="15">
      <c r="D118" s="639"/>
      <c r="E118" s="639"/>
      <c r="F118" s="639"/>
      <c r="G118" s="640"/>
      <c r="H118" s="639"/>
      <c r="I118" s="639"/>
      <c r="J118" s="639"/>
      <c r="K118" s="639"/>
      <c r="L118" s="639"/>
      <c r="M118" s="639"/>
      <c r="N118" s="639"/>
    </row>
    <row r="119" spans="4:14" ht="15">
      <c r="D119" s="639"/>
      <c r="E119" s="639"/>
      <c r="F119" s="639"/>
      <c r="G119" s="640"/>
      <c r="H119" s="639"/>
      <c r="I119" s="639"/>
      <c r="J119" s="639"/>
      <c r="K119" s="639"/>
      <c r="L119" s="639"/>
      <c r="M119" s="639"/>
      <c r="N119" s="639"/>
    </row>
    <row r="120" spans="4:14" ht="15">
      <c r="D120" s="639"/>
      <c r="E120" s="639"/>
      <c r="F120" s="639"/>
      <c r="G120" s="640"/>
      <c r="H120" s="639"/>
      <c r="I120" s="639"/>
      <c r="J120" s="639"/>
      <c r="K120" s="639"/>
      <c r="L120" s="639"/>
      <c r="M120" s="639"/>
      <c r="N120" s="639"/>
    </row>
    <row r="121" spans="4:14" ht="15">
      <c r="D121" s="639"/>
      <c r="E121" s="639"/>
      <c r="F121" s="639"/>
      <c r="G121" s="640"/>
      <c r="H121" s="639"/>
      <c r="I121" s="639"/>
      <c r="J121" s="639"/>
      <c r="K121" s="639"/>
      <c r="L121" s="639"/>
      <c r="M121" s="639"/>
      <c r="N121" s="639"/>
    </row>
    <row r="122" spans="4:14" ht="15">
      <c r="D122" s="639"/>
      <c r="E122" s="639"/>
      <c r="F122" s="639"/>
      <c r="G122" s="640"/>
      <c r="H122" s="639"/>
      <c r="I122" s="639"/>
      <c r="J122" s="639"/>
      <c r="K122" s="639"/>
      <c r="L122" s="639"/>
      <c r="M122" s="639"/>
      <c r="N122" s="639"/>
    </row>
    <row r="123" spans="4:14" ht="15">
      <c r="D123" s="639"/>
      <c r="E123" s="639"/>
      <c r="F123" s="639"/>
      <c r="G123" s="640"/>
      <c r="H123" s="639"/>
      <c r="I123" s="639"/>
      <c r="J123" s="639"/>
      <c r="K123" s="639"/>
      <c r="L123" s="639"/>
      <c r="M123" s="639"/>
      <c r="N123" s="639"/>
    </row>
    <row r="124" spans="4:14" ht="15">
      <c r="D124" s="639"/>
      <c r="E124" s="639"/>
      <c r="F124" s="639"/>
      <c r="G124" s="640"/>
      <c r="H124" s="639"/>
      <c r="I124" s="639"/>
      <c r="J124" s="639"/>
      <c r="K124" s="639"/>
      <c r="L124" s="639"/>
      <c r="M124" s="639"/>
      <c r="N124" s="639"/>
    </row>
    <row r="125" spans="4:14" ht="15">
      <c r="D125" s="639"/>
      <c r="E125" s="639"/>
      <c r="F125" s="639"/>
      <c r="G125" s="640"/>
      <c r="H125" s="639"/>
      <c r="I125" s="639"/>
      <c r="J125" s="639"/>
      <c r="K125" s="639"/>
      <c r="L125" s="639"/>
      <c r="M125" s="639"/>
      <c r="N125" s="639"/>
    </row>
    <row r="126" spans="4:14" ht="15">
      <c r="D126" s="639"/>
      <c r="E126" s="639"/>
      <c r="F126" s="639"/>
      <c r="G126" s="640"/>
      <c r="H126" s="639"/>
      <c r="I126" s="639"/>
      <c r="J126" s="639"/>
      <c r="K126" s="639"/>
      <c r="L126" s="639"/>
      <c r="M126" s="639"/>
      <c r="N126" s="639"/>
    </row>
    <row r="127" spans="4:14" ht="15">
      <c r="D127" s="639"/>
      <c r="E127" s="639"/>
      <c r="F127" s="639"/>
      <c r="G127" s="640"/>
      <c r="H127" s="639"/>
      <c r="I127" s="639"/>
      <c r="J127" s="639"/>
      <c r="K127" s="639"/>
      <c r="L127" s="639"/>
      <c r="M127" s="639"/>
      <c r="N127" s="639"/>
    </row>
    <row r="128" spans="4:14" ht="15">
      <c r="D128" s="639"/>
      <c r="E128" s="639"/>
      <c r="F128" s="639"/>
      <c r="G128" s="640"/>
      <c r="H128" s="639"/>
      <c r="I128" s="639"/>
      <c r="J128" s="639"/>
      <c r="K128" s="639"/>
      <c r="L128" s="639"/>
      <c r="M128" s="639"/>
      <c r="N128" s="639"/>
    </row>
    <row r="129" spans="7:7" ht="15">
      <c r="G129" s="521"/>
    </row>
    <row r="130" spans="7:7" ht="15">
      <c r="G130" s="521"/>
    </row>
    <row r="131" spans="7:7" ht="15">
      <c r="G131" s="521"/>
    </row>
    <row r="132" spans="7:7" ht="15">
      <c r="G132" s="521"/>
    </row>
    <row r="133" spans="7:7" ht="15">
      <c r="G133" s="521"/>
    </row>
    <row r="134" spans="7:7" ht="15">
      <c r="G134" s="521"/>
    </row>
    <row r="135" spans="7:7" ht="15">
      <c r="G135" s="521"/>
    </row>
    <row r="136" spans="7:7" ht="15">
      <c r="G136" s="521"/>
    </row>
    <row r="137" spans="7:7" ht="15">
      <c r="G137" s="521"/>
    </row>
    <row r="138" spans="7:7" ht="15">
      <c r="G138" s="521"/>
    </row>
    <row r="139" spans="7:7" ht="15">
      <c r="G139" s="521"/>
    </row>
    <row r="140" spans="7:7" ht="15">
      <c r="G140" s="521"/>
    </row>
    <row r="141" spans="7:7" ht="15">
      <c r="G141" s="521"/>
    </row>
    <row r="142" spans="7:7" ht="15">
      <c r="G142" s="521"/>
    </row>
    <row r="143" spans="7:7" ht="15">
      <c r="G143" s="521"/>
    </row>
    <row r="144" spans="7:7" ht="15">
      <c r="G144" s="521"/>
    </row>
    <row r="145" spans="7:7" ht="15">
      <c r="G145" s="521"/>
    </row>
    <row r="146" spans="7:7" ht="15">
      <c r="G146" s="521"/>
    </row>
    <row r="147" spans="7:7" ht="15">
      <c r="G147" s="521"/>
    </row>
    <row r="148" spans="7:7" ht="15">
      <c r="G148" s="521"/>
    </row>
    <row r="149" spans="7:7" ht="15">
      <c r="G149" s="521"/>
    </row>
    <row r="150" spans="7:7" ht="15">
      <c r="G150" s="521"/>
    </row>
    <row r="151" spans="7:7" ht="15">
      <c r="G151" s="521"/>
    </row>
    <row r="152" spans="7:7" ht="15">
      <c r="G152" s="521"/>
    </row>
    <row r="153" spans="7:7" ht="15">
      <c r="G153" s="521"/>
    </row>
    <row r="154" spans="7:7" ht="15">
      <c r="G154" s="521"/>
    </row>
    <row r="155" spans="7:7" ht="15">
      <c r="G155" s="521"/>
    </row>
    <row r="156" spans="7:7" ht="15">
      <c r="G156" s="521"/>
    </row>
  </sheetData>
  <pageMargins left="0.7" right="0.7" top="0.75" bottom="0.75" header="0.3" footer="0.3"/>
  <pageSetup scale="66" fitToHeight="0" orientation="landscape" r:id="rId1"/>
  <rowBreaks count="1" manualBreakCount="1">
    <brk id="8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C224"/>
  <sheetViews>
    <sheetView zoomScale="88" zoomScaleNormal="88" workbookViewId="0">
      <pane xSplit="2" ySplit="9" topLeftCell="C99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28515625" defaultRowHeight="12.75" outlineLevelRow="1" outlineLevelCol="1"/>
  <cols>
    <col min="1" max="1" width="2.140625" style="62" customWidth="1"/>
    <col min="2" max="2" width="10.42578125" style="62" customWidth="1"/>
    <col min="3" max="3" width="3.140625" style="62" customWidth="1"/>
    <col min="4" max="4" width="12.85546875" style="62" hidden="1" customWidth="1" outlineLevel="1"/>
    <col min="5" max="5" width="16.140625" style="62" bestFit="1" customWidth="1" collapsed="1"/>
    <col min="6" max="6" width="16.140625" style="62" bestFit="1" customWidth="1"/>
    <col min="7" max="7" width="14" style="62" customWidth="1"/>
    <col min="8" max="8" width="18.42578125" style="64" bestFit="1" customWidth="1"/>
    <col min="9" max="9" width="16.28515625" style="64" bestFit="1" customWidth="1"/>
    <col min="10" max="10" width="16.140625" style="64" bestFit="1" customWidth="1"/>
    <col min="11" max="11" width="18.42578125" style="65" customWidth="1"/>
    <col min="12" max="12" width="15.7109375" style="65" customWidth="1"/>
    <col min="13" max="13" width="16.28515625" style="65" bestFit="1" customWidth="1"/>
    <col min="14" max="14" width="16.140625" style="65" bestFit="1" customWidth="1"/>
    <col min="15" max="15" width="16.140625" style="65" bestFit="1" customWidth="1" outlineLevel="1"/>
    <col min="16" max="16" width="17.85546875" style="66" bestFit="1" customWidth="1"/>
    <col min="17" max="17" width="19.7109375" style="65" bestFit="1" customWidth="1"/>
    <col min="18" max="18" width="2" style="65" customWidth="1"/>
    <col min="19" max="19" width="15.28515625" style="65" bestFit="1" customWidth="1"/>
    <col min="20" max="20" width="47.42578125" style="65" bestFit="1" customWidth="1"/>
    <col min="21" max="21" width="9.28515625" style="65"/>
    <col min="22" max="22" width="15.85546875" style="65" bestFit="1" customWidth="1"/>
    <col min="23" max="29" width="9.28515625" style="65"/>
    <col min="30" max="16384" width="9.28515625" style="62"/>
  </cols>
  <sheetData>
    <row r="1" spans="1:17" ht="14.25" customHeight="1">
      <c r="B1" s="63" t="s">
        <v>9</v>
      </c>
      <c r="Q1" s="67"/>
    </row>
    <row r="2" spans="1:17">
      <c r="B2" s="63" t="s">
        <v>114</v>
      </c>
      <c r="J2" s="1098" t="s">
        <v>18</v>
      </c>
      <c r="K2" s="1099"/>
    </row>
    <row r="3" spans="1:17" ht="12.75" customHeight="1">
      <c r="B3" s="63" t="s">
        <v>182</v>
      </c>
      <c r="J3" s="1097" t="s">
        <v>191</v>
      </c>
      <c r="K3" s="1100"/>
    </row>
    <row r="4" spans="1:17" ht="12.75" customHeight="1">
      <c r="B4" s="68" t="s">
        <v>154</v>
      </c>
      <c r="J4" s="1097" t="s">
        <v>193</v>
      </c>
      <c r="K4" s="1101">
        <v>28300601</v>
      </c>
    </row>
    <row r="5" spans="1:17">
      <c r="B5" s="63"/>
      <c r="C5" s="63"/>
      <c r="H5" s="72" t="s">
        <v>192</v>
      </c>
      <c r="J5" s="1097" t="s">
        <v>194</v>
      </c>
      <c r="K5" s="1097" t="s">
        <v>804</v>
      </c>
    </row>
    <row r="6" spans="1:17">
      <c r="D6" s="69"/>
      <c r="E6" s="69"/>
      <c r="F6" s="70"/>
      <c r="G6" s="71"/>
      <c r="H6" s="1095" t="s">
        <v>191</v>
      </c>
      <c r="I6" s="1096"/>
      <c r="J6" s="1097" t="s">
        <v>195</v>
      </c>
      <c r="K6" s="1097" t="s">
        <v>805</v>
      </c>
      <c r="L6" s="73"/>
      <c r="M6" s="73"/>
      <c r="N6" s="73"/>
      <c r="O6" s="73"/>
      <c r="P6" s="74"/>
    </row>
    <row r="7" spans="1:17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/>
      <c r="M7" s="79"/>
      <c r="N7" s="79"/>
      <c r="O7" s="80"/>
      <c r="P7" s="81"/>
      <c r="Q7" s="82"/>
    </row>
    <row r="8" spans="1:17" ht="16.5" customHeight="1"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  <c r="O8" s="1186" t="s">
        <v>940</v>
      </c>
      <c r="P8" s="85"/>
      <c r="Q8" s="85"/>
    </row>
    <row r="9" spans="1:17">
      <c r="A9" s="65"/>
      <c r="B9" s="8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  <c r="O9" s="83"/>
      <c r="P9" s="85"/>
      <c r="Q9" s="85"/>
    </row>
    <row r="10" spans="1:17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121</v>
      </c>
      <c r="I10" s="87" t="s">
        <v>33</v>
      </c>
      <c r="J10" s="87" t="s">
        <v>122</v>
      </c>
      <c r="K10" s="87" t="s">
        <v>720</v>
      </c>
      <c r="L10" s="85" t="s">
        <v>124</v>
      </c>
      <c r="M10" s="87" t="s">
        <v>94</v>
      </c>
      <c r="N10" s="87" t="s">
        <v>125</v>
      </c>
      <c r="O10" s="83"/>
      <c r="P10" s="85"/>
      <c r="Q10" s="85"/>
    </row>
    <row r="11" spans="1:17" ht="16.5" customHeight="1">
      <c r="A11" s="75"/>
      <c r="B11" s="88"/>
      <c r="C11" s="88"/>
      <c r="D11" s="79"/>
      <c r="E11" s="79"/>
      <c r="F11" s="89"/>
      <c r="G11" s="79" t="s">
        <v>126</v>
      </c>
      <c r="H11" s="89"/>
      <c r="I11" s="79"/>
      <c r="J11" s="79"/>
      <c r="K11" s="79" t="s">
        <v>821</v>
      </c>
      <c r="L11" s="89"/>
      <c r="M11" s="79"/>
      <c r="N11" s="79"/>
      <c r="O11" s="83"/>
      <c r="P11" s="85"/>
      <c r="Q11" s="85"/>
    </row>
    <row r="12" spans="1:17" ht="14.25" customHeight="1" outlineLevel="1">
      <c r="B12" s="90" t="s">
        <v>5</v>
      </c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  <c r="O12" s="94"/>
      <c r="P12" s="95"/>
      <c r="Q12" s="96"/>
    </row>
    <row r="13" spans="1:17" outlineLevel="1">
      <c r="B13" s="97">
        <v>39813</v>
      </c>
      <c r="C13" s="97"/>
      <c r="D13" s="401">
        <v>2971023.941612903</v>
      </c>
      <c r="E13" s="402">
        <f>E12+D13</f>
        <v>2971023.941612903</v>
      </c>
      <c r="F13" s="98"/>
      <c r="G13" s="91"/>
      <c r="H13" s="99"/>
      <c r="I13" s="93"/>
      <c r="J13" s="93"/>
      <c r="K13" s="100">
        <f>(-D13*0.35)+(G13*0.35)</f>
        <v>-1039858.379564516</v>
      </c>
      <c r="L13" s="100">
        <f t="shared" ref="L13:L76" si="0">L12+K13</f>
        <v>-1039858.379564516</v>
      </c>
      <c r="M13" s="100"/>
      <c r="N13" s="94"/>
      <c r="O13" s="94"/>
      <c r="P13" s="95"/>
      <c r="Q13" s="101"/>
    </row>
    <row r="14" spans="1:17" outlineLevel="1">
      <c r="B14" s="97">
        <v>39844</v>
      </c>
      <c r="C14" s="97"/>
      <c r="D14" s="102">
        <v>4210615.479230769</v>
      </c>
      <c r="E14" s="102">
        <f>E13+D14</f>
        <v>7181639.420843672</v>
      </c>
      <c r="F14" s="98"/>
      <c r="G14" s="91"/>
      <c r="H14" s="99"/>
      <c r="I14" s="93"/>
      <c r="J14" s="93"/>
      <c r="K14" s="100">
        <f t="shared" ref="K14:K77" si="1">(-D14*0.35)+(G14*0.35)</f>
        <v>-1473715.4177307691</v>
      </c>
      <c r="L14" s="100">
        <f>L13+K14</f>
        <v>-2513573.7972952854</v>
      </c>
      <c r="M14" s="100"/>
      <c r="N14" s="94"/>
      <c r="O14" s="94"/>
      <c r="P14" s="95"/>
      <c r="Q14" s="101"/>
    </row>
    <row r="15" spans="1:17" outlineLevel="1">
      <c r="B15" s="97">
        <v>39872</v>
      </c>
      <c r="C15" s="97"/>
      <c r="D15" s="102">
        <v>1326293.9392307692</v>
      </c>
      <c r="E15" s="102">
        <f>E14+D15</f>
        <v>8507933.3600744419</v>
      </c>
      <c r="F15" s="98"/>
      <c r="G15" s="91"/>
      <c r="H15" s="99"/>
      <c r="I15" s="93"/>
      <c r="J15" s="93"/>
      <c r="K15" s="100">
        <f t="shared" si="1"/>
        <v>-464202.87873076915</v>
      </c>
      <c r="L15" s="100">
        <f>L14+K15</f>
        <v>-2977776.6760260547</v>
      </c>
      <c r="M15" s="100"/>
      <c r="N15" s="94"/>
      <c r="O15" s="94"/>
      <c r="P15" s="95"/>
      <c r="Q15" s="101"/>
    </row>
    <row r="16" spans="1:17" outlineLevel="1">
      <c r="B16" s="97">
        <v>39903</v>
      </c>
      <c r="C16" s="97"/>
      <c r="D16" s="102">
        <v>2212378.979230769</v>
      </c>
      <c r="E16" s="102">
        <f t="shared" ref="E16:E79" si="2">E15+D16</f>
        <v>10720312.339305211</v>
      </c>
      <c r="F16" s="98"/>
      <c r="G16" s="91"/>
      <c r="H16" s="99"/>
      <c r="I16" s="93"/>
      <c r="J16" s="93"/>
      <c r="K16" s="100">
        <f t="shared" si="1"/>
        <v>-774332.64273076912</v>
      </c>
      <c r="L16" s="100">
        <f t="shared" si="0"/>
        <v>-3752109.3187568239</v>
      </c>
      <c r="M16" s="100"/>
      <c r="N16" s="94"/>
      <c r="O16" s="94"/>
      <c r="P16" s="95"/>
      <c r="Q16" s="101"/>
    </row>
    <row r="17" spans="2:20" outlineLevel="1">
      <c r="B17" s="97">
        <v>39933</v>
      </c>
      <c r="C17" s="103"/>
      <c r="D17" s="102">
        <v>3135962.4692307692</v>
      </c>
      <c r="E17" s="102">
        <f t="shared" si="2"/>
        <v>13856274.80853598</v>
      </c>
      <c r="F17" s="98"/>
      <c r="G17" s="91"/>
      <c r="H17" s="99"/>
      <c r="I17" s="93"/>
      <c r="J17" s="93"/>
      <c r="K17" s="100">
        <f t="shared" si="1"/>
        <v>-1097586.8642307692</v>
      </c>
      <c r="L17" s="100">
        <f t="shared" si="0"/>
        <v>-4849696.1829875931</v>
      </c>
      <c r="M17" s="102"/>
      <c r="N17" s="94"/>
      <c r="O17" s="94"/>
      <c r="P17" s="95"/>
      <c r="Q17" s="101"/>
    </row>
    <row r="18" spans="2:20" outlineLevel="1">
      <c r="B18" s="97">
        <v>39964</v>
      </c>
      <c r="C18" s="97"/>
      <c r="D18" s="102">
        <v>3656730.709230769</v>
      </c>
      <c r="E18" s="102">
        <f t="shared" si="2"/>
        <v>17513005.517766748</v>
      </c>
      <c r="F18" s="98"/>
      <c r="G18" s="91"/>
      <c r="H18" s="99"/>
      <c r="I18" s="93"/>
      <c r="J18" s="93"/>
      <c r="K18" s="100">
        <f t="shared" si="1"/>
        <v>-1279855.7482307691</v>
      </c>
      <c r="L18" s="100">
        <f>L17+K18</f>
        <v>-6129551.9312183624</v>
      </c>
      <c r="M18" s="102"/>
      <c r="N18" s="94"/>
      <c r="O18" s="94"/>
      <c r="P18" s="95"/>
      <c r="Q18" s="101"/>
    </row>
    <row r="19" spans="2:20" outlineLevel="1">
      <c r="B19" s="97">
        <v>39994</v>
      </c>
      <c r="C19" s="97"/>
      <c r="D19" s="102">
        <v>3818756.5592307691</v>
      </c>
      <c r="E19" s="102">
        <f t="shared" si="2"/>
        <v>21331762.076997519</v>
      </c>
      <c r="F19" s="98"/>
      <c r="G19" s="91"/>
      <c r="H19" s="99"/>
      <c r="I19" s="93"/>
      <c r="J19" s="93"/>
      <c r="K19" s="100">
        <f>(-D19*0.35)+(G19*0.35)</f>
        <v>-1336564.7957307692</v>
      </c>
      <c r="L19" s="100">
        <f t="shared" si="0"/>
        <v>-7466116.7269491311</v>
      </c>
      <c r="M19" s="102"/>
      <c r="N19" s="94"/>
      <c r="O19" s="94"/>
      <c r="P19" s="95"/>
      <c r="Q19" s="101"/>
    </row>
    <row r="20" spans="2:20" outlineLevel="1">
      <c r="B20" s="97">
        <v>40025</v>
      </c>
      <c r="C20" s="97"/>
      <c r="D20" s="102">
        <v>2489369.3792307694</v>
      </c>
      <c r="E20" s="102">
        <f t="shared" si="2"/>
        <v>23821131.456228286</v>
      </c>
      <c r="F20" s="98"/>
      <c r="G20" s="91"/>
      <c r="H20" s="99"/>
      <c r="I20" s="93"/>
      <c r="J20" s="93"/>
      <c r="K20" s="100">
        <f t="shared" si="1"/>
        <v>-871279.28273076925</v>
      </c>
      <c r="L20" s="100">
        <f t="shared" si="0"/>
        <v>-8337396.0096799005</v>
      </c>
      <c r="M20" s="102"/>
      <c r="N20" s="94"/>
      <c r="O20" s="94"/>
      <c r="P20" s="95"/>
      <c r="Q20" s="101"/>
    </row>
    <row r="21" spans="2:20" outlineLevel="1">
      <c r="B21" s="97">
        <v>40056</v>
      </c>
      <c r="C21" s="97"/>
      <c r="D21" s="102">
        <v>479294.20923076896</v>
      </c>
      <c r="E21" s="102">
        <f t="shared" si="2"/>
        <v>24300425.665459055</v>
      </c>
      <c r="F21" s="98"/>
      <c r="G21" s="91"/>
      <c r="H21" s="99"/>
      <c r="I21" s="93"/>
      <c r="J21" s="93"/>
      <c r="K21" s="100">
        <f t="shared" si="1"/>
        <v>-167752.97323076913</v>
      </c>
      <c r="L21" s="100">
        <f>L20+K21</f>
        <v>-8505148.9829106703</v>
      </c>
      <c r="M21" s="102"/>
      <c r="N21" s="94"/>
      <c r="O21" s="94"/>
      <c r="P21" s="95"/>
      <c r="Q21" s="101"/>
    </row>
    <row r="22" spans="2:20" outlineLevel="1">
      <c r="B22" s="97">
        <v>40086</v>
      </c>
      <c r="C22" s="97"/>
      <c r="D22" s="102">
        <v>-537483.31076923106</v>
      </c>
      <c r="E22" s="102">
        <f t="shared" si="2"/>
        <v>23762942.354689825</v>
      </c>
      <c r="F22" s="98"/>
      <c r="G22" s="102"/>
      <c r="H22" s="100"/>
      <c r="I22" s="98"/>
      <c r="J22" s="98"/>
      <c r="K22" s="100">
        <f t="shared" si="1"/>
        <v>188119.15876923085</v>
      </c>
      <c r="L22" s="100">
        <f t="shared" si="0"/>
        <v>-8317029.8241414391</v>
      </c>
      <c r="M22" s="102"/>
      <c r="N22" s="94"/>
      <c r="O22" s="94"/>
      <c r="P22" s="95"/>
      <c r="Q22" s="101"/>
    </row>
    <row r="23" spans="2:20" ht="12.75" customHeight="1" outlineLevel="1">
      <c r="B23" s="97">
        <v>40117</v>
      </c>
      <c r="C23" s="97"/>
      <c r="D23" s="102">
        <v>2286811.6292307694</v>
      </c>
      <c r="E23" s="102">
        <f t="shared" si="2"/>
        <v>26049753.983920597</v>
      </c>
      <c r="F23" s="98"/>
      <c r="G23" s="102"/>
      <c r="H23" s="100"/>
      <c r="I23" s="98"/>
      <c r="J23" s="98"/>
      <c r="K23" s="100">
        <f t="shared" si="1"/>
        <v>-800384.07023076923</v>
      </c>
      <c r="L23" s="100">
        <f t="shared" si="0"/>
        <v>-9117413.894372208</v>
      </c>
      <c r="M23" s="102"/>
      <c r="N23" s="94"/>
      <c r="O23" s="94"/>
      <c r="P23" s="95"/>
      <c r="Q23" s="101"/>
    </row>
    <row r="24" spans="2:20" ht="12.75" customHeight="1" outlineLevel="1">
      <c r="B24" s="97">
        <v>40147</v>
      </c>
      <c r="C24" s="97"/>
      <c r="D24" s="102">
        <v>2250059.8892307691</v>
      </c>
      <c r="E24" s="102">
        <f t="shared" si="2"/>
        <v>28299813.873151366</v>
      </c>
      <c r="F24" s="98">
        <f>(E12+E24+SUM(E13:E23)*2)/24</f>
        <v>16180509.32183416</v>
      </c>
      <c r="G24" s="102"/>
      <c r="H24" s="100"/>
      <c r="I24" s="98"/>
      <c r="J24" s="98">
        <f>F24+I24</f>
        <v>16180509.32183416</v>
      </c>
      <c r="K24" s="100">
        <f t="shared" si="1"/>
        <v>-787520.96123076917</v>
      </c>
      <c r="L24" s="100">
        <f>L23+K24</f>
        <v>-9904934.8556029778</v>
      </c>
      <c r="M24" s="98">
        <f>(L12+L24+SUM(L13:L23)*2)/24</f>
        <v>-5663178.2626419561</v>
      </c>
      <c r="N24" s="95">
        <f>M24+J24</f>
        <v>10517331.059192203</v>
      </c>
      <c r="O24" s="95">
        <f>E24+H24+L24</f>
        <v>18394879.01754839</v>
      </c>
      <c r="P24" s="95"/>
      <c r="Q24" s="101"/>
    </row>
    <row r="25" spans="2:20" outlineLevel="1">
      <c r="B25" s="97">
        <v>40178</v>
      </c>
      <c r="C25" s="97"/>
      <c r="D25" s="102">
        <v>3070987.7509827814</v>
      </c>
      <c r="E25" s="102">
        <f t="shared" si="2"/>
        <v>31370801.624134146</v>
      </c>
      <c r="F25" s="98">
        <f>(E13+E25+SUM(E14:E24)*2)/24</f>
        <v>18542992.303320516</v>
      </c>
      <c r="G25" s="102"/>
      <c r="H25" s="100"/>
      <c r="I25" s="98"/>
      <c r="J25" s="98">
        <f>F25+I25</f>
        <v>18542992.303320516</v>
      </c>
      <c r="K25" s="100">
        <f t="shared" si="1"/>
        <v>-1074845.7128439734</v>
      </c>
      <c r="L25" s="100">
        <f>L24+K25</f>
        <v>-10979780.568446951</v>
      </c>
      <c r="M25" s="98">
        <f>(L13+L25+SUM(L14:L24)*2)/24</f>
        <v>-6490047.3061621813</v>
      </c>
      <c r="N25" s="95">
        <f>M25+J25</f>
        <v>12052944.997158334</v>
      </c>
      <c r="O25" s="95">
        <f>E25+H25+L25</f>
        <v>20391021.055687197</v>
      </c>
      <c r="P25" s="95"/>
      <c r="Q25" s="101"/>
    </row>
    <row r="26" spans="2:20" outlineLevel="1">
      <c r="B26" s="97">
        <v>40209</v>
      </c>
      <c r="C26" s="97"/>
      <c r="D26" s="102">
        <v>3650502.4584651189</v>
      </c>
      <c r="E26" s="102">
        <f t="shared" si="2"/>
        <v>35021304.082599267</v>
      </c>
      <c r="F26" s="98">
        <f>(E14+E26+SUM(E15:E25)*2)/24</f>
        <v>20886302.400998723</v>
      </c>
      <c r="G26" s="102"/>
      <c r="H26" s="100"/>
      <c r="I26" s="98"/>
      <c r="J26" s="98">
        <f t="shared" ref="J26:J89" si="3">F26+I26</f>
        <v>20886302.400998723</v>
      </c>
      <c r="K26" s="100">
        <f t="shared" si="1"/>
        <v>-1277675.8604627915</v>
      </c>
      <c r="L26" s="100">
        <f t="shared" si="0"/>
        <v>-12257456.428909743</v>
      </c>
      <c r="M26" s="98">
        <f t="shared" ref="M26:M88" si="4">(L14+L26+SUM(L15:L25)*2)/24</f>
        <v>-7310205.8403495513</v>
      </c>
      <c r="N26" s="95">
        <f t="shared" ref="N26:N88" si="5">M26+J26</f>
        <v>13576096.560649171</v>
      </c>
      <c r="O26" s="95">
        <f>E26+H26+L26</f>
        <v>22763847.653689526</v>
      </c>
      <c r="P26" s="95"/>
      <c r="Q26" s="101"/>
      <c r="S26" s="104"/>
      <c r="T26" s="104"/>
    </row>
    <row r="27" spans="2:20" outlineLevel="1">
      <c r="B27" s="97">
        <v>40237</v>
      </c>
      <c r="C27" s="97"/>
      <c r="D27" s="102">
        <v>4519927.7695586318</v>
      </c>
      <c r="E27" s="102">
        <f t="shared" si="2"/>
        <v>39541231.852157898</v>
      </c>
      <c r="F27" s="98">
        <f t="shared" ref="F27:F90" si="6">(E15+E27+SUM(E16:E26)*2)/24</f>
        <v>23339342.532408684</v>
      </c>
      <c r="G27" s="102"/>
      <c r="H27" s="100"/>
      <c r="I27" s="98"/>
      <c r="J27" s="98">
        <f t="shared" si="3"/>
        <v>23339342.532408684</v>
      </c>
      <c r="K27" s="100">
        <f t="shared" si="1"/>
        <v>-1581974.7193455209</v>
      </c>
      <c r="L27" s="100">
        <f t="shared" si="0"/>
        <v>-13839431.148255264</v>
      </c>
      <c r="M27" s="98">
        <f t="shared" si="4"/>
        <v>-8168769.8863430396</v>
      </c>
      <c r="N27" s="95">
        <f t="shared" si="5"/>
        <v>15170572.646065645</v>
      </c>
      <c r="O27" s="95">
        <f t="shared" ref="O27:O36" si="7">E27+H27+L27</f>
        <v>25701800.703902632</v>
      </c>
      <c r="P27" s="95"/>
      <c r="Q27" s="101"/>
      <c r="S27" s="104"/>
      <c r="T27" s="104"/>
    </row>
    <row r="28" spans="2:20" outlineLevel="1">
      <c r="B28" s="97">
        <v>40268</v>
      </c>
      <c r="C28" s="97"/>
      <c r="D28" s="102">
        <v>3288323.2454433106</v>
      </c>
      <c r="E28" s="102">
        <f>E27+D28</f>
        <v>42829555.097601205</v>
      </c>
      <c r="F28" s="98">
        <f t="shared" si="6"/>
        <v>25970281.751174495</v>
      </c>
      <c r="G28" s="102"/>
      <c r="H28" s="100">
        <f>H27-G28</f>
        <v>0</v>
      </c>
      <c r="I28" s="98">
        <f>(H16+H28+SUM(H17:H27)*2)/24</f>
        <v>0</v>
      </c>
      <c r="J28" s="98">
        <f t="shared" si="3"/>
        <v>25970281.751174495</v>
      </c>
      <c r="K28" s="100">
        <f>(-D28*0.35)+(G28*0.35)</f>
        <v>-1150913.1359051587</v>
      </c>
      <c r="L28" s="100">
        <f t="shared" si="0"/>
        <v>-14990344.284160424</v>
      </c>
      <c r="M28" s="98">
        <f t="shared" si="4"/>
        <v>-9089598.6129110735</v>
      </c>
      <c r="N28" s="95">
        <f t="shared" si="5"/>
        <v>16880683.138263419</v>
      </c>
      <c r="O28" s="95">
        <f t="shared" si="7"/>
        <v>27839210.813440781</v>
      </c>
      <c r="P28" s="95"/>
      <c r="Q28" s="101"/>
      <c r="S28" s="104"/>
      <c r="T28" s="104"/>
    </row>
    <row r="29" spans="2:20" ht="12" customHeight="1" outlineLevel="1">
      <c r="B29" s="97" t="s">
        <v>183</v>
      </c>
      <c r="C29" s="97"/>
      <c r="D29" s="102">
        <v>272965.27742110763</v>
      </c>
      <c r="E29" s="102">
        <f>E28+D29</f>
        <v>43102520.375022314</v>
      </c>
      <c r="F29" s="98">
        <f>(E17+E29+SUM(E18:E28)*2)/24</f>
        <v>28526760.43137376</v>
      </c>
      <c r="G29" s="158">
        <v>235685</v>
      </c>
      <c r="H29" s="100">
        <f>H28-G29</f>
        <v>-235685</v>
      </c>
      <c r="I29" s="98">
        <f>(H17+H29+SUM(H18:H28)*2)/24</f>
        <v>-9820.2083333333339</v>
      </c>
      <c r="J29" s="98">
        <f t="shared" si="3"/>
        <v>28516940.223040428</v>
      </c>
      <c r="K29" s="100">
        <v>-15656</v>
      </c>
      <c r="L29" s="100">
        <f t="shared" si="0"/>
        <v>-15006000.284160424</v>
      </c>
      <c r="M29" s="98">
        <f t="shared" si="4"/>
        <v>-9981037.7406850886</v>
      </c>
      <c r="N29" s="95">
        <f t="shared" si="5"/>
        <v>18535902.482355341</v>
      </c>
      <c r="O29" s="95">
        <f t="shared" si="7"/>
        <v>27860835.09086189</v>
      </c>
      <c r="P29" s="95"/>
      <c r="Q29" s="101"/>
      <c r="S29" s="104"/>
      <c r="T29" s="104"/>
    </row>
    <row r="30" spans="2:20" outlineLevel="1">
      <c r="B30" s="97">
        <v>40329</v>
      </c>
      <c r="C30" s="97"/>
      <c r="D30" s="102">
        <v>2284</v>
      </c>
      <c r="E30" s="102">
        <f t="shared" si="2"/>
        <v>43104804.375022314</v>
      </c>
      <c r="F30" s="98">
        <f>(E18+E30+SUM(E19:E29)*2)/24</f>
        <v>30811678.949029665</v>
      </c>
      <c r="G30" s="159">
        <v>240421</v>
      </c>
      <c r="H30" s="100">
        <f>H29-G30</f>
        <v>-476106</v>
      </c>
      <c r="I30" s="98">
        <f>(H18+H30+SUM(H19:H29)*2)/24</f>
        <v>-39478.166666666664</v>
      </c>
      <c r="J30" s="98">
        <f t="shared" si="3"/>
        <v>30772200.782362998</v>
      </c>
      <c r="K30" s="100">
        <v>86000</v>
      </c>
      <c r="L30" s="100">
        <f>L29+K30</f>
        <v>-14920000.284160424</v>
      </c>
      <c r="M30" s="98">
        <f t="shared" si="4"/>
        <v>-10770485.759606542</v>
      </c>
      <c r="N30" s="95">
        <f t="shared" si="5"/>
        <v>20001715.022756457</v>
      </c>
      <c r="O30" s="95">
        <f t="shared" si="7"/>
        <v>27708698.09086189</v>
      </c>
      <c r="P30" s="95"/>
      <c r="Q30" s="101"/>
      <c r="S30" s="104"/>
      <c r="T30" s="104"/>
    </row>
    <row r="31" spans="2:20" outlineLevel="1">
      <c r="B31" s="97">
        <v>40359</v>
      </c>
      <c r="C31" s="97"/>
      <c r="D31" s="102"/>
      <c r="E31" s="102">
        <f t="shared" si="2"/>
        <v>43104804.375022314</v>
      </c>
      <c r="F31" s="98">
        <f>(E19+E31+SUM(E20:E30)*2)/24</f>
        <v>32785213.997166339</v>
      </c>
      <c r="G31" s="160">
        <v>240421</v>
      </c>
      <c r="H31" s="100">
        <f t="shared" ref="H31:H94" si="8">H30-G31</f>
        <v>-716527</v>
      </c>
      <c r="I31" s="98">
        <f t="shared" ref="I31:I94" si="9">(H19+H31+SUM(H20:H30)*2)/24</f>
        <v>-89171.208333333328</v>
      </c>
      <c r="J31" s="98">
        <f t="shared" si="3"/>
        <v>32696042.788833007</v>
      </c>
      <c r="K31" s="100">
        <v>84000</v>
      </c>
      <c r="L31" s="100">
        <f>L30+K31</f>
        <v>-14836000.284160424</v>
      </c>
      <c r="M31" s="98">
        <f>(L19+L31+SUM(L20:L30)*2)/24</f>
        <v>-11443832.922529599</v>
      </c>
      <c r="N31" s="95">
        <f t="shared" si="5"/>
        <v>21252209.866303407</v>
      </c>
      <c r="O31" s="95">
        <f t="shared" si="7"/>
        <v>27552277.09086189</v>
      </c>
      <c r="P31" s="95"/>
      <c r="Q31" s="104"/>
      <c r="S31" s="104"/>
      <c r="T31" s="104"/>
    </row>
    <row r="32" spans="2:20" outlineLevel="1">
      <c r="B32" s="97">
        <v>40390</v>
      </c>
      <c r="C32" s="97"/>
      <c r="D32" s="102"/>
      <c r="E32" s="102">
        <f t="shared" si="2"/>
        <v>43104804.375022314</v>
      </c>
      <c r="F32" s="98">
        <f t="shared" si="6"/>
        <v>34495910.464533798</v>
      </c>
      <c r="G32" s="102">
        <v>240421</v>
      </c>
      <c r="H32" s="100">
        <f>H31-G32</f>
        <v>-956948</v>
      </c>
      <c r="I32" s="98">
        <f t="shared" si="9"/>
        <v>-158899.33333333334</v>
      </c>
      <c r="J32" s="98">
        <f t="shared" si="3"/>
        <v>34337011.131200463</v>
      </c>
      <c r="K32" s="100">
        <v>84000</v>
      </c>
      <c r="L32" s="100">
        <f t="shared" si="0"/>
        <v>-14752000.284160424</v>
      </c>
      <c r="M32" s="98">
        <f t="shared" si="4"/>
        <v>-12018186.582183426</v>
      </c>
      <c r="N32" s="95">
        <f t="shared" si="5"/>
        <v>22318824.549017034</v>
      </c>
      <c r="O32" s="95">
        <f t="shared" si="7"/>
        <v>27395856.09086189</v>
      </c>
      <c r="P32" s="95"/>
      <c r="Q32" s="104"/>
      <c r="S32" s="104"/>
      <c r="T32" s="104"/>
    </row>
    <row r="33" spans="2:29" outlineLevel="1">
      <c r="B33" s="97">
        <v>40421</v>
      </c>
      <c r="C33" s="97"/>
      <c r="D33" s="102"/>
      <c r="E33" s="102">
        <f t="shared" si="2"/>
        <v>43104804.375022314</v>
      </c>
      <c r="F33" s="98">
        <f t="shared" si="6"/>
        <v>36082912.615715347</v>
      </c>
      <c r="G33" s="102">
        <v>240421</v>
      </c>
      <c r="H33" s="100">
        <f t="shared" si="8"/>
        <v>-1197369</v>
      </c>
      <c r="I33" s="98">
        <f t="shared" si="9"/>
        <v>-248662.54166666666</v>
      </c>
      <c r="J33" s="98">
        <f t="shared" si="3"/>
        <v>35834250.074048683</v>
      </c>
      <c r="K33" s="100">
        <v>84000</v>
      </c>
      <c r="L33" s="100">
        <f t="shared" si="0"/>
        <v>-14668000.284160424</v>
      </c>
      <c r="M33" s="98">
        <f t="shared" si="4"/>
        <v>-12542247.231172187</v>
      </c>
      <c r="N33" s="95">
        <f t="shared" si="5"/>
        <v>23292002.842876494</v>
      </c>
      <c r="O33" s="95">
        <f t="shared" si="7"/>
        <v>27239435.09086189</v>
      </c>
      <c r="P33" s="95"/>
      <c r="Q33" s="104"/>
      <c r="S33" s="104"/>
      <c r="T33" s="104"/>
    </row>
    <row r="34" spans="2:29" outlineLevel="1">
      <c r="B34" s="97">
        <v>40451</v>
      </c>
      <c r="C34" s="97"/>
      <c r="D34" s="102"/>
      <c r="E34" s="102">
        <f t="shared" si="2"/>
        <v>43104804.375022314</v>
      </c>
      <c r="F34" s="98">
        <f t="shared" si="6"/>
        <v>37672339.312794335</v>
      </c>
      <c r="G34" s="102">
        <v>240421</v>
      </c>
      <c r="H34" s="100">
        <f t="shared" si="8"/>
        <v>-1437790</v>
      </c>
      <c r="I34" s="98">
        <f t="shared" si="9"/>
        <v>-358460.83333333331</v>
      </c>
      <c r="J34" s="98">
        <f>F34+I34</f>
        <v>37313878.479460999</v>
      </c>
      <c r="K34" s="100">
        <v>84545</v>
      </c>
      <c r="L34" s="100">
        <f t="shared" si="0"/>
        <v>-14583455.284160424</v>
      </c>
      <c r="M34" s="98">
        <f t="shared" si="4"/>
        <v>-13060133.762891717</v>
      </c>
      <c r="N34" s="95">
        <f>M34+J34</f>
        <v>24253744.716569282</v>
      </c>
      <c r="O34" s="95">
        <f t="shared" si="7"/>
        <v>27083559.09086189</v>
      </c>
      <c r="P34" s="95"/>
      <c r="Q34" s="104"/>
      <c r="S34" s="104"/>
      <c r="T34" s="104"/>
    </row>
    <row r="35" spans="2:29" outlineLevel="1">
      <c r="B35" s="97">
        <v>40482</v>
      </c>
      <c r="C35" s="97"/>
      <c r="D35" s="102"/>
      <c r="E35" s="100">
        <f t="shared" si="2"/>
        <v>43104804.375022314</v>
      </c>
      <c r="F35" s="98">
        <f t="shared" si="6"/>
        <v>39188877.329937428</v>
      </c>
      <c r="G35" s="100">
        <v>240421</v>
      </c>
      <c r="H35" s="100">
        <f t="shared" si="8"/>
        <v>-1678211</v>
      </c>
      <c r="I35" s="98">
        <f t="shared" si="9"/>
        <v>-488294.20833333331</v>
      </c>
      <c r="J35" s="98">
        <f t="shared" si="3"/>
        <v>38700583.121604092</v>
      </c>
      <c r="K35" s="100">
        <f t="shared" si="1"/>
        <v>84147.349999999991</v>
      </c>
      <c r="L35" s="100">
        <f t="shared" si="0"/>
        <v>-14499307.934160424</v>
      </c>
      <c r="M35" s="98">
        <f t="shared" si="4"/>
        <v>-13545480.408717019</v>
      </c>
      <c r="N35" s="95">
        <f t="shared" si="5"/>
        <v>25155102.712887071</v>
      </c>
      <c r="O35" s="95">
        <f t="shared" si="7"/>
        <v>26927285.440861888</v>
      </c>
      <c r="P35" s="95"/>
      <c r="Q35" s="93"/>
      <c r="R35" s="66"/>
      <c r="S35" s="93"/>
      <c r="T35" s="93"/>
      <c r="U35" s="66"/>
      <c r="V35" s="66"/>
      <c r="W35" s="66"/>
      <c r="X35" s="66"/>
      <c r="Y35" s="66"/>
      <c r="Z35" s="66"/>
      <c r="AA35" s="66"/>
    </row>
    <row r="36" spans="2:29" ht="12.75" customHeight="1" outlineLevel="1">
      <c r="B36" s="97">
        <v>40512</v>
      </c>
      <c r="C36" s="97"/>
      <c r="D36" s="102"/>
      <c r="E36" s="100">
        <f t="shared" si="2"/>
        <v>43104804.375022314</v>
      </c>
      <c r="F36" s="98">
        <f t="shared" si="6"/>
        <v>40516379.033811294</v>
      </c>
      <c r="G36" s="100">
        <v>240421</v>
      </c>
      <c r="H36" s="100">
        <f t="shared" si="8"/>
        <v>-1918632</v>
      </c>
      <c r="I36" s="98">
        <f t="shared" si="9"/>
        <v>-638162.66666666663</v>
      </c>
      <c r="J36" s="98">
        <f t="shared" si="3"/>
        <v>39878216.367144629</v>
      </c>
      <c r="K36" s="100">
        <f t="shared" si="1"/>
        <v>84147.349999999991</v>
      </c>
      <c r="L36" s="100">
        <f t="shared" si="0"/>
        <v>-14415160.584160425</v>
      </c>
      <c r="M36" s="98">
        <f>(L24+L36+SUM(L25:L35)*2)/24</f>
        <v>-13957652.065731419</v>
      </c>
      <c r="N36" s="95">
        <f t="shared" si="5"/>
        <v>25920564.301413208</v>
      </c>
      <c r="O36" s="95">
        <f t="shared" si="7"/>
        <v>26771011.79086189</v>
      </c>
      <c r="P36" s="95"/>
      <c r="Q36" s="93"/>
      <c r="R36" s="66"/>
      <c r="S36" s="93"/>
      <c r="T36" s="93"/>
      <c r="U36" s="66"/>
      <c r="V36" s="66"/>
      <c r="W36" s="66"/>
      <c r="X36" s="66"/>
      <c r="Y36" s="66"/>
      <c r="Z36" s="66"/>
      <c r="AA36" s="66"/>
    </row>
    <row r="37" spans="2:29" outlineLevel="1">
      <c r="B37" s="97">
        <v>40543</v>
      </c>
      <c r="C37" s="97"/>
      <c r="D37" s="102"/>
      <c r="E37" s="102">
        <f t="shared" si="2"/>
        <v>43104804.375022314</v>
      </c>
      <c r="F37" s="98">
        <f t="shared" si="6"/>
        <v>41622170.41934292</v>
      </c>
      <c r="G37" s="102">
        <v>240421</v>
      </c>
      <c r="H37" s="100">
        <f t="shared" si="8"/>
        <v>-2159053</v>
      </c>
      <c r="I37" s="98">
        <f t="shared" si="9"/>
        <v>-808066.20833333337</v>
      </c>
      <c r="J37" s="98">
        <f t="shared" si="3"/>
        <v>40814104.211009584</v>
      </c>
      <c r="K37" s="100">
        <f t="shared" si="1"/>
        <v>84147.349999999991</v>
      </c>
      <c r="L37" s="100">
        <f t="shared" si="0"/>
        <v>-14331013.234160425</v>
      </c>
      <c r="M37" s="98">
        <f t="shared" si="4"/>
        <v>-14285212.832159372</v>
      </c>
      <c r="N37" s="95">
        <f t="shared" si="5"/>
        <v>26528891.378850214</v>
      </c>
      <c r="O37" s="95">
        <f>E37+H37+L37</f>
        <v>26614738.140861891</v>
      </c>
      <c r="P37" s="95"/>
      <c r="Q37" s="104"/>
      <c r="S37" s="104"/>
      <c r="T37" s="104"/>
    </row>
    <row r="38" spans="2:29" outlineLevel="1">
      <c r="B38" s="97">
        <v>40574</v>
      </c>
      <c r="C38" s="97"/>
      <c r="D38" s="102"/>
      <c r="E38" s="102">
        <f t="shared" si="2"/>
        <v>43104804.375022314</v>
      </c>
      <c r="F38" s="98">
        <f t="shared" si="6"/>
        <v>42447899.712814219</v>
      </c>
      <c r="G38" s="102">
        <v>240421</v>
      </c>
      <c r="H38" s="100">
        <f t="shared" si="8"/>
        <v>-2399474</v>
      </c>
      <c r="I38" s="98">
        <f t="shared" si="9"/>
        <v>-998004.83333333337</v>
      </c>
      <c r="J38" s="98">
        <f t="shared" si="3"/>
        <v>41449894.879480883</v>
      </c>
      <c r="K38" s="100">
        <f t="shared" si="1"/>
        <v>84147.349999999991</v>
      </c>
      <c r="L38" s="100">
        <f t="shared" si="0"/>
        <v>-14246865.884160426</v>
      </c>
      <c r="M38" s="98">
        <f t="shared" si="4"/>
        <v>-14507739.587199548</v>
      </c>
      <c r="N38" s="95">
        <f t="shared" si="5"/>
        <v>26942155.292281337</v>
      </c>
      <c r="O38" s="95">
        <f t="shared" ref="O38:O48" si="10">E38+H38+L38</f>
        <v>26458464.490861889</v>
      </c>
      <c r="P38" s="95"/>
      <c r="Q38" s="104"/>
      <c r="S38" s="104"/>
      <c r="T38" s="104"/>
    </row>
    <row r="39" spans="2:29" s="64" customFormat="1" outlineLevel="1">
      <c r="B39" s="105">
        <v>40602</v>
      </c>
      <c r="C39" s="105"/>
      <c r="D39" s="100"/>
      <c r="E39" s="98">
        <f t="shared" si="2"/>
        <v>43104804.375022314</v>
      </c>
      <c r="F39" s="98">
        <f>(E27+E39+SUM(E28:E38)*2)/24</f>
        <v>42933194.413451202</v>
      </c>
      <c r="G39" s="102">
        <v>240421</v>
      </c>
      <c r="H39" s="98">
        <f>H38-G39</f>
        <v>-2639895</v>
      </c>
      <c r="I39" s="98">
        <f>(H27+H39+SUM(H28:H38)*2)/24</f>
        <v>-1207978.5416666667</v>
      </c>
      <c r="J39" s="98">
        <f>F39+I39</f>
        <v>41725215.871784538</v>
      </c>
      <c r="K39" s="98">
        <f t="shared" si="1"/>
        <v>84147.349999999991</v>
      </c>
      <c r="L39" s="98">
        <f t="shared" si="0"/>
        <v>-14162718.534160426</v>
      </c>
      <c r="M39" s="98">
        <f t="shared" si="4"/>
        <v>-14604101.955581041</v>
      </c>
      <c r="N39" s="95">
        <f t="shared" si="5"/>
        <v>27121113.916203499</v>
      </c>
      <c r="O39" s="95">
        <f t="shared" si="10"/>
        <v>26302190.840861887</v>
      </c>
      <c r="P39" s="95"/>
      <c r="Q39" s="93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2:29" outlineLevel="1">
      <c r="B40" s="105">
        <v>40633</v>
      </c>
      <c r="C40" s="97"/>
      <c r="D40" s="102"/>
      <c r="E40" s="102">
        <f t="shared" si="2"/>
        <v>43104804.375022314</v>
      </c>
      <c r="F40" s="98">
        <f>(E28+E40+SUM(E29:E39)*2)/24</f>
        <v>43093145.321796425</v>
      </c>
      <c r="G40" s="102">
        <v>240421</v>
      </c>
      <c r="H40" s="98">
        <f>H39-G40</f>
        <v>-2880316</v>
      </c>
      <c r="I40" s="98">
        <f>(H28+H40+SUM(H29:H39)*2)/24</f>
        <v>-1437987.3333333333</v>
      </c>
      <c r="J40" s="98">
        <f t="shared" si="3"/>
        <v>41655157.988463089</v>
      </c>
      <c r="K40" s="100">
        <f t="shared" si="1"/>
        <v>84147.349999999991</v>
      </c>
      <c r="L40" s="100">
        <f>L39+K40</f>
        <v>-14078571.184160426</v>
      </c>
      <c r="M40" s="98">
        <f>(L28+L40+SUM(L29:L39)*2)/24</f>
        <v>-14579581.717493758</v>
      </c>
      <c r="N40" s="95">
        <f>M40+J40</f>
        <v>27075576.270969331</v>
      </c>
      <c r="O40" s="95">
        <f t="shared" si="10"/>
        <v>26145917.190861888</v>
      </c>
      <c r="P40" s="95"/>
      <c r="Q40" s="104"/>
    </row>
    <row r="41" spans="2:29" outlineLevel="1">
      <c r="B41" s="97">
        <v>40663</v>
      </c>
      <c r="C41" s="97"/>
      <c r="D41" s="102"/>
      <c r="E41" s="102">
        <f t="shared" si="2"/>
        <v>43104804.375022314</v>
      </c>
      <c r="F41" s="98">
        <f t="shared" si="6"/>
        <v>43104709.208355643</v>
      </c>
      <c r="G41" s="102">
        <v>240421</v>
      </c>
      <c r="H41" s="100">
        <f t="shared" si="8"/>
        <v>-3120737</v>
      </c>
      <c r="I41" s="98">
        <f t="shared" ref="I41:I46" si="11">(H29+H41+SUM(H30:H40)*2)/24</f>
        <v>-1678211</v>
      </c>
      <c r="J41" s="98">
        <f t="shared" si="3"/>
        <v>41426498.208355643</v>
      </c>
      <c r="K41" s="100">
        <f t="shared" si="1"/>
        <v>84147.349999999991</v>
      </c>
      <c r="L41" s="100">
        <f t="shared" si="0"/>
        <v>-13994423.834160427</v>
      </c>
      <c r="M41" s="98">
        <f t="shared" si="4"/>
        <v>-14499442.152910426</v>
      </c>
      <c r="N41" s="95">
        <f t="shared" si="5"/>
        <v>26927056.055445217</v>
      </c>
      <c r="O41" s="95">
        <f t="shared" si="10"/>
        <v>25989643.54086189</v>
      </c>
      <c r="P41" s="95"/>
      <c r="Q41" s="104"/>
    </row>
    <row r="42" spans="2:29" ht="14.25" customHeight="1" outlineLevel="1">
      <c r="B42" s="97">
        <v>40694</v>
      </c>
      <c r="C42" s="97"/>
      <c r="D42" s="102"/>
      <c r="E42" s="102">
        <f t="shared" si="2"/>
        <v>43104804.375022314</v>
      </c>
      <c r="F42" s="98">
        <f t="shared" si="6"/>
        <v>43104804.375022307</v>
      </c>
      <c r="G42" s="102">
        <v>240421</v>
      </c>
      <c r="H42" s="100">
        <f t="shared" si="8"/>
        <v>-3361158</v>
      </c>
      <c r="I42" s="98">
        <f t="shared" si="11"/>
        <v>-1918632</v>
      </c>
      <c r="J42" s="98">
        <f t="shared" si="3"/>
        <v>41186172.375022307</v>
      </c>
      <c r="K42" s="100">
        <f t="shared" si="1"/>
        <v>84147.349999999991</v>
      </c>
      <c r="L42" s="100">
        <f t="shared" si="0"/>
        <v>-13910276.484160427</v>
      </c>
      <c r="M42" s="98">
        <f>(L30+L42+SUM(L31:L41)*2)/24</f>
        <v>-14415221.309160424</v>
      </c>
      <c r="N42" s="95">
        <f t="shared" si="5"/>
        <v>26770951.065861881</v>
      </c>
      <c r="O42" s="95">
        <f t="shared" si="10"/>
        <v>25833369.890861887</v>
      </c>
      <c r="P42" s="95"/>
      <c r="Q42" s="107"/>
    </row>
    <row r="43" spans="2:29" outlineLevel="1">
      <c r="B43" s="97">
        <v>40724</v>
      </c>
      <c r="C43" s="97"/>
      <c r="D43" s="102"/>
      <c r="E43" s="102">
        <f t="shared" si="2"/>
        <v>43104804.375022314</v>
      </c>
      <c r="F43" s="98">
        <f t="shared" si="6"/>
        <v>43104804.375022307</v>
      </c>
      <c r="G43" s="102">
        <v>240421</v>
      </c>
      <c r="H43" s="100">
        <f t="shared" si="8"/>
        <v>-3601579</v>
      </c>
      <c r="I43" s="98">
        <f t="shared" si="11"/>
        <v>-2159053</v>
      </c>
      <c r="J43" s="98">
        <f t="shared" si="3"/>
        <v>40945751.375022307</v>
      </c>
      <c r="K43" s="100">
        <f t="shared" si="1"/>
        <v>84147.349999999991</v>
      </c>
      <c r="L43" s="100">
        <f>L42+K43</f>
        <v>-13826129.134160427</v>
      </c>
      <c r="M43" s="98">
        <f>(L31+L43+SUM(L32:L42)*2)/24</f>
        <v>-14331071.519577092</v>
      </c>
      <c r="N43" s="95">
        <f t="shared" si="5"/>
        <v>26614679.855445214</v>
      </c>
      <c r="O43" s="95">
        <f t="shared" si="10"/>
        <v>25677096.240861885</v>
      </c>
      <c r="P43" s="95"/>
      <c r="Q43" s="104"/>
    </row>
    <row r="44" spans="2:29" outlineLevel="1">
      <c r="B44" s="97">
        <v>40755</v>
      </c>
      <c r="C44" s="97"/>
      <c r="D44" s="102"/>
      <c r="E44" s="102">
        <f t="shared" si="2"/>
        <v>43104804.375022314</v>
      </c>
      <c r="F44" s="98">
        <f t="shared" si="6"/>
        <v>43104804.375022307</v>
      </c>
      <c r="G44" s="102">
        <v>240421</v>
      </c>
      <c r="H44" s="100">
        <f t="shared" si="8"/>
        <v>-3842000</v>
      </c>
      <c r="I44" s="98">
        <f t="shared" si="11"/>
        <v>-2399474</v>
      </c>
      <c r="J44" s="98">
        <f t="shared" si="3"/>
        <v>40705330.375022307</v>
      </c>
      <c r="K44" s="100">
        <f t="shared" si="1"/>
        <v>84147.349999999991</v>
      </c>
      <c r="L44" s="100">
        <f t="shared" si="0"/>
        <v>-13741981.784160428</v>
      </c>
      <c r="M44" s="98">
        <f>(L32+L44+SUM(L33:L43)*2)/24</f>
        <v>-14246909.450827094</v>
      </c>
      <c r="N44" s="95">
        <f t="shared" si="5"/>
        <v>26458420.924195215</v>
      </c>
      <c r="O44" s="95">
        <f t="shared" si="10"/>
        <v>25520822.590861887</v>
      </c>
      <c r="P44" s="95"/>
      <c r="Q44" s="104"/>
    </row>
    <row r="45" spans="2:29" ht="12.75" customHeight="1" outlineLevel="1">
      <c r="B45" s="97">
        <v>40786</v>
      </c>
      <c r="C45" s="108"/>
      <c r="D45" s="102"/>
      <c r="E45" s="102">
        <f t="shared" si="2"/>
        <v>43104804.375022314</v>
      </c>
      <c r="F45" s="98">
        <f t="shared" si="6"/>
        <v>43104804.375022307</v>
      </c>
      <c r="G45" s="102">
        <v>240421</v>
      </c>
      <c r="H45" s="100">
        <f t="shared" si="8"/>
        <v>-4082421</v>
      </c>
      <c r="I45" s="98">
        <f t="shared" si="11"/>
        <v>-2639895</v>
      </c>
      <c r="J45" s="98">
        <f t="shared" si="3"/>
        <v>40464909.375022307</v>
      </c>
      <c r="K45" s="100">
        <f t="shared" si="1"/>
        <v>84147.349999999991</v>
      </c>
      <c r="L45" s="100">
        <f t="shared" si="0"/>
        <v>-13657834.434160428</v>
      </c>
      <c r="M45" s="98">
        <f t="shared" si="4"/>
        <v>-14162735.102910424</v>
      </c>
      <c r="N45" s="95">
        <f t="shared" si="5"/>
        <v>26302174.272111885</v>
      </c>
      <c r="O45" s="95">
        <f t="shared" si="10"/>
        <v>25364548.940861888</v>
      </c>
      <c r="P45" s="95"/>
      <c r="Q45" s="104"/>
    </row>
    <row r="46" spans="2:29" outlineLevel="1">
      <c r="B46" s="155">
        <v>40816</v>
      </c>
      <c r="C46" s="108"/>
      <c r="D46" s="102"/>
      <c r="E46" s="102">
        <f t="shared" si="2"/>
        <v>43104804.375022314</v>
      </c>
      <c r="F46" s="98">
        <f t="shared" si="6"/>
        <v>43104804.375022307</v>
      </c>
      <c r="G46" s="102">
        <v>240421</v>
      </c>
      <c r="H46" s="100">
        <f t="shared" si="8"/>
        <v>-4322842</v>
      </c>
      <c r="I46" s="98">
        <f t="shared" si="11"/>
        <v>-2880316</v>
      </c>
      <c r="J46" s="98">
        <f t="shared" si="3"/>
        <v>40224488.375022307</v>
      </c>
      <c r="K46" s="100">
        <f t="shared" si="1"/>
        <v>84147.349999999991</v>
      </c>
      <c r="L46" s="100">
        <f t="shared" si="0"/>
        <v>-13573687.084160428</v>
      </c>
      <c r="M46" s="98">
        <f t="shared" si="4"/>
        <v>-14078571.184160426</v>
      </c>
      <c r="N46" s="95">
        <f t="shared" si="5"/>
        <v>26145917.190861881</v>
      </c>
      <c r="O46" s="95">
        <f t="shared" si="10"/>
        <v>25208275.290861886</v>
      </c>
      <c r="P46" s="95"/>
      <c r="Q46" s="104"/>
    </row>
    <row r="47" spans="2:29" outlineLevel="1">
      <c r="B47" s="97">
        <v>40847</v>
      </c>
      <c r="C47" s="108"/>
      <c r="D47" s="102"/>
      <c r="E47" s="102">
        <f t="shared" si="2"/>
        <v>43104804.375022314</v>
      </c>
      <c r="F47" s="98">
        <f t="shared" si="6"/>
        <v>43104804.375022307</v>
      </c>
      <c r="G47" s="102">
        <v>240421</v>
      </c>
      <c r="H47" s="100">
        <f t="shared" si="8"/>
        <v>-4563263</v>
      </c>
      <c r="I47" s="98">
        <f t="shared" si="9"/>
        <v>-3120737</v>
      </c>
      <c r="J47" s="98">
        <f t="shared" si="3"/>
        <v>39984067.375022307</v>
      </c>
      <c r="K47" s="100">
        <f t="shared" si="1"/>
        <v>84147.349999999991</v>
      </c>
      <c r="L47" s="100">
        <f t="shared" si="0"/>
        <v>-13489539.734160429</v>
      </c>
      <c r="M47" s="98">
        <f t="shared" si="4"/>
        <v>-13994423.834160425</v>
      </c>
      <c r="N47" s="95">
        <f t="shared" si="5"/>
        <v>25989643.540861882</v>
      </c>
      <c r="O47" s="95">
        <f t="shared" si="10"/>
        <v>25052001.640861884</v>
      </c>
      <c r="P47" s="95"/>
      <c r="Q47" s="104"/>
    </row>
    <row r="48" spans="2:29" ht="12.75" customHeight="1" outlineLevel="1">
      <c r="B48" s="97">
        <v>40877</v>
      </c>
      <c r="C48" s="108"/>
      <c r="D48" s="102"/>
      <c r="E48" s="102">
        <f t="shared" si="2"/>
        <v>43104804.375022314</v>
      </c>
      <c r="F48" s="98">
        <f t="shared" si="6"/>
        <v>43104804.375022307</v>
      </c>
      <c r="G48" s="102">
        <v>240421</v>
      </c>
      <c r="H48" s="100">
        <f t="shared" si="8"/>
        <v>-4803684</v>
      </c>
      <c r="I48" s="98">
        <f t="shared" si="9"/>
        <v>-3361158</v>
      </c>
      <c r="J48" s="98">
        <f t="shared" si="3"/>
        <v>39743646.375022307</v>
      </c>
      <c r="K48" s="100">
        <f t="shared" si="1"/>
        <v>84147.349999999991</v>
      </c>
      <c r="L48" s="100">
        <f t="shared" si="0"/>
        <v>-13405392.384160429</v>
      </c>
      <c r="M48" s="98">
        <f t="shared" si="4"/>
        <v>-13910276.484160425</v>
      </c>
      <c r="N48" s="95">
        <f t="shared" si="5"/>
        <v>25833369.890861884</v>
      </c>
      <c r="O48" s="95">
        <f t="shared" si="10"/>
        <v>24895727.990861885</v>
      </c>
      <c r="P48" s="95"/>
      <c r="Q48" s="104"/>
    </row>
    <row r="49" spans="2:19" outlineLevel="1">
      <c r="B49" s="97">
        <v>40908</v>
      </c>
      <c r="C49" s="108"/>
      <c r="D49" s="102"/>
      <c r="E49" s="102">
        <f t="shared" si="2"/>
        <v>43104804.375022314</v>
      </c>
      <c r="F49" s="98">
        <f t="shared" si="6"/>
        <v>43104804.375022307</v>
      </c>
      <c r="G49" s="102">
        <v>240421</v>
      </c>
      <c r="H49" s="100">
        <f t="shared" si="8"/>
        <v>-5044105</v>
      </c>
      <c r="I49" s="98">
        <f t="shared" si="9"/>
        <v>-3601579</v>
      </c>
      <c r="J49" s="98">
        <f t="shared" si="3"/>
        <v>39503225.375022307</v>
      </c>
      <c r="K49" s="100">
        <f t="shared" si="1"/>
        <v>84147.349999999991</v>
      </c>
      <c r="L49" s="100">
        <f t="shared" si="0"/>
        <v>-13321245.03416043</v>
      </c>
      <c r="M49" s="98">
        <f t="shared" si="4"/>
        <v>-13826129.134160427</v>
      </c>
      <c r="N49" s="95">
        <f>M49+J49</f>
        <v>25677096.240861878</v>
      </c>
      <c r="O49" s="95">
        <f>E49+H49+L49</f>
        <v>24739454.340861887</v>
      </c>
      <c r="P49" s="95"/>
      <c r="Q49" s="104"/>
    </row>
    <row r="50" spans="2:19" outlineLevel="1">
      <c r="B50" s="97">
        <v>40939</v>
      </c>
      <c r="C50" s="108"/>
      <c r="D50" s="102"/>
      <c r="E50" s="102">
        <f t="shared" si="2"/>
        <v>43104804.375022314</v>
      </c>
      <c r="F50" s="98">
        <f t="shared" si="6"/>
        <v>43104804.375022307</v>
      </c>
      <c r="G50" s="102">
        <v>240421</v>
      </c>
      <c r="H50" s="100">
        <f t="shared" si="8"/>
        <v>-5284526</v>
      </c>
      <c r="I50" s="98">
        <f t="shared" si="9"/>
        <v>-3842000</v>
      </c>
      <c r="J50" s="98">
        <f t="shared" si="3"/>
        <v>39262804.375022307</v>
      </c>
      <c r="K50" s="100">
        <f t="shared" si="1"/>
        <v>84147.349999999991</v>
      </c>
      <c r="L50" s="100">
        <f t="shared" si="0"/>
        <v>-13237097.68416043</v>
      </c>
      <c r="M50" s="98">
        <f t="shared" si="4"/>
        <v>-13741981.784160428</v>
      </c>
      <c r="N50" s="95">
        <f t="shared" si="5"/>
        <v>25520822.590861879</v>
      </c>
      <c r="O50" s="95">
        <f t="shared" ref="O50:O114" si="12">E50+H50+L50</f>
        <v>24583180.690861885</v>
      </c>
      <c r="P50" s="95"/>
      <c r="Q50" s="104"/>
    </row>
    <row r="51" spans="2:19" outlineLevel="1">
      <c r="B51" s="97">
        <v>40968</v>
      </c>
      <c r="C51" s="108"/>
      <c r="D51" s="102"/>
      <c r="E51" s="102">
        <f t="shared" si="2"/>
        <v>43104804.375022314</v>
      </c>
      <c r="F51" s="98">
        <f t="shared" si="6"/>
        <v>43104804.375022307</v>
      </c>
      <c r="G51" s="102">
        <v>240421</v>
      </c>
      <c r="H51" s="100">
        <f t="shared" si="8"/>
        <v>-5524947</v>
      </c>
      <c r="I51" s="98">
        <f t="shared" si="9"/>
        <v>-4082421</v>
      </c>
      <c r="J51" s="98">
        <f t="shared" si="3"/>
        <v>39022383.375022307</v>
      </c>
      <c r="K51" s="100">
        <f t="shared" si="1"/>
        <v>84147.349999999991</v>
      </c>
      <c r="L51" s="100">
        <f t="shared" si="0"/>
        <v>-13152950.33416043</v>
      </c>
      <c r="M51" s="98">
        <f t="shared" si="4"/>
        <v>-13657834.434160432</v>
      </c>
      <c r="N51" s="95">
        <f t="shared" si="5"/>
        <v>25364548.940861873</v>
      </c>
      <c r="O51" s="95">
        <f t="shared" si="12"/>
        <v>24426907.040861882</v>
      </c>
      <c r="P51" s="95"/>
      <c r="Q51" s="104"/>
    </row>
    <row r="52" spans="2:19" outlineLevel="1">
      <c r="B52" s="97">
        <v>40999</v>
      </c>
      <c r="C52" s="108"/>
      <c r="D52" s="102"/>
      <c r="E52" s="102">
        <f t="shared" si="2"/>
        <v>43104804.375022314</v>
      </c>
      <c r="F52" s="98">
        <f t="shared" si="6"/>
        <v>43104804.375022307</v>
      </c>
      <c r="G52" s="102">
        <v>240421</v>
      </c>
      <c r="H52" s="100">
        <f t="shared" si="8"/>
        <v>-5765368</v>
      </c>
      <c r="I52" s="98">
        <f t="shared" si="9"/>
        <v>-4322842</v>
      </c>
      <c r="J52" s="98">
        <f t="shared" si="3"/>
        <v>38781962.375022307</v>
      </c>
      <c r="K52" s="100">
        <f t="shared" si="1"/>
        <v>84147.349999999991</v>
      </c>
      <c r="L52" s="100">
        <f t="shared" si="0"/>
        <v>-13068802.984160431</v>
      </c>
      <c r="M52" s="98">
        <f t="shared" si="4"/>
        <v>-13573687.084160427</v>
      </c>
      <c r="N52" s="95">
        <f t="shared" si="5"/>
        <v>25208275.290861882</v>
      </c>
      <c r="O52" s="95">
        <f>E52+H52+L52</f>
        <v>24270633.390861884</v>
      </c>
      <c r="P52" s="95"/>
      <c r="Q52" s="104"/>
    </row>
    <row r="53" spans="2:19" outlineLevel="1">
      <c r="B53" s="97">
        <v>41029</v>
      </c>
      <c r="C53" s="108"/>
      <c r="D53" s="102"/>
      <c r="E53" s="102">
        <f t="shared" si="2"/>
        <v>43104804.375022314</v>
      </c>
      <c r="F53" s="98">
        <f t="shared" si="6"/>
        <v>43104804.375022307</v>
      </c>
      <c r="G53" s="102">
        <v>240421</v>
      </c>
      <c r="H53" s="100">
        <f t="shared" si="8"/>
        <v>-6005789</v>
      </c>
      <c r="I53" s="98">
        <f t="shared" si="9"/>
        <v>-4563263</v>
      </c>
      <c r="J53" s="98">
        <f t="shared" si="3"/>
        <v>38541541.375022307</v>
      </c>
      <c r="K53" s="100">
        <f t="shared" si="1"/>
        <v>84147.349999999991</v>
      </c>
      <c r="L53" s="100">
        <f t="shared" si="0"/>
        <v>-12984655.634160431</v>
      </c>
      <c r="M53" s="98">
        <f t="shared" si="4"/>
        <v>-13489539.734160425</v>
      </c>
      <c r="N53" s="95">
        <f t="shared" si="5"/>
        <v>25052001.640861884</v>
      </c>
      <c r="O53" s="95">
        <f t="shared" si="12"/>
        <v>24114359.740861885</v>
      </c>
      <c r="P53" s="95"/>
      <c r="Q53" s="104"/>
    </row>
    <row r="54" spans="2:19" outlineLevel="1">
      <c r="B54" s="105">
        <v>41060</v>
      </c>
      <c r="C54" s="108"/>
      <c r="D54" s="102"/>
      <c r="E54" s="102">
        <f t="shared" si="2"/>
        <v>43104804.375022314</v>
      </c>
      <c r="F54" s="98">
        <f t="shared" si="6"/>
        <v>43104804.375022307</v>
      </c>
      <c r="G54" s="102">
        <v>240421</v>
      </c>
      <c r="H54" s="98">
        <f t="shared" si="8"/>
        <v>-6246210</v>
      </c>
      <c r="I54" s="98">
        <f>(H42+H54+SUM(H43:H53)*2)/24</f>
        <v>-4803684</v>
      </c>
      <c r="J54" s="98">
        <f t="shared" si="3"/>
        <v>38301120.375022307</v>
      </c>
      <c r="K54" s="98">
        <f t="shared" si="1"/>
        <v>84147.349999999991</v>
      </c>
      <c r="L54" s="98">
        <f>L53+K54</f>
        <v>-12900508.284160431</v>
      </c>
      <c r="M54" s="98">
        <f t="shared" si="4"/>
        <v>-13405392.384160429</v>
      </c>
      <c r="N54" s="95">
        <f t="shared" si="5"/>
        <v>24895727.990861878</v>
      </c>
      <c r="O54" s="95">
        <f t="shared" si="12"/>
        <v>23958086.090861883</v>
      </c>
      <c r="P54" s="95"/>
      <c r="Q54" s="104"/>
    </row>
    <row r="55" spans="2:19" outlineLevel="1">
      <c r="B55" s="97">
        <v>41090</v>
      </c>
      <c r="C55" s="108"/>
      <c r="D55" s="102"/>
      <c r="E55" s="102">
        <f t="shared" si="2"/>
        <v>43104804.375022314</v>
      </c>
      <c r="F55" s="98">
        <f t="shared" si="6"/>
        <v>43104804.375022307</v>
      </c>
      <c r="G55" s="102">
        <f>G54</f>
        <v>240421</v>
      </c>
      <c r="H55" s="100">
        <f>H54-G55</f>
        <v>-6486631</v>
      </c>
      <c r="I55" s="98">
        <f t="shared" si="9"/>
        <v>-5044105</v>
      </c>
      <c r="J55" s="98">
        <f t="shared" si="3"/>
        <v>38060699.375022307</v>
      </c>
      <c r="K55" s="100">
        <v>84141</v>
      </c>
      <c r="L55" s="100">
        <f t="shared" si="0"/>
        <v>-12816367.284160431</v>
      </c>
      <c r="M55" s="98">
        <f t="shared" si="4"/>
        <v>-13321245.298743762</v>
      </c>
      <c r="N55" s="95">
        <f t="shared" si="5"/>
        <v>24739454.076278545</v>
      </c>
      <c r="O55" s="95">
        <f t="shared" si="12"/>
        <v>23801806.090861883</v>
      </c>
      <c r="P55" s="95"/>
      <c r="Q55" s="104"/>
    </row>
    <row r="56" spans="2:19" ht="12.75" customHeight="1" outlineLevel="1">
      <c r="B56" s="97">
        <v>41121</v>
      </c>
      <c r="C56" s="108"/>
      <c r="D56" s="102"/>
      <c r="E56" s="102">
        <f t="shared" si="2"/>
        <v>43104804.375022314</v>
      </c>
      <c r="F56" s="98">
        <f t="shared" si="6"/>
        <v>43104804.375022307</v>
      </c>
      <c r="G56" s="102">
        <f t="shared" ref="G56:G119" si="13">G55</f>
        <v>240421</v>
      </c>
      <c r="H56" s="100">
        <f t="shared" si="8"/>
        <v>-6727052</v>
      </c>
      <c r="I56" s="98">
        <f t="shared" si="9"/>
        <v>-5284526</v>
      </c>
      <c r="J56" s="98">
        <f t="shared" si="3"/>
        <v>37820278.375022307</v>
      </c>
      <c r="K56" s="100">
        <f t="shared" si="1"/>
        <v>84147.349999999991</v>
      </c>
      <c r="L56" s="100">
        <f t="shared" si="0"/>
        <v>-12732219.934160432</v>
      </c>
      <c r="M56" s="98">
        <f t="shared" si="4"/>
        <v>-13237098.477910429</v>
      </c>
      <c r="N56" s="95">
        <f t="shared" si="5"/>
        <v>24583179.897111878</v>
      </c>
      <c r="O56" s="95">
        <f t="shared" si="12"/>
        <v>23645532.440861881</v>
      </c>
      <c r="P56" s="95"/>
      <c r="Q56" s="104"/>
    </row>
    <row r="57" spans="2:19" ht="12.75" customHeight="1" outlineLevel="1">
      <c r="B57" s="97">
        <v>41152</v>
      </c>
      <c r="C57" s="108"/>
      <c r="D57" s="102"/>
      <c r="E57" s="102">
        <f t="shared" si="2"/>
        <v>43104804.375022314</v>
      </c>
      <c r="F57" s="98">
        <f t="shared" si="6"/>
        <v>43104804.375022307</v>
      </c>
      <c r="G57" s="102">
        <f t="shared" si="13"/>
        <v>240421</v>
      </c>
      <c r="H57" s="100">
        <f t="shared" si="8"/>
        <v>-6967473</v>
      </c>
      <c r="I57" s="98">
        <f t="shared" si="9"/>
        <v>-5524947</v>
      </c>
      <c r="J57" s="98">
        <f t="shared" si="3"/>
        <v>37579857.375022307</v>
      </c>
      <c r="K57" s="100">
        <f t="shared" si="1"/>
        <v>84147.349999999991</v>
      </c>
      <c r="L57" s="100">
        <f t="shared" si="0"/>
        <v>-12648072.584160432</v>
      </c>
      <c r="M57" s="98">
        <f t="shared" si="4"/>
        <v>-13152951.657077098</v>
      </c>
      <c r="N57" s="95">
        <f t="shared" si="5"/>
        <v>24426905.717945211</v>
      </c>
      <c r="O57" s="95">
        <f t="shared" si="12"/>
        <v>23489258.790861882</v>
      </c>
      <c r="P57" s="95"/>
      <c r="Q57" s="104"/>
    </row>
    <row r="58" spans="2:19" outlineLevel="1">
      <c r="B58" s="97">
        <v>41182</v>
      </c>
      <c r="C58" s="108"/>
      <c r="D58" s="102"/>
      <c r="E58" s="102">
        <f t="shared" si="2"/>
        <v>43104804.375022314</v>
      </c>
      <c r="F58" s="98">
        <f>(E46+E58+SUM(E47:E57)*2)/24</f>
        <v>43104804.375022307</v>
      </c>
      <c r="G58" s="102">
        <f t="shared" si="13"/>
        <v>240421</v>
      </c>
      <c r="H58" s="100">
        <f t="shared" si="8"/>
        <v>-7207894</v>
      </c>
      <c r="I58" s="98">
        <f t="shared" si="9"/>
        <v>-5765368</v>
      </c>
      <c r="J58" s="98">
        <f>F58+I58</f>
        <v>37339436.375022307</v>
      </c>
      <c r="K58" s="100">
        <f t="shared" si="1"/>
        <v>84147.349999999991</v>
      </c>
      <c r="L58" s="100">
        <f t="shared" si="0"/>
        <v>-12563925.234160433</v>
      </c>
      <c r="M58" s="98">
        <f>(L46+L58+SUM(L47:L57)*2)/24</f>
        <v>-13068804.836243764</v>
      </c>
      <c r="N58" s="95">
        <f t="shared" si="5"/>
        <v>24270631.538778543</v>
      </c>
      <c r="O58" s="95">
        <f t="shared" si="12"/>
        <v>23332985.140861884</v>
      </c>
      <c r="P58" s="95"/>
      <c r="Q58" s="104"/>
    </row>
    <row r="59" spans="2:19" outlineLevel="1">
      <c r="B59" s="97">
        <v>41213</v>
      </c>
      <c r="C59" s="108"/>
      <c r="D59" s="102"/>
      <c r="E59" s="102">
        <f t="shared" si="2"/>
        <v>43104804.375022314</v>
      </c>
      <c r="F59" s="98">
        <f t="shared" si="6"/>
        <v>43104804.375022307</v>
      </c>
      <c r="G59" s="102">
        <f t="shared" si="13"/>
        <v>240421</v>
      </c>
      <c r="H59" s="100">
        <f t="shared" si="8"/>
        <v>-7448315</v>
      </c>
      <c r="I59" s="98">
        <f t="shared" si="9"/>
        <v>-6005789</v>
      </c>
      <c r="J59" s="98">
        <f>F59+I59</f>
        <v>37099015.375022307</v>
      </c>
      <c r="K59" s="100">
        <f t="shared" si="1"/>
        <v>84147.349999999991</v>
      </c>
      <c r="L59" s="100">
        <f t="shared" si="0"/>
        <v>-12479777.884160433</v>
      </c>
      <c r="M59" s="98">
        <f>(L47+L59+SUM(L48:L58)*2)/24</f>
        <v>-12984658.015410433</v>
      </c>
      <c r="N59" s="95">
        <f t="shared" si="5"/>
        <v>24114357.359611876</v>
      </c>
      <c r="O59" s="95">
        <f t="shared" si="12"/>
        <v>23176711.490861882</v>
      </c>
      <c r="P59" s="95"/>
      <c r="Q59" s="104"/>
    </row>
    <row r="60" spans="2:19" ht="12.75" customHeight="1" outlineLevel="1">
      <c r="B60" s="97">
        <v>41243</v>
      </c>
      <c r="C60" s="108"/>
      <c r="D60" s="102"/>
      <c r="E60" s="102">
        <f t="shared" si="2"/>
        <v>43104804.375022314</v>
      </c>
      <c r="F60" s="98">
        <f t="shared" si="6"/>
        <v>43104804.375022307</v>
      </c>
      <c r="G60" s="102">
        <f t="shared" si="13"/>
        <v>240421</v>
      </c>
      <c r="H60" s="100">
        <f t="shared" si="8"/>
        <v>-7688736</v>
      </c>
      <c r="I60" s="98">
        <f t="shared" si="9"/>
        <v>-6246210</v>
      </c>
      <c r="J60" s="98">
        <f t="shared" si="3"/>
        <v>36858594.375022307</v>
      </c>
      <c r="K60" s="100">
        <f t="shared" si="1"/>
        <v>84147.349999999991</v>
      </c>
      <c r="L60" s="100">
        <f t="shared" si="0"/>
        <v>-12395630.534160433</v>
      </c>
      <c r="M60" s="98">
        <f>(L48+L60+SUM(L49:L59)*2)/24</f>
        <v>-12900511.194577098</v>
      </c>
      <c r="N60" s="95">
        <f t="shared" si="5"/>
        <v>23958083.180445209</v>
      </c>
      <c r="O60" s="95">
        <f t="shared" si="12"/>
        <v>23020437.840861879</v>
      </c>
      <c r="P60" s="95"/>
      <c r="Q60" s="104"/>
    </row>
    <row r="61" spans="2:19" outlineLevel="1">
      <c r="B61" s="97">
        <v>41274</v>
      </c>
      <c r="C61" s="108"/>
      <c r="D61" s="102"/>
      <c r="E61" s="102">
        <f t="shared" si="2"/>
        <v>43104804.375022314</v>
      </c>
      <c r="F61" s="98">
        <f t="shared" si="6"/>
        <v>43104804.375022307</v>
      </c>
      <c r="G61" s="102">
        <f t="shared" si="13"/>
        <v>240421</v>
      </c>
      <c r="H61" s="100">
        <f t="shared" si="8"/>
        <v>-7929157</v>
      </c>
      <c r="I61" s="98">
        <f t="shared" si="9"/>
        <v>-6486631</v>
      </c>
      <c r="J61" s="98">
        <f t="shared" si="3"/>
        <v>36618173.375022307</v>
      </c>
      <c r="K61" s="100">
        <f t="shared" si="1"/>
        <v>84147.349999999991</v>
      </c>
      <c r="L61" s="100">
        <f t="shared" si="0"/>
        <v>-12311483.184160434</v>
      </c>
      <c r="M61" s="98">
        <f t="shared" si="4"/>
        <v>-12816364.373743763</v>
      </c>
      <c r="N61" s="95">
        <f t="shared" si="5"/>
        <v>23801809.001278542</v>
      </c>
      <c r="O61" s="95">
        <f t="shared" si="12"/>
        <v>22864164.190861881</v>
      </c>
      <c r="P61" s="95"/>
      <c r="Q61" s="104"/>
    </row>
    <row r="62" spans="2:19" outlineLevel="1">
      <c r="B62" s="97">
        <v>41305</v>
      </c>
      <c r="C62" s="108"/>
      <c r="D62" s="102"/>
      <c r="E62" s="102">
        <f t="shared" si="2"/>
        <v>43104804.375022314</v>
      </c>
      <c r="F62" s="98">
        <f t="shared" si="6"/>
        <v>43104804.375022307</v>
      </c>
      <c r="G62" s="102">
        <f t="shared" si="13"/>
        <v>240421</v>
      </c>
      <c r="H62" s="100">
        <f t="shared" si="8"/>
        <v>-8169578</v>
      </c>
      <c r="I62" s="98">
        <f t="shared" si="9"/>
        <v>-6727052</v>
      </c>
      <c r="J62" s="98">
        <f t="shared" si="3"/>
        <v>36377752.375022307</v>
      </c>
      <c r="K62" s="100">
        <f t="shared" si="1"/>
        <v>84147.349999999991</v>
      </c>
      <c r="L62" s="100">
        <f t="shared" si="0"/>
        <v>-12227335.834160434</v>
      </c>
      <c r="M62" s="98">
        <f>(L50+L62+SUM(L51:L61)*2)/24</f>
        <v>-12732217.552910432</v>
      </c>
      <c r="N62" s="95">
        <f t="shared" si="5"/>
        <v>23645534.822111875</v>
      </c>
      <c r="O62" s="95">
        <f t="shared" si="12"/>
        <v>22707890.540861882</v>
      </c>
      <c r="P62" s="95"/>
      <c r="Q62" s="104"/>
      <c r="S62" s="104"/>
    </row>
    <row r="63" spans="2:19" outlineLevel="1">
      <c r="B63" s="97">
        <v>41333</v>
      </c>
      <c r="C63" s="108"/>
      <c r="D63" s="102"/>
      <c r="E63" s="102">
        <f t="shared" si="2"/>
        <v>43104804.375022314</v>
      </c>
      <c r="F63" s="98">
        <f t="shared" si="6"/>
        <v>43104804.375022307</v>
      </c>
      <c r="G63" s="102">
        <f t="shared" si="13"/>
        <v>240421</v>
      </c>
      <c r="H63" s="100">
        <f t="shared" si="8"/>
        <v>-8409999</v>
      </c>
      <c r="I63" s="98">
        <f t="shared" si="9"/>
        <v>-6967473</v>
      </c>
      <c r="J63" s="98">
        <f t="shared" si="3"/>
        <v>36137331.375022307</v>
      </c>
      <c r="K63" s="100">
        <f t="shared" si="1"/>
        <v>84147.349999999991</v>
      </c>
      <c r="L63" s="100">
        <f t="shared" si="0"/>
        <v>-12143188.484160434</v>
      </c>
      <c r="M63" s="98">
        <f t="shared" si="4"/>
        <v>-12648070.732077099</v>
      </c>
      <c r="N63" s="95">
        <f t="shared" si="5"/>
        <v>23489260.642945208</v>
      </c>
      <c r="O63" s="95">
        <f t="shared" si="12"/>
        <v>22551616.89086188</v>
      </c>
      <c r="P63" s="95"/>
      <c r="Q63" s="104"/>
    </row>
    <row r="64" spans="2:19" outlineLevel="1">
      <c r="B64" s="105">
        <v>41364</v>
      </c>
      <c r="C64" s="108"/>
      <c r="D64" s="102"/>
      <c r="E64" s="102">
        <f t="shared" si="2"/>
        <v>43104804.375022314</v>
      </c>
      <c r="F64" s="98">
        <f t="shared" si="6"/>
        <v>43104804.375022307</v>
      </c>
      <c r="G64" s="102">
        <f t="shared" si="13"/>
        <v>240421</v>
      </c>
      <c r="H64" s="100">
        <f t="shared" si="8"/>
        <v>-8650420</v>
      </c>
      <c r="I64" s="98">
        <f t="shared" si="9"/>
        <v>-7207894</v>
      </c>
      <c r="J64" s="98">
        <f t="shared" si="3"/>
        <v>35896910.375022307</v>
      </c>
      <c r="K64" s="100">
        <f t="shared" si="1"/>
        <v>84147.349999999991</v>
      </c>
      <c r="L64" s="100">
        <f t="shared" si="0"/>
        <v>-12059041.134160435</v>
      </c>
      <c r="M64" s="98">
        <f t="shared" si="4"/>
        <v>-12563923.911243767</v>
      </c>
      <c r="N64" s="95">
        <f t="shared" si="5"/>
        <v>23332986.46377854</v>
      </c>
      <c r="O64" s="95">
        <f t="shared" si="12"/>
        <v>22395343.240861878</v>
      </c>
      <c r="P64" s="95"/>
      <c r="Q64" s="104"/>
    </row>
    <row r="65" spans="2:17" outlineLevel="1">
      <c r="B65" s="97">
        <v>41394</v>
      </c>
      <c r="C65" s="108"/>
      <c r="D65" s="102"/>
      <c r="E65" s="102">
        <f t="shared" si="2"/>
        <v>43104804.375022314</v>
      </c>
      <c r="F65" s="98">
        <f t="shared" si="6"/>
        <v>43104804.375022307</v>
      </c>
      <c r="G65" s="102">
        <f t="shared" si="13"/>
        <v>240421</v>
      </c>
      <c r="H65" s="100">
        <f t="shared" si="8"/>
        <v>-8890841</v>
      </c>
      <c r="I65" s="98">
        <f t="shared" si="9"/>
        <v>-7448315</v>
      </c>
      <c r="J65" s="98">
        <f t="shared" si="3"/>
        <v>35656489.375022307</v>
      </c>
      <c r="K65" s="100">
        <f t="shared" si="1"/>
        <v>84147.349999999991</v>
      </c>
      <c r="L65" s="100">
        <f t="shared" si="0"/>
        <v>-11974893.784160435</v>
      </c>
      <c r="M65" s="98">
        <f t="shared" si="4"/>
        <v>-12479777.090410432</v>
      </c>
      <c r="N65" s="95">
        <f t="shared" si="5"/>
        <v>23176712.284611873</v>
      </c>
      <c r="O65" s="95">
        <f t="shared" si="12"/>
        <v>22239069.590861879</v>
      </c>
      <c r="P65" s="95"/>
      <c r="Q65" s="104"/>
    </row>
    <row r="66" spans="2:17" outlineLevel="1">
      <c r="B66" s="97">
        <v>41425</v>
      </c>
      <c r="C66" s="108"/>
      <c r="D66" s="102"/>
      <c r="E66" s="102">
        <f t="shared" si="2"/>
        <v>43104804.375022314</v>
      </c>
      <c r="F66" s="98">
        <f t="shared" si="6"/>
        <v>43104804.375022307</v>
      </c>
      <c r="G66" s="102">
        <f t="shared" si="13"/>
        <v>240421</v>
      </c>
      <c r="H66" s="100">
        <f t="shared" si="8"/>
        <v>-9131262</v>
      </c>
      <c r="I66" s="98">
        <f t="shared" si="9"/>
        <v>-7688736</v>
      </c>
      <c r="J66" s="98">
        <f t="shared" si="3"/>
        <v>35416068.375022307</v>
      </c>
      <c r="K66" s="100">
        <f t="shared" si="1"/>
        <v>84147.349999999991</v>
      </c>
      <c r="L66" s="100">
        <f t="shared" si="0"/>
        <v>-11890746.434160436</v>
      </c>
      <c r="M66" s="98">
        <f t="shared" si="4"/>
        <v>-12395630.269577099</v>
      </c>
      <c r="N66" s="95">
        <f t="shared" si="5"/>
        <v>23020438.105445206</v>
      </c>
      <c r="O66" s="95">
        <f t="shared" si="12"/>
        <v>22082795.940861881</v>
      </c>
      <c r="P66" s="95"/>
      <c r="Q66" s="104"/>
    </row>
    <row r="67" spans="2:17" outlineLevel="1">
      <c r="B67" s="97">
        <v>41455</v>
      </c>
      <c r="C67" s="108"/>
      <c r="D67" s="102"/>
      <c r="E67" s="102">
        <f t="shared" si="2"/>
        <v>43104804.375022314</v>
      </c>
      <c r="F67" s="98">
        <f t="shared" si="6"/>
        <v>43104804.375022307</v>
      </c>
      <c r="G67" s="102">
        <f t="shared" si="13"/>
        <v>240421</v>
      </c>
      <c r="H67" s="100">
        <f t="shared" si="8"/>
        <v>-9371683</v>
      </c>
      <c r="I67" s="98">
        <f t="shared" si="9"/>
        <v>-7929157</v>
      </c>
      <c r="J67" s="98">
        <f t="shared" si="3"/>
        <v>35175647.375022307</v>
      </c>
      <c r="K67" s="100">
        <f t="shared" si="1"/>
        <v>84147.349999999991</v>
      </c>
      <c r="L67" s="100">
        <f t="shared" si="0"/>
        <v>-11806599.084160436</v>
      </c>
      <c r="M67" s="98">
        <f t="shared" si="4"/>
        <v>-12311483.184160434</v>
      </c>
      <c r="N67" s="95">
        <f t="shared" si="5"/>
        <v>22864164.190861873</v>
      </c>
      <c r="O67" s="95">
        <f t="shared" si="12"/>
        <v>21926522.290861879</v>
      </c>
      <c r="P67" s="95"/>
      <c r="Q67" s="104"/>
    </row>
    <row r="68" spans="2:17" outlineLevel="1">
      <c r="B68" s="97">
        <v>41486</v>
      </c>
      <c r="C68" s="108"/>
      <c r="D68" s="102"/>
      <c r="E68" s="102">
        <f t="shared" si="2"/>
        <v>43104804.375022314</v>
      </c>
      <c r="F68" s="98">
        <f t="shared" si="6"/>
        <v>43104804.375022307</v>
      </c>
      <c r="G68" s="102">
        <f t="shared" si="13"/>
        <v>240421</v>
      </c>
      <c r="H68" s="100">
        <f t="shared" si="8"/>
        <v>-9612104</v>
      </c>
      <c r="I68" s="98">
        <f t="shared" si="9"/>
        <v>-8169578</v>
      </c>
      <c r="J68" s="98">
        <f t="shared" si="3"/>
        <v>34935226.375022307</v>
      </c>
      <c r="K68" s="100">
        <f t="shared" si="1"/>
        <v>84147.349999999991</v>
      </c>
      <c r="L68" s="100">
        <f t="shared" si="0"/>
        <v>-11722451.734160436</v>
      </c>
      <c r="M68" s="98">
        <f t="shared" si="4"/>
        <v>-12227335.834160438</v>
      </c>
      <c r="N68" s="95">
        <f t="shared" si="5"/>
        <v>22707890.540861867</v>
      </c>
      <c r="O68" s="95">
        <f t="shared" si="12"/>
        <v>21770248.640861876</v>
      </c>
      <c r="P68" s="95"/>
      <c r="Q68" s="104"/>
    </row>
    <row r="69" spans="2:17" outlineLevel="1">
      <c r="B69" s="97">
        <v>41517</v>
      </c>
      <c r="C69" s="108"/>
      <c r="D69" s="102"/>
      <c r="E69" s="102">
        <f t="shared" si="2"/>
        <v>43104804.375022314</v>
      </c>
      <c r="F69" s="98">
        <f t="shared" si="6"/>
        <v>43104804.375022307</v>
      </c>
      <c r="G69" s="102">
        <f t="shared" si="13"/>
        <v>240421</v>
      </c>
      <c r="H69" s="100">
        <f t="shared" si="8"/>
        <v>-9852525</v>
      </c>
      <c r="I69" s="98">
        <f t="shared" si="9"/>
        <v>-8409999</v>
      </c>
      <c r="J69" s="98">
        <f t="shared" si="3"/>
        <v>34694805.375022307</v>
      </c>
      <c r="K69" s="100">
        <f t="shared" si="1"/>
        <v>84147.349999999991</v>
      </c>
      <c r="L69" s="100">
        <f t="shared" si="0"/>
        <v>-11638304.384160437</v>
      </c>
      <c r="M69" s="98">
        <f t="shared" si="4"/>
        <v>-12143188.484160433</v>
      </c>
      <c r="N69" s="95">
        <f t="shared" si="5"/>
        <v>22551616.890861876</v>
      </c>
      <c r="O69" s="95">
        <f t="shared" si="12"/>
        <v>21613974.990861878</v>
      </c>
      <c r="P69" s="95"/>
      <c r="Q69" s="104"/>
    </row>
    <row r="70" spans="2:17" outlineLevel="1">
      <c r="B70" s="97">
        <v>41547</v>
      </c>
      <c r="C70" s="108"/>
      <c r="D70" s="102"/>
      <c r="E70" s="102">
        <f t="shared" si="2"/>
        <v>43104804.375022314</v>
      </c>
      <c r="F70" s="98">
        <f t="shared" si="6"/>
        <v>43104804.375022307</v>
      </c>
      <c r="G70" s="102">
        <f t="shared" si="13"/>
        <v>240421</v>
      </c>
      <c r="H70" s="100">
        <f t="shared" si="8"/>
        <v>-10092946</v>
      </c>
      <c r="I70" s="98">
        <f t="shared" si="9"/>
        <v>-8650420</v>
      </c>
      <c r="J70" s="98">
        <f t="shared" si="3"/>
        <v>34454384.375022307</v>
      </c>
      <c r="K70" s="100">
        <f t="shared" si="1"/>
        <v>84147.349999999991</v>
      </c>
      <c r="L70" s="100">
        <f t="shared" si="0"/>
        <v>-11554157.034160437</v>
      </c>
      <c r="M70" s="98">
        <f t="shared" si="4"/>
        <v>-12059041.134160435</v>
      </c>
      <c r="N70" s="95">
        <f t="shared" si="5"/>
        <v>22395343.24086187</v>
      </c>
      <c r="O70" s="95">
        <f t="shared" si="12"/>
        <v>21457701.340861879</v>
      </c>
      <c r="P70" s="95"/>
      <c r="Q70" s="104"/>
    </row>
    <row r="71" spans="2:17" outlineLevel="1">
      <c r="B71" s="97">
        <v>41578</v>
      </c>
      <c r="C71" s="108"/>
      <c r="D71" s="102"/>
      <c r="E71" s="102">
        <f t="shared" si="2"/>
        <v>43104804.375022314</v>
      </c>
      <c r="F71" s="98">
        <f t="shared" si="6"/>
        <v>43104804.375022307</v>
      </c>
      <c r="G71" s="102">
        <f t="shared" si="13"/>
        <v>240421</v>
      </c>
      <c r="H71" s="100">
        <f t="shared" si="8"/>
        <v>-10333367</v>
      </c>
      <c r="I71" s="98">
        <f t="shared" si="9"/>
        <v>-8890841</v>
      </c>
      <c r="J71" s="98">
        <f t="shared" si="3"/>
        <v>34213963.375022307</v>
      </c>
      <c r="K71" s="100">
        <f t="shared" si="1"/>
        <v>84147.349999999991</v>
      </c>
      <c r="L71" s="100">
        <f t="shared" si="0"/>
        <v>-11470009.684160437</v>
      </c>
      <c r="M71" s="98">
        <f t="shared" si="4"/>
        <v>-11974893.784160435</v>
      </c>
      <c r="N71" s="95">
        <f t="shared" si="5"/>
        <v>22239069.590861872</v>
      </c>
      <c r="O71" s="95">
        <f t="shared" si="12"/>
        <v>21301427.690861877</v>
      </c>
      <c r="P71" s="95"/>
      <c r="Q71" s="104"/>
    </row>
    <row r="72" spans="2:17" outlineLevel="1">
      <c r="B72" s="97">
        <v>41608</v>
      </c>
      <c r="C72" s="108"/>
      <c r="D72" s="102"/>
      <c r="E72" s="102">
        <f t="shared" si="2"/>
        <v>43104804.375022314</v>
      </c>
      <c r="F72" s="98">
        <f t="shared" si="6"/>
        <v>43104804.375022307</v>
      </c>
      <c r="G72" s="102">
        <f t="shared" si="13"/>
        <v>240421</v>
      </c>
      <c r="H72" s="100">
        <f t="shared" si="8"/>
        <v>-10573788</v>
      </c>
      <c r="I72" s="98">
        <f t="shared" si="9"/>
        <v>-9131262</v>
      </c>
      <c r="J72" s="98">
        <f t="shared" si="3"/>
        <v>33973542.375022307</v>
      </c>
      <c r="K72" s="100">
        <f t="shared" si="1"/>
        <v>84147.349999999991</v>
      </c>
      <c r="L72" s="100">
        <f t="shared" si="0"/>
        <v>-11385862.334160438</v>
      </c>
      <c r="M72" s="98">
        <f t="shared" si="4"/>
        <v>-11890746.434160436</v>
      </c>
      <c r="N72" s="95">
        <f t="shared" si="5"/>
        <v>22082795.940861873</v>
      </c>
      <c r="O72" s="95">
        <f t="shared" si="12"/>
        <v>21145154.040861875</v>
      </c>
      <c r="P72" s="95"/>
      <c r="Q72" s="104"/>
    </row>
    <row r="73" spans="2:17" outlineLevel="1">
      <c r="B73" s="97">
        <v>41639</v>
      </c>
      <c r="C73" s="108"/>
      <c r="D73" s="102"/>
      <c r="E73" s="102">
        <f t="shared" si="2"/>
        <v>43104804.375022314</v>
      </c>
      <c r="F73" s="98">
        <f t="shared" si="6"/>
        <v>43104804.375022307</v>
      </c>
      <c r="G73" s="102">
        <f t="shared" si="13"/>
        <v>240421</v>
      </c>
      <c r="H73" s="100">
        <f t="shared" si="8"/>
        <v>-10814209</v>
      </c>
      <c r="I73" s="98">
        <f t="shared" si="9"/>
        <v>-9371683</v>
      </c>
      <c r="J73" s="98">
        <f t="shared" si="3"/>
        <v>33733121.375022307</v>
      </c>
      <c r="K73" s="100">
        <f>(-D73*0.35)+(G73*0.35)+7</f>
        <v>84154.349999999991</v>
      </c>
      <c r="L73" s="100">
        <f t="shared" si="0"/>
        <v>-11301707.984160438</v>
      </c>
      <c r="M73" s="98">
        <f t="shared" si="4"/>
        <v>-11806598.792493768</v>
      </c>
      <c r="N73" s="95">
        <f t="shared" si="5"/>
        <v>21926522.582528539</v>
      </c>
      <c r="O73" s="95">
        <f t="shared" si="12"/>
        <v>20988887.390861876</v>
      </c>
      <c r="P73" s="95"/>
      <c r="Q73" s="104"/>
    </row>
    <row r="74" spans="2:17" outlineLevel="1">
      <c r="B74" s="97">
        <v>41670</v>
      </c>
      <c r="C74" s="108"/>
      <c r="D74" s="102"/>
      <c r="E74" s="102">
        <f t="shared" si="2"/>
        <v>43104804.375022314</v>
      </c>
      <c r="F74" s="98">
        <f t="shared" si="6"/>
        <v>43104804.375022307</v>
      </c>
      <c r="G74" s="102">
        <f t="shared" si="13"/>
        <v>240421</v>
      </c>
      <c r="H74" s="100">
        <f t="shared" si="8"/>
        <v>-11054630</v>
      </c>
      <c r="I74" s="98">
        <f t="shared" si="9"/>
        <v>-9612104</v>
      </c>
      <c r="J74" s="98">
        <f t="shared" si="3"/>
        <v>33492700.375022307</v>
      </c>
      <c r="K74" s="100">
        <f t="shared" si="1"/>
        <v>84147.349999999991</v>
      </c>
      <c r="L74" s="100">
        <f t="shared" si="0"/>
        <v>-11217560.634160439</v>
      </c>
      <c r="M74" s="98">
        <f t="shared" si="4"/>
        <v>-11722450.859160436</v>
      </c>
      <c r="N74" s="95">
        <f t="shared" si="5"/>
        <v>21770249.515861869</v>
      </c>
      <c r="O74" s="95">
        <f t="shared" si="12"/>
        <v>20832613.740861878</v>
      </c>
      <c r="P74" s="95"/>
      <c r="Q74" s="104"/>
    </row>
    <row r="75" spans="2:17" outlineLevel="1">
      <c r="B75" s="97">
        <v>41698</v>
      </c>
      <c r="C75" s="108"/>
      <c r="D75" s="102"/>
      <c r="E75" s="102">
        <f t="shared" si="2"/>
        <v>43104804.375022314</v>
      </c>
      <c r="F75" s="98">
        <f t="shared" si="6"/>
        <v>43104804.375022307</v>
      </c>
      <c r="G75" s="102">
        <f t="shared" si="13"/>
        <v>240421</v>
      </c>
      <c r="H75" s="100">
        <f t="shared" si="8"/>
        <v>-11295051</v>
      </c>
      <c r="I75" s="98">
        <f t="shared" si="9"/>
        <v>-9852525</v>
      </c>
      <c r="J75" s="98">
        <f t="shared" si="3"/>
        <v>33252279.375022307</v>
      </c>
      <c r="K75" s="100">
        <f t="shared" si="1"/>
        <v>84147.349999999991</v>
      </c>
      <c r="L75" s="100">
        <f t="shared" si="0"/>
        <v>-11133413.284160439</v>
      </c>
      <c r="M75" s="98">
        <f t="shared" si="4"/>
        <v>-11638302.925827103</v>
      </c>
      <c r="N75" s="95">
        <f t="shared" si="5"/>
        <v>21613976.449195206</v>
      </c>
      <c r="O75" s="95">
        <f t="shared" si="12"/>
        <v>20676340.090861876</v>
      </c>
      <c r="P75" s="95"/>
      <c r="Q75" s="104"/>
    </row>
    <row r="76" spans="2:17" outlineLevel="1">
      <c r="B76" s="105">
        <v>41729</v>
      </c>
      <c r="C76" s="108"/>
      <c r="D76" s="104"/>
      <c r="E76" s="102">
        <f t="shared" si="2"/>
        <v>43104804.375022314</v>
      </c>
      <c r="F76" s="98">
        <f t="shared" si="6"/>
        <v>43104804.375022307</v>
      </c>
      <c r="G76" s="102">
        <f t="shared" si="13"/>
        <v>240421</v>
      </c>
      <c r="H76" s="100">
        <f t="shared" si="8"/>
        <v>-11535472</v>
      </c>
      <c r="I76" s="98">
        <f t="shared" si="9"/>
        <v>-10092946</v>
      </c>
      <c r="J76" s="98">
        <f t="shared" si="3"/>
        <v>33011858.375022307</v>
      </c>
      <c r="K76" s="100">
        <f t="shared" si="1"/>
        <v>84147.349999999991</v>
      </c>
      <c r="L76" s="100">
        <f t="shared" si="0"/>
        <v>-11049265.934160439</v>
      </c>
      <c r="M76" s="98">
        <f t="shared" si="4"/>
        <v>-11554154.992493771</v>
      </c>
      <c r="N76" s="95">
        <f t="shared" si="5"/>
        <v>21457703.382528536</v>
      </c>
      <c r="O76" s="95">
        <f t="shared" si="12"/>
        <v>20520066.440861873</v>
      </c>
      <c r="P76" s="93"/>
      <c r="Q76" s="104"/>
    </row>
    <row r="77" spans="2:17" outlineLevel="1">
      <c r="B77" s="97">
        <v>41759</v>
      </c>
      <c r="C77" s="108"/>
      <c r="D77" s="104"/>
      <c r="E77" s="102">
        <f t="shared" si="2"/>
        <v>43104804.375022314</v>
      </c>
      <c r="F77" s="98">
        <f t="shared" si="6"/>
        <v>43104804.375022307</v>
      </c>
      <c r="G77" s="102">
        <f t="shared" si="13"/>
        <v>240421</v>
      </c>
      <c r="H77" s="100">
        <f t="shared" si="8"/>
        <v>-11775893</v>
      </c>
      <c r="I77" s="98">
        <f t="shared" si="9"/>
        <v>-10333367</v>
      </c>
      <c r="J77" s="98">
        <f t="shared" si="3"/>
        <v>32771437.375022307</v>
      </c>
      <c r="K77" s="100">
        <f t="shared" si="1"/>
        <v>84147.349999999991</v>
      </c>
      <c r="L77" s="100">
        <f t="shared" ref="L77:L140" si="14">L76+K77</f>
        <v>-10965118.58416044</v>
      </c>
      <c r="M77" s="98">
        <f t="shared" si="4"/>
        <v>-11470007.059160436</v>
      </c>
      <c r="N77" s="95">
        <f t="shared" si="5"/>
        <v>21301430.315861873</v>
      </c>
      <c r="O77" s="95">
        <f t="shared" si="12"/>
        <v>20363792.790861875</v>
      </c>
      <c r="P77" s="93"/>
      <c r="Q77" s="104"/>
    </row>
    <row r="78" spans="2:17" outlineLevel="1">
      <c r="B78" s="97">
        <v>41790</v>
      </c>
      <c r="C78" s="108"/>
      <c r="D78" s="104"/>
      <c r="E78" s="102">
        <f t="shared" si="2"/>
        <v>43104804.375022314</v>
      </c>
      <c r="F78" s="98">
        <f t="shared" si="6"/>
        <v>43104804.375022307</v>
      </c>
      <c r="G78" s="102">
        <f t="shared" si="13"/>
        <v>240421</v>
      </c>
      <c r="H78" s="100">
        <f t="shared" si="8"/>
        <v>-12016314</v>
      </c>
      <c r="I78" s="98">
        <f t="shared" si="9"/>
        <v>-10573788</v>
      </c>
      <c r="J78" s="98">
        <f t="shared" si="3"/>
        <v>32531016.375022307</v>
      </c>
      <c r="K78" s="100">
        <f t="shared" ref="K78:K121" si="15">(-D78*0.35)+(G78*0.35)</f>
        <v>84147.349999999991</v>
      </c>
      <c r="L78" s="100">
        <f t="shared" si="14"/>
        <v>-10880971.23416044</v>
      </c>
      <c r="M78" s="98">
        <f t="shared" si="4"/>
        <v>-11385859.125827104</v>
      </c>
      <c r="N78" s="95">
        <f t="shared" si="5"/>
        <v>21145157.249195203</v>
      </c>
      <c r="O78" s="95">
        <f t="shared" si="12"/>
        <v>20207519.140861876</v>
      </c>
      <c r="P78" s="93"/>
      <c r="Q78" s="104"/>
    </row>
    <row r="79" spans="2:17" outlineLevel="1">
      <c r="B79" s="97">
        <v>41820</v>
      </c>
      <c r="C79" s="108"/>
      <c r="D79" s="104"/>
      <c r="E79" s="102">
        <f t="shared" si="2"/>
        <v>43104804.375022314</v>
      </c>
      <c r="F79" s="98">
        <f t="shared" si="6"/>
        <v>43104804.375022307</v>
      </c>
      <c r="G79" s="102">
        <f t="shared" si="13"/>
        <v>240421</v>
      </c>
      <c r="H79" s="100">
        <f t="shared" si="8"/>
        <v>-12256735</v>
      </c>
      <c r="I79" s="98">
        <f t="shared" si="9"/>
        <v>-10814209</v>
      </c>
      <c r="J79" s="98">
        <f t="shared" si="3"/>
        <v>32290595.375022307</v>
      </c>
      <c r="K79" s="100">
        <f t="shared" si="15"/>
        <v>84147.349999999991</v>
      </c>
      <c r="L79" s="100">
        <f t="shared" si="14"/>
        <v>-10796823.88416044</v>
      </c>
      <c r="M79" s="98">
        <f t="shared" si="4"/>
        <v>-11301711.192493772</v>
      </c>
      <c r="N79" s="95">
        <f t="shared" si="5"/>
        <v>20988884.182528533</v>
      </c>
      <c r="O79" s="95">
        <f t="shared" si="12"/>
        <v>20051245.490861874</v>
      </c>
      <c r="P79" s="93"/>
      <c r="Q79" s="104"/>
    </row>
    <row r="80" spans="2:17" outlineLevel="1">
      <c r="B80" s="97">
        <v>41851</v>
      </c>
      <c r="C80" s="108"/>
      <c r="D80" s="104"/>
      <c r="E80" s="102">
        <f t="shared" ref="E80:E143" si="16">E79+D80</f>
        <v>43104804.375022314</v>
      </c>
      <c r="F80" s="98">
        <f t="shared" si="6"/>
        <v>43104804.375022307</v>
      </c>
      <c r="G80" s="102">
        <f t="shared" si="13"/>
        <v>240421</v>
      </c>
      <c r="H80" s="100">
        <f t="shared" si="8"/>
        <v>-12497156</v>
      </c>
      <c r="I80" s="98">
        <f t="shared" si="9"/>
        <v>-11054630</v>
      </c>
      <c r="J80" s="98">
        <f t="shared" si="3"/>
        <v>32050174.375022307</v>
      </c>
      <c r="K80" s="100">
        <f t="shared" si="15"/>
        <v>84147.349999999991</v>
      </c>
      <c r="L80" s="100">
        <f t="shared" si="14"/>
        <v>-10712676.534160441</v>
      </c>
      <c r="M80" s="98">
        <f t="shared" si="4"/>
        <v>-11217563.259160437</v>
      </c>
      <c r="N80" s="95">
        <f t="shared" si="5"/>
        <v>20832611.11586187</v>
      </c>
      <c r="O80" s="95">
        <f t="shared" si="12"/>
        <v>19894971.840861872</v>
      </c>
      <c r="P80" s="93"/>
      <c r="Q80" s="104"/>
    </row>
    <row r="81" spans="2:17" outlineLevel="1">
      <c r="B81" s="97">
        <v>41882</v>
      </c>
      <c r="C81" s="108"/>
      <c r="D81" s="104"/>
      <c r="E81" s="102">
        <f t="shared" si="16"/>
        <v>43104804.375022314</v>
      </c>
      <c r="F81" s="98">
        <f t="shared" si="6"/>
        <v>43104804.375022307</v>
      </c>
      <c r="G81" s="102">
        <f t="shared" si="13"/>
        <v>240421</v>
      </c>
      <c r="H81" s="100">
        <f t="shared" si="8"/>
        <v>-12737577</v>
      </c>
      <c r="I81" s="98">
        <f t="shared" si="9"/>
        <v>-11295051</v>
      </c>
      <c r="J81" s="98">
        <f t="shared" si="3"/>
        <v>31809753.375022307</v>
      </c>
      <c r="K81" s="100">
        <f t="shared" si="15"/>
        <v>84147.349999999991</v>
      </c>
      <c r="L81" s="100">
        <f t="shared" si="14"/>
        <v>-10628529.184160441</v>
      </c>
      <c r="M81" s="98">
        <f t="shared" si="4"/>
        <v>-11133415.325827105</v>
      </c>
      <c r="N81" s="95">
        <f t="shared" si="5"/>
        <v>20676338.0491952</v>
      </c>
      <c r="O81" s="95">
        <f t="shared" si="12"/>
        <v>19738698.190861873</v>
      </c>
      <c r="P81" s="93"/>
      <c r="Q81" s="104"/>
    </row>
    <row r="82" spans="2:17" ht="12.75" customHeight="1" outlineLevel="1">
      <c r="B82" s="97">
        <v>41912</v>
      </c>
      <c r="C82" s="108"/>
      <c r="D82" s="104"/>
      <c r="E82" s="102">
        <f t="shared" si="16"/>
        <v>43104804.375022314</v>
      </c>
      <c r="F82" s="98">
        <f t="shared" si="6"/>
        <v>43104804.375022307</v>
      </c>
      <c r="G82" s="102">
        <f t="shared" si="13"/>
        <v>240421</v>
      </c>
      <c r="H82" s="100">
        <f t="shared" si="8"/>
        <v>-12977998</v>
      </c>
      <c r="I82" s="98">
        <f t="shared" si="9"/>
        <v>-11535472</v>
      </c>
      <c r="J82" s="98">
        <f t="shared" si="3"/>
        <v>31569332.375022307</v>
      </c>
      <c r="K82" s="100">
        <f t="shared" si="15"/>
        <v>84147.349999999991</v>
      </c>
      <c r="L82" s="100">
        <f t="shared" si="14"/>
        <v>-10544381.834160442</v>
      </c>
      <c r="M82" s="98">
        <f t="shared" si="4"/>
        <v>-11049267.392493771</v>
      </c>
      <c r="N82" s="95">
        <f t="shared" si="5"/>
        <v>20520064.982528538</v>
      </c>
      <c r="O82" s="95">
        <f t="shared" si="12"/>
        <v>19582424.540861875</v>
      </c>
      <c r="P82" s="93"/>
      <c r="Q82" s="104"/>
    </row>
    <row r="83" spans="2:17" ht="12.75" customHeight="1" outlineLevel="1">
      <c r="B83" s="97">
        <v>41943</v>
      </c>
      <c r="C83" s="108"/>
      <c r="D83" s="104"/>
      <c r="E83" s="102">
        <f t="shared" si="16"/>
        <v>43104804.375022314</v>
      </c>
      <c r="F83" s="98">
        <f t="shared" si="6"/>
        <v>43104804.375022307</v>
      </c>
      <c r="G83" s="102">
        <f t="shared" si="13"/>
        <v>240421</v>
      </c>
      <c r="H83" s="100">
        <f t="shared" si="8"/>
        <v>-13218419</v>
      </c>
      <c r="I83" s="98">
        <f t="shared" si="9"/>
        <v>-11775893</v>
      </c>
      <c r="J83" s="98">
        <f t="shared" si="3"/>
        <v>31328911.375022307</v>
      </c>
      <c r="K83" s="100">
        <f t="shared" si="15"/>
        <v>84147.349999999991</v>
      </c>
      <c r="L83" s="100">
        <f t="shared" si="14"/>
        <v>-10460234.484160442</v>
      </c>
      <c r="M83" s="98">
        <f t="shared" si="4"/>
        <v>-10965119.45916044</v>
      </c>
      <c r="N83" s="95">
        <f t="shared" si="5"/>
        <v>20363791.915861867</v>
      </c>
      <c r="O83" s="95">
        <f t="shared" si="12"/>
        <v>19426150.890861873</v>
      </c>
      <c r="P83" s="93"/>
      <c r="Q83" s="104"/>
    </row>
    <row r="84" spans="2:17" outlineLevel="1">
      <c r="B84" s="97">
        <v>41973</v>
      </c>
      <c r="C84" s="108"/>
      <c r="D84" s="104"/>
      <c r="E84" s="102">
        <f t="shared" si="16"/>
        <v>43104804.375022314</v>
      </c>
      <c r="F84" s="98">
        <f t="shared" si="6"/>
        <v>43104804.375022307</v>
      </c>
      <c r="G84" s="102">
        <f t="shared" si="13"/>
        <v>240421</v>
      </c>
      <c r="H84" s="100">
        <f t="shared" si="8"/>
        <v>-13458840</v>
      </c>
      <c r="I84" s="98">
        <f t="shared" si="9"/>
        <v>-12016314</v>
      </c>
      <c r="J84" s="98">
        <f t="shared" si="3"/>
        <v>31088490.375022307</v>
      </c>
      <c r="K84" s="100">
        <f t="shared" si="15"/>
        <v>84147.349999999991</v>
      </c>
      <c r="L84" s="100">
        <f t="shared" si="14"/>
        <v>-10376087.134160442</v>
      </c>
      <c r="M84" s="98">
        <f t="shared" si="4"/>
        <v>-10880971.525827106</v>
      </c>
      <c r="N84" s="95">
        <f t="shared" si="5"/>
        <v>20207518.849195201</v>
      </c>
      <c r="O84" s="95">
        <f t="shared" si="12"/>
        <v>19269877.24086187</v>
      </c>
      <c r="P84" s="93"/>
      <c r="Q84" s="104"/>
    </row>
    <row r="85" spans="2:17" outlineLevel="1">
      <c r="B85" s="97">
        <v>42004</v>
      </c>
      <c r="C85" s="108"/>
      <c r="D85" s="104"/>
      <c r="E85" s="102">
        <f t="shared" si="16"/>
        <v>43104804.375022314</v>
      </c>
      <c r="F85" s="98">
        <f t="shared" si="6"/>
        <v>43104804.375022307</v>
      </c>
      <c r="G85" s="102">
        <f t="shared" si="13"/>
        <v>240421</v>
      </c>
      <c r="H85" s="100">
        <f t="shared" si="8"/>
        <v>-13699261</v>
      </c>
      <c r="I85" s="98">
        <f t="shared" si="9"/>
        <v>-12256735</v>
      </c>
      <c r="J85" s="98">
        <f t="shared" si="3"/>
        <v>30848069.375022307</v>
      </c>
      <c r="K85" s="100">
        <f t="shared" si="15"/>
        <v>84147.349999999991</v>
      </c>
      <c r="L85" s="100">
        <f t="shared" si="14"/>
        <v>-10291939.784160443</v>
      </c>
      <c r="M85" s="98">
        <f t="shared" si="4"/>
        <v>-10796823.88416044</v>
      </c>
      <c r="N85" s="95">
        <f t="shared" si="5"/>
        <v>20051245.490861867</v>
      </c>
      <c r="O85" s="95">
        <f t="shared" si="12"/>
        <v>19113603.590861872</v>
      </c>
      <c r="P85" s="93"/>
      <c r="Q85" s="104"/>
    </row>
    <row r="86" spans="2:17" ht="12.75" customHeight="1" outlineLevel="1">
      <c r="B86" s="97">
        <v>42035</v>
      </c>
      <c r="C86" s="108"/>
      <c r="D86" s="104"/>
      <c r="E86" s="102">
        <f t="shared" si="16"/>
        <v>43104804.375022314</v>
      </c>
      <c r="F86" s="98">
        <f t="shared" si="6"/>
        <v>43104804.375022307</v>
      </c>
      <c r="G86" s="102">
        <f t="shared" si="13"/>
        <v>240421</v>
      </c>
      <c r="H86" s="100">
        <f t="shared" si="8"/>
        <v>-13939682</v>
      </c>
      <c r="I86" s="98">
        <f t="shared" si="9"/>
        <v>-12497156</v>
      </c>
      <c r="J86" s="98">
        <f t="shared" si="3"/>
        <v>30607648.375022307</v>
      </c>
      <c r="K86" s="100">
        <f t="shared" si="15"/>
        <v>84147.349999999991</v>
      </c>
      <c r="L86" s="100">
        <f t="shared" si="14"/>
        <v>-10207792.434160443</v>
      </c>
      <c r="M86" s="98">
        <f t="shared" si="4"/>
        <v>-10712676.534160441</v>
      </c>
      <c r="N86" s="95">
        <f t="shared" si="5"/>
        <v>19894971.840861864</v>
      </c>
      <c r="O86" s="95">
        <f t="shared" si="12"/>
        <v>18957329.940861873</v>
      </c>
      <c r="P86" s="93"/>
      <c r="Q86" s="104"/>
    </row>
    <row r="87" spans="2:17" outlineLevel="1">
      <c r="B87" s="97">
        <v>42063</v>
      </c>
      <c r="C87" s="108"/>
      <c r="D87" s="104"/>
      <c r="E87" s="102">
        <f t="shared" si="16"/>
        <v>43104804.375022314</v>
      </c>
      <c r="F87" s="98">
        <f t="shared" si="6"/>
        <v>43104804.375022307</v>
      </c>
      <c r="G87" s="102">
        <f t="shared" si="13"/>
        <v>240421</v>
      </c>
      <c r="H87" s="100">
        <f t="shared" si="8"/>
        <v>-14180103</v>
      </c>
      <c r="I87" s="98">
        <f t="shared" si="9"/>
        <v>-12737577</v>
      </c>
      <c r="J87" s="98">
        <f t="shared" si="3"/>
        <v>30367227.375022307</v>
      </c>
      <c r="K87" s="100">
        <f t="shared" si="15"/>
        <v>84147.349999999991</v>
      </c>
      <c r="L87" s="100">
        <f t="shared" si="14"/>
        <v>-10123645.084160443</v>
      </c>
      <c r="M87" s="98">
        <f t="shared" si="4"/>
        <v>-10628529.184160441</v>
      </c>
      <c r="N87" s="95">
        <f t="shared" si="5"/>
        <v>19738698.190861866</v>
      </c>
      <c r="O87" s="95">
        <f t="shared" si="12"/>
        <v>18801056.290861871</v>
      </c>
      <c r="P87" s="93"/>
      <c r="Q87" s="104"/>
    </row>
    <row r="88" spans="2:17" outlineLevel="1">
      <c r="B88" s="105">
        <v>42094</v>
      </c>
      <c r="C88" s="108"/>
      <c r="D88" s="104"/>
      <c r="E88" s="102">
        <f t="shared" si="16"/>
        <v>43104804.375022314</v>
      </c>
      <c r="F88" s="98">
        <f t="shared" si="6"/>
        <v>43104804.375022307</v>
      </c>
      <c r="G88" s="102">
        <f t="shared" si="13"/>
        <v>240421</v>
      </c>
      <c r="H88" s="100">
        <f t="shared" si="8"/>
        <v>-14420524</v>
      </c>
      <c r="I88" s="98">
        <f t="shared" si="9"/>
        <v>-12977998</v>
      </c>
      <c r="J88" s="98">
        <f t="shared" si="3"/>
        <v>30126806.375022307</v>
      </c>
      <c r="K88" s="100">
        <f t="shared" si="15"/>
        <v>84147.349999999991</v>
      </c>
      <c r="L88" s="100">
        <f t="shared" si="14"/>
        <v>-10039497.734160444</v>
      </c>
      <c r="M88" s="98">
        <f t="shared" si="4"/>
        <v>-10544381.834160442</v>
      </c>
      <c r="N88" s="95">
        <f t="shared" si="5"/>
        <v>19582424.540861867</v>
      </c>
      <c r="O88" s="95">
        <f t="shared" si="12"/>
        <v>18644782.640861869</v>
      </c>
      <c r="P88" s="93"/>
      <c r="Q88" s="104"/>
    </row>
    <row r="89" spans="2:17" outlineLevel="1">
      <c r="B89" s="97">
        <v>42124</v>
      </c>
      <c r="C89" s="108"/>
      <c r="D89" s="104"/>
      <c r="E89" s="102">
        <f t="shared" si="16"/>
        <v>43104804.375022314</v>
      </c>
      <c r="F89" s="98">
        <f t="shared" si="6"/>
        <v>43104804.375022307</v>
      </c>
      <c r="G89" s="102">
        <f t="shared" si="13"/>
        <v>240421</v>
      </c>
      <c r="H89" s="100">
        <f t="shared" si="8"/>
        <v>-14660945</v>
      </c>
      <c r="I89" s="98">
        <f t="shared" si="9"/>
        <v>-13218419</v>
      </c>
      <c r="J89" s="98">
        <f t="shared" si="3"/>
        <v>29886385.375022307</v>
      </c>
      <c r="K89" s="100">
        <f t="shared" si="15"/>
        <v>84147.349999999991</v>
      </c>
      <c r="L89" s="100">
        <f t="shared" si="14"/>
        <v>-9955350.3841604441</v>
      </c>
      <c r="M89" s="98">
        <f t="shared" ref="M89:M152" si="17">(L77+L89+SUM(L78:L88)*2)/24</f>
        <v>-10460234.48416044</v>
      </c>
      <c r="N89" s="95">
        <f t="shared" ref="N89:N152" si="18">M89+J89</f>
        <v>19426150.890861869</v>
      </c>
      <c r="O89" s="95">
        <f t="shared" si="12"/>
        <v>18488508.99086187</v>
      </c>
      <c r="P89" s="93"/>
      <c r="Q89" s="104"/>
    </row>
    <row r="90" spans="2:17" outlineLevel="1">
      <c r="B90" s="97">
        <v>42155</v>
      </c>
      <c r="C90" s="108"/>
      <c r="D90" s="104"/>
      <c r="E90" s="102">
        <f t="shared" si="16"/>
        <v>43104804.375022314</v>
      </c>
      <c r="F90" s="98">
        <f t="shared" si="6"/>
        <v>43104804.375022307</v>
      </c>
      <c r="G90" s="102">
        <f t="shared" si="13"/>
        <v>240421</v>
      </c>
      <c r="H90" s="100">
        <f t="shared" si="8"/>
        <v>-14901366</v>
      </c>
      <c r="I90" s="98">
        <f t="shared" si="9"/>
        <v>-13458840</v>
      </c>
      <c r="J90" s="98">
        <f t="shared" ref="J90:J153" si="19">F90+I90</f>
        <v>29645964.375022307</v>
      </c>
      <c r="K90" s="100">
        <f t="shared" si="15"/>
        <v>84147.349999999991</v>
      </c>
      <c r="L90" s="100">
        <f t="shared" si="14"/>
        <v>-9871203.0341604445</v>
      </c>
      <c r="M90" s="98">
        <f t="shared" si="17"/>
        <v>-10376087.134160442</v>
      </c>
      <c r="N90" s="95">
        <f t="shared" si="18"/>
        <v>19269877.240861863</v>
      </c>
      <c r="O90" s="95">
        <f t="shared" si="12"/>
        <v>18332235.340861872</v>
      </c>
      <c r="P90" s="93"/>
      <c r="Q90" s="104"/>
    </row>
    <row r="91" spans="2:17" outlineLevel="1">
      <c r="B91" s="97">
        <v>42185</v>
      </c>
      <c r="C91" s="108"/>
      <c r="D91" s="104"/>
      <c r="E91" s="102">
        <f t="shared" si="16"/>
        <v>43104804.375022314</v>
      </c>
      <c r="F91" s="98">
        <f t="shared" ref="F91:F154" si="20">(E79+E91+SUM(E80:E90)*2)/24</f>
        <v>43104804.375022307</v>
      </c>
      <c r="G91" s="102">
        <f t="shared" si="13"/>
        <v>240421</v>
      </c>
      <c r="H91" s="100">
        <f t="shared" si="8"/>
        <v>-15141787</v>
      </c>
      <c r="I91" s="98">
        <f t="shared" si="9"/>
        <v>-13699261</v>
      </c>
      <c r="J91" s="98">
        <f t="shared" si="19"/>
        <v>29405543.375022307</v>
      </c>
      <c r="K91" s="100">
        <f t="shared" si="15"/>
        <v>84147.349999999991</v>
      </c>
      <c r="L91" s="100">
        <f t="shared" si="14"/>
        <v>-9787055.6841604449</v>
      </c>
      <c r="M91" s="98">
        <f t="shared" si="17"/>
        <v>-10291939.784160443</v>
      </c>
      <c r="N91" s="95">
        <f t="shared" si="18"/>
        <v>19113603.590861864</v>
      </c>
      <c r="O91" s="95">
        <f t="shared" si="12"/>
        <v>18175961.69086187</v>
      </c>
      <c r="P91" s="93"/>
      <c r="Q91" s="104"/>
    </row>
    <row r="92" spans="2:17" outlineLevel="1">
      <c r="B92" s="97">
        <v>42216</v>
      </c>
      <c r="C92" s="108"/>
      <c r="D92" s="104"/>
      <c r="E92" s="102">
        <f t="shared" si="16"/>
        <v>43104804.375022314</v>
      </c>
      <c r="F92" s="98">
        <f t="shared" si="20"/>
        <v>43104804.375022307</v>
      </c>
      <c r="G92" s="102">
        <f t="shared" si="13"/>
        <v>240421</v>
      </c>
      <c r="H92" s="100">
        <f t="shared" si="8"/>
        <v>-15382208</v>
      </c>
      <c r="I92" s="98">
        <f t="shared" si="9"/>
        <v>-13939682</v>
      </c>
      <c r="J92" s="98">
        <f t="shared" si="19"/>
        <v>29165122.375022307</v>
      </c>
      <c r="K92" s="100">
        <f t="shared" si="15"/>
        <v>84147.349999999991</v>
      </c>
      <c r="L92" s="100">
        <f t="shared" si="14"/>
        <v>-9702908.3341604453</v>
      </c>
      <c r="M92" s="98">
        <f t="shared" si="17"/>
        <v>-10207792.434160443</v>
      </c>
      <c r="N92" s="95">
        <f t="shared" si="18"/>
        <v>18957329.940861866</v>
      </c>
      <c r="O92" s="95">
        <f t="shared" si="12"/>
        <v>18019688.040861867</v>
      </c>
      <c r="P92" s="93"/>
      <c r="Q92" s="104"/>
    </row>
    <row r="93" spans="2:17" outlineLevel="1">
      <c r="B93" s="97">
        <v>42247</v>
      </c>
      <c r="C93" s="108"/>
      <c r="D93" s="104"/>
      <c r="E93" s="102">
        <f t="shared" si="16"/>
        <v>43104804.375022314</v>
      </c>
      <c r="F93" s="98">
        <f t="shared" si="20"/>
        <v>43104804.375022307</v>
      </c>
      <c r="G93" s="102">
        <f t="shared" si="13"/>
        <v>240421</v>
      </c>
      <c r="H93" s="100">
        <f t="shared" si="8"/>
        <v>-15622629</v>
      </c>
      <c r="I93" s="98">
        <f t="shared" si="9"/>
        <v>-14180103</v>
      </c>
      <c r="J93" s="98">
        <f t="shared" si="19"/>
        <v>28924701.375022307</v>
      </c>
      <c r="K93" s="100">
        <f t="shared" si="15"/>
        <v>84147.349999999991</v>
      </c>
      <c r="L93" s="100">
        <f t="shared" si="14"/>
        <v>-9618760.9841604456</v>
      </c>
      <c r="M93" s="98">
        <f t="shared" si="17"/>
        <v>-10123645.084160443</v>
      </c>
      <c r="N93" s="95">
        <f t="shared" si="18"/>
        <v>18801056.290861864</v>
      </c>
      <c r="O93" s="95">
        <f t="shared" si="12"/>
        <v>17863414.390861869</v>
      </c>
      <c r="P93" s="93"/>
      <c r="Q93" s="104"/>
    </row>
    <row r="94" spans="2:17" ht="12.75" customHeight="1" outlineLevel="1">
      <c r="B94" s="97">
        <v>42277</v>
      </c>
      <c r="C94" s="108"/>
      <c r="D94" s="104"/>
      <c r="E94" s="102">
        <f t="shared" si="16"/>
        <v>43104804.375022314</v>
      </c>
      <c r="F94" s="98">
        <f t="shared" si="20"/>
        <v>43104804.375022307</v>
      </c>
      <c r="G94" s="102">
        <f t="shared" si="13"/>
        <v>240421</v>
      </c>
      <c r="H94" s="100">
        <f t="shared" si="8"/>
        <v>-15863050</v>
      </c>
      <c r="I94" s="98">
        <f t="shared" si="9"/>
        <v>-14420524</v>
      </c>
      <c r="J94" s="98">
        <f t="shared" si="19"/>
        <v>28684280.375022307</v>
      </c>
      <c r="K94" s="100">
        <f t="shared" si="15"/>
        <v>84147.349999999991</v>
      </c>
      <c r="L94" s="100">
        <f t="shared" si="14"/>
        <v>-9534613.634160446</v>
      </c>
      <c r="M94" s="98">
        <f t="shared" si="17"/>
        <v>-10039497.734160442</v>
      </c>
      <c r="N94" s="95">
        <f t="shared" si="18"/>
        <v>18644782.640861865</v>
      </c>
      <c r="O94" s="95">
        <f t="shared" si="12"/>
        <v>17707140.74086187</v>
      </c>
      <c r="P94" s="93"/>
      <c r="Q94" s="104"/>
    </row>
    <row r="95" spans="2:17" ht="12.6" customHeight="1" outlineLevel="1">
      <c r="B95" s="97">
        <v>42308</v>
      </c>
      <c r="C95" s="108"/>
      <c r="D95" s="104"/>
      <c r="E95" s="102">
        <f t="shared" si="16"/>
        <v>43104804.375022314</v>
      </c>
      <c r="F95" s="98">
        <f t="shared" si="20"/>
        <v>43104804.375022307</v>
      </c>
      <c r="G95" s="102">
        <f t="shared" si="13"/>
        <v>240421</v>
      </c>
      <c r="H95" s="100">
        <f t="shared" ref="H95:H158" si="21">H94-G95</f>
        <v>-16103471</v>
      </c>
      <c r="I95" s="98">
        <f t="shared" ref="I95:I158" si="22">(H83+H95+SUM(H84:H94)*2)/24</f>
        <v>-14660945</v>
      </c>
      <c r="J95" s="98">
        <f t="shared" si="19"/>
        <v>28443859.375022307</v>
      </c>
      <c r="K95" s="100">
        <f t="shared" si="15"/>
        <v>84147.349999999991</v>
      </c>
      <c r="L95" s="100">
        <f t="shared" si="14"/>
        <v>-9450466.2841604464</v>
      </c>
      <c r="M95" s="98">
        <f t="shared" si="17"/>
        <v>-9955350.3841604441</v>
      </c>
      <c r="N95" s="95">
        <f t="shared" si="18"/>
        <v>18488508.990861863</v>
      </c>
      <c r="O95" s="95">
        <f t="shared" si="12"/>
        <v>17550867.090861868</v>
      </c>
      <c r="P95" s="93"/>
      <c r="Q95" s="104"/>
    </row>
    <row r="96" spans="2:17" outlineLevel="1">
      <c r="B96" s="97">
        <v>42338</v>
      </c>
      <c r="C96" s="108"/>
      <c r="D96" s="104"/>
      <c r="E96" s="102">
        <f t="shared" si="16"/>
        <v>43104804.375022314</v>
      </c>
      <c r="F96" s="98">
        <f t="shared" si="20"/>
        <v>43104804.375022307</v>
      </c>
      <c r="G96" s="102">
        <f t="shared" si="13"/>
        <v>240421</v>
      </c>
      <c r="H96" s="100">
        <f t="shared" si="21"/>
        <v>-16343892</v>
      </c>
      <c r="I96" s="98">
        <f t="shared" si="22"/>
        <v>-14901366</v>
      </c>
      <c r="J96" s="98">
        <f t="shared" si="19"/>
        <v>28203438.375022307</v>
      </c>
      <c r="K96" s="100">
        <f t="shared" si="15"/>
        <v>84147.349999999991</v>
      </c>
      <c r="L96" s="100">
        <f t="shared" si="14"/>
        <v>-9366318.9341604467</v>
      </c>
      <c r="M96" s="98">
        <f t="shared" si="17"/>
        <v>-9871203.0341604445</v>
      </c>
      <c r="N96" s="95">
        <f t="shared" si="18"/>
        <v>18332235.340861864</v>
      </c>
      <c r="O96" s="95">
        <f t="shared" si="12"/>
        <v>17394593.440861866</v>
      </c>
      <c r="P96" s="93"/>
      <c r="Q96" s="104"/>
    </row>
    <row r="97" spans="2:17" outlineLevel="1">
      <c r="B97" s="97">
        <v>42369</v>
      </c>
      <c r="C97" s="108"/>
      <c r="D97" s="104"/>
      <c r="E97" s="102">
        <f t="shared" si="16"/>
        <v>43104804.375022314</v>
      </c>
      <c r="F97" s="98">
        <f t="shared" si="20"/>
        <v>43104804.375022307</v>
      </c>
      <c r="G97" s="102">
        <f t="shared" si="13"/>
        <v>240421</v>
      </c>
      <c r="H97" s="100">
        <f t="shared" si="21"/>
        <v>-16584313</v>
      </c>
      <c r="I97" s="98">
        <f t="shared" si="22"/>
        <v>-15141787</v>
      </c>
      <c r="J97" s="98">
        <f t="shared" si="19"/>
        <v>27963017.375022307</v>
      </c>
      <c r="K97" s="100">
        <f t="shared" si="15"/>
        <v>84147.349999999991</v>
      </c>
      <c r="L97" s="100">
        <f t="shared" si="14"/>
        <v>-9282171.5841604471</v>
      </c>
      <c r="M97" s="98">
        <f t="shared" si="17"/>
        <v>-9787055.684160443</v>
      </c>
      <c r="N97" s="95">
        <f t="shared" si="18"/>
        <v>18175961.690861866</v>
      </c>
      <c r="O97" s="95">
        <f t="shared" si="12"/>
        <v>17238319.790861867</v>
      </c>
      <c r="P97" s="93"/>
      <c r="Q97" s="104"/>
    </row>
    <row r="98" spans="2:17" ht="12.75" customHeight="1" outlineLevel="1">
      <c r="B98" s="97">
        <v>42400</v>
      </c>
      <c r="C98" s="108"/>
      <c r="D98" s="104"/>
      <c r="E98" s="102">
        <f t="shared" si="16"/>
        <v>43104804.375022314</v>
      </c>
      <c r="F98" s="98">
        <f t="shared" si="20"/>
        <v>43104804.375022307</v>
      </c>
      <c r="G98" s="102">
        <f t="shared" si="13"/>
        <v>240421</v>
      </c>
      <c r="H98" s="100">
        <f t="shared" si="21"/>
        <v>-16824734</v>
      </c>
      <c r="I98" s="98">
        <f t="shared" si="22"/>
        <v>-15382208</v>
      </c>
      <c r="J98" s="98">
        <f t="shared" si="19"/>
        <v>27722596.375022307</v>
      </c>
      <c r="K98" s="100">
        <f t="shared" si="15"/>
        <v>84147.349999999991</v>
      </c>
      <c r="L98" s="100">
        <f t="shared" si="14"/>
        <v>-9198024.2341604475</v>
      </c>
      <c r="M98" s="98">
        <f t="shared" si="17"/>
        <v>-9702908.3341604453</v>
      </c>
      <c r="N98" s="95">
        <f t="shared" si="18"/>
        <v>18019688.04086186</v>
      </c>
      <c r="O98" s="95">
        <f t="shared" si="12"/>
        <v>17082046.140861869</v>
      </c>
      <c r="P98" s="93"/>
      <c r="Q98" s="104"/>
    </row>
    <row r="99" spans="2:17" outlineLevel="1">
      <c r="B99" s="97">
        <v>42428</v>
      </c>
      <c r="C99" s="108"/>
      <c r="D99" s="104"/>
      <c r="E99" s="102">
        <f t="shared" si="16"/>
        <v>43104804.375022314</v>
      </c>
      <c r="F99" s="98">
        <f t="shared" si="20"/>
        <v>43104804.375022307</v>
      </c>
      <c r="G99" s="102">
        <f t="shared" si="13"/>
        <v>240421</v>
      </c>
      <c r="H99" s="100">
        <f t="shared" si="21"/>
        <v>-17065155</v>
      </c>
      <c r="I99" s="98">
        <f t="shared" si="22"/>
        <v>-15622629</v>
      </c>
      <c r="J99" s="98">
        <f t="shared" si="19"/>
        <v>27482175.375022307</v>
      </c>
      <c r="K99" s="100">
        <f t="shared" si="15"/>
        <v>84147.349999999991</v>
      </c>
      <c r="L99" s="100">
        <f t="shared" si="14"/>
        <v>-9113876.8841604479</v>
      </c>
      <c r="M99" s="98">
        <f t="shared" si="17"/>
        <v>-9618760.9841604456</v>
      </c>
      <c r="N99" s="95">
        <f t="shared" si="18"/>
        <v>17863414.390861861</v>
      </c>
      <c r="O99" s="95">
        <f t="shared" si="12"/>
        <v>16925772.490861867</v>
      </c>
      <c r="P99" s="93"/>
      <c r="Q99" s="104"/>
    </row>
    <row r="100" spans="2:17" outlineLevel="1">
      <c r="B100" s="105">
        <v>42460</v>
      </c>
      <c r="C100" s="108"/>
      <c r="D100" s="104"/>
      <c r="E100" s="102">
        <f t="shared" si="16"/>
        <v>43104804.375022314</v>
      </c>
      <c r="F100" s="98">
        <f t="shared" si="20"/>
        <v>43104804.375022307</v>
      </c>
      <c r="G100" s="102">
        <f t="shared" si="13"/>
        <v>240421</v>
      </c>
      <c r="H100" s="100">
        <f t="shared" si="21"/>
        <v>-17305576</v>
      </c>
      <c r="I100" s="98">
        <f t="shared" si="22"/>
        <v>-15863050</v>
      </c>
      <c r="J100" s="98">
        <f t="shared" si="19"/>
        <v>27241754.375022307</v>
      </c>
      <c r="K100" s="100">
        <f t="shared" si="15"/>
        <v>84147.349999999991</v>
      </c>
      <c r="L100" s="100">
        <f t="shared" si="14"/>
        <v>-9029729.5341604482</v>
      </c>
      <c r="M100" s="98">
        <f t="shared" si="17"/>
        <v>-9534613.634160446</v>
      </c>
      <c r="N100" s="95">
        <f t="shared" si="18"/>
        <v>17707140.740861863</v>
      </c>
      <c r="O100" s="95">
        <f t="shared" si="12"/>
        <v>16769498.840861866</v>
      </c>
      <c r="P100" s="93"/>
      <c r="Q100" s="104"/>
    </row>
    <row r="101" spans="2:17" outlineLevel="1">
      <c r="B101" s="97">
        <v>42490</v>
      </c>
      <c r="C101" s="108"/>
      <c r="D101" s="104"/>
      <c r="E101" s="102">
        <f t="shared" si="16"/>
        <v>43104804.375022314</v>
      </c>
      <c r="F101" s="98">
        <f t="shared" si="20"/>
        <v>43104804.375022307</v>
      </c>
      <c r="G101" s="102">
        <f t="shared" si="13"/>
        <v>240421</v>
      </c>
      <c r="H101" s="100">
        <f t="shared" si="21"/>
        <v>-17545997</v>
      </c>
      <c r="I101" s="98">
        <f t="shared" si="22"/>
        <v>-16103471</v>
      </c>
      <c r="J101" s="98">
        <f t="shared" si="19"/>
        <v>27001333.375022307</v>
      </c>
      <c r="K101" s="100">
        <f t="shared" si="15"/>
        <v>84147.349999999991</v>
      </c>
      <c r="L101" s="100">
        <f t="shared" si="14"/>
        <v>-8945582.1841604486</v>
      </c>
      <c r="M101" s="98">
        <f t="shared" si="17"/>
        <v>-9450466.2841604464</v>
      </c>
      <c r="N101" s="95">
        <f t="shared" si="18"/>
        <v>17550867.090861861</v>
      </c>
      <c r="O101" s="95">
        <f t="shared" si="12"/>
        <v>16613225.190861866</v>
      </c>
      <c r="P101" s="93"/>
      <c r="Q101" s="104"/>
    </row>
    <row r="102" spans="2:17" outlineLevel="1">
      <c r="B102" s="97">
        <v>42521</v>
      </c>
      <c r="C102" s="108"/>
      <c r="D102" s="104"/>
      <c r="E102" s="102">
        <f t="shared" si="16"/>
        <v>43104804.375022314</v>
      </c>
      <c r="F102" s="98">
        <f t="shared" si="20"/>
        <v>43104804.375022307</v>
      </c>
      <c r="G102" s="102">
        <f t="shared" si="13"/>
        <v>240421</v>
      </c>
      <c r="H102" s="100">
        <f t="shared" si="21"/>
        <v>-17786418</v>
      </c>
      <c r="I102" s="98">
        <f t="shared" si="22"/>
        <v>-16343892</v>
      </c>
      <c r="J102" s="98">
        <f t="shared" si="19"/>
        <v>26760912.375022307</v>
      </c>
      <c r="K102" s="100">
        <f t="shared" si="15"/>
        <v>84147.349999999991</v>
      </c>
      <c r="L102" s="100">
        <f t="shared" si="14"/>
        <v>-8861434.834160449</v>
      </c>
      <c r="M102" s="98">
        <f t="shared" si="17"/>
        <v>-9366318.9341604467</v>
      </c>
      <c r="N102" s="95">
        <f t="shared" si="18"/>
        <v>17394593.440861858</v>
      </c>
      <c r="O102" s="95">
        <f t="shared" si="12"/>
        <v>16456951.540861866</v>
      </c>
      <c r="P102" s="93"/>
      <c r="Q102" s="104"/>
    </row>
    <row r="103" spans="2:17" outlineLevel="1">
      <c r="B103" s="97">
        <v>42551</v>
      </c>
      <c r="C103" s="108"/>
      <c r="D103" s="104"/>
      <c r="E103" s="102">
        <f t="shared" si="16"/>
        <v>43104804.375022314</v>
      </c>
      <c r="F103" s="98">
        <f t="shared" si="20"/>
        <v>43104804.375022307</v>
      </c>
      <c r="G103" s="102">
        <f t="shared" si="13"/>
        <v>240421</v>
      </c>
      <c r="H103" s="100">
        <f t="shared" si="21"/>
        <v>-18026839</v>
      </c>
      <c r="I103" s="98">
        <f t="shared" si="22"/>
        <v>-16584313</v>
      </c>
      <c r="J103" s="98">
        <f t="shared" si="19"/>
        <v>26520491.375022307</v>
      </c>
      <c r="K103" s="100">
        <f t="shared" si="15"/>
        <v>84147.349999999991</v>
      </c>
      <c r="L103" s="100">
        <f t="shared" si="14"/>
        <v>-8777287.4841604494</v>
      </c>
      <c r="M103" s="98">
        <f t="shared" si="17"/>
        <v>-9282171.5841604471</v>
      </c>
      <c r="N103" s="95">
        <f t="shared" si="18"/>
        <v>17238319.79086186</v>
      </c>
      <c r="O103" s="95">
        <f t="shared" si="12"/>
        <v>16300677.890861865</v>
      </c>
      <c r="P103" s="93"/>
      <c r="Q103" s="104"/>
    </row>
    <row r="104" spans="2:17" outlineLevel="1">
      <c r="B104" s="97">
        <v>42582</v>
      </c>
      <c r="C104" s="108"/>
      <c r="D104" s="104"/>
      <c r="E104" s="102">
        <f t="shared" si="16"/>
        <v>43104804.375022314</v>
      </c>
      <c r="F104" s="98">
        <f t="shared" si="20"/>
        <v>43104804.375022307</v>
      </c>
      <c r="G104" s="102">
        <f t="shared" si="13"/>
        <v>240421</v>
      </c>
      <c r="H104" s="100">
        <f t="shared" si="21"/>
        <v>-18267260</v>
      </c>
      <c r="I104" s="98">
        <f t="shared" si="22"/>
        <v>-16824734</v>
      </c>
      <c r="J104" s="98">
        <f t="shared" si="19"/>
        <v>26280070.375022307</v>
      </c>
      <c r="K104" s="100">
        <f t="shared" si="15"/>
        <v>84147.349999999991</v>
      </c>
      <c r="L104" s="100">
        <f t="shared" si="14"/>
        <v>-8693140.1341604497</v>
      </c>
      <c r="M104" s="98">
        <f t="shared" si="17"/>
        <v>-9198024.2341604475</v>
      </c>
      <c r="N104" s="95">
        <f t="shared" si="18"/>
        <v>17082046.140861861</v>
      </c>
      <c r="O104" s="95">
        <f t="shared" si="12"/>
        <v>16144404.240861865</v>
      </c>
      <c r="P104" s="93"/>
      <c r="Q104" s="104"/>
    </row>
    <row r="105" spans="2:17" outlineLevel="1">
      <c r="B105" s="97">
        <v>42613</v>
      </c>
      <c r="C105" s="108"/>
      <c r="D105" s="104"/>
      <c r="E105" s="102">
        <f t="shared" si="16"/>
        <v>43104804.375022314</v>
      </c>
      <c r="F105" s="98">
        <f t="shared" si="20"/>
        <v>43104804.375022307</v>
      </c>
      <c r="G105" s="102">
        <f t="shared" si="13"/>
        <v>240421</v>
      </c>
      <c r="H105" s="100">
        <f t="shared" si="21"/>
        <v>-18507681</v>
      </c>
      <c r="I105" s="98">
        <f t="shared" si="22"/>
        <v>-17065155</v>
      </c>
      <c r="J105" s="98">
        <f t="shared" si="19"/>
        <v>26039649.375022307</v>
      </c>
      <c r="K105" s="100">
        <f t="shared" si="15"/>
        <v>84147.349999999991</v>
      </c>
      <c r="L105" s="100">
        <f t="shared" si="14"/>
        <v>-8608992.7841604501</v>
      </c>
      <c r="M105" s="98">
        <f t="shared" si="17"/>
        <v>-9113876.884160446</v>
      </c>
      <c r="N105" s="95">
        <f t="shared" si="18"/>
        <v>16925772.490861863</v>
      </c>
      <c r="O105" s="95">
        <f t="shared" si="12"/>
        <v>15988130.590861864</v>
      </c>
      <c r="P105" s="93"/>
      <c r="Q105" s="104"/>
    </row>
    <row r="106" spans="2:17" ht="12.75" customHeight="1" outlineLevel="1">
      <c r="B106" s="97">
        <v>42643</v>
      </c>
      <c r="C106" s="108"/>
      <c r="D106" s="104"/>
      <c r="E106" s="102">
        <f t="shared" si="16"/>
        <v>43104804.375022314</v>
      </c>
      <c r="F106" s="98">
        <f t="shared" si="20"/>
        <v>43104804.375022307</v>
      </c>
      <c r="G106" s="102">
        <f t="shared" si="13"/>
        <v>240421</v>
      </c>
      <c r="H106" s="100">
        <f t="shared" si="21"/>
        <v>-18748102</v>
      </c>
      <c r="I106" s="98">
        <f t="shared" si="22"/>
        <v>-17305576</v>
      </c>
      <c r="J106" s="98">
        <f t="shared" si="19"/>
        <v>25799228.375022307</v>
      </c>
      <c r="K106" s="100">
        <f t="shared" si="15"/>
        <v>84147.349999999991</v>
      </c>
      <c r="L106" s="100">
        <f t="shared" si="14"/>
        <v>-8524845.4341604505</v>
      </c>
      <c r="M106" s="98">
        <f t="shared" si="17"/>
        <v>-9029729.5341604482</v>
      </c>
      <c r="N106" s="95">
        <f t="shared" si="18"/>
        <v>16769498.840861859</v>
      </c>
      <c r="O106" s="95">
        <f t="shared" si="12"/>
        <v>15831856.940861864</v>
      </c>
      <c r="P106" s="93"/>
      <c r="Q106" s="104"/>
    </row>
    <row r="107" spans="2:17" ht="12.75" customHeight="1" outlineLevel="1">
      <c r="B107" s="97">
        <v>42674</v>
      </c>
      <c r="C107" s="108"/>
      <c r="D107" s="104"/>
      <c r="E107" s="102">
        <f t="shared" si="16"/>
        <v>43104804.375022314</v>
      </c>
      <c r="F107" s="98">
        <f t="shared" si="20"/>
        <v>43104804.375022307</v>
      </c>
      <c r="G107" s="102">
        <f t="shared" si="13"/>
        <v>240421</v>
      </c>
      <c r="H107" s="100">
        <f t="shared" si="21"/>
        <v>-18988523</v>
      </c>
      <c r="I107" s="98">
        <f t="shared" si="22"/>
        <v>-17545997</v>
      </c>
      <c r="J107" s="98">
        <f t="shared" si="19"/>
        <v>25558807.375022307</v>
      </c>
      <c r="K107" s="100">
        <f t="shared" si="15"/>
        <v>84147.349999999991</v>
      </c>
      <c r="L107" s="100">
        <f t="shared" si="14"/>
        <v>-8440698.0841604508</v>
      </c>
      <c r="M107" s="98">
        <f t="shared" si="17"/>
        <v>-8945582.1841604486</v>
      </c>
      <c r="N107" s="95">
        <f t="shared" si="18"/>
        <v>16613225.190861858</v>
      </c>
      <c r="O107" s="95">
        <f t="shared" si="12"/>
        <v>15675583.290861864</v>
      </c>
      <c r="P107" s="93"/>
      <c r="Q107" s="104"/>
    </row>
    <row r="108" spans="2:17" outlineLevel="1">
      <c r="B108" s="97">
        <v>42704</v>
      </c>
      <c r="C108" s="108"/>
      <c r="D108" s="104"/>
      <c r="E108" s="102">
        <f t="shared" si="16"/>
        <v>43104804.375022314</v>
      </c>
      <c r="F108" s="98">
        <f t="shared" si="20"/>
        <v>43104804.375022307</v>
      </c>
      <c r="G108" s="102">
        <f t="shared" si="13"/>
        <v>240421</v>
      </c>
      <c r="H108" s="100">
        <f t="shared" si="21"/>
        <v>-19228944</v>
      </c>
      <c r="I108" s="98">
        <f t="shared" si="22"/>
        <v>-17786418</v>
      </c>
      <c r="J108" s="98">
        <f t="shared" si="19"/>
        <v>25318386.375022307</v>
      </c>
      <c r="K108" s="100">
        <f t="shared" si="15"/>
        <v>84147.349999999991</v>
      </c>
      <c r="L108" s="100">
        <f t="shared" si="14"/>
        <v>-8356550.7341604512</v>
      </c>
      <c r="M108" s="98">
        <f t="shared" si="17"/>
        <v>-8861434.834160449</v>
      </c>
      <c r="N108" s="95">
        <f t="shared" si="18"/>
        <v>16456951.540861858</v>
      </c>
      <c r="O108" s="95">
        <f t="shared" si="12"/>
        <v>15519309.640861863</v>
      </c>
      <c r="P108" s="93"/>
      <c r="Q108" s="104"/>
    </row>
    <row r="109" spans="2:17" outlineLevel="1">
      <c r="B109" s="97">
        <v>42735</v>
      </c>
      <c r="C109" s="108"/>
      <c r="D109" s="104"/>
      <c r="E109" s="102">
        <f t="shared" si="16"/>
        <v>43104804.375022314</v>
      </c>
      <c r="F109" s="98">
        <f t="shared" si="20"/>
        <v>43104804.375022307</v>
      </c>
      <c r="G109" s="102">
        <f t="shared" si="13"/>
        <v>240421</v>
      </c>
      <c r="H109" s="100">
        <f t="shared" si="21"/>
        <v>-19469365</v>
      </c>
      <c r="I109" s="98">
        <f t="shared" si="22"/>
        <v>-18026839</v>
      </c>
      <c r="J109" s="98">
        <f t="shared" si="19"/>
        <v>25077965.375022307</v>
      </c>
      <c r="K109" s="100">
        <f t="shared" si="15"/>
        <v>84147.349999999991</v>
      </c>
      <c r="L109" s="100">
        <f t="shared" si="14"/>
        <v>-8272403.3841604516</v>
      </c>
      <c r="M109" s="98">
        <f t="shared" si="17"/>
        <v>-8777287.4841604494</v>
      </c>
      <c r="N109" s="95">
        <f t="shared" si="18"/>
        <v>16300677.890861858</v>
      </c>
      <c r="O109" s="95">
        <f t="shared" si="12"/>
        <v>15363035.990861863</v>
      </c>
      <c r="P109" s="93"/>
      <c r="Q109" s="104"/>
    </row>
    <row r="110" spans="2:17" ht="12.75" customHeight="1">
      <c r="B110" s="97">
        <v>42766</v>
      </c>
      <c r="C110" s="108"/>
      <c r="D110" s="104"/>
      <c r="E110" s="102">
        <f t="shared" si="16"/>
        <v>43104804.375022314</v>
      </c>
      <c r="F110" s="98">
        <f t="shared" si="20"/>
        <v>43104804.375022307</v>
      </c>
      <c r="G110" s="102">
        <f t="shared" si="13"/>
        <v>240421</v>
      </c>
      <c r="H110" s="100">
        <f t="shared" si="21"/>
        <v>-19709786</v>
      </c>
      <c r="I110" s="98">
        <f t="shared" si="22"/>
        <v>-18267260</v>
      </c>
      <c r="J110" s="98">
        <f t="shared" si="19"/>
        <v>24837544.375022307</v>
      </c>
      <c r="K110" s="100">
        <f t="shared" si="15"/>
        <v>84147.349999999991</v>
      </c>
      <c r="L110" s="100">
        <f t="shared" si="14"/>
        <v>-8188256.034160452</v>
      </c>
      <c r="M110" s="98">
        <f t="shared" si="17"/>
        <v>-8693140.1341604479</v>
      </c>
      <c r="N110" s="95">
        <f t="shared" si="18"/>
        <v>16144404.240861859</v>
      </c>
      <c r="O110" s="95">
        <f t="shared" si="12"/>
        <v>15206762.340861863</v>
      </c>
      <c r="P110" s="93"/>
      <c r="Q110" s="104"/>
    </row>
    <row r="111" spans="2:17">
      <c r="B111" s="97">
        <v>42794</v>
      </c>
      <c r="C111" s="108"/>
      <c r="D111" s="104"/>
      <c r="E111" s="102">
        <f t="shared" si="16"/>
        <v>43104804.375022314</v>
      </c>
      <c r="F111" s="98">
        <f t="shared" si="20"/>
        <v>43104804.375022307</v>
      </c>
      <c r="G111" s="102">
        <f t="shared" si="13"/>
        <v>240421</v>
      </c>
      <c r="H111" s="100">
        <f t="shared" si="21"/>
        <v>-19950207</v>
      </c>
      <c r="I111" s="98">
        <f t="shared" si="22"/>
        <v>-18507681</v>
      </c>
      <c r="J111" s="98">
        <f t="shared" si="19"/>
        <v>24597123.375022307</v>
      </c>
      <c r="K111" s="100">
        <f t="shared" si="15"/>
        <v>84147.349999999991</v>
      </c>
      <c r="L111" s="100">
        <f t="shared" si="14"/>
        <v>-8104108.6841604523</v>
      </c>
      <c r="M111" s="98">
        <f t="shared" si="17"/>
        <v>-8608992.7841604501</v>
      </c>
      <c r="N111" s="95">
        <f t="shared" si="18"/>
        <v>15988130.590861857</v>
      </c>
      <c r="O111" s="95">
        <f t="shared" si="12"/>
        <v>15050488.690861862</v>
      </c>
      <c r="P111" s="93"/>
      <c r="Q111" s="104"/>
    </row>
    <row r="112" spans="2:17">
      <c r="B112" s="105">
        <v>42825</v>
      </c>
      <c r="C112" s="108"/>
      <c r="D112" s="104"/>
      <c r="E112" s="102">
        <f t="shared" si="16"/>
        <v>43104804.375022314</v>
      </c>
      <c r="F112" s="98">
        <f t="shared" si="20"/>
        <v>43104804.375022307</v>
      </c>
      <c r="G112" s="102">
        <f t="shared" si="13"/>
        <v>240421</v>
      </c>
      <c r="H112" s="100">
        <f t="shared" si="21"/>
        <v>-20190628</v>
      </c>
      <c r="I112" s="98">
        <f t="shared" si="22"/>
        <v>-18748102</v>
      </c>
      <c r="J112" s="98">
        <f t="shared" si="19"/>
        <v>24356702.375022307</v>
      </c>
      <c r="K112" s="100">
        <f t="shared" si="15"/>
        <v>84147.349999999991</v>
      </c>
      <c r="L112" s="100">
        <f t="shared" si="14"/>
        <v>-8019961.3341604527</v>
      </c>
      <c r="M112" s="98">
        <f t="shared" si="17"/>
        <v>-8524845.4341604505</v>
      </c>
      <c r="N112" s="95">
        <f t="shared" si="18"/>
        <v>15831856.940861857</v>
      </c>
      <c r="O112" s="95">
        <f t="shared" si="12"/>
        <v>14894215.040861862</v>
      </c>
      <c r="P112" s="93"/>
      <c r="Q112" s="104"/>
    </row>
    <row r="113" spans="1:29">
      <c r="B113" s="97">
        <v>42855</v>
      </c>
      <c r="C113" s="108"/>
      <c r="D113" s="104"/>
      <c r="E113" s="102">
        <f t="shared" si="16"/>
        <v>43104804.375022314</v>
      </c>
      <c r="F113" s="98">
        <f t="shared" si="20"/>
        <v>43104804.375022307</v>
      </c>
      <c r="G113" s="102">
        <f t="shared" si="13"/>
        <v>240421</v>
      </c>
      <c r="H113" s="100">
        <f t="shared" si="21"/>
        <v>-20431049</v>
      </c>
      <c r="I113" s="98">
        <f t="shared" si="22"/>
        <v>-18988523</v>
      </c>
      <c r="J113" s="98">
        <f t="shared" si="19"/>
        <v>24116281.375022307</v>
      </c>
      <c r="K113" s="100">
        <f t="shared" si="15"/>
        <v>84147.349999999991</v>
      </c>
      <c r="L113" s="100">
        <f t="shared" si="14"/>
        <v>-7935813.9841604531</v>
      </c>
      <c r="M113" s="98">
        <f t="shared" si="17"/>
        <v>-8440698.084160449</v>
      </c>
      <c r="N113" s="95">
        <f t="shared" si="18"/>
        <v>15675583.290861858</v>
      </c>
      <c r="O113" s="95">
        <f t="shared" si="12"/>
        <v>14737941.390861861</v>
      </c>
      <c r="P113" s="93"/>
      <c r="Q113" s="104"/>
    </row>
    <row r="114" spans="1:29">
      <c r="B114" s="97">
        <v>42886</v>
      </c>
      <c r="C114" s="108"/>
      <c r="D114" s="104"/>
      <c r="E114" s="102">
        <f t="shared" si="16"/>
        <v>43104804.375022314</v>
      </c>
      <c r="F114" s="98">
        <f t="shared" si="20"/>
        <v>43104804.375022307</v>
      </c>
      <c r="G114" s="102">
        <f t="shared" si="13"/>
        <v>240421</v>
      </c>
      <c r="H114" s="100">
        <f t="shared" si="21"/>
        <v>-20671470</v>
      </c>
      <c r="I114" s="98">
        <f t="shared" si="22"/>
        <v>-19228944</v>
      </c>
      <c r="J114" s="98">
        <f t="shared" si="19"/>
        <v>23875860.375022307</v>
      </c>
      <c r="K114" s="100">
        <f t="shared" si="15"/>
        <v>84147.349999999991</v>
      </c>
      <c r="L114" s="100">
        <f t="shared" si="14"/>
        <v>-7851666.6341604535</v>
      </c>
      <c r="M114" s="98">
        <f t="shared" si="17"/>
        <v>-8356550.7341604521</v>
      </c>
      <c r="N114" s="95">
        <f t="shared" si="18"/>
        <v>15519309.640861854</v>
      </c>
      <c r="O114" s="95">
        <f t="shared" si="12"/>
        <v>14581667.740861861</v>
      </c>
      <c r="P114" s="93"/>
      <c r="Q114" s="104"/>
    </row>
    <row r="115" spans="1:29">
      <c r="B115" s="97">
        <v>42916</v>
      </c>
      <c r="C115" s="108"/>
      <c r="D115" s="104"/>
      <c r="E115" s="102">
        <f t="shared" si="16"/>
        <v>43104804.375022314</v>
      </c>
      <c r="F115" s="98">
        <f t="shared" si="20"/>
        <v>43104804.375022307</v>
      </c>
      <c r="G115" s="102">
        <f t="shared" si="13"/>
        <v>240421</v>
      </c>
      <c r="H115" s="100">
        <f t="shared" si="21"/>
        <v>-20911891</v>
      </c>
      <c r="I115" s="98">
        <f t="shared" si="22"/>
        <v>-19469365</v>
      </c>
      <c r="J115" s="98">
        <f t="shared" si="19"/>
        <v>23635439.375022307</v>
      </c>
      <c r="K115" s="100">
        <f t="shared" si="15"/>
        <v>84147.349999999991</v>
      </c>
      <c r="L115" s="100">
        <f t="shared" si="14"/>
        <v>-7767519.2841604538</v>
      </c>
      <c r="M115" s="98">
        <f t="shared" si="17"/>
        <v>-8272403.3841604516</v>
      </c>
      <c r="N115" s="95">
        <f t="shared" si="18"/>
        <v>15363035.990861855</v>
      </c>
      <c r="O115" s="95">
        <f t="shared" ref="O115:O178" si="23">E115+H115+L115</f>
        <v>14425394.090861861</v>
      </c>
      <c r="P115" s="93"/>
      <c r="Q115" s="104"/>
    </row>
    <row r="116" spans="1:29">
      <c r="B116" s="97">
        <v>42947</v>
      </c>
      <c r="C116" s="108"/>
      <c r="D116" s="104"/>
      <c r="E116" s="102">
        <f t="shared" si="16"/>
        <v>43104804.375022314</v>
      </c>
      <c r="F116" s="98">
        <f t="shared" si="20"/>
        <v>43104804.375022307</v>
      </c>
      <c r="G116" s="102">
        <f t="shared" si="13"/>
        <v>240421</v>
      </c>
      <c r="H116" s="100">
        <f t="shared" si="21"/>
        <v>-21152312</v>
      </c>
      <c r="I116" s="98">
        <f t="shared" si="22"/>
        <v>-19709786</v>
      </c>
      <c r="J116" s="98">
        <f t="shared" si="19"/>
        <v>23395018.375022307</v>
      </c>
      <c r="K116" s="100">
        <f t="shared" si="15"/>
        <v>84147.349999999991</v>
      </c>
      <c r="L116" s="100">
        <f t="shared" si="14"/>
        <v>-7683371.9341604542</v>
      </c>
      <c r="M116" s="98">
        <f t="shared" si="17"/>
        <v>-8188256.0341604529</v>
      </c>
      <c r="N116" s="95">
        <f t="shared" si="18"/>
        <v>15206762.340861853</v>
      </c>
      <c r="O116" s="95">
        <f t="shared" si="23"/>
        <v>14269120.44086186</v>
      </c>
      <c r="P116" s="93"/>
      <c r="Q116" s="104"/>
    </row>
    <row r="117" spans="1:29">
      <c r="B117" s="97">
        <v>42978</v>
      </c>
      <c r="C117" s="108"/>
      <c r="D117" s="104"/>
      <c r="E117" s="102">
        <f t="shared" si="16"/>
        <v>43104804.375022314</v>
      </c>
      <c r="F117" s="98">
        <f t="shared" si="20"/>
        <v>43104804.375022307</v>
      </c>
      <c r="G117" s="102">
        <f t="shared" si="13"/>
        <v>240421</v>
      </c>
      <c r="H117" s="100">
        <f t="shared" si="21"/>
        <v>-21392733</v>
      </c>
      <c r="I117" s="98">
        <f t="shared" si="22"/>
        <v>-19950207</v>
      </c>
      <c r="J117" s="98">
        <f t="shared" si="19"/>
        <v>23154597.375022307</v>
      </c>
      <c r="K117" s="100">
        <f t="shared" si="15"/>
        <v>84147.349999999991</v>
      </c>
      <c r="L117" s="100">
        <f t="shared" si="14"/>
        <v>-7599224.5841604546</v>
      </c>
      <c r="M117" s="98">
        <f t="shared" si="17"/>
        <v>-8104108.6841604523</v>
      </c>
      <c r="N117" s="95">
        <f t="shared" si="18"/>
        <v>15050488.690861855</v>
      </c>
      <c r="O117" s="95">
        <f t="shared" si="23"/>
        <v>14112846.79086186</v>
      </c>
      <c r="P117" s="93"/>
      <c r="Q117" s="104"/>
    </row>
    <row r="118" spans="1:29" ht="12.75" customHeight="1">
      <c r="A118" s="65"/>
      <c r="B118" s="97">
        <v>43008</v>
      </c>
      <c r="C118" s="108"/>
      <c r="D118" s="104"/>
      <c r="E118" s="102">
        <f t="shared" si="16"/>
        <v>43104804.375022314</v>
      </c>
      <c r="F118" s="98">
        <f t="shared" si="20"/>
        <v>43104804.375022307</v>
      </c>
      <c r="G118" s="102">
        <f t="shared" si="13"/>
        <v>240421</v>
      </c>
      <c r="H118" s="100">
        <f t="shared" si="21"/>
        <v>-21633154</v>
      </c>
      <c r="I118" s="98">
        <f t="shared" si="22"/>
        <v>-20190628</v>
      </c>
      <c r="J118" s="98">
        <f t="shared" si="19"/>
        <v>22914176.375022307</v>
      </c>
      <c r="K118" s="100">
        <f t="shared" si="15"/>
        <v>84147.349999999991</v>
      </c>
      <c r="L118" s="100">
        <f t="shared" si="14"/>
        <v>-7515077.2341604549</v>
      </c>
      <c r="M118" s="98">
        <f t="shared" si="17"/>
        <v>-8019961.3341604518</v>
      </c>
      <c r="N118" s="95">
        <f t="shared" si="18"/>
        <v>14894215.040861856</v>
      </c>
      <c r="O118" s="95">
        <f t="shared" si="23"/>
        <v>13956573.14086186</v>
      </c>
      <c r="P118" s="93"/>
      <c r="Q118" s="104"/>
    </row>
    <row r="119" spans="1:29" ht="12.75" customHeight="1">
      <c r="A119" s="65"/>
      <c r="B119" s="97">
        <v>43039</v>
      </c>
      <c r="C119" s="108"/>
      <c r="D119" s="104"/>
      <c r="E119" s="102">
        <f t="shared" si="16"/>
        <v>43104804.375022314</v>
      </c>
      <c r="F119" s="98">
        <f t="shared" si="20"/>
        <v>43104804.375022307</v>
      </c>
      <c r="G119" s="102">
        <f t="shared" si="13"/>
        <v>240421</v>
      </c>
      <c r="H119" s="100">
        <f t="shared" si="21"/>
        <v>-21873575</v>
      </c>
      <c r="I119" s="98">
        <f t="shared" si="22"/>
        <v>-20431049</v>
      </c>
      <c r="J119" s="98">
        <f t="shared" si="19"/>
        <v>22673755.375022307</v>
      </c>
      <c r="K119" s="100">
        <f t="shared" si="15"/>
        <v>84147.349999999991</v>
      </c>
      <c r="L119" s="100">
        <f t="shared" si="14"/>
        <v>-7430929.8841604553</v>
      </c>
      <c r="M119" s="98">
        <f t="shared" si="17"/>
        <v>-7935813.9841604531</v>
      </c>
      <c r="N119" s="95">
        <f t="shared" si="18"/>
        <v>14737941.390861854</v>
      </c>
      <c r="O119" s="95">
        <f t="shared" si="23"/>
        <v>13800299.490861859</v>
      </c>
      <c r="P119" s="93"/>
      <c r="Q119" s="104"/>
    </row>
    <row r="120" spans="1:29">
      <c r="A120" s="65"/>
      <c r="B120" s="97">
        <v>43069</v>
      </c>
      <c r="C120" s="108"/>
      <c r="D120" s="104"/>
      <c r="E120" s="102">
        <f t="shared" si="16"/>
        <v>43104804.375022314</v>
      </c>
      <c r="F120" s="98">
        <f t="shared" si="20"/>
        <v>43104804.375022307</v>
      </c>
      <c r="G120" s="102">
        <f t="shared" ref="G120:G183" si="24">G119</f>
        <v>240421</v>
      </c>
      <c r="H120" s="100">
        <f t="shared" si="21"/>
        <v>-22113996</v>
      </c>
      <c r="I120" s="98">
        <f t="shared" si="22"/>
        <v>-20671470</v>
      </c>
      <c r="J120" s="98">
        <f t="shared" si="19"/>
        <v>22433334.375022307</v>
      </c>
      <c r="K120" s="100">
        <f t="shared" si="15"/>
        <v>84147.349999999991</v>
      </c>
      <c r="L120" s="100">
        <f t="shared" si="14"/>
        <v>-7346782.5341604557</v>
      </c>
      <c r="M120" s="98">
        <f t="shared" si="17"/>
        <v>-7851666.6341604544</v>
      </c>
      <c r="N120" s="95">
        <f t="shared" si="18"/>
        <v>14581667.740861852</v>
      </c>
      <c r="O120" s="95">
        <f t="shared" si="23"/>
        <v>13644025.840861859</v>
      </c>
      <c r="P120" s="93"/>
      <c r="Q120" s="104"/>
    </row>
    <row r="121" spans="1:29" s="1178" customFormat="1">
      <c r="A121" s="1174"/>
      <c r="B121" s="1207">
        <v>43100</v>
      </c>
      <c r="C121" s="1173"/>
      <c r="D121" s="1208"/>
      <c r="E121" s="1209">
        <f t="shared" si="16"/>
        <v>43104804.375022314</v>
      </c>
      <c r="F121" s="1175">
        <f t="shared" si="20"/>
        <v>43104804.375022307</v>
      </c>
      <c r="G121" s="1209">
        <f t="shared" si="24"/>
        <v>240421</v>
      </c>
      <c r="H121" s="1210">
        <f t="shared" si="21"/>
        <v>-22354417</v>
      </c>
      <c r="I121" s="1175">
        <f t="shared" si="22"/>
        <v>-20911891</v>
      </c>
      <c r="J121" s="1175">
        <f t="shared" si="19"/>
        <v>22192913.375022307</v>
      </c>
      <c r="K121" s="100">
        <f t="shared" si="15"/>
        <v>84147.349999999991</v>
      </c>
      <c r="L121" s="1210">
        <f t="shared" si="14"/>
        <v>-7262635.1841604561</v>
      </c>
      <c r="M121" s="1175">
        <f t="shared" si="17"/>
        <v>-7767519.2841604538</v>
      </c>
      <c r="N121" s="1177">
        <f t="shared" si="18"/>
        <v>14425394.090861853</v>
      </c>
      <c r="O121" s="95">
        <f t="shared" si="23"/>
        <v>13487752.190861858</v>
      </c>
      <c r="P121" s="1176"/>
      <c r="Q121" s="1208"/>
      <c r="R121" s="1174"/>
      <c r="S121" s="1174"/>
      <c r="T121" s="1174"/>
      <c r="U121" s="1174"/>
      <c r="V121" s="1174"/>
      <c r="W121" s="1174"/>
      <c r="X121" s="1174"/>
      <c r="Y121" s="1174"/>
      <c r="Z121" s="1174"/>
      <c r="AA121" s="1174"/>
      <c r="AB121" s="1174"/>
      <c r="AC121" s="1174"/>
    </row>
    <row r="122" spans="1:29" ht="12.75" customHeight="1">
      <c r="A122" s="65"/>
      <c r="B122" s="97">
        <v>43131</v>
      </c>
      <c r="C122" s="108"/>
      <c r="D122" s="104"/>
      <c r="E122" s="102">
        <f t="shared" si="16"/>
        <v>43104804.375022314</v>
      </c>
      <c r="F122" s="98">
        <f t="shared" si="20"/>
        <v>43104804.375022307</v>
      </c>
      <c r="G122" s="102">
        <f t="shared" si="24"/>
        <v>240421</v>
      </c>
      <c r="H122" s="100">
        <f t="shared" si="21"/>
        <v>-22594838</v>
      </c>
      <c r="I122" s="98">
        <f t="shared" si="22"/>
        <v>-21152312</v>
      </c>
      <c r="J122" s="98">
        <f t="shared" si="19"/>
        <v>21952492.375022307</v>
      </c>
      <c r="K122" s="1210">
        <f>(-D122*0.21)+(G122*0.21)</f>
        <v>50488.409999999996</v>
      </c>
      <c r="L122" s="100">
        <f t="shared" si="14"/>
        <v>-7212146.7741604559</v>
      </c>
      <c r="M122" s="98">
        <f t="shared" si="17"/>
        <v>-7684774.3899937868</v>
      </c>
      <c r="N122" s="95">
        <f t="shared" si="18"/>
        <v>14267717.98502852</v>
      </c>
      <c r="O122" s="95">
        <f t="shared" si="23"/>
        <v>13297819.600861859</v>
      </c>
      <c r="P122" s="93"/>
      <c r="Q122" s="104"/>
    </row>
    <row r="123" spans="1:29">
      <c r="A123" s="65"/>
      <c r="B123" s="97">
        <v>43159</v>
      </c>
      <c r="C123" s="108"/>
      <c r="D123" s="104"/>
      <c r="E123" s="102">
        <f t="shared" si="16"/>
        <v>43104804.375022314</v>
      </c>
      <c r="F123" s="98">
        <f t="shared" si="20"/>
        <v>43104804.375022307</v>
      </c>
      <c r="G123" s="102">
        <f t="shared" si="24"/>
        <v>240421</v>
      </c>
      <c r="H123" s="100">
        <f t="shared" si="21"/>
        <v>-22835259</v>
      </c>
      <c r="I123" s="98">
        <f t="shared" si="22"/>
        <v>-21392733</v>
      </c>
      <c r="J123" s="98">
        <f t="shared" si="19"/>
        <v>21712071.375022307</v>
      </c>
      <c r="K123" s="1210">
        <f t="shared" ref="K123:K157" si="25">(-D123*0.21)+(G123*0.21)</f>
        <v>50488.409999999996</v>
      </c>
      <c r="L123" s="100">
        <f t="shared" si="14"/>
        <v>-7161658.3641604558</v>
      </c>
      <c r="M123" s="98">
        <f t="shared" si="17"/>
        <v>-7604834.4074937878</v>
      </c>
      <c r="N123" s="95">
        <f t="shared" si="18"/>
        <v>14107236.967528518</v>
      </c>
      <c r="O123" s="95">
        <f t="shared" si="23"/>
        <v>13107887.010861859</v>
      </c>
      <c r="P123" s="93"/>
      <c r="Q123" s="104"/>
    </row>
    <row r="124" spans="1:29">
      <c r="A124" s="65"/>
      <c r="B124" s="105">
        <v>43190</v>
      </c>
      <c r="C124" s="108"/>
      <c r="D124" s="104"/>
      <c r="E124" s="102">
        <f t="shared" si="16"/>
        <v>43104804.375022314</v>
      </c>
      <c r="F124" s="98">
        <f t="shared" si="20"/>
        <v>43104804.375022307</v>
      </c>
      <c r="G124" s="102">
        <f t="shared" si="24"/>
        <v>240421</v>
      </c>
      <c r="H124" s="100">
        <f t="shared" si="21"/>
        <v>-23075680</v>
      </c>
      <c r="I124" s="98">
        <f t="shared" si="22"/>
        <v>-21633154</v>
      </c>
      <c r="J124" s="98">
        <f t="shared" si="19"/>
        <v>21471650.375022307</v>
      </c>
      <c r="K124" s="1210">
        <f t="shared" si="25"/>
        <v>50488.409999999996</v>
      </c>
      <c r="L124" s="100">
        <f t="shared" si="14"/>
        <v>-7111169.9541604556</v>
      </c>
      <c r="M124" s="98">
        <f t="shared" si="17"/>
        <v>-7527699.336660455</v>
      </c>
      <c r="N124" s="95">
        <f t="shared" si="18"/>
        <v>13943951.038361851</v>
      </c>
      <c r="O124" s="95">
        <f t="shared" si="23"/>
        <v>12917954.420861859</v>
      </c>
      <c r="P124" s="93"/>
      <c r="Q124" s="104"/>
    </row>
    <row r="125" spans="1:29">
      <c r="A125" s="65"/>
      <c r="B125" s="97">
        <v>43220</v>
      </c>
      <c r="C125" s="108"/>
      <c r="D125" s="104"/>
      <c r="E125" s="102">
        <f t="shared" si="16"/>
        <v>43104804.375022314</v>
      </c>
      <c r="F125" s="98">
        <f t="shared" si="20"/>
        <v>43104804.375022307</v>
      </c>
      <c r="G125" s="102">
        <f t="shared" si="24"/>
        <v>240421</v>
      </c>
      <c r="H125" s="100">
        <f t="shared" si="21"/>
        <v>-23316101</v>
      </c>
      <c r="I125" s="98">
        <f t="shared" si="22"/>
        <v>-21873575</v>
      </c>
      <c r="J125" s="98">
        <f t="shared" si="19"/>
        <v>21231229.375022307</v>
      </c>
      <c r="K125" s="1210">
        <f t="shared" si="25"/>
        <v>50488.409999999996</v>
      </c>
      <c r="L125" s="100">
        <f t="shared" si="14"/>
        <v>-7060681.5441604555</v>
      </c>
      <c r="M125" s="98">
        <f t="shared" si="17"/>
        <v>-7453369.1774937883</v>
      </c>
      <c r="N125" s="95">
        <f t="shared" si="18"/>
        <v>13777860.197528519</v>
      </c>
      <c r="O125" s="95">
        <f t="shared" si="23"/>
        <v>12728021.830861859</v>
      </c>
      <c r="P125" s="93"/>
      <c r="Q125" s="104"/>
    </row>
    <row r="126" spans="1:29">
      <c r="A126" s="65"/>
      <c r="B126" s="97">
        <v>43251</v>
      </c>
      <c r="C126" s="108"/>
      <c r="D126" s="104"/>
      <c r="E126" s="102">
        <f t="shared" si="16"/>
        <v>43104804.375022314</v>
      </c>
      <c r="F126" s="98">
        <f t="shared" si="20"/>
        <v>43104804.375022307</v>
      </c>
      <c r="G126" s="102">
        <f t="shared" si="24"/>
        <v>240421</v>
      </c>
      <c r="H126" s="100">
        <f t="shared" si="21"/>
        <v>-23556522</v>
      </c>
      <c r="I126" s="98">
        <f t="shared" si="22"/>
        <v>-22113996</v>
      </c>
      <c r="J126" s="98">
        <f t="shared" si="19"/>
        <v>20990808.375022307</v>
      </c>
      <c r="K126" s="1210">
        <f t="shared" si="25"/>
        <v>50488.409999999996</v>
      </c>
      <c r="L126" s="100">
        <f t="shared" si="14"/>
        <v>-7010193.1341604553</v>
      </c>
      <c r="M126" s="98">
        <f t="shared" si="17"/>
        <v>-7381843.9299937887</v>
      </c>
      <c r="N126" s="95">
        <f t="shared" si="18"/>
        <v>13608964.445028517</v>
      </c>
      <c r="O126" s="95">
        <f t="shared" si="23"/>
        <v>12538089.240861859</v>
      </c>
      <c r="P126" s="93"/>
      <c r="Q126" s="104"/>
    </row>
    <row r="127" spans="1:29">
      <c r="A127" s="65"/>
      <c r="B127" s="1203">
        <v>43281</v>
      </c>
      <c r="C127" s="1180"/>
      <c r="D127" s="1204"/>
      <c r="E127" s="1205">
        <f t="shared" si="16"/>
        <v>43104804.375022314</v>
      </c>
      <c r="F127" s="1185">
        <f t="shared" si="20"/>
        <v>43104804.375022307</v>
      </c>
      <c r="G127" s="1205">
        <f t="shared" si="24"/>
        <v>240421</v>
      </c>
      <c r="H127" s="1206">
        <f t="shared" si="21"/>
        <v>-23796943</v>
      </c>
      <c r="I127" s="1185">
        <f t="shared" si="22"/>
        <v>-22354417</v>
      </c>
      <c r="J127" s="1185">
        <f t="shared" si="19"/>
        <v>20750387.375022307</v>
      </c>
      <c r="K127" s="1206">
        <f t="shared" si="25"/>
        <v>50488.409999999996</v>
      </c>
      <c r="L127" s="1206">
        <f t="shared" si="14"/>
        <v>-6959704.7241604552</v>
      </c>
      <c r="M127" s="1185">
        <f t="shared" si="17"/>
        <v>-7313123.5941604553</v>
      </c>
      <c r="N127" s="1192">
        <f t="shared" si="18"/>
        <v>13437263.780861851</v>
      </c>
      <c r="O127" s="1192">
        <f t="shared" si="23"/>
        <v>12348156.650861859</v>
      </c>
      <c r="P127" s="93"/>
      <c r="Q127" s="104"/>
    </row>
    <row r="128" spans="1:29">
      <c r="A128" s="65"/>
      <c r="B128" s="97">
        <v>43312</v>
      </c>
      <c r="C128" s="108"/>
      <c r="D128" s="104"/>
      <c r="E128" s="102">
        <f t="shared" si="16"/>
        <v>43104804.375022314</v>
      </c>
      <c r="F128" s="98">
        <f t="shared" si="20"/>
        <v>43104804.375022307</v>
      </c>
      <c r="G128" s="102">
        <f t="shared" si="24"/>
        <v>240421</v>
      </c>
      <c r="H128" s="100">
        <f t="shared" si="21"/>
        <v>-24037364</v>
      </c>
      <c r="I128" s="98">
        <f t="shared" si="22"/>
        <v>-22594838</v>
      </c>
      <c r="J128" s="98">
        <f t="shared" si="19"/>
        <v>20509966.375022307</v>
      </c>
      <c r="K128" s="1210">
        <f t="shared" si="25"/>
        <v>50488.409999999996</v>
      </c>
      <c r="L128" s="100">
        <f t="shared" si="14"/>
        <v>-6909216.314160455</v>
      </c>
      <c r="M128" s="98">
        <f t="shared" si="17"/>
        <v>-7247208.1699937889</v>
      </c>
      <c r="N128" s="95">
        <f t="shared" si="18"/>
        <v>13262758.205028519</v>
      </c>
      <c r="O128" s="95">
        <f t="shared" si="23"/>
        <v>12158224.060861859</v>
      </c>
      <c r="P128" s="93"/>
      <c r="Q128" s="104"/>
    </row>
    <row r="129" spans="1:17">
      <c r="A129" s="65"/>
      <c r="B129" s="97">
        <v>43343</v>
      </c>
      <c r="C129" s="108"/>
      <c r="D129" s="104"/>
      <c r="E129" s="102">
        <f t="shared" si="16"/>
        <v>43104804.375022314</v>
      </c>
      <c r="F129" s="98">
        <f t="shared" si="20"/>
        <v>43104804.375022307</v>
      </c>
      <c r="G129" s="102">
        <f t="shared" si="24"/>
        <v>240421</v>
      </c>
      <c r="H129" s="100">
        <f t="shared" si="21"/>
        <v>-24277785</v>
      </c>
      <c r="I129" s="98">
        <f t="shared" si="22"/>
        <v>-22835259</v>
      </c>
      <c r="J129" s="98">
        <f t="shared" si="19"/>
        <v>20269545.375022307</v>
      </c>
      <c r="K129" s="1210">
        <f t="shared" si="25"/>
        <v>50488.409999999996</v>
      </c>
      <c r="L129" s="100">
        <f t="shared" si="14"/>
        <v>-6858727.9041604549</v>
      </c>
      <c r="M129" s="98">
        <f t="shared" si="17"/>
        <v>-7184097.6574937897</v>
      </c>
      <c r="N129" s="95">
        <f t="shared" si="18"/>
        <v>13085447.717528518</v>
      </c>
      <c r="O129" s="95">
        <f t="shared" si="23"/>
        <v>11968291.47086186</v>
      </c>
      <c r="P129" s="93"/>
      <c r="Q129" s="104"/>
    </row>
    <row r="130" spans="1:17" ht="12.75" customHeight="1">
      <c r="A130" s="65"/>
      <c r="B130" s="97">
        <v>43373</v>
      </c>
      <c r="C130" s="108"/>
      <c r="D130" s="104"/>
      <c r="E130" s="102">
        <f t="shared" si="16"/>
        <v>43104804.375022314</v>
      </c>
      <c r="F130" s="98">
        <f t="shared" si="20"/>
        <v>43104804.375022307</v>
      </c>
      <c r="G130" s="102">
        <f t="shared" si="24"/>
        <v>240421</v>
      </c>
      <c r="H130" s="100">
        <f t="shared" si="21"/>
        <v>-24518206</v>
      </c>
      <c r="I130" s="98">
        <f t="shared" si="22"/>
        <v>-23075680</v>
      </c>
      <c r="J130" s="98">
        <f t="shared" si="19"/>
        <v>20029124.375022307</v>
      </c>
      <c r="K130" s="1210">
        <f t="shared" si="25"/>
        <v>50488.409999999996</v>
      </c>
      <c r="L130" s="100">
        <f t="shared" si="14"/>
        <v>-6808239.4941604547</v>
      </c>
      <c r="M130" s="98">
        <f t="shared" si="17"/>
        <v>-7123792.0566604547</v>
      </c>
      <c r="N130" s="95">
        <f t="shared" si="18"/>
        <v>12905332.318361852</v>
      </c>
      <c r="O130" s="95">
        <f t="shared" si="23"/>
        <v>11778358.88086186</v>
      </c>
      <c r="P130" s="93"/>
      <c r="Q130" s="104"/>
    </row>
    <row r="131" spans="1:17" ht="12.75" customHeight="1">
      <c r="A131" s="65"/>
      <c r="B131" s="97">
        <v>43404</v>
      </c>
      <c r="C131" s="108"/>
      <c r="D131" s="104"/>
      <c r="E131" s="102">
        <f t="shared" si="16"/>
        <v>43104804.375022314</v>
      </c>
      <c r="F131" s="98">
        <f t="shared" si="20"/>
        <v>43104804.375022307</v>
      </c>
      <c r="G131" s="102">
        <f t="shared" si="24"/>
        <v>240421</v>
      </c>
      <c r="H131" s="100">
        <f t="shared" si="21"/>
        <v>-24758627</v>
      </c>
      <c r="I131" s="98">
        <f t="shared" si="22"/>
        <v>-23316101</v>
      </c>
      <c r="J131" s="98">
        <f t="shared" si="19"/>
        <v>19788703.375022307</v>
      </c>
      <c r="K131" s="1210">
        <f t="shared" si="25"/>
        <v>50488.409999999996</v>
      </c>
      <c r="L131" s="100">
        <f t="shared" si="14"/>
        <v>-6757751.0841604546</v>
      </c>
      <c r="M131" s="98">
        <f t="shared" si="17"/>
        <v>-7066291.3674937896</v>
      </c>
      <c r="N131" s="95">
        <f t="shared" si="18"/>
        <v>12722412.007528517</v>
      </c>
      <c r="O131" s="95">
        <f t="shared" si="23"/>
        <v>11588426.29086186</v>
      </c>
      <c r="P131" s="93"/>
      <c r="Q131" s="104"/>
    </row>
    <row r="132" spans="1:17">
      <c r="A132" s="65"/>
      <c r="B132" s="97">
        <v>43434</v>
      </c>
      <c r="C132" s="108"/>
      <c r="D132" s="104"/>
      <c r="E132" s="102">
        <f t="shared" si="16"/>
        <v>43104804.375022314</v>
      </c>
      <c r="F132" s="98">
        <f t="shared" si="20"/>
        <v>43104804.375022307</v>
      </c>
      <c r="G132" s="102">
        <f t="shared" si="24"/>
        <v>240421</v>
      </c>
      <c r="H132" s="100">
        <f t="shared" si="21"/>
        <v>-24999048</v>
      </c>
      <c r="I132" s="98">
        <f t="shared" si="22"/>
        <v>-23556522</v>
      </c>
      <c r="J132" s="98">
        <f t="shared" si="19"/>
        <v>19548282.375022307</v>
      </c>
      <c r="K132" s="1210">
        <f t="shared" si="25"/>
        <v>50488.409999999996</v>
      </c>
      <c r="L132" s="100">
        <f t="shared" si="14"/>
        <v>-6707262.6741604544</v>
      </c>
      <c r="M132" s="98">
        <f t="shared" si="17"/>
        <v>-7011595.5899937898</v>
      </c>
      <c r="N132" s="95">
        <f t="shared" si="18"/>
        <v>12536686.785028517</v>
      </c>
      <c r="O132" s="95">
        <f t="shared" si="23"/>
        <v>11398493.70086186</v>
      </c>
      <c r="P132" s="93"/>
      <c r="Q132" s="104"/>
    </row>
    <row r="133" spans="1:17">
      <c r="A133" s="65"/>
      <c r="B133" s="1308">
        <v>43465</v>
      </c>
      <c r="C133" s="1152"/>
      <c r="D133" s="1160"/>
      <c r="E133" s="1309">
        <f t="shared" si="16"/>
        <v>43104804.375022314</v>
      </c>
      <c r="F133" s="1156">
        <f t="shared" si="20"/>
        <v>43104804.375022307</v>
      </c>
      <c r="G133" s="1309">
        <f t="shared" si="24"/>
        <v>240421</v>
      </c>
      <c r="H133" s="1310">
        <f t="shared" si="21"/>
        <v>-25239469</v>
      </c>
      <c r="I133" s="1156">
        <f t="shared" si="22"/>
        <v>-23796943</v>
      </c>
      <c r="J133" s="1156">
        <f t="shared" si="19"/>
        <v>19307861.375022307</v>
      </c>
      <c r="K133" s="1310">
        <f t="shared" si="25"/>
        <v>50488.409999999996</v>
      </c>
      <c r="L133" s="1310">
        <f t="shared" si="14"/>
        <v>-6656774.2641604543</v>
      </c>
      <c r="M133" s="1156">
        <f t="shared" si="17"/>
        <v>-6959704.7241604552</v>
      </c>
      <c r="N133" s="1161">
        <f>M133+J133</f>
        <v>12348156.650861852</v>
      </c>
      <c r="O133" s="1161">
        <f t="shared" si="23"/>
        <v>11208561.11086186</v>
      </c>
      <c r="P133" s="93"/>
      <c r="Q133" s="104"/>
    </row>
    <row r="134" spans="1:17" ht="12.75" customHeight="1">
      <c r="A134" s="65"/>
      <c r="B134" s="97">
        <v>43496</v>
      </c>
      <c r="C134" s="108"/>
      <c r="D134" s="104"/>
      <c r="E134" s="102">
        <f t="shared" si="16"/>
        <v>43104804.375022314</v>
      </c>
      <c r="F134" s="98">
        <f t="shared" si="20"/>
        <v>43104804.375022307</v>
      </c>
      <c r="G134" s="102">
        <f t="shared" si="24"/>
        <v>240421</v>
      </c>
      <c r="H134" s="100">
        <f t="shared" si="21"/>
        <v>-25479890</v>
      </c>
      <c r="I134" s="98">
        <f t="shared" si="22"/>
        <v>-24037364</v>
      </c>
      <c r="J134" s="98">
        <f t="shared" si="19"/>
        <v>19067440.375022307</v>
      </c>
      <c r="K134" s="1210">
        <f t="shared" si="25"/>
        <v>50488.409999999996</v>
      </c>
      <c r="L134" s="100">
        <f t="shared" si="14"/>
        <v>-6606285.8541604541</v>
      </c>
      <c r="M134" s="98">
        <f t="shared" si="17"/>
        <v>-6909216.314160455</v>
      </c>
      <c r="N134" s="95">
        <f t="shared" si="18"/>
        <v>12158224.060861852</v>
      </c>
      <c r="O134" s="95">
        <f t="shared" si="23"/>
        <v>11018628.52086186</v>
      </c>
      <c r="P134" s="93"/>
      <c r="Q134" s="104"/>
    </row>
    <row r="135" spans="1:17">
      <c r="A135" s="65"/>
      <c r="B135" s="97">
        <v>43524</v>
      </c>
      <c r="C135" s="108"/>
      <c r="D135" s="104"/>
      <c r="E135" s="102">
        <f t="shared" si="16"/>
        <v>43104804.375022314</v>
      </c>
      <c r="F135" s="98">
        <f t="shared" si="20"/>
        <v>43104804.375022307</v>
      </c>
      <c r="G135" s="102">
        <f t="shared" si="24"/>
        <v>240421</v>
      </c>
      <c r="H135" s="100">
        <f t="shared" si="21"/>
        <v>-25720311</v>
      </c>
      <c r="I135" s="98">
        <f t="shared" si="22"/>
        <v>-24277785</v>
      </c>
      <c r="J135" s="98">
        <f t="shared" si="19"/>
        <v>18827019.375022307</v>
      </c>
      <c r="K135" s="1210">
        <f t="shared" si="25"/>
        <v>50488.409999999996</v>
      </c>
      <c r="L135" s="100">
        <f t="shared" si="14"/>
        <v>-6555797.444160454</v>
      </c>
      <c r="M135" s="98">
        <f t="shared" si="17"/>
        <v>-6858727.9041604558</v>
      </c>
      <c r="N135" s="95">
        <f t="shared" si="18"/>
        <v>11968291.470861852</v>
      </c>
      <c r="O135" s="95">
        <f t="shared" si="23"/>
        <v>10828695.930861861</v>
      </c>
      <c r="P135" s="93"/>
      <c r="Q135" s="104"/>
    </row>
    <row r="136" spans="1:17">
      <c r="A136" s="65"/>
      <c r="B136" s="105">
        <v>43555</v>
      </c>
      <c r="C136" s="108"/>
      <c r="D136" s="104"/>
      <c r="E136" s="102">
        <f t="shared" si="16"/>
        <v>43104804.375022314</v>
      </c>
      <c r="F136" s="98">
        <f t="shared" si="20"/>
        <v>43104804.375022307</v>
      </c>
      <c r="G136" s="102">
        <f t="shared" si="24"/>
        <v>240421</v>
      </c>
      <c r="H136" s="100">
        <f t="shared" si="21"/>
        <v>-25960732</v>
      </c>
      <c r="I136" s="98">
        <f t="shared" si="22"/>
        <v>-24518206</v>
      </c>
      <c r="J136" s="98">
        <f t="shared" si="19"/>
        <v>18586598.375022307</v>
      </c>
      <c r="K136" s="1210">
        <f t="shared" si="25"/>
        <v>50488.409999999996</v>
      </c>
      <c r="L136" s="100">
        <f t="shared" si="14"/>
        <v>-6505309.0341604538</v>
      </c>
      <c r="M136" s="98">
        <f t="shared" si="17"/>
        <v>-6808239.4941604547</v>
      </c>
      <c r="N136" s="95">
        <f t="shared" si="18"/>
        <v>11778358.880861852</v>
      </c>
      <c r="O136" s="95">
        <f t="shared" si="23"/>
        <v>10638763.340861861</v>
      </c>
      <c r="P136" s="93"/>
      <c r="Q136" s="104"/>
    </row>
    <row r="137" spans="1:17">
      <c r="A137" s="65"/>
      <c r="B137" s="97">
        <v>43585</v>
      </c>
      <c r="C137" s="108"/>
      <c r="D137" s="104"/>
      <c r="E137" s="102">
        <f t="shared" si="16"/>
        <v>43104804.375022314</v>
      </c>
      <c r="F137" s="98">
        <f t="shared" si="20"/>
        <v>43104804.375022307</v>
      </c>
      <c r="G137" s="102">
        <f t="shared" si="24"/>
        <v>240421</v>
      </c>
      <c r="H137" s="100">
        <f t="shared" si="21"/>
        <v>-26201153</v>
      </c>
      <c r="I137" s="98">
        <f t="shared" si="22"/>
        <v>-24758627</v>
      </c>
      <c r="J137" s="98">
        <f t="shared" si="19"/>
        <v>18346177.375022307</v>
      </c>
      <c r="K137" s="1210">
        <f t="shared" si="25"/>
        <v>50488.409999999996</v>
      </c>
      <c r="L137" s="100">
        <f t="shared" si="14"/>
        <v>-6454820.6241604537</v>
      </c>
      <c r="M137" s="98">
        <f t="shared" si="17"/>
        <v>-6757751.0841604546</v>
      </c>
      <c r="N137" s="95">
        <f t="shared" si="18"/>
        <v>11588426.290861852</v>
      </c>
      <c r="O137" s="95">
        <f t="shared" si="23"/>
        <v>10448830.750861861</v>
      </c>
      <c r="P137" s="93"/>
      <c r="Q137" s="104"/>
    </row>
    <row r="138" spans="1:17">
      <c r="A138" s="65"/>
      <c r="B138" s="97">
        <v>43616</v>
      </c>
      <c r="C138" s="108"/>
      <c r="D138" s="104"/>
      <c r="E138" s="102">
        <f t="shared" si="16"/>
        <v>43104804.375022314</v>
      </c>
      <c r="F138" s="98">
        <f t="shared" si="20"/>
        <v>43104804.375022307</v>
      </c>
      <c r="G138" s="102">
        <f t="shared" si="24"/>
        <v>240421</v>
      </c>
      <c r="H138" s="100">
        <f t="shared" si="21"/>
        <v>-26441574</v>
      </c>
      <c r="I138" s="98">
        <f t="shared" si="22"/>
        <v>-24999048</v>
      </c>
      <c r="J138" s="98">
        <f t="shared" si="19"/>
        <v>18105756.375022307</v>
      </c>
      <c r="K138" s="1210">
        <f t="shared" si="25"/>
        <v>50488.409999999996</v>
      </c>
      <c r="L138" s="100">
        <f t="shared" si="14"/>
        <v>-6404332.2141604535</v>
      </c>
      <c r="M138" s="98">
        <f t="shared" si="17"/>
        <v>-6707262.6741604544</v>
      </c>
      <c r="N138" s="95">
        <f t="shared" si="18"/>
        <v>11398493.700861853</v>
      </c>
      <c r="O138" s="95">
        <f t="shared" si="23"/>
        <v>10258898.160861861</v>
      </c>
      <c r="P138" s="93"/>
      <c r="Q138" s="104"/>
    </row>
    <row r="139" spans="1:17">
      <c r="A139" s="65"/>
      <c r="B139" s="97">
        <v>43646</v>
      </c>
      <c r="C139" s="108"/>
      <c r="D139" s="104"/>
      <c r="E139" s="102">
        <f t="shared" si="16"/>
        <v>43104804.375022314</v>
      </c>
      <c r="F139" s="98">
        <f t="shared" si="20"/>
        <v>43104804.375022307</v>
      </c>
      <c r="G139" s="102">
        <f t="shared" si="24"/>
        <v>240421</v>
      </c>
      <c r="H139" s="100">
        <f t="shared" si="21"/>
        <v>-26681995</v>
      </c>
      <c r="I139" s="98">
        <f t="shared" si="22"/>
        <v>-25239469</v>
      </c>
      <c r="J139" s="98">
        <f t="shared" si="19"/>
        <v>17865335.375022307</v>
      </c>
      <c r="K139" s="1210">
        <f t="shared" si="25"/>
        <v>50488.409999999996</v>
      </c>
      <c r="L139" s="100">
        <f t="shared" si="14"/>
        <v>-6353843.8041604534</v>
      </c>
      <c r="M139" s="98">
        <f t="shared" si="17"/>
        <v>-6656774.2641604552</v>
      </c>
      <c r="N139" s="95">
        <f t="shared" si="18"/>
        <v>11208561.110861853</v>
      </c>
      <c r="O139" s="95">
        <f t="shared" si="23"/>
        <v>10068965.570861861</v>
      </c>
      <c r="P139" s="93"/>
      <c r="Q139" s="104"/>
    </row>
    <row r="140" spans="1:17">
      <c r="A140" s="65"/>
      <c r="B140" s="97">
        <v>43677</v>
      </c>
      <c r="C140" s="108"/>
      <c r="D140" s="104"/>
      <c r="E140" s="102">
        <f t="shared" si="16"/>
        <v>43104804.375022314</v>
      </c>
      <c r="F140" s="98">
        <f t="shared" si="20"/>
        <v>43104804.375022307</v>
      </c>
      <c r="G140" s="102">
        <f t="shared" si="24"/>
        <v>240421</v>
      </c>
      <c r="H140" s="100">
        <f t="shared" si="21"/>
        <v>-26922416</v>
      </c>
      <c r="I140" s="98">
        <f t="shared" si="22"/>
        <v>-25479890</v>
      </c>
      <c r="J140" s="98">
        <f t="shared" si="19"/>
        <v>17624914.375022307</v>
      </c>
      <c r="K140" s="1210">
        <f t="shared" si="25"/>
        <v>50488.409999999996</v>
      </c>
      <c r="L140" s="100">
        <f t="shared" si="14"/>
        <v>-6303355.3941604532</v>
      </c>
      <c r="M140" s="98">
        <f t="shared" si="17"/>
        <v>-6606285.8541604551</v>
      </c>
      <c r="N140" s="95">
        <f t="shared" si="18"/>
        <v>11018628.520861853</v>
      </c>
      <c r="O140" s="95">
        <f t="shared" si="23"/>
        <v>9879032.9808618613</v>
      </c>
      <c r="P140" s="93"/>
      <c r="Q140" s="104"/>
    </row>
    <row r="141" spans="1:17">
      <c r="A141" s="65"/>
      <c r="B141" s="97">
        <v>43708</v>
      </c>
      <c r="C141" s="108"/>
      <c r="D141" s="104"/>
      <c r="E141" s="102">
        <f t="shared" si="16"/>
        <v>43104804.375022314</v>
      </c>
      <c r="F141" s="98">
        <f t="shared" si="20"/>
        <v>43104804.375022307</v>
      </c>
      <c r="G141" s="102">
        <f t="shared" si="24"/>
        <v>240421</v>
      </c>
      <c r="H141" s="100">
        <f t="shared" si="21"/>
        <v>-27162837</v>
      </c>
      <c r="I141" s="98">
        <f t="shared" si="22"/>
        <v>-25720311</v>
      </c>
      <c r="J141" s="98">
        <f t="shared" si="19"/>
        <v>17384493.375022307</v>
      </c>
      <c r="K141" s="1210">
        <f t="shared" si="25"/>
        <v>50488.409999999996</v>
      </c>
      <c r="L141" s="100">
        <f t="shared" ref="L141:L204" si="26">L140+K141</f>
        <v>-6252866.9841604531</v>
      </c>
      <c r="M141" s="98">
        <f t="shared" si="17"/>
        <v>-6555797.444160454</v>
      </c>
      <c r="N141" s="95">
        <f t="shared" si="18"/>
        <v>10828695.930861853</v>
      </c>
      <c r="O141" s="95">
        <f t="shared" si="23"/>
        <v>9689100.3908618614</v>
      </c>
      <c r="P141" s="93"/>
      <c r="Q141" s="104"/>
    </row>
    <row r="142" spans="1:17">
      <c r="A142" s="65"/>
      <c r="B142" s="97">
        <v>43738</v>
      </c>
      <c r="C142" s="108"/>
      <c r="D142" s="104"/>
      <c r="E142" s="102">
        <f t="shared" si="16"/>
        <v>43104804.375022314</v>
      </c>
      <c r="F142" s="98">
        <f t="shared" si="20"/>
        <v>43104804.375022307</v>
      </c>
      <c r="G142" s="102">
        <f t="shared" si="24"/>
        <v>240421</v>
      </c>
      <c r="H142" s="100">
        <f t="shared" si="21"/>
        <v>-27403258</v>
      </c>
      <c r="I142" s="98">
        <f t="shared" si="22"/>
        <v>-25960732</v>
      </c>
      <c r="J142" s="98">
        <f t="shared" si="19"/>
        <v>17144072.375022307</v>
      </c>
      <c r="K142" s="1210">
        <f t="shared" si="25"/>
        <v>50488.409999999996</v>
      </c>
      <c r="L142" s="100">
        <f t="shared" si="26"/>
        <v>-6202378.5741604529</v>
      </c>
      <c r="M142" s="98">
        <f t="shared" si="17"/>
        <v>-6505309.0341604538</v>
      </c>
      <c r="N142" s="95">
        <f t="shared" si="18"/>
        <v>10638763.340861853</v>
      </c>
      <c r="O142" s="95">
        <f t="shared" si="23"/>
        <v>9499167.8008618616</v>
      </c>
      <c r="P142" s="93"/>
      <c r="Q142" s="104"/>
    </row>
    <row r="143" spans="1:17">
      <c r="A143" s="65"/>
      <c r="B143" s="97">
        <v>43769</v>
      </c>
      <c r="C143" s="108"/>
      <c r="D143" s="104"/>
      <c r="E143" s="102">
        <f t="shared" si="16"/>
        <v>43104804.375022314</v>
      </c>
      <c r="F143" s="98">
        <f t="shared" si="20"/>
        <v>43104804.375022307</v>
      </c>
      <c r="G143" s="102">
        <f t="shared" si="24"/>
        <v>240421</v>
      </c>
      <c r="H143" s="100">
        <f t="shared" si="21"/>
        <v>-27643679</v>
      </c>
      <c r="I143" s="98">
        <f t="shared" si="22"/>
        <v>-26201153</v>
      </c>
      <c r="J143" s="98">
        <f t="shared" si="19"/>
        <v>16903651.375022307</v>
      </c>
      <c r="K143" s="1210">
        <f t="shared" si="25"/>
        <v>50488.409999999996</v>
      </c>
      <c r="L143" s="100">
        <f t="shared" si="26"/>
        <v>-6151890.1641604528</v>
      </c>
      <c r="M143" s="98">
        <f t="shared" si="17"/>
        <v>-6454820.6241604546</v>
      </c>
      <c r="N143" s="95">
        <f t="shared" si="18"/>
        <v>10448830.750861853</v>
      </c>
      <c r="O143" s="95">
        <f t="shared" si="23"/>
        <v>9309235.2108618617</v>
      </c>
      <c r="P143" s="93"/>
      <c r="Q143" s="104"/>
    </row>
    <row r="144" spans="1:17">
      <c r="A144" s="65"/>
      <c r="B144" s="97">
        <v>43799</v>
      </c>
      <c r="C144" s="108"/>
      <c r="D144" s="104"/>
      <c r="E144" s="102">
        <f t="shared" ref="E144:E207" si="27">E143+D144</f>
        <v>43104804.375022314</v>
      </c>
      <c r="F144" s="98">
        <f t="shared" si="20"/>
        <v>43104804.375022307</v>
      </c>
      <c r="G144" s="102">
        <f t="shared" si="24"/>
        <v>240421</v>
      </c>
      <c r="H144" s="100">
        <f t="shared" si="21"/>
        <v>-27884100</v>
      </c>
      <c r="I144" s="98">
        <f t="shared" si="22"/>
        <v>-26441574</v>
      </c>
      <c r="J144" s="98">
        <f t="shared" si="19"/>
        <v>16663230.375022307</v>
      </c>
      <c r="K144" s="1210">
        <f t="shared" si="25"/>
        <v>50488.409999999996</v>
      </c>
      <c r="L144" s="100">
        <f t="shared" si="26"/>
        <v>-6101401.7541604526</v>
      </c>
      <c r="M144" s="98">
        <f t="shared" si="17"/>
        <v>-6404332.2141604535</v>
      </c>
      <c r="N144" s="95">
        <f t="shared" si="18"/>
        <v>10258898.160861854</v>
      </c>
      <c r="O144" s="95">
        <f t="shared" si="23"/>
        <v>9119302.6208618619</v>
      </c>
      <c r="P144" s="93"/>
      <c r="Q144" s="104"/>
    </row>
    <row r="145" spans="2:17" s="65" customFormat="1">
      <c r="B145" s="97">
        <v>43830</v>
      </c>
      <c r="C145" s="108"/>
      <c r="D145" s="104"/>
      <c r="E145" s="102">
        <f t="shared" si="27"/>
        <v>43104804.375022314</v>
      </c>
      <c r="F145" s="98">
        <f t="shared" si="20"/>
        <v>43104804.375022307</v>
      </c>
      <c r="G145" s="102">
        <f t="shared" si="24"/>
        <v>240421</v>
      </c>
      <c r="H145" s="100">
        <f t="shared" si="21"/>
        <v>-28124521</v>
      </c>
      <c r="I145" s="98">
        <f t="shared" si="22"/>
        <v>-26681995</v>
      </c>
      <c r="J145" s="98">
        <f t="shared" si="19"/>
        <v>16422809.375022307</v>
      </c>
      <c r="K145" s="1210">
        <f t="shared" si="25"/>
        <v>50488.409999999996</v>
      </c>
      <c r="L145" s="100">
        <f t="shared" si="26"/>
        <v>-6050913.3441604525</v>
      </c>
      <c r="M145" s="98">
        <f t="shared" si="17"/>
        <v>-6353843.8041604534</v>
      </c>
      <c r="N145" s="95">
        <f t="shared" si="18"/>
        <v>10068965.570861854</v>
      </c>
      <c r="O145" s="95">
        <f t="shared" si="23"/>
        <v>8929370.030861862</v>
      </c>
      <c r="P145" s="93"/>
      <c r="Q145" s="104"/>
    </row>
    <row r="146" spans="2:17" s="65" customFormat="1">
      <c r="B146" s="97">
        <v>43861</v>
      </c>
      <c r="E146" s="102">
        <f t="shared" si="27"/>
        <v>43104804.375022314</v>
      </c>
      <c r="F146" s="98">
        <f t="shared" si="20"/>
        <v>43104804.375022307</v>
      </c>
      <c r="G146" s="102">
        <f t="shared" si="24"/>
        <v>240421</v>
      </c>
      <c r="H146" s="100">
        <f t="shared" si="21"/>
        <v>-28364942</v>
      </c>
      <c r="I146" s="98">
        <f t="shared" si="22"/>
        <v>-26922416</v>
      </c>
      <c r="J146" s="98">
        <f t="shared" si="19"/>
        <v>16182388.375022307</v>
      </c>
      <c r="K146" s="1210">
        <f t="shared" si="25"/>
        <v>50488.409999999996</v>
      </c>
      <c r="L146" s="100">
        <f t="shared" si="26"/>
        <v>-6000424.9341604523</v>
      </c>
      <c r="M146" s="98">
        <f t="shared" si="17"/>
        <v>-6303355.3941604532</v>
      </c>
      <c r="N146" s="95">
        <f t="shared" si="18"/>
        <v>9879032.9808618538</v>
      </c>
      <c r="O146" s="95">
        <f t="shared" si="23"/>
        <v>8739437.4408618622</v>
      </c>
      <c r="P146" s="66"/>
    </row>
    <row r="147" spans="2:17" s="65" customFormat="1">
      <c r="B147" s="97">
        <v>43889</v>
      </c>
      <c r="E147" s="102">
        <f t="shared" si="27"/>
        <v>43104804.375022314</v>
      </c>
      <c r="F147" s="98">
        <f t="shared" si="20"/>
        <v>43104804.375022307</v>
      </c>
      <c r="G147" s="102">
        <f t="shared" si="24"/>
        <v>240421</v>
      </c>
      <c r="H147" s="100">
        <f t="shared" si="21"/>
        <v>-28605363</v>
      </c>
      <c r="I147" s="98">
        <f t="shared" si="22"/>
        <v>-27162837</v>
      </c>
      <c r="J147" s="98">
        <f t="shared" si="19"/>
        <v>15941967.375022307</v>
      </c>
      <c r="K147" s="1210">
        <f t="shared" si="25"/>
        <v>50488.409999999996</v>
      </c>
      <c r="L147" s="100">
        <f t="shared" si="26"/>
        <v>-5949936.5241604522</v>
      </c>
      <c r="M147" s="98">
        <f t="shared" si="17"/>
        <v>-6252866.984160454</v>
      </c>
      <c r="N147" s="95">
        <f t="shared" si="18"/>
        <v>9689100.390861854</v>
      </c>
      <c r="O147" s="95">
        <f t="shared" si="23"/>
        <v>8549504.8508618623</v>
      </c>
      <c r="P147" s="66"/>
    </row>
    <row r="148" spans="2:17" s="65" customFormat="1">
      <c r="B148" s="105">
        <v>43921</v>
      </c>
      <c r="E148" s="102">
        <f t="shared" si="27"/>
        <v>43104804.375022314</v>
      </c>
      <c r="F148" s="98">
        <f t="shared" si="20"/>
        <v>43104804.375022307</v>
      </c>
      <c r="G148" s="102">
        <f t="shared" si="24"/>
        <v>240421</v>
      </c>
      <c r="H148" s="100">
        <f t="shared" si="21"/>
        <v>-28845784</v>
      </c>
      <c r="I148" s="98">
        <f t="shared" si="22"/>
        <v>-27403258</v>
      </c>
      <c r="J148" s="98">
        <f t="shared" si="19"/>
        <v>15701546.375022307</v>
      </c>
      <c r="K148" s="1210">
        <f t="shared" si="25"/>
        <v>50488.409999999996</v>
      </c>
      <c r="L148" s="100">
        <f t="shared" si="26"/>
        <v>-5899448.114160452</v>
      </c>
      <c r="M148" s="98">
        <f t="shared" si="17"/>
        <v>-6202378.5741604539</v>
      </c>
      <c r="N148" s="95">
        <f t="shared" si="18"/>
        <v>9499167.8008618541</v>
      </c>
      <c r="O148" s="95">
        <f t="shared" si="23"/>
        <v>8359572.2608618625</v>
      </c>
      <c r="P148" s="66"/>
    </row>
    <row r="149" spans="2:17" s="65" customFormat="1">
      <c r="B149" s="97">
        <v>43951</v>
      </c>
      <c r="E149" s="102">
        <f t="shared" si="27"/>
        <v>43104804.375022314</v>
      </c>
      <c r="F149" s="98">
        <f t="shared" si="20"/>
        <v>43104804.375022307</v>
      </c>
      <c r="G149" s="102">
        <f t="shared" si="24"/>
        <v>240421</v>
      </c>
      <c r="H149" s="100">
        <f t="shared" si="21"/>
        <v>-29086205</v>
      </c>
      <c r="I149" s="98">
        <f t="shared" si="22"/>
        <v>-27643679</v>
      </c>
      <c r="J149" s="98">
        <f t="shared" si="19"/>
        <v>15461125.375022307</v>
      </c>
      <c r="K149" s="1210">
        <f t="shared" si="25"/>
        <v>50488.409999999996</v>
      </c>
      <c r="L149" s="100">
        <f t="shared" si="26"/>
        <v>-5848959.7041604519</v>
      </c>
      <c r="M149" s="98">
        <f t="shared" si="17"/>
        <v>-6151890.1641604528</v>
      </c>
      <c r="N149" s="95">
        <f t="shared" si="18"/>
        <v>9309235.2108618543</v>
      </c>
      <c r="O149" s="95">
        <f t="shared" si="23"/>
        <v>8169639.6708618626</v>
      </c>
      <c r="P149" s="66"/>
    </row>
    <row r="150" spans="2:17" s="65" customFormat="1">
      <c r="B150" s="97">
        <v>43982</v>
      </c>
      <c r="E150" s="102">
        <f t="shared" si="27"/>
        <v>43104804.375022314</v>
      </c>
      <c r="F150" s="98">
        <f t="shared" si="20"/>
        <v>43104804.375022307</v>
      </c>
      <c r="G150" s="102">
        <f t="shared" si="24"/>
        <v>240421</v>
      </c>
      <c r="H150" s="100">
        <f t="shared" si="21"/>
        <v>-29326626</v>
      </c>
      <c r="I150" s="98">
        <f t="shared" si="22"/>
        <v>-27884100</v>
      </c>
      <c r="J150" s="98">
        <f t="shared" si="19"/>
        <v>15220704.375022307</v>
      </c>
      <c r="K150" s="1210">
        <f t="shared" si="25"/>
        <v>50488.409999999996</v>
      </c>
      <c r="L150" s="100">
        <f t="shared" si="26"/>
        <v>-5798471.2941604517</v>
      </c>
      <c r="M150" s="98">
        <f t="shared" si="17"/>
        <v>-6101401.7541604526</v>
      </c>
      <c r="N150" s="95">
        <f t="shared" si="18"/>
        <v>9119302.6208618544</v>
      </c>
      <c r="O150" s="95">
        <f t="shared" si="23"/>
        <v>7979707.0808618627</v>
      </c>
      <c r="P150" s="66"/>
    </row>
    <row r="151" spans="2:17" s="65" customFormat="1">
      <c r="B151" s="97">
        <v>44012</v>
      </c>
      <c r="E151" s="102">
        <f t="shared" si="27"/>
        <v>43104804.375022314</v>
      </c>
      <c r="F151" s="98">
        <f t="shared" si="20"/>
        <v>43104804.375022307</v>
      </c>
      <c r="G151" s="102">
        <f t="shared" si="24"/>
        <v>240421</v>
      </c>
      <c r="H151" s="100">
        <f t="shared" si="21"/>
        <v>-29567047</v>
      </c>
      <c r="I151" s="98">
        <f t="shared" si="22"/>
        <v>-28124521</v>
      </c>
      <c r="J151" s="98">
        <f t="shared" si="19"/>
        <v>14980283.375022307</v>
      </c>
      <c r="K151" s="1210">
        <f t="shared" si="25"/>
        <v>50488.409999999996</v>
      </c>
      <c r="L151" s="100">
        <f t="shared" si="26"/>
        <v>-5747982.8841604516</v>
      </c>
      <c r="M151" s="98">
        <f t="shared" si="17"/>
        <v>-6050913.3441604534</v>
      </c>
      <c r="N151" s="95">
        <f t="shared" si="18"/>
        <v>8929370.0308618546</v>
      </c>
      <c r="O151" s="95">
        <f t="shared" si="23"/>
        <v>7789774.4908618629</v>
      </c>
      <c r="P151" s="66"/>
    </row>
    <row r="152" spans="2:17" s="65" customFormat="1">
      <c r="B152" s="97">
        <v>44043</v>
      </c>
      <c r="E152" s="102">
        <f t="shared" si="27"/>
        <v>43104804.375022314</v>
      </c>
      <c r="F152" s="98">
        <f t="shared" si="20"/>
        <v>43104804.375022307</v>
      </c>
      <c r="G152" s="102">
        <f t="shared" si="24"/>
        <v>240421</v>
      </c>
      <c r="H152" s="100">
        <f t="shared" si="21"/>
        <v>-29807468</v>
      </c>
      <c r="I152" s="98">
        <f t="shared" si="22"/>
        <v>-28364942</v>
      </c>
      <c r="J152" s="98">
        <f t="shared" si="19"/>
        <v>14739862.375022307</v>
      </c>
      <c r="K152" s="1210">
        <f t="shared" si="25"/>
        <v>50488.409999999996</v>
      </c>
      <c r="L152" s="100">
        <f t="shared" si="26"/>
        <v>-5697494.4741604514</v>
      </c>
      <c r="M152" s="98">
        <f t="shared" si="17"/>
        <v>-6000424.9341604523</v>
      </c>
      <c r="N152" s="95">
        <f t="shared" si="18"/>
        <v>8739437.4408618547</v>
      </c>
      <c r="O152" s="95">
        <f t="shared" si="23"/>
        <v>7599841.900861863</v>
      </c>
      <c r="P152" s="66"/>
    </row>
    <row r="153" spans="2:17" s="65" customFormat="1">
      <c r="B153" s="97">
        <v>44074</v>
      </c>
      <c r="E153" s="102">
        <f t="shared" si="27"/>
        <v>43104804.375022314</v>
      </c>
      <c r="F153" s="98">
        <f t="shared" si="20"/>
        <v>43104804.375022307</v>
      </c>
      <c r="G153" s="102">
        <f t="shared" si="24"/>
        <v>240421</v>
      </c>
      <c r="H153" s="100">
        <f t="shared" si="21"/>
        <v>-30047889</v>
      </c>
      <c r="I153" s="98">
        <f t="shared" si="22"/>
        <v>-28605363</v>
      </c>
      <c r="J153" s="98">
        <f t="shared" si="19"/>
        <v>14499441.375022307</v>
      </c>
      <c r="K153" s="1210">
        <f t="shared" si="25"/>
        <v>50488.409999999996</v>
      </c>
      <c r="L153" s="100">
        <f t="shared" si="26"/>
        <v>-5647006.0641604513</v>
      </c>
      <c r="M153" s="98">
        <f t="shared" ref="M153:M209" si="28">(L141+L153+SUM(L142:L152)*2)/24</f>
        <v>-5949936.5241604522</v>
      </c>
      <c r="N153" s="95">
        <f t="shared" ref="N153:N209" si="29">M153+J153</f>
        <v>8549504.8508618549</v>
      </c>
      <c r="O153" s="95">
        <f t="shared" si="23"/>
        <v>7409909.3108618632</v>
      </c>
      <c r="P153" s="66"/>
    </row>
    <row r="154" spans="2:17" s="65" customFormat="1">
      <c r="B154" s="97">
        <v>44104</v>
      </c>
      <c r="E154" s="102">
        <f t="shared" si="27"/>
        <v>43104804.375022314</v>
      </c>
      <c r="F154" s="98">
        <f t="shared" si="20"/>
        <v>43104804.375022307</v>
      </c>
      <c r="G154" s="102">
        <f t="shared" si="24"/>
        <v>240421</v>
      </c>
      <c r="H154" s="100">
        <f t="shared" si="21"/>
        <v>-30288310</v>
      </c>
      <c r="I154" s="98">
        <f t="shared" si="22"/>
        <v>-28845784</v>
      </c>
      <c r="J154" s="98">
        <f t="shared" ref="J154:J208" si="30">F154+I154</f>
        <v>14259020.375022307</v>
      </c>
      <c r="K154" s="1210">
        <f t="shared" si="25"/>
        <v>50488.409999999996</v>
      </c>
      <c r="L154" s="100">
        <f t="shared" si="26"/>
        <v>-5596517.6541604511</v>
      </c>
      <c r="M154" s="98">
        <f t="shared" si="28"/>
        <v>-5899448.114160452</v>
      </c>
      <c r="N154" s="95">
        <f t="shared" si="29"/>
        <v>8359572.260861855</v>
      </c>
      <c r="O154" s="95">
        <f t="shared" si="23"/>
        <v>7219976.7208618633</v>
      </c>
      <c r="P154" s="66"/>
    </row>
    <row r="155" spans="2:17" s="65" customFormat="1">
      <c r="B155" s="97">
        <v>44135</v>
      </c>
      <c r="E155" s="102">
        <f t="shared" si="27"/>
        <v>43104804.375022314</v>
      </c>
      <c r="F155" s="98">
        <f t="shared" ref="F155:F208" si="31">(E143+E155+SUM(E144:E154)*2)/24</f>
        <v>43104804.375022307</v>
      </c>
      <c r="G155" s="102">
        <f t="shared" si="24"/>
        <v>240421</v>
      </c>
      <c r="H155" s="100">
        <f t="shared" si="21"/>
        <v>-30528731</v>
      </c>
      <c r="I155" s="98">
        <f t="shared" si="22"/>
        <v>-29086205</v>
      </c>
      <c r="J155" s="98">
        <f t="shared" si="30"/>
        <v>14018599.375022307</v>
      </c>
      <c r="K155" s="1210">
        <f t="shared" si="25"/>
        <v>50488.409999999996</v>
      </c>
      <c r="L155" s="100">
        <f t="shared" si="26"/>
        <v>-5546029.244160451</v>
      </c>
      <c r="M155" s="98">
        <f t="shared" si="28"/>
        <v>-5848959.7041604528</v>
      </c>
      <c r="N155" s="95">
        <f t="shared" si="29"/>
        <v>8169639.6708618542</v>
      </c>
      <c r="O155" s="95">
        <f t="shared" si="23"/>
        <v>7030044.1308618635</v>
      </c>
      <c r="P155" s="66"/>
    </row>
    <row r="156" spans="2:17" s="65" customFormat="1">
      <c r="B156" s="97">
        <v>44165</v>
      </c>
      <c r="E156" s="102">
        <f t="shared" si="27"/>
        <v>43104804.375022314</v>
      </c>
      <c r="F156" s="98">
        <f t="shared" si="31"/>
        <v>43104804.375022307</v>
      </c>
      <c r="G156" s="102">
        <f t="shared" si="24"/>
        <v>240421</v>
      </c>
      <c r="H156" s="100">
        <f t="shared" si="21"/>
        <v>-30769152</v>
      </c>
      <c r="I156" s="98">
        <f t="shared" si="22"/>
        <v>-29326626</v>
      </c>
      <c r="J156" s="98">
        <f t="shared" si="30"/>
        <v>13778178.375022307</v>
      </c>
      <c r="K156" s="1210">
        <f t="shared" si="25"/>
        <v>50488.409999999996</v>
      </c>
      <c r="L156" s="100">
        <f t="shared" si="26"/>
        <v>-5495540.8341604508</v>
      </c>
      <c r="M156" s="98">
        <f t="shared" si="28"/>
        <v>-5798471.2941604517</v>
      </c>
      <c r="N156" s="95">
        <f t="shared" si="29"/>
        <v>7979707.0808618553</v>
      </c>
      <c r="O156" s="95">
        <f t="shared" si="23"/>
        <v>6840111.5408618636</v>
      </c>
      <c r="P156" s="66"/>
    </row>
    <row r="157" spans="2:17" s="65" customFormat="1">
      <c r="B157" s="97">
        <v>44196</v>
      </c>
      <c r="E157" s="102">
        <f t="shared" si="27"/>
        <v>43104804.375022314</v>
      </c>
      <c r="F157" s="98">
        <f t="shared" si="31"/>
        <v>43104804.375022307</v>
      </c>
      <c r="G157" s="102">
        <f t="shared" si="24"/>
        <v>240421</v>
      </c>
      <c r="H157" s="100">
        <f t="shared" si="21"/>
        <v>-31009573</v>
      </c>
      <c r="I157" s="98">
        <f t="shared" si="22"/>
        <v>-29567047</v>
      </c>
      <c r="J157" s="98">
        <f t="shared" si="30"/>
        <v>13537757.375022307</v>
      </c>
      <c r="K157" s="1210">
        <f t="shared" si="25"/>
        <v>50488.409999999996</v>
      </c>
      <c r="L157" s="100">
        <f t="shared" si="26"/>
        <v>-5445052.4241604507</v>
      </c>
      <c r="M157" s="98">
        <f t="shared" si="28"/>
        <v>-5747982.8841604516</v>
      </c>
      <c r="N157" s="95">
        <f t="shared" si="29"/>
        <v>7789774.4908618554</v>
      </c>
      <c r="O157" s="95">
        <f t="shared" si="23"/>
        <v>6650178.9508618638</v>
      </c>
      <c r="P157" s="66"/>
    </row>
    <row r="158" spans="2:17" s="65" customFormat="1" hidden="1" outlineLevel="1">
      <c r="B158" s="97">
        <v>44227</v>
      </c>
      <c r="E158" s="102">
        <f t="shared" si="27"/>
        <v>43104804.375022314</v>
      </c>
      <c r="F158" s="98">
        <f t="shared" si="31"/>
        <v>43104804.375022307</v>
      </c>
      <c r="G158" s="102">
        <f t="shared" si="24"/>
        <v>240421</v>
      </c>
      <c r="H158" s="100">
        <f t="shared" si="21"/>
        <v>-31249994</v>
      </c>
      <c r="I158" s="98">
        <f t="shared" si="22"/>
        <v>-29807468</v>
      </c>
      <c r="J158" s="98">
        <f t="shared" si="30"/>
        <v>13297336.375022307</v>
      </c>
      <c r="K158" s="100">
        <f t="shared" ref="K158:K205" si="32">(-D158*0.35)+(G158*0.35)</f>
        <v>84147.349999999991</v>
      </c>
      <c r="L158" s="100">
        <f t="shared" si="26"/>
        <v>-5360905.0741604511</v>
      </c>
      <c r="M158" s="98">
        <f t="shared" si="28"/>
        <v>-5696092.0183271179</v>
      </c>
      <c r="N158" s="95">
        <f t="shared" si="29"/>
        <v>7601244.3566951891</v>
      </c>
      <c r="O158" s="95">
        <f t="shared" si="23"/>
        <v>6493905.3008618634</v>
      </c>
      <c r="P158" s="66"/>
    </row>
    <row r="159" spans="2:17" s="65" customFormat="1" hidden="1" outlineLevel="1">
      <c r="B159" s="97">
        <v>44255</v>
      </c>
      <c r="E159" s="102">
        <f t="shared" si="27"/>
        <v>43104804.375022314</v>
      </c>
      <c r="F159" s="98">
        <f t="shared" si="31"/>
        <v>43104804.375022307</v>
      </c>
      <c r="G159" s="102">
        <f t="shared" si="24"/>
        <v>240421</v>
      </c>
      <c r="H159" s="100">
        <f t="shared" ref="H159:H207" si="33">H158-G159</f>
        <v>-31490415</v>
      </c>
      <c r="I159" s="98">
        <f t="shared" ref="I159:I207" si="34">(H147+H159+SUM(H148:H158)*2)/24</f>
        <v>-30047889</v>
      </c>
      <c r="J159" s="98">
        <f t="shared" si="30"/>
        <v>13056915.375022307</v>
      </c>
      <c r="K159" s="100">
        <f t="shared" si="32"/>
        <v>84147.349999999991</v>
      </c>
      <c r="L159" s="100">
        <f t="shared" si="26"/>
        <v>-5276757.7241604514</v>
      </c>
      <c r="M159" s="98">
        <f t="shared" si="28"/>
        <v>-5641396.240827118</v>
      </c>
      <c r="N159" s="95">
        <f t="shared" si="29"/>
        <v>7415519.134195189</v>
      </c>
      <c r="O159" s="95">
        <f t="shared" si="23"/>
        <v>6337631.650861863</v>
      </c>
      <c r="P159" s="66"/>
    </row>
    <row r="160" spans="2:17" s="65" customFormat="1" hidden="1" outlineLevel="1">
      <c r="B160" s="105">
        <v>44286</v>
      </c>
      <c r="E160" s="102">
        <f t="shared" si="27"/>
        <v>43104804.375022314</v>
      </c>
      <c r="F160" s="98">
        <f t="shared" si="31"/>
        <v>43104804.375022307</v>
      </c>
      <c r="G160" s="102">
        <f t="shared" si="24"/>
        <v>240421</v>
      </c>
      <c r="H160" s="100">
        <f t="shared" si="33"/>
        <v>-31730836</v>
      </c>
      <c r="I160" s="98">
        <f t="shared" si="34"/>
        <v>-30288310</v>
      </c>
      <c r="J160" s="98">
        <f t="shared" si="30"/>
        <v>12816494.375022307</v>
      </c>
      <c r="K160" s="100">
        <f t="shared" si="32"/>
        <v>84147.349999999991</v>
      </c>
      <c r="L160" s="100">
        <f t="shared" si="26"/>
        <v>-5192610.3741604518</v>
      </c>
      <c r="M160" s="98">
        <f t="shared" si="28"/>
        <v>-5583895.5516604511</v>
      </c>
      <c r="N160" s="95">
        <f t="shared" si="29"/>
        <v>7232598.8233618559</v>
      </c>
      <c r="O160" s="95">
        <f t="shared" si="23"/>
        <v>6181358.0008618627</v>
      </c>
      <c r="P160" s="66"/>
    </row>
    <row r="161" spans="2:16" s="65" customFormat="1" hidden="1" outlineLevel="1">
      <c r="B161" s="97">
        <v>44316</v>
      </c>
      <c r="E161" s="102">
        <f t="shared" si="27"/>
        <v>43104804.375022314</v>
      </c>
      <c r="F161" s="98">
        <f t="shared" si="31"/>
        <v>43104804.375022307</v>
      </c>
      <c r="G161" s="102">
        <f t="shared" si="24"/>
        <v>240421</v>
      </c>
      <c r="H161" s="100">
        <f t="shared" si="33"/>
        <v>-31971257</v>
      </c>
      <c r="I161" s="98">
        <f t="shared" si="34"/>
        <v>-30528731</v>
      </c>
      <c r="J161" s="98">
        <f t="shared" si="30"/>
        <v>12576073.375022307</v>
      </c>
      <c r="K161" s="100">
        <f t="shared" si="32"/>
        <v>84147.349999999991</v>
      </c>
      <c r="L161" s="100">
        <f t="shared" si="26"/>
        <v>-5108463.0241604522</v>
      </c>
      <c r="M161" s="98">
        <f t="shared" si="28"/>
        <v>-5523589.950827118</v>
      </c>
      <c r="N161" s="95">
        <f t="shared" si="29"/>
        <v>7052483.424195189</v>
      </c>
      <c r="O161" s="95">
        <f t="shared" si="23"/>
        <v>6025084.3508618623</v>
      </c>
      <c r="P161" s="66"/>
    </row>
    <row r="162" spans="2:16" s="65" customFormat="1" hidden="1" outlineLevel="1">
      <c r="B162" s="97">
        <v>44347</v>
      </c>
      <c r="E162" s="102">
        <f t="shared" si="27"/>
        <v>43104804.375022314</v>
      </c>
      <c r="F162" s="98">
        <f t="shared" si="31"/>
        <v>43104804.375022307</v>
      </c>
      <c r="G162" s="102">
        <f t="shared" si="24"/>
        <v>240421</v>
      </c>
      <c r="H162" s="100">
        <f t="shared" si="33"/>
        <v>-32211678</v>
      </c>
      <c r="I162" s="98">
        <f t="shared" si="34"/>
        <v>-30769152</v>
      </c>
      <c r="J162" s="98">
        <f t="shared" si="30"/>
        <v>12335652.375022307</v>
      </c>
      <c r="K162" s="100">
        <f t="shared" si="32"/>
        <v>84147.349999999991</v>
      </c>
      <c r="L162" s="100">
        <f t="shared" si="26"/>
        <v>-5024315.6741604526</v>
      </c>
      <c r="M162" s="98">
        <f t="shared" si="28"/>
        <v>-5460479.4383271178</v>
      </c>
      <c r="N162" s="95">
        <f t="shared" si="29"/>
        <v>6875172.9366951892</v>
      </c>
      <c r="O162" s="95">
        <f t="shared" si="23"/>
        <v>5868810.7008618619</v>
      </c>
      <c r="P162" s="66"/>
    </row>
    <row r="163" spans="2:16" s="65" customFormat="1" hidden="1" outlineLevel="1">
      <c r="B163" s="97">
        <v>44377</v>
      </c>
      <c r="E163" s="102">
        <f t="shared" si="27"/>
        <v>43104804.375022314</v>
      </c>
      <c r="F163" s="98">
        <f t="shared" si="31"/>
        <v>43104804.375022307</v>
      </c>
      <c r="G163" s="102">
        <f t="shared" si="24"/>
        <v>240421</v>
      </c>
      <c r="H163" s="100">
        <f t="shared" si="33"/>
        <v>-32452099</v>
      </c>
      <c r="I163" s="98">
        <f t="shared" si="34"/>
        <v>-31009573</v>
      </c>
      <c r="J163" s="98">
        <f t="shared" si="30"/>
        <v>12095231.375022307</v>
      </c>
      <c r="K163" s="100">
        <f t="shared" si="32"/>
        <v>84147.349999999991</v>
      </c>
      <c r="L163" s="100">
        <f t="shared" si="26"/>
        <v>-4940168.3241604529</v>
      </c>
      <c r="M163" s="98">
        <f t="shared" si="28"/>
        <v>-5394564.0141604515</v>
      </c>
      <c r="N163" s="95">
        <f t="shared" si="29"/>
        <v>6700667.3608618556</v>
      </c>
      <c r="O163" s="95">
        <f t="shared" si="23"/>
        <v>5712537.0508618616</v>
      </c>
      <c r="P163" s="66"/>
    </row>
    <row r="164" spans="2:16" s="65" customFormat="1" hidden="1" outlineLevel="1">
      <c r="B164" s="97">
        <v>44408</v>
      </c>
      <c r="E164" s="102">
        <f t="shared" si="27"/>
        <v>43104804.375022314</v>
      </c>
      <c r="F164" s="98">
        <f t="shared" si="31"/>
        <v>43104804.375022307</v>
      </c>
      <c r="G164" s="102">
        <f t="shared" si="24"/>
        <v>240421</v>
      </c>
      <c r="H164" s="100">
        <f t="shared" si="33"/>
        <v>-32692520</v>
      </c>
      <c r="I164" s="98">
        <f t="shared" si="34"/>
        <v>-31249994</v>
      </c>
      <c r="J164" s="98">
        <f t="shared" si="30"/>
        <v>11854810.375022307</v>
      </c>
      <c r="K164" s="100">
        <f t="shared" si="32"/>
        <v>84147.349999999991</v>
      </c>
      <c r="L164" s="100">
        <f t="shared" si="26"/>
        <v>-4856020.9741604533</v>
      </c>
      <c r="M164" s="98">
        <f t="shared" si="28"/>
        <v>-5325843.678327118</v>
      </c>
      <c r="N164" s="95">
        <f t="shared" si="29"/>
        <v>6528966.696695189</v>
      </c>
      <c r="O164" s="95">
        <f t="shared" si="23"/>
        <v>5556263.4008618612</v>
      </c>
      <c r="P164" s="66"/>
    </row>
    <row r="165" spans="2:16" s="65" customFormat="1" hidden="1" outlineLevel="1">
      <c r="B165" s="97">
        <v>44439</v>
      </c>
      <c r="E165" s="102">
        <f t="shared" si="27"/>
        <v>43104804.375022314</v>
      </c>
      <c r="F165" s="98">
        <f t="shared" si="31"/>
        <v>43104804.375022307</v>
      </c>
      <c r="G165" s="102">
        <f t="shared" si="24"/>
        <v>240421</v>
      </c>
      <c r="H165" s="100">
        <f t="shared" si="33"/>
        <v>-32932941</v>
      </c>
      <c r="I165" s="98">
        <f t="shared" si="34"/>
        <v>-31490415</v>
      </c>
      <c r="J165" s="98">
        <f t="shared" si="30"/>
        <v>11614389.375022307</v>
      </c>
      <c r="K165" s="100">
        <f t="shared" si="32"/>
        <v>84147.349999999991</v>
      </c>
      <c r="L165" s="100">
        <f t="shared" si="26"/>
        <v>-4771873.6241604537</v>
      </c>
      <c r="M165" s="98">
        <f t="shared" si="28"/>
        <v>-5254318.4308271175</v>
      </c>
      <c r="N165" s="95">
        <f t="shared" si="29"/>
        <v>6360070.9441951895</v>
      </c>
      <c r="O165" s="95">
        <f t="shared" si="23"/>
        <v>5399989.7508618608</v>
      </c>
      <c r="P165" s="66"/>
    </row>
    <row r="166" spans="2:16" s="65" customFormat="1" hidden="1" outlineLevel="1">
      <c r="B166" s="97">
        <v>44469</v>
      </c>
      <c r="E166" s="102">
        <f t="shared" si="27"/>
        <v>43104804.375022314</v>
      </c>
      <c r="F166" s="98">
        <f t="shared" si="31"/>
        <v>43104804.375022307</v>
      </c>
      <c r="G166" s="102">
        <f t="shared" si="24"/>
        <v>240421</v>
      </c>
      <c r="H166" s="100">
        <f t="shared" si="33"/>
        <v>-33173362</v>
      </c>
      <c r="I166" s="98">
        <f t="shared" si="34"/>
        <v>-31730836</v>
      </c>
      <c r="J166" s="98">
        <f t="shared" si="30"/>
        <v>11373968.375022307</v>
      </c>
      <c r="K166" s="100">
        <f t="shared" si="32"/>
        <v>84147.349999999991</v>
      </c>
      <c r="L166" s="100">
        <f t="shared" si="26"/>
        <v>-4687726.274160454</v>
      </c>
      <c r="M166" s="98">
        <f t="shared" si="28"/>
        <v>-5179988.2716604518</v>
      </c>
      <c r="N166" s="95">
        <f t="shared" si="29"/>
        <v>6193980.1033618553</v>
      </c>
      <c r="O166" s="95">
        <f t="shared" si="23"/>
        <v>5243716.1008618604</v>
      </c>
      <c r="P166" s="66"/>
    </row>
    <row r="167" spans="2:16" s="65" customFormat="1" hidden="1" outlineLevel="1">
      <c r="B167" s="97">
        <v>44500</v>
      </c>
      <c r="E167" s="102">
        <f t="shared" si="27"/>
        <v>43104804.375022314</v>
      </c>
      <c r="F167" s="98">
        <f t="shared" si="31"/>
        <v>43104804.375022307</v>
      </c>
      <c r="G167" s="102">
        <f t="shared" si="24"/>
        <v>240421</v>
      </c>
      <c r="H167" s="100">
        <f t="shared" si="33"/>
        <v>-33413783</v>
      </c>
      <c r="I167" s="98">
        <f t="shared" si="34"/>
        <v>-31971257</v>
      </c>
      <c r="J167" s="98">
        <f t="shared" si="30"/>
        <v>11133547.375022307</v>
      </c>
      <c r="K167" s="100">
        <f t="shared" si="32"/>
        <v>84147.349999999991</v>
      </c>
      <c r="L167" s="100">
        <f t="shared" si="26"/>
        <v>-4603578.9241604544</v>
      </c>
      <c r="M167" s="98">
        <f t="shared" si="28"/>
        <v>-5102853.2008271189</v>
      </c>
      <c r="N167" s="95">
        <f t="shared" si="29"/>
        <v>6030694.1741951881</v>
      </c>
      <c r="O167" s="95">
        <f t="shared" si="23"/>
        <v>5087442.4508618601</v>
      </c>
      <c r="P167" s="66"/>
    </row>
    <row r="168" spans="2:16" s="65" customFormat="1" hidden="1" outlineLevel="1">
      <c r="B168" s="97">
        <v>44530</v>
      </c>
      <c r="E168" s="102">
        <f t="shared" si="27"/>
        <v>43104804.375022314</v>
      </c>
      <c r="F168" s="98">
        <f t="shared" si="31"/>
        <v>43104804.375022307</v>
      </c>
      <c r="G168" s="102">
        <f t="shared" si="24"/>
        <v>240421</v>
      </c>
      <c r="H168" s="100">
        <f t="shared" si="33"/>
        <v>-33654204</v>
      </c>
      <c r="I168" s="98">
        <f t="shared" si="34"/>
        <v>-32211678</v>
      </c>
      <c r="J168" s="98">
        <f t="shared" si="30"/>
        <v>10893126.375022307</v>
      </c>
      <c r="K168" s="100">
        <f t="shared" si="32"/>
        <v>84147.349999999991</v>
      </c>
      <c r="L168" s="100">
        <f t="shared" si="26"/>
        <v>-4519431.5741604548</v>
      </c>
      <c r="M168" s="98">
        <f t="shared" si="28"/>
        <v>-5022913.218327119</v>
      </c>
      <c r="N168" s="95">
        <f t="shared" si="29"/>
        <v>5870213.156695188</v>
      </c>
      <c r="O168" s="95">
        <f t="shared" si="23"/>
        <v>4931168.8008618597</v>
      </c>
      <c r="P168" s="66"/>
    </row>
    <row r="169" spans="2:16" s="65" customFormat="1" hidden="1" outlineLevel="1">
      <c r="B169" s="97">
        <v>44561</v>
      </c>
      <c r="E169" s="102">
        <f t="shared" si="27"/>
        <v>43104804.375022314</v>
      </c>
      <c r="F169" s="98">
        <f t="shared" si="31"/>
        <v>43104804.375022307</v>
      </c>
      <c r="G169" s="102">
        <f t="shared" si="24"/>
        <v>240421</v>
      </c>
      <c r="H169" s="100">
        <f t="shared" si="33"/>
        <v>-33894625</v>
      </c>
      <c r="I169" s="98">
        <f t="shared" si="34"/>
        <v>-32452099</v>
      </c>
      <c r="J169" s="98">
        <f t="shared" si="30"/>
        <v>10652705.375022307</v>
      </c>
      <c r="K169" s="100">
        <f t="shared" si="32"/>
        <v>84147.349999999991</v>
      </c>
      <c r="L169" s="100">
        <f t="shared" si="26"/>
        <v>-4435284.2241604552</v>
      </c>
      <c r="M169" s="98">
        <f t="shared" si="28"/>
        <v>-4940168.3241604529</v>
      </c>
      <c r="N169" s="95">
        <f t="shared" si="29"/>
        <v>5712537.0508618541</v>
      </c>
      <c r="O169" s="95">
        <f t="shared" si="23"/>
        <v>4774895.1508618593</v>
      </c>
      <c r="P169" s="66"/>
    </row>
    <row r="170" spans="2:16" s="65" customFormat="1" hidden="1" outlineLevel="1">
      <c r="B170" s="97">
        <v>44592</v>
      </c>
      <c r="E170" s="102">
        <f t="shared" si="27"/>
        <v>43104804.375022314</v>
      </c>
      <c r="F170" s="98">
        <f t="shared" si="31"/>
        <v>43104804.375022307</v>
      </c>
      <c r="G170" s="102">
        <f t="shared" si="24"/>
        <v>240421</v>
      </c>
      <c r="H170" s="100">
        <f t="shared" si="33"/>
        <v>-34135046</v>
      </c>
      <c r="I170" s="98">
        <f t="shared" si="34"/>
        <v>-32692520</v>
      </c>
      <c r="J170" s="98">
        <f t="shared" si="30"/>
        <v>10412284.375022307</v>
      </c>
      <c r="K170" s="100">
        <f t="shared" si="32"/>
        <v>84147.349999999991</v>
      </c>
      <c r="L170" s="100">
        <f t="shared" si="26"/>
        <v>-4351136.8741604555</v>
      </c>
      <c r="M170" s="98">
        <f t="shared" si="28"/>
        <v>-4856020.9741604542</v>
      </c>
      <c r="N170" s="95">
        <f t="shared" si="29"/>
        <v>5556263.4008618528</v>
      </c>
      <c r="O170" s="95">
        <f t="shared" si="23"/>
        <v>4618621.5008618589</v>
      </c>
      <c r="P170" s="66"/>
    </row>
    <row r="171" spans="2:16" s="65" customFormat="1" hidden="1" outlineLevel="1">
      <c r="B171" s="97">
        <v>44620</v>
      </c>
      <c r="E171" s="102">
        <f t="shared" si="27"/>
        <v>43104804.375022314</v>
      </c>
      <c r="F171" s="98">
        <f t="shared" si="31"/>
        <v>43104804.375022307</v>
      </c>
      <c r="G171" s="102">
        <f t="shared" si="24"/>
        <v>240421</v>
      </c>
      <c r="H171" s="100">
        <f t="shared" si="33"/>
        <v>-34375467</v>
      </c>
      <c r="I171" s="98">
        <f t="shared" si="34"/>
        <v>-32932941</v>
      </c>
      <c r="J171" s="98">
        <f t="shared" si="30"/>
        <v>10171863.375022307</v>
      </c>
      <c r="K171" s="100">
        <f t="shared" si="32"/>
        <v>84147.349999999991</v>
      </c>
      <c r="L171" s="100">
        <f t="shared" si="26"/>
        <v>-4266989.5241604559</v>
      </c>
      <c r="M171" s="98">
        <f t="shared" si="28"/>
        <v>-4771873.6241604527</v>
      </c>
      <c r="N171" s="95">
        <f t="shared" si="29"/>
        <v>5399989.7508618543</v>
      </c>
      <c r="O171" s="95">
        <f t="shared" si="23"/>
        <v>4462347.8508618586</v>
      </c>
      <c r="P171" s="66"/>
    </row>
    <row r="172" spans="2:16" s="65" customFormat="1" hidden="1" outlineLevel="1">
      <c r="B172" s="105">
        <v>44651</v>
      </c>
      <c r="E172" s="102">
        <f t="shared" si="27"/>
        <v>43104804.375022314</v>
      </c>
      <c r="F172" s="98">
        <f t="shared" si="31"/>
        <v>43104804.375022307</v>
      </c>
      <c r="G172" s="102">
        <f t="shared" si="24"/>
        <v>240421</v>
      </c>
      <c r="H172" s="100">
        <f t="shared" si="33"/>
        <v>-34615888</v>
      </c>
      <c r="I172" s="98">
        <f t="shared" si="34"/>
        <v>-33173362</v>
      </c>
      <c r="J172" s="98">
        <f t="shared" si="30"/>
        <v>9931442.375022307</v>
      </c>
      <c r="K172" s="100">
        <f t="shared" si="32"/>
        <v>84147.349999999991</v>
      </c>
      <c r="L172" s="100">
        <f t="shared" si="26"/>
        <v>-4182842.1741604558</v>
      </c>
      <c r="M172" s="98">
        <f t="shared" si="28"/>
        <v>-4687726.274160454</v>
      </c>
      <c r="N172" s="95">
        <f t="shared" si="29"/>
        <v>5243716.100861853</v>
      </c>
      <c r="O172" s="95">
        <f t="shared" si="23"/>
        <v>4306074.2008618582</v>
      </c>
      <c r="P172" s="66"/>
    </row>
    <row r="173" spans="2:16" s="65" customFormat="1" hidden="1" outlineLevel="1">
      <c r="B173" s="97">
        <v>44681</v>
      </c>
      <c r="E173" s="102">
        <f t="shared" si="27"/>
        <v>43104804.375022314</v>
      </c>
      <c r="F173" s="98">
        <f t="shared" si="31"/>
        <v>43104804.375022307</v>
      </c>
      <c r="G173" s="102">
        <f t="shared" si="24"/>
        <v>240421</v>
      </c>
      <c r="H173" s="100">
        <f t="shared" si="33"/>
        <v>-34856309</v>
      </c>
      <c r="I173" s="98">
        <f t="shared" si="34"/>
        <v>-33413783</v>
      </c>
      <c r="J173" s="98">
        <f t="shared" si="30"/>
        <v>9691021.375022307</v>
      </c>
      <c r="K173" s="100">
        <f t="shared" si="32"/>
        <v>84147.349999999991</v>
      </c>
      <c r="L173" s="100">
        <f t="shared" si="26"/>
        <v>-4098694.8241604557</v>
      </c>
      <c r="M173" s="98">
        <f t="shared" si="28"/>
        <v>-4603578.9241604544</v>
      </c>
      <c r="N173" s="95">
        <f t="shared" si="29"/>
        <v>5087442.4508618526</v>
      </c>
      <c r="O173" s="95">
        <f t="shared" si="23"/>
        <v>4149800.5508618588</v>
      </c>
      <c r="P173" s="66"/>
    </row>
    <row r="174" spans="2:16" s="65" customFormat="1" hidden="1" outlineLevel="1">
      <c r="B174" s="97">
        <v>44712</v>
      </c>
      <c r="E174" s="102">
        <f t="shared" si="27"/>
        <v>43104804.375022314</v>
      </c>
      <c r="F174" s="98">
        <f t="shared" si="31"/>
        <v>43104804.375022307</v>
      </c>
      <c r="G174" s="102">
        <f t="shared" si="24"/>
        <v>240421</v>
      </c>
      <c r="H174" s="100">
        <f t="shared" si="33"/>
        <v>-35096730</v>
      </c>
      <c r="I174" s="98">
        <f t="shared" si="34"/>
        <v>-33654204</v>
      </c>
      <c r="J174" s="98">
        <f t="shared" si="30"/>
        <v>9450600.375022307</v>
      </c>
      <c r="K174" s="100">
        <f t="shared" si="32"/>
        <v>84147.349999999991</v>
      </c>
      <c r="L174" s="100">
        <f t="shared" si="26"/>
        <v>-4014547.4741604556</v>
      </c>
      <c r="M174" s="98">
        <f t="shared" si="28"/>
        <v>-4519431.5741604548</v>
      </c>
      <c r="N174" s="95">
        <f t="shared" si="29"/>
        <v>4931168.8008618522</v>
      </c>
      <c r="O174" s="95">
        <f t="shared" si="23"/>
        <v>3993526.9008618589</v>
      </c>
      <c r="P174" s="66"/>
    </row>
    <row r="175" spans="2:16" s="65" customFormat="1" hidden="1" outlineLevel="1">
      <c r="B175" s="97">
        <v>44742</v>
      </c>
      <c r="E175" s="102">
        <f t="shared" si="27"/>
        <v>43104804.375022314</v>
      </c>
      <c r="F175" s="98">
        <f t="shared" si="31"/>
        <v>43104804.375022307</v>
      </c>
      <c r="G175" s="102">
        <f t="shared" si="24"/>
        <v>240421</v>
      </c>
      <c r="H175" s="100">
        <f t="shared" si="33"/>
        <v>-35337151</v>
      </c>
      <c r="I175" s="98">
        <f t="shared" si="34"/>
        <v>-33894625</v>
      </c>
      <c r="J175" s="98">
        <f t="shared" si="30"/>
        <v>9210179.375022307</v>
      </c>
      <c r="K175" s="100">
        <f t="shared" si="32"/>
        <v>84147.349999999991</v>
      </c>
      <c r="L175" s="100">
        <f t="shared" si="26"/>
        <v>-3930400.1241604555</v>
      </c>
      <c r="M175" s="98">
        <f t="shared" si="28"/>
        <v>-4435284.2241604542</v>
      </c>
      <c r="N175" s="95">
        <f t="shared" si="29"/>
        <v>4774895.1508618528</v>
      </c>
      <c r="O175" s="95">
        <f t="shared" si="23"/>
        <v>3837253.2508618589</v>
      </c>
      <c r="P175" s="66"/>
    </row>
    <row r="176" spans="2:16" s="65" customFormat="1" hidden="1" outlineLevel="1">
      <c r="B176" s="97">
        <v>44773</v>
      </c>
      <c r="E176" s="102">
        <f t="shared" si="27"/>
        <v>43104804.375022314</v>
      </c>
      <c r="F176" s="98">
        <f t="shared" si="31"/>
        <v>43104804.375022307</v>
      </c>
      <c r="G176" s="102">
        <f t="shared" si="24"/>
        <v>240421</v>
      </c>
      <c r="H176" s="100">
        <f t="shared" si="33"/>
        <v>-35577572</v>
      </c>
      <c r="I176" s="98">
        <f t="shared" si="34"/>
        <v>-34135046</v>
      </c>
      <c r="J176" s="98">
        <f t="shared" si="30"/>
        <v>8969758.375022307</v>
      </c>
      <c r="K176" s="100">
        <f t="shared" si="32"/>
        <v>84147.349999999991</v>
      </c>
      <c r="L176" s="100">
        <f t="shared" si="26"/>
        <v>-3846252.7741604554</v>
      </c>
      <c r="M176" s="98">
        <f t="shared" si="28"/>
        <v>-4351136.8741604546</v>
      </c>
      <c r="N176" s="95">
        <f t="shared" si="29"/>
        <v>4618621.5008618524</v>
      </c>
      <c r="O176" s="95">
        <f t="shared" si="23"/>
        <v>3680979.600861859</v>
      </c>
      <c r="P176" s="66"/>
    </row>
    <row r="177" spans="2:16" s="65" customFormat="1" hidden="1" outlineLevel="1">
      <c r="B177" s="97">
        <v>44804</v>
      </c>
      <c r="E177" s="102">
        <f t="shared" si="27"/>
        <v>43104804.375022314</v>
      </c>
      <c r="F177" s="98">
        <f t="shared" si="31"/>
        <v>43104804.375022307</v>
      </c>
      <c r="G177" s="102">
        <f t="shared" si="24"/>
        <v>240421</v>
      </c>
      <c r="H177" s="100">
        <f t="shared" si="33"/>
        <v>-35817993</v>
      </c>
      <c r="I177" s="98">
        <f t="shared" si="34"/>
        <v>-34375467</v>
      </c>
      <c r="J177" s="98">
        <f t="shared" si="30"/>
        <v>8729337.375022307</v>
      </c>
      <c r="K177" s="100">
        <f t="shared" si="32"/>
        <v>84147.349999999991</v>
      </c>
      <c r="L177" s="100">
        <f t="shared" si="26"/>
        <v>-3762105.4241604554</v>
      </c>
      <c r="M177" s="98">
        <f t="shared" si="28"/>
        <v>-4266989.524160455</v>
      </c>
      <c r="N177" s="95">
        <f t="shared" si="29"/>
        <v>4462347.8508618521</v>
      </c>
      <c r="O177" s="95">
        <f t="shared" si="23"/>
        <v>3524705.9508618591</v>
      </c>
      <c r="P177" s="66"/>
    </row>
    <row r="178" spans="2:16" s="65" customFormat="1" hidden="1" outlineLevel="1">
      <c r="B178" s="97">
        <v>44834</v>
      </c>
      <c r="E178" s="102">
        <f t="shared" si="27"/>
        <v>43104804.375022314</v>
      </c>
      <c r="F178" s="98">
        <f t="shared" si="31"/>
        <v>43104804.375022307</v>
      </c>
      <c r="G178" s="102">
        <f t="shared" si="24"/>
        <v>240421</v>
      </c>
      <c r="H178" s="100">
        <f t="shared" si="33"/>
        <v>-36058414</v>
      </c>
      <c r="I178" s="98">
        <f t="shared" si="34"/>
        <v>-34615888</v>
      </c>
      <c r="J178" s="98">
        <f t="shared" si="30"/>
        <v>8488916.375022307</v>
      </c>
      <c r="K178" s="100">
        <f t="shared" si="32"/>
        <v>84147.349999999991</v>
      </c>
      <c r="L178" s="100">
        <f t="shared" si="26"/>
        <v>-3677958.0741604553</v>
      </c>
      <c r="M178" s="98">
        <f t="shared" si="28"/>
        <v>-4182842.1741604558</v>
      </c>
      <c r="N178" s="95">
        <f t="shared" si="29"/>
        <v>4306074.2008618508</v>
      </c>
      <c r="O178" s="95">
        <f t="shared" si="23"/>
        <v>3368432.3008618592</v>
      </c>
      <c r="P178" s="66"/>
    </row>
    <row r="179" spans="2:16" s="65" customFormat="1" hidden="1" outlineLevel="1">
      <c r="B179" s="97">
        <v>44865</v>
      </c>
      <c r="E179" s="102">
        <f t="shared" si="27"/>
        <v>43104804.375022314</v>
      </c>
      <c r="F179" s="98">
        <f t="shared" si="31"/>
        <v>43104804.375022307</v>
      </c>
      <c r="G179" s="102">
        <f t="shared" si="24"/>
        <v>240421</v>
      </c>
      <c r="H179" s="100">
        <f t="shared" si="33"/>
        <v>-36298835</v>
      </c>
      <c r="I179" s="98">
        <f t="shared" si="34"/>
        <v>-34856309</v>
      </c>
      <c r="J179" s="98">
        <f t="shared" si="30"/>
        <v>8248495.375022307</v>
      </c>
      <c r="K179" s="100">
        <f t="shared" si="32"/>
        <v>84147.349999999991</v>
      </c>
      <c r="L179" s="100">
        <f t="shared" si="26"/>
        <v>-3593810.7241604552</v>
      </c>
      <c r="M179" s="98">
        <f t="shared" si="28"/>
        <v>-4098694.8241604553</v>
      </c>
      <c r="N179" s="95">
        <f t="shared" si="29"/>
        <v>4149800.5508618518</v>
      </c>
      <c r="O179" s="95">
        <f t="shared" ref="O179:O220" si="35">E179+H179+L179</f>
        <v>3212158.6508618593</v>
      </c>
      <c r="P179" s="66"/>
    </row>
    <row r="180" spans="2:16" s="65" customFormat="1" hidden="1" outlineLevel="1">
      <c r="B180" s="97">
        <v>44895</v>
      </c>
      <c r="E180" s="102">
        <f t="shared" si="27"/>
        <v>43104804.375022314</v>
      </c>
      <c r="F180" s="98">
        <f t="shared" si="31"/>
        <v>43104804.375022307</v>
      </c>
      <c r="G180" s="102">
        <f t="shared" si="24"/>
        <v>240421</v>
      </c>
      <c r="H180" s="100">
        <f t="shared" si="33"/>
        <v>-36539256</v>
      </c>
      <c r="I180" s="98">
        <f t="shared" si="34"/>
        <v>-35096730</v>
      </c>
      <c r="J180" s="98">
        <f t="shared" si="30"/>
        <v>8008074.375022307</v>
      </c>
      <c r="K180" s="100">
        <f t="shared" si="32"/>
        <v>84147.349999999991</v>
      </c>
      <c r="L180" s="100">
        <f t="shared" si="26"/>
        <v>-3509663.3741604551</v>
      </c>
      <c r="M180" s="98">
        <f t="shared" si="28"/>
        <v>-4014547.4741604556</v>
      </c>
      <c r="N180" s="95">
        <f t="shared" si="29"/>
        <v>3993526.9008618514</v>
      </c>
      <c r="O180" s="95">
        <f t="shared" si="35"/>
        <v>3055885.0008618594</v>
      </c>
      <c r="P180" s="66"/>
    </row>
    <row r="181" spans="2:16" s="65" customFormat="1" hidden="1" outlineLevel="1">
      <c r="B181" s="97">
        <v>44926</v>
      </c>
      <c r="E181" s="102">
        <f t="shared" si="27"/>
        <v>43104804.375022314</v>
      </c>
      <c r="F181" s="98">
        <f t="shared" si="31"/>
        <v>43104804.375022307</v>
      </c>
      <c r="G181" s="102">
        <f t="shared" si="24"/>
        <v>240421</v>
      </c>
      <c r="H181" s="100">
        <f t="shared" si="33"/>
        <v>-36779677</v>
      </c>
      <c r="I181" s="98">
        <f t="shared" si="34"/>
        <v>-35337151</v>
      </c>
      <c r="J181" s="98">
        <f t="shared" si="30"/>
        <v>7767653.375022307</v>
      </c>
      <c r="K181" s="100">
        <f t="shared" si="32"/>
        <v>84147.349999999991</v>
      </c>
      <c r="L181" s="100">
        <f t="shared" si="26"/>
        <v>-3425516.024160455</v>
      </c>
      <c r="M181" s="98">
        <f t="shared" si="28"/>
        <v>-3930400.1241604555</v>
      </c>
      <c r="N181" s="95">
        <f t="shared" si="29"/>
        <v>3837253.2508618515</v>
      </c>
      <c r="O181" s="95">
        <f t="shared" si="35"/>
        <v>2899611.3508618595</v>
      </c>
      <c r="P181" s="66"/>
    </row>
    <row r="182" spans="2:16" s="65" customFormat="1" hidden="1" outlineLevel="1">
      <c r="B182" s="97">
        <v>44957</v>
      </c>
      <c r="E182" s="102">
        <f t="shared" si="27"/>
        <v>43104804.375022314</v>
      </c>
      <c r="F182" s="98">
        <f t="shared" si="31"/>
        <v>43104804.375022307</v>
      </c>
      <c r="G182" s="102">
        <f t="shared" si="24"/>
        <v>240421</v>
      </c>
      <c r="H182" s="100">
        <f t="shared" si="33"/>
        <v>-37020098</v>
      </c>
      <c r="I182" s="98">
        <f t="shared" si="34"/>
        <v>-35577572</v>
      </c>
      <c r="J182" s="98">
        <f t="shared" si="30"/>
        <v>7527232.375022307</v>
      </c>
      <c r="K182" s="100">
        <f t="shared" si="32"/>
        <v>84147.349999999991</v>
      </c>
      <c r="L182" s="100">
        <f t="shared" si="26"/>
        <v>-3341368.6741604549</v>
      </c>
      <c r="M182" s="98">
        <f t="shared" si="28"/>
        <v>-3846252.7741604545</v>
      </c>
      <c r="N182" s="95">
        <f t="shared" si="29"/>
        <v>3680979.6008618525</v>
      </c>
      <c r="O182" s="95">
        <f t="shared" si="35"/>
        <v>2743337.7008618596</v>
      </c>
      <c r="P182" s="66"/>
    </row>
    <row r="183" spans="2:16" s="65" customFormat="1" hidden="1" outlineLevel="1">
      <c r="B183" s="97">
        <v>44985</v>
      </c>
      <c r="E183" s="102">
        <f t="shared" si="27"/>
        <v>43104804.375022314</v>
      </c>
      <c r="F183" s="98">
        <f t="shared" si="31"/>
        <v>43104804.375022307</v>
      </c>
      <c r="G183" s="102">
        <f t="shared" si="24"/>
        <v>240421</v>
      </c>
      <c r="H183" s="100">
        <f t="shared" si="33"/>
        <v>-37260519</v>
      </c>
      <c r="I183" s="98">
        <f t="shared" si="34"/>
        <v>-35817993</v>
      </c>
      <c r="J183" s="98">
        <f t="shared" si="30"/>
        <v>7286811.375022307</v>
      </c>
      <c r="K183" s="100">
        <f t="shared" si="32"/>
        <v>84147.349999999991</v>
      </c>
      <c r="L183" s="100">
        <f t="shared" si="26"/>
        <v>-3257221.3241604548</v>
      </c>
      <c r="M183" s="98">
        <f t="shared" si="28"/>
        <v>-3762105.4241604558</v>
      </c>
      <c r="N183" s="95">
        <f t="shared" si="29"/>
        <v>3524705.9508618512</v>
      </c>
      <c r="O183" s="95">
        <f t="shared" si="35"/>
        <v>2587064.0508618597</v>
      </c>
      <c r="P183" s="66"/>
    </row>
    <row r="184" spans="2:16" s="65" customFormat="1" hidden="1" outlineLevel="1">
      <c r="B184" s="105">
        <v>45016</v>
      </c>
      <c r="E184" s="102">
        <f t="shared" si="27"/>
        <v>43104804.375022314</v>
      </c>
      <c r="F184" s="98">
        <f t="shared" si="31"/>
        <v>43104804.375022307</v>
      </c>
      <c r="G184" s="102">
        <f t="shared" ref="G184:G207" si="36">G183</f>
        <v>240421</v>
      </c>
      <c r="H184" s="100">
        <f t="shared" si="33"/>
        <v>-37500940</v>
      </c>
      <c r="I184" s="98">
        <f t="shared" si="34"/>
        <v>-36058414</v>
      </c>
      <c r="J184" s="98">
        <f t="shared" si="30"/>
        <v>7046390.375022307</v>
      </c>
      <c r="K184" s="100">
        <f t="shared" si="32"/>
        <v>84147.349999999991</v>
      </c>
      <c r="L184" s="100">
        <f t="shared" si="26"/>
        <v>-3173073.9741604547</v>
      </c>
      <c r="M184" s="98">
        <f t="shared" si="28"/>
        <v>-3677958.0741604562</v>
      </c>
      <c r="N184" s="95">
        <f t="shared" si="29"/>
        <v>3368432.3008618508</v>
      </c>
      <c r="O184" s="95">
        <f t="shared" si="35"/>
        <v>2430790.4008618598</v>
      </c>
      <c r="P184" s="66"/>
    </row>
    <row r="185" spans="2:16" s="65" customFormat="1" hidden="1" outlineLevel="1">
      <c r="B185" s="97">
        <v>45046</v>
      </c>
      <c r="E185" s="102">
        <f t="shared" si="27"/>
        <v>43104804.375022314</v>
      </c>
      <c r="F185" s="98">
        <f t="shared" si="31"/>
        <v>43104804.375022307</v>
      </c>
      <c r="G185" s="102">
        <f t="shared" si="36"/>
        <v>240421</v>
      </c>
      <c r="H185" s="100">
        <f t="shared" si="33"/>
        <v>-37741361</v>
      </c>
      <c r="I185" s="98">
        <f t="shared" si="34"/>
        <v>-36298835</v>
      </c>
      <c r="J185" s="98">
        <f t="shared" si="30"/>
        <v>6805969.375022307</v>
      </c>
      <c r="K185" s="100">
        <f t="shared" si="32"/>
        <v>84147.349999999991</v>
      </c>
      <c r="L185" s="100">
        <f t="shared" si="26"/>
        <v>-3088926.6241604546</v>
      </c>
      <c r="M185" s="98">
        <f t="shared" si="28"/>
        <v>-3593810.7241604552</v>
      </c>
      <c r="N185" s="95">
        <f t="shared" si="29"/>
        <v>3212158.6508618519</v>
      </c>
      <c r="O185" s="95">
        <f t="shared" si="35"/>
        <v>2274516.7508618599</v>
      </c>
      <c r="P185" s="66"/>
    </row>
    <row r="186" spans="2:16" s="65" customFormat="1" hidden="1" outlineLevel="1">
      <c r="B186" s="97">
        <v>45077</v>
      </c>
      <c r="E186" s="102">
        <f t="shared" si="27"/>
        <v>43104804.375022314</v>
      </c>
      <c r="F186" s="98">
        <f t="shared" si="31"/>
        <v>43104804.375022307</v>
      </c>
      <c r="G186" s="102">
        <f t="shared" si="36"/>
        <v>240421</v>
      </c>
      <c r="H186" s="100">
        <f t="shared" si="33"/>
        <v>-37981782</v>
      </c>
      <c r="I186" s="98">
        <f t="shared" si="34"/>
        <v>-36539256</v>
      </c>
      <c r="J186" s="98">
        <f t="shared" si="30"/>
        <v>6565548.375022307</v>
      </c>
      <c r="K186" s="100">
        <f t="shared" si="32"/>
        <v>84147.349999999991</v>
      </c>
      <c r="L186" s="100">
        <f t="shared" si="26"/>
        <v>-3004779.2741604545</v>
      </c>
      <c r="M186" s="98">
        <f t="shared" si="28"/>
        <v>-3509663.3741604551</v>
      </c>
      <c r="N186" s="95">
        <f t="shared" si="29"/>
        <v>3055885.000861852</v>
      </c>
      <c r="O186" s="95">
        <f t="shared" si="35"/>
        <v>2118243.10086186</v>
      </c>
      <c r="P186" s="66"/>
    </row>
    <row r="187" spans="2:16" s="65" customFormat="1" hidden="1" outlineLevel="1">
      <c r="B187" s="97">
        <v>45107</v>
      </c>
      <c r="E187" s="102">
        <f t="shared" si="27"/>
        <v>43104804.375022314</v>
      </c>
      <c r="F187" s="98">
        <f t="shared" si="31"/>
        <v>43104804.375022307</v>
      </c>
      <c r="G187" s="102">
        <f t="shared" si="36"/>
        <v>240421</v>
      </c>
      <c r="H187" s="100">
        <f t="shared" si="33"/>
        <v>-38222203</v>
      </c>
      <c r="I187" s="98">
        <f t="shared" si="34"/>
        <v>-36779677</v>
      </c>
      <c r="J187" s="98">
        <f t="shared" si="30"/>
        <v>6325127.375022307</v>
      </c>
      <c r="K187" s="100">
        <f t="shared" si="32"/>
        <v>84147.349999999991</v>
      </c>
      <c r="L187" s="100">
        <f t="shared" si="26"/>
        <v>-2920631.9241604544</v>
      </c>
      <c r="M187" s="98">
        <f t="shared" si="28"/>
        <v>-3425516.0241604545</v>
      </c>
      <c r="N187" s="95">
        <f t="shared" si="29"/>
        <v>2899611.3508618525</v>
      </c>
      <c r="O187" s="95">
        <f t="shared" si="35"/>
        <v>1961969.4508618601</v>
      </c>
      <c r="P187" s="66"/>
    </row>
    <row r="188" spans="2:16" hidden="1" outlineLevel="1">
      <c r="B188" s="97">
        <v>45138</v>
      </c>
      <c r="E188" s="102">
        <f t="shared" si="27"/>
        <v>43104804.375022314</v>
      </c>
      <c r="F188" s="98">
        <f t="shared" si="31"/>
        <v>43104804.375022307</v>
      </c>
      <c r="G188" s="102">
        <f t="shared" si="36"/>
        <v>240421</v>
      </c>
      <c r="H188" s="100">
        <f t="shared" si="33"/>
        <v>-38462624</v>
      </c>
      <c r="I188" s="98">
        <f t="shared" si="34"/>
        <v>-37020098</v>
      </c>
      <c r="J188" s="98">
        <f t="shared" si="30"/>
        <v>6084706.375022307</v>
      </c>
      <c r="K188" s="100">
        <f t="shared" si="32"/>
        <v>84147.349999999991</v>
      </c>
      <c r="L188" s="100">
        <f t="shared" si="26"/>
        <v>-2836484.5741604543</v>
      </c>
      <c r="M188" s="98">
        <f t="shared" si="28"/>
        <v>-3341368.6741604549</v>
      </c>
      <c r="N188" s="95">
        <f t="shared" si="29"/>
        <v>2743337.7008618522</v>
      </c>
      <c r="O188" s="95">
        <f t="shared" si="35"/>
        <v>1805695.8008618602</v>
      </c>
    </row>
    <row r="189" spans="2:16" hidden="1" outlineLevel="1">
      <c r="B189" s="97">
        <v>45169</v>
      </c>
      <c r="E189" s="102">
        <f t="shared" si="27"/>
        <v>43104804.375022314</v>
      </c>
      <c r="F189" s="98">
        <f t="shared" si="31"/>
        <v>43104804.375022307</v>
      </c>
      <c r="G189" s="102">
        <f t="shared" si="36"/>
        <v>240421</v>
      </c>
      <c r="H189" s="100">
        <f t="shared" si="33"/>
        <v>-38703045</v>
      </c>
      <c r="I189" s="98">
        <f t="shared" si="34"/>
        <v>-37260519</v>
      </c>
      <c r="J189" s="98">
        <f t="shared" si="30"/>
        <v>5844285.375022307</v>
      </c>
      <c r="K189" s="100">
        <f t="shared" si="32"/>
        <v>84147.349999999991</v>
      </c>
      <c r="L189" s="100">
        <f t="shared" si="26"/>
        <v>-2752337.2241604542</v>
      </c>
      <c r="M189" s="98">
        <f>(L177+L189+SUM(L178:L188)*2)/24</f>
        <v>-3257221.3241604553</v>
      </c>
      <c r="N189" s="95">
        <f t="shared" si="29"/>
        <v>2587064.0508618518</v>
      </c>
      <c r="O189" s="95">
        <f t="shared" si="35"/>
        <v>1649422.1508618603</v>
      </c>
    </row>
    <row r="190" spans="2:16" hidden="1" outlineLevel="1">
      <c r="B190" s="97">
        <v>45199</v>
      </c>
      <c r="E190" s="102">
        <f t="shared" si="27"/>
        <v>43104804.375022314</v>
      </c>
      <c r="F190" s="98">
        <f t="shared" si="31"/>
        <v>43104804.375022307</v>
      </c>
      <c r="G190" s="102">
        <f t="shared" si="36"/>
        <v>240421</v>
      </c>
      <c r="H190" s="100">
        <f t="shared" si="33"/>
        <v>-38943466</v>
      </c>
      <c r="I190" s="98">
        <f t="shared" si="34"/>
        <v>-37500940</v>
      </c>
      <c r="J190" s="98">
        <f t="shared" si="30"/>
        <v>5603864.375022307</v>
      </c>
      <c r="K190" s="100">
        <f t="shared" si="32"/>
        <v>84147.349999999991</v>
      </c>
      <c r="L190" s="100">
        <f t="shared" si="26"/>
        <v>-2668189.8741604541</v>
      </c>
      <c r="M190" s="98">
        <f t="shared" si="28"/>
        <v>-3173073.9741604547</v>
      </c>
      <c r="N190" s="95">
        <f t="shared" si="29"/>
        <v>2430790.4008618523</v>
      </c>
      <c r="O190" s="95">
        <f t="shared" si="35"/>
        <v>1493148.5008618603</v>
      </c>
    </row>
    <row r="191" spans="2:16" hidden="1" outlineLevel="1">
      <c r="B191" s="97">
        <v>45230</v>
      </c>
      <c r="E191" s="102">
        <f t="shared" si="27"/>
        <v>43104804.375022314</v>
      </c>
      <c r="F191" s="98">
        <f t="shared" si="31"/>
        <v>43104804.375022307</v>
      </c>
      <c r="G191" s="102">
        <f t="shared" si="36"/>
        <v>240421</v>
      </c>
      <c r="H191" s="100">
        <f t="shared" si="33"/>
        <v>-39183887</v>
      </c>
      <c r="I191" s="98">
        <f t="shared" si="34"/>
        <v>-37741361</v>
      </c>
      <c r="J191" s="98">
        <f t="shared" si="30"/>
        <v>5363443.375022307</v>
      </c>
      <c r="K191" s="100">
        <f t="shared" si="32"/>
        <v>84147.349999999991</v>
      </c>
      <c r="L191" s="100">
        <f t="shared" si="26"/>
        <v>-2584042.524160454</v>
      </c>
      <c r="M191" s="98">
        <f t="shared" si="28"/>
        <v>-3088926.6241604551</v>
      </c>
      <c r="N191" s="95">
        <f t="shared" si="29"/>
        <v>2274516.750861852</v>
      </c>
      <c r="O191" s="95">
        <f t="shared" si="35"/>
        <v>1336874.8508618604</v>
      </c>
    </row>
    <row r="192" spans="2:16" hidden="1" outlineLevel="1">
      <c r="B192" s="97">
        <v>45260</v>
      </c>
      <c r="E192" s="102">
        <f t="shared" si="27"/>
        <v>43104804.375022314</v>
      </c>
      <c r="F192" s="98">
        <f t="shared" si="31"/>
        <v>43104804.375022307</v>
      </c>
      <c r="G192" s="102">
        <f t="shared" si="36"/>
        <v>240421</v>
      </c>
      <c r="H192" s="100">
        <f t="shared" si="33"/>
        <v>-39424308</v>
      </c>
      <c r="I192" s="98">
        <f t="shared" si="34"/>
        <v>-37981782</v>
      </c>
      <c r="J192" s="98">
        <f t="shared" si="30"/>
        <v>5123022.375022307</v>
      </c>
      <c r="K192" s="100">
        <f t="shared" si="32"/>
        <v>84147.349999999991</v>
      </c>
      <c r="L192" s="100">
        <f t="shared" si="26"/>
        <v>-2499895.174160454</v>
      </c>
      <c r="M192" s="98">
        <f t="shared" si="28"/>
        <v>-3004779.2741604545</v>
      </c>
      <c r="N192" s="95">
        <f t="shared" si="29"/>
        <v>2118243.1008618525</v>
      </c>
      <c r="O192" s="95">
        <f t="shared" si="35"/>
        <v>1180601.2008618605</v>
      </c>
    </row>
    <row r="193" spans="2:15" hidden="1" outlineLevel="1">
      <c r="B193" s="97">
        <v>45291</v>
      </c>
      <c r="E193" s="102">
        <f t="shared" si="27"/>
        <v>43104804.375022314</v>
      </c>
      <c r="F193" s="98">
        <f t="shared" si="31"/>
        <v>43104804.375022307</v>
      </c>
      <c r="G193" s="102">
        <f t="shared" si="36"/>
        <v>240421</v>
      </c>
      <c r="H193" s="100">
        <f t="shared" si="33"/>
        <v>-39664729</v>
      </c>
      <c r="I193" s="98">
        <f t="shared" si="34"/>
        <v>-38222203</v>
      </c>
      <c r="J193" s="98">
        <f t="shared" si="30"/>
        <v>4882601.375022307</v>
      </c>
      <c r="K193" s="100">
        <f t="shared" si="32"/>
        <v>84147.349999999991</v>
      </c>
      <c r="L193" s="100">
        <f t="shared" si="26"/>
        <v>-2415747.8241604539</v>
      </c>
      <c r="M193" s="98">
        <f t="shared" si="28"/>
        <v>-2920631.9241604544</v>
      </c>
      <c r="N193" s="95">
        <f t="shared" si="29"/>
        <v>1961969.4508618526</v>
      </c>
      <c r="O193" s="95">
        <f t="shared" si="35"/>
        <v>1024327.5508618606</v>
      </c>
    </row>
    <row r="194" spans="2:15" hidden="1" outlineLevel="1">
      <c r="B194" s="97">
        <v>45322</v>
      </c>
      <c r="E194" s="102">
        <f t="shared" si="27"/>
        <v>43104804.375022314</v>
      </c>
      <c r="F194" s="98">
        <f t="shared" si="31"/>
        <v>43104804.375022307</v>
      </c>
      <c r="G194" s="102">
        <f t="shared" si="36"/>
        <v>240421</v>
      </c>
      <c r="H194" s="100">
        <f t="shared" si="33"/>
        <v>-39905150</v>
      </c>
      <c r="I194" s="98">
        <f t="shared" si="34"/>
        <v>-38462624</v>
      </c>
      <c r="J194" s="98">
        <f t="shared" si="30"/>
        <v>4642180.375022307</v>
      </c>
      <c r="K194" s="100">
        <f t="shared" si="32"/>
        <v>84147.349999999991</v>
      </c>
      <c r="L194" s="100">
        <f t="shared" si="26"/>
        <v>-2331600.4741604538</v>
      </c>
      <c r="M194" s="98">
        <f t="shared" si="28"/>
        <v>-2836484.5741604548</v>
      </c>
      <c r="N194" s="95">
        <f t="shared" si="29"/>
        <v>1805695.8008618522</v>
      </c>
      <c r="O194" s="95">
        <f t="shared" si="35"/>
        <v>868053.90086186072</v>
      </c>
    </row>
    <row r="195" spans="2:15" hidden="1" outlineLevel="1">
      <c r="B195" s="97">
        <v>45350</v>
      </c>
      <c r="E195" s="102">
        <f t="shared" si="27"/>
        <v>43104804.375022314</v>
      </c>
      <c r="F195" s="98">
        <f t="shared" si="31"/>
        <v>43104804.375022307</v>
      </c>
      <c r="G195" s="102">
        <f t="shared" si="36"/>
        <v>240421</v>
      </c>
      <c r="H195" s="100">
        <f t="shared" si="33"/>
        <v>-40145571</v>
      </c>
      <c r="I195" s="98">
        <f t="shared" si="34"/>
        <v>-38703045</v>
      </c>
      <c r="J195" s="98">
        <f t="shared" si="30"/>
        <v>4401759.375022307</v>
      </c>
      <c r="K195" s="100">
        <f t="shared" si="32"/>
        <v>84147.349999999991</v>
      </c>
      <c r="L195" s="100">
        <f t="shared" si="26"/>
        <v>-2247453.1241604537</v>
      </c>
      <c r="M195" s="98">
        <f t="shared" si="28"/>
        <v>-2752337.2241604547</v>
      </c>
      <c r="N195" s="95">
        <f t="shared" si="29"/>
        <v>1649422.1508618523</v>
      </c>
      <c r="O195" s="95">
        <f t="shared" si="35"/>
        <v>711780.25086186081</v>
      </c>
    </row>
    <row r="196" spans="2:15" hidden="1" outlineLevel="1">
      <c r="B196" s="105">
        <v>45382</v>
      </c>
      <c r="E196" s="102">
        <f t="shared" si="27"/>
        <v>43104804.375022314</v>
      </c>
      <c r="F196" s="98">
        <f t="shared" si="31"/>
        <v>43104804.375022307</v>
      </c>
      <c r="G196" s="102">
        <f t="shared" si="36"/>
        <v>240421</v>
      </c>
      <c r="H196" s="100">
        <f t="shared" si="33"/>
        <v>-40385992</v>
      </c>
      <c r="I196" s="98">
        <f t="shared" si="34"/>
        <v>-38943466</v>
      </c>
      <c r="J196" s="98">
        <f t="shared" si="30"/>
        <v>4161338.375022307</v>
      </c>
      <c r="K196" s="100">
        <f t="shared" si="32"/>
        <v>84147.349999999991</v>
      </c>
      <c r="L196" s="100">
        <f t="shared" si="26"/>
        <v>-2163305.7741604536</v>
      </c>
      <c r="M196" s="98">
        <f t="shared" si="28"/>
        <v>-2668189.8741604541</v>
      </c>
      <c r="N196" s="95">
        <f t="shared" si="29"/>
        <v>1493148.5008618529</v>
      </c>
      <c r="O196" s="95">
        <f t="shared" si="35"/>
        <v>555506.6008618609</v>
      </c>
    </row>
    <row r="197" spans="2:15" hidden="1" outlineLevel="1">
      <c r="B197" s="97">
        <v>45412</v>
      </c>
      <c r="E197" s="102">
        <f t="shared" si="27"/>
        <v>43104804.375022314</v>
      </c>
      <c r="F197" s="98">
        <f t="shared" si="31"/>
        <v>43104804.375022307</v>
      </c>
      <c r="G197" s="102">
        <f t="shared" si="36"/>
        <v>240421</v>
      </c>
      <c r="H197" s="100">
        <f t="shared" si="33"/>
        <v>-40626413</v>
      </c>
      <c r="I197" s="98">
        <f t="shared" si="34"/>
        <v>-39183887</v>
      </c>
      <c r="J197" s="98">
        <f t="shared" si="30"/>
        <v>3920917.375022307</v>
      </c>
      <c r="K197" s="100">
        <f t="shared" si="32"/>
        <v>84147.349999999991</v>
      </c>
      <c r="L197" s="100">
        <f t="shared" si="26"/>
        <v>-2079158.4241604535</v>
      </c>
      <c r="M197" s="98">
        <f t="shared" si="28"/>
        <v>-2584042.524160454</v>
      </c>
      <c r="N197" s="95">
        <f t="shared" si="29"/>
        <v>1336874.850861853</v>
      </c>
      <c r="O197" s="95">
        <f t="shared" si="35"/>
        <v>399232.950861861</v>
      </c>
    </row>
    <row r="198" spans="2:15" hidden="1" outlineLevel="1">
      <c r="B198" s="97">
        <v>45443</v>
      </c>
      <c r="E198" s="102">
        <f t="shared" si="27"/>
        <v>43104804.375022314</v>
      </c>
      <c r="F198" s="98">
        <f t="shared" si="31"/>
        <v>43104804.375022307</v>
      </c>
      <c r="G198" s="102">
        <f t="shared" si="36"/>
        <v>240421</v>
      </c>
      <c r="H198" s="100">
        <f t="shared" si="33"/>
        <v>-40866834</v>
      </c>
      <c r="I198" s="98">
        <f t="shared" si="34"/>
        <v>-39424308</v>
      </c>
      <c r="J198" s="98">
        <f t="shared" si="30"/>
        <v>3680496.375022307</v>
      </c>
      <c r="K198" s="100">
        <f t="shared" si="32"/>
        <v>84147.349999999991</v>
      </c>
      <c r="L198" s="100">
        <f t="shared" si="26"/>
        <v>-1995011.0741604534</v>
      </c>
      <c r="M198" s="98">
        <f t="shared" si="28"/>
        <v>-2499895.174160454</v>
      </c>
      <c r="N198" s="95">
        <f t="shared" si="29"/>
        <v>1180601.2008618531</v>
      </c>
      <c r="O198" s="95">
        <f t="shared" si="35"/>
        <v>242959.30086186109</v>
      </c>
    </row>
    <row r="199" spans="2:15" hidden="1" outlineLevel="1">
      <c r="B199" s="97">
        <v>45473</v>
      </c>
      <c r="E199" s="102">
        <f t="shared" si="27"/>
        <v>43104804.375022314</v>
      </c>
      <c r="F199" s="98">
        <f t="shared" si="31"/>
        <v>43104804.375022307</v>
      </c>
      <c r="G199" s="102">
        <f t="shared" si="36"/>
        <v>240421</v>
      </c>
      <c r="H199" s="100">
        <f t="shared" si="33"/>
        <v>-41107255</v>
      </c>
      <c r="I199" s="98">
        <f t="shared" si="34"/>
        <v>-39664729</v>
      </c>
      <c r="J199" s="98">
        <f t="shared" si="30"/>
        <v>3440075.375022307</v>
      </c>
      <c r="K199" s="100">
        <f t="shared" si="32"/>
        <v>84147.349999999991</v>
      </c>
      <c r="L199" s="100">
        <f t="shared" si="26"/>
        <v>-1910863.7241604533</v>
      </c>
      <c r="M199" s="98">
        <f t="shared" si="28"/>
        <v>-2415747.8241604539</v>
      </c>
      <c r="N199" s="95">
        <f t="shared" si="29"/>
        <v>1024327.5508618532</v>
      </c>
      <c r="O199" s="95">
        <f t="shared" si="35"/>
        <v>86685.650861861184</v>
      </c>
    </row>
    <row r="200" spans="2:15" hidden="1" outlineLevel="1">
      <c r="B200" s="97">
        <v>45504</v>
      </c>
      <c r="E200" s="102">
        <f t="shared" si="27"/>
        <v>43104804.375022314</v>
      </c>
      <c r="F200" s="98">
        <f t="shared" si="31"/>
        <v>43104804.375022307</v>
      </c>
      <c r="G200" s="102">
        <f t="shared" si="36"/>
        <v>240421</v>
      </c>
      <c r="H200" s="100">
        <f t="shared" si="33"/>
        <v>-41347676</v>
      </c>
      <c r="I200" s="98">
        <f t="shared" si="34"/>
        <v>-39905150</v>
      </c>
      <c r="J200" s="98">
        <f t="shared" si="30"/>
        <v>3199654.375022307</v>
      </c>
      <c r="K200" s="100">
        <f t="shared" si="32"/>
        <v>84147.349999999991</v>
      </c>
      <c r="L200" s="100">
        <f t="shared" si="26"/>
        <v>-1826716.3741604532</v>
      </c>
      <c r="M200" s="98">
        <f t="shared" si="28"/>
        <v>-2331600.4741604538</v>
      </c>
      <c r="N200" s="95">
        <f t="shared" si="29"/>
        <v>868053.90086185327</v>
      </c>
      <c r="O200" s="95">
        <f t="shared" si="35"/>
        <v>-69587.999138138723</v>
      </c>
    </row>
    <row r="201" spans="2:15" hidden="1" outlineLevel="1">
      <c r="B201" s="97">
        <v>45535</v>
      </c>
      <c r="E201" s="102">
        <f t="shared" si="27"/>
        <v>43104804.375022314</v>
      </c>
      <c r="F201" s="98">
        <f t="shared" si="31"/>
        <v>43104804.375022307</v>
      </c>
      <c r="G201" s="102">
        <f t="shared" si="36"/>
        <v>240421</v>
      </c>
      <c r="H201" s="100">
        <f t="shared" si="33"/>
        <v>-41588097</v>
      </c>
      <c r="I201" s="98">
        <f t="shared" si="34"/>
        <v>-40145571</v>
      </c>
      <c r="J201" s="98">
        <f t="shared" si="30"/>
        <v>2959233.375022307</v>
      </c>
      <c r="K201" s="100">
        <f t="shared" si="32"/>
        <v>84147.349999999991</v>
      </c>
      <c r="L201" s="100">
        <f t="shared" si="26"/>
        <v>-1742569.0241604531</v>
      </c>
      <c r="M201" s="98">
        <f t="shared" si="28"/>
        <v>-2247453.1241604537</v>
      </c>
      <c r="N201" s="95">
        <f t="shared" si="29"/>
        <v>711780.25086185336</v>
      </c>
      <c r="O201" s="95">
        <f t="shared" si="35"/>
        <v>-225861.64913813863</v>
      </c>
    </row>
    <row r="202" spans="2:15" hidden="1" outlineLevel="1">
      <c r="B202" s="97">
        <v>45565</v>
      </c>
      <c r="E202" s="102">
        <f t="shared" si="27"/>
        <v>43104804.375022314</v>
      </c>
      <c r="F202" s="98">
        <f t="shared" si="31"/>
        <v>43104804.375022307</v>
      </c>
      <c r="G202" s="102">
        <f t="shared" si="36"/>
        <v>240421</v>
      </c>
      <c r="H202" s="100">
        <f t="shared" si="33"/>
        <v>-41828518</v>
      </c>
      <c r="I202" s="98">
        <f t="shared" si="34"/>
        <v>-40385992</v>
      </c>
      <c r="J202" s="98">
        <f t="shared" si="30"/>
        <v>2718812.375022307</v>
      </c>
      <c r="K202" s="100">
        <f t="shared" si="32"/>
        <v>84147.349999999991</v>
      </c>
      <c r="L202" s="100">
        <f t="shared" si="26"/>
        <v>-1658421.674160453</v>
      </c>
      <c r="M202" s="98">
        <f t="shared" si="28"/>
        <v>-2163305.7741604536</v>
      </c>
      <c r="N202" s="95">
        <f t="shared" si="29"/>
        <v>555506.60086185345</v>
      </c>
      <c r="O202" s="95">
        <f t="shared" si="35"/>
        <v>-382135.29913813854</v>
      </c>
    </row>
    <row r="203" spans="2:15" hidden="1" outlineLevel="1">
      <c r="B203" s="97">
        <v>45596</v>
      </c>
      <c r="E203" s="102">
        <f t="shared" si="27"/>
        <v>43104804.375022314</v>
      </c>
      <c r="F203" s="98">
        <f t="shared" si="31"/>
        <v>43104804.375022307</v>
      </c>
      <c r="G203" s="102">
        <f t="shared" si="36"/>
        <v>240421</v>
      </c>
      <c r="H203" s="100">
        <f t="shared" si="33"/>
        <v>-42068939</v>
      </c>
      <c r="I203" s="98">
        <f t="shared" si="34"/>
        <v>-40626413</v>
      </c>
      <c r="J203" s="98">
        <f t="shared" si="30"/>
        <v>2478391.375022307</v>
      </c>
      <c r="K203" s="100">
        <f t="shared" si="32"/>
        <v>84147.349999999991</v>
      </c>
      <c r="L203" s="100">
        <f t="shared" si="26"/>
        <v>-1574274.3241604529</v>
      </c>
      <c r="M203" s="98">
        <f t="shared" si="28"/>
        <v>-2079158.4241604537</v>
      </c>
      <c r="N203" s="95">
        <f t="shared" si="29"/>
        <v>399232.95086185331</v>
      </c>
      <c r="O203" s="95">
        <f t="shared" si="35"/>
        <v>-538408.94913813844</v>
      </c>
    </row>
    <row r="204" spans="2:15" hidden="1" outlineLevel="1">
      <c r="B204" s="97">
        <v>45626</v>
      </c>
      <c r="E204" s="102">
        <f t="shared" si="27"/>
        <v>43104804.375022314</v>
      </c>
      <c r="F204" s="98">
        <f t="shared" si="31"/>
        <v>43104804.375022307</v>
      </c>
      <c r="G204" s="102">
        <f t="shared" si="36"/>
        <v>240421</v>
      </c>
      <c r="H204" s="100">
        <f t="shared" si="33"/>
        <v>-42309360</v>
      </c>
      <c r="I204" s="98">
        <f t="shared" si="34"/>
        <v>-40866834</v>
      </c>
      <c r="J204" s="98">
        <f t="shared" si="30"/>
        <v>2237970.375022307</v>
      </c>
      <c r="K204" s="100">
        <f t="shared" si="32"/>
        <v>84147.349999999991</v>
      </c>
      <c r="L204" s="100">
        <f t="shared" si="26"/>
        <v>-1490126.9741604528</v>
      </c>
      <c r="M204" s="98">
        <f t="shared" si="28"/>
        <v>-1995011.0741604532</v>
      </c>
      <c r="N204" s="95">
        <f t="shared" si="29"/>
        <v>242959.30086185387</v>
      </c>
      <c r="O204" s="95">
        <f t="shared" si="35"/>
        <v>-694682.59913813835</v>
      </c>
    </row>
    <row r="205" spans="2:15" hidden="1" outlineLevel="1">
      <c r="B205" s="97">
        <v>45657</v>
      </c>
      <c r="E205" s="102">
        <f t="shared" si="27"/>
        <v>43104804.375022314</v>
      </c>
      <c r="F205" s="98">
        <f t="shared" si="31"/>
        <v>43104804.375022307</v>
      </c>
      <c r="G205" s="102">
        <f t="shared" si="36"/>
        <v>240421</v>
      </c>
      <c r="H205" s="100">
        <f t="shared" si="33"/>
        <v>-42549781</v>
      </c>
      <c r="I205" s="98">
        <f t="shared" si="34"/>
        <v>-41107255</v>
      </c>
      <c r="J205" s="98">
        <f t="shared" si="30"/>
        <v>1997549.375022307</v>
      </c>
      <c r="K205" s="100">
        <f t="shared" si="32"/>
        <v>84147.349999999991</v>
      </c>
      <c r="L205" s="100">
        <f>L204+K205</f>
        <v>-1405979.6241604527</v>
      </c>
      <c r="M205" s="98">
        <f t="shared" si="28"/>
        <v>-1910863.7241604533</v>
      </c>
      <c r="N205" s="95">
        <f t="shared" si="29"/>
        <v>86685.650861853734</v>
      </c>
      <c r="O205" s="95">
        <f t="shared" si="35"/>
        <v>-850956.24913813826</v>
      </c>
    </row>
    <row r="206" spans="2:15" hidden="1" outlineLevel="1">
      <c r="B206" s="97">
        <v>45688</v>
      </c>
      <c r="E206" s="102">
        <f t="shared" si="27"/>
        <v>43104804.375022314</v>
      </c>
      <c r="F206" s="98">
        <f t="shared" si="31"/>
        <v>43104804.375022307</v>
      </c>
      <c r="G206" s="102">
        <f t="shared" si="36"/>
        <v>240421</v>
      </c>
      <c r="H206" s="100">
        <f t="shared" si="33"/>
        <v>-42790202</v>
      </c>
      <c r="I206" s="98">
        <f t="shared" si="34"/>
        <v>-41347676</v>
      </c>
      <c r="J206" s="98">
        <f t="shared" si="30"/>
        <v>1757128.375022307</v>
      </c>
      <c r="K206" s="100">
        <f>(-D206*0.35)+(G206*0.35)</f>
        <v>84147.349999999991</v>
      </c>
      <c r="L206" s="100">
        <f>L205+K206</f>
        <v>-1321832.2741604527</v>
      </c>
      <c r="M206" s="98">
        <f t="shared" si="28"/>
        <v>-1826716.3741604534</v>
      </c>
      <c r="N206" s="95">
        <f t="shared" si="29"/>
        <v>-69587.999138146406</v>
      </c>
      <c r="O206" s="95">
        <f t="shared" si="35"/>
        <v>-1007229.8991381382</v>
      </c>
    </row>
    <row r="207" spans="2:15" hidden="1" outlineLevel="1">
      <c r="B207" s="97">
        <v>45716</v>
      </c>
      <c r="E207" s="102">
        <f t="shared" si="27"/>
        <v>43104804.375022314</v>
      </c>
      <c r="F207" s="98">
        <f t="shared" si="31"/>
        <v>43104804.375022307</v>
      </c>
      <c r="G207" s="102">
        <f t="shared" si="36"/>
        <v>240421</v>
      </c>
      <c r="H207" s="100">
        <f t="shared" si="33"/>
        <v>-43030623</v>
      </c>
      <c r="I207" s="98">
        <f t="shared" si="34"/>
        <v>-41588097</v>
      </c>
      <c r="J207" s="98">
        <f t="shared" si="30"/>
        <v>1516707.375022307</v>
      </c>
      <c r="K207" s="100">
        <f>(-D207*0.35)+(G207*0.35)</f>
        <v>84147.349999999991</v>
      </c>
      <c r="L207" s="100">
        <f>L206+K207</f>
        <v>-1237684.9241604526</v>
      </c>
      <c r="M207" s="98">
        <f t="shared" si="28"/>
        <v>-1742569.0241604531</v>
      </c>
      <c r="N207" s="95">
        <f t="shared" si="29"/>
        <v>-225861.64913814608</v>
      </c>
      <c r="O207" s="95">
        <f t="shared" si="35"/>
        <v>-1163503.5491381381</v>
      </c>
    </row>
    <row r="208" spans="2:15" hidden="1" outlineLevel="1">
      <c r="B208" s="105">
        <v>45747</v>
      </c>
      <c r="E208" s="102">
        <f>E207+D208</f>
        <v>43104804.375022314</v>
      </c>
      <c r="F208" s="98">
        <f t="shared" si="31"/>
        <v>43104804.375022307</v>
      </c>
      <c r="G208" s="102">
        <f>F208+H207</f>
        <v>74181.375022307038</v>
      </c>
      <c r="H208" s="100">
        <f>H207-G208</f>
        <v>-43104804.375022307</v>
      </c>
      <c r="I208" s="98">
        <f>(H196+H208+SUM(H197:H207)*2)/24</f>
        <v>-41821591.34895926</v>
      </c>
      <c r="J208" s="98">
        <f t="shared" si="30"/>
        <v>1283213.0260630473</v>
      </c>
      <c r="K208" s="100">
        <f>(-D208*0.35)+(G208*0.35)</f>
        <v>25963.481257807463</v>
      </c>
      <c r="L208" s="100">
        <f>L207+K208</f>
        <v>-1211721.4429026451</v>
      </c>
      <c r="M208" s="98">
        <f t="shared" si="28"/>
        <v>-1660846.0020247113</v>
      </c>
      <c r="N208" s="95">
        <f t="shared" si="29"/>
        <v>-377632.97596166399</v>
      </c>
      <c r="O208" s="95">
        <f t="shared" si="35"/>
        <v>-1211721.4429026376</v>
      </c>
    </row>
    <row r="209" spans="2:15" hidden="1" outlineLevel="1">
      <c r="B209" s="97">
        <v>45777</v>
      </c>
      <c r="E209" s="102">
        <f t="shared" ref="E209:E214" si="37">E208+D209</f>
        <v>43104804.375022314</v>
      </c>
      <c r="F209" s="98">
        <f t="shared" ref="F209:F214" si="38">(E197+E209+SUM(E198:E208)*2)/24</f>
        <v>43104804.375022307</v>
      </c>
      <c r="G209" s="102"/>
      <c r="H209" s="100">
        <f t="shared" ref="H209:H214" si="39">H208-G209</f>
        <v>-43104804.375022307</v>
      </c>
      <c r="I209" s="98">
        <f t="shared" ref="I209:I216" si="40">(H197+H209+SUM(H198:H208)*2)/24</f>
        <v>-42038141.505211122</v>
      </c>
      <c r="J209" s="98">
        <f t="shared" ref="J209:J214" si="41">F209+I209</f>
        <v>1066662.8698111847</v>
      </c>
      <c r="K209" s="100"/>
      <c r="L209" s="100">
        <f t="shared" ref="L209:L214" si="42">L208+K209</f>
        <v>-1211721.4429026451</v>
      </c>
      <c r="M209" s="98">
        <f t="shared" si="28"/>
        <v>-1585053.4473365603</v>
      </c>
      <c r="N209" s="95">
        <f t="shared" si="29"/>
        <v>-518390.57752537564</v>
      </c>
      <c r="O209" s="95">
        <f t="shared" si="35"/>
        <v>-1211721.4429026376</v>
      </c>
    </row>
    <row r="210" spans="2:15" hidden="1" outlineLevel="1">
      <c r="B210" s="97">
        <v>45808</v>
      </c>
      <c r="E210" s="102">
        <f t="shared" si="37"/>
        <v>43104804.375022314</v>
      </c>
      <c r="F210" s="98">
        <f t="shared" si="38"/>
        <v>43104804.375022307</v>
      </c>
      <c r="G210" s="102"/>
      <c r="H210" s="100">
        <f t="shared" si="39"/>
        <v>-43104804.375022307</v>
      </c>
      <c r="I210" s="98">
        <f t="shared" si="40"/>
        <v>-42234656.578129642</v>
      </c>
      <c r="J210" s="98">
        <f t="shared" si="41"/>
        <v>870147.79689266533</v>
      </c>
      <c r="K210" s="100"/>
      <c r="L210" s="100">
        <f t="shared" si="42"/>
        <v>-1211721.4429026451</v>
      </c>
      <c r="M210" s="98">
        <f t="shared" ref="M210:M216" si="43">(L198+L210+SUM(L199:L209)*2)/24</f>
        <v>-1516273.1718150761</v>
      </c>
      <c r="N210" s="95">
        <f t="shared" ref="N210:N216" si="44">M210+J210</f>
        <v>-646125.37492241082</v>
      </c>
      <c r="O210" s="95">
        <f t="shared" si="35"/>
        <v>-1211721.4429026376</v>
      </c>
    </row>
    <row r="211" spans="2:15" hidden="1" outlineLevel="1">
      <c r="B211" s="97">
        <v>45838</v>
      </c>
      <c r="E211" s="102">
        <f t="shared" si="37"/>
        <v>43104804.375022314</v>
      </c>
      <c r="F211" s="98">
        <f t="shared" si="38"/>
        <v>43104804.375022307</v>
      </c>
      <c r="G211" s="102"/>
      <c r="H211" s="100">
        <f t="shared" si="39"/>
        <v>-43104804.375022307</v>
      </c>
      <c r="I211" s="98">
        <f t="shared" si="40"/>
        <v>-42411136.567714833</v>
      </c>
      <c r="J211" s="98">
        <f t="shared" si="41"/>
        <v>693667.80730747432</v>
      </c>
      <c r="K211" s="100"/>
      <c r="L211" s="100">
        <f t="shared" si="42"/>
        <v>-1211721.4429026451</v>
      </c>
      <c r="M211" s="98">
        <f t="shared" si="43"/>
        <v>-1454505.1754602592</v>
      </c>
      <c r="N211" s="95">
        <f t="shared" si="44"/>
        <v>-760837.36815278488</v>
      </c>
      <c r="O211" s="95">
        <f t="shared" si="35"/>
        <v>-1211721.4429026376</v>
      </c>
    </row>
    <row r="212" spans="2:15" hidden="1" outlineLevel="1">
      <c r="B212" s="97">
        <v>45869</v>
      </c>
      <c r="E212" s="102">
        <f t="shared" si="37"/>
        <v>43104804.375022314</v>
      </c>
      <c r="F212" s="98">
        <f t="shared" si="38"/>
        <v>43104804.375022307</v>
      </c>
      <c r="G212" s="102"/>
      <c r="H212" s="100">
        <f t="shared" si="39"/>
        <v>-43104804.375022307</v>
      </c>
      <c r="I212" s="98">
        <f t="shared" si="40"/>
        <v>-42567581.473966695</v>
      </c>
      <c r="J212" s="98">
        <f t="shared" si="41"/>
        <v>537222.90105561167</v>
      </c>
      <c r="K212" s="100"/>
      <c r="L212" s="100">
        <f t="shared" si="42"/>
        <v>-1211721.4429026451</v>
      </c>
      <c r="M212" s="98">
        <f t="shared" si="43"/>
        <v>-1399749.4582721086</v>
      </c>
      <c r="N212" s="95">
        <f t="shared" si="44"/>
        <v>-862526.55721649691</v>
      </c>
      <c r="O212" s="95">
        <f t="shared" si="35"/>
        <v>-1211721.4429026376</v>
      </c>
    </row>
    <row r="213" spans="2:15" hidden="1" outlineLevel="1">
      <c r="B213" s="97">
        <v>45900</v>
      </c>
      <c r="E213" s="102">
        <f t="shared" si="37"/>
        <v>43104804.375022314</v>
      </c>
      <c r="F213" s="98">
        <f t="shared" si="38"/>
        <v>43104804.375022307</v>
      </c>
      <c r="G213" s="102"/>
      <c r="H213" s="100">
        <f t="shared" si="39"/>
        <v>-43104804.375022307</v>
      </c>
      <c r="I213" s="98">
        <f t="shared" si="40"/>
        <v>-42703991.296885215</v>
      </c>
      <c r="J213" s="98">
        <f t="shared" si="41"/>
        <v>400813.07813709229</v>
      </c>
      <c r="K213" s="100"/>
      <c r="L213" s="100">
        <f t="shared" si="42"/>
        <v>-1211721.4429026451</v>
      </c>
      <c r="M213" s="98">
        <f t="shared" si="43"/>
        <v>-1352006.0202506243</v>
      </c>
      <c r="N213" s="95">
        <f t="shared" si="44"/>
        <v>-951192.94211353199</v>
      </c>
      <c r="O213" s="95">
        <f t="shared" si="35"/>
        <v>-1211721.4429026376</v>
      </c>
    </row>
    <row r="214" spans="2:15" hidden="1" outlineLevel="1">
      <c r="B214" s="97">
        <v>45930</v>
      </c>
      <c r="E214" s="102">
        <f t="shared" si="37"/>
        <v>43104804.375022314</v>
      </c>
      <c r="F214" s="98">
        <f t="shared" si="38"/>
        <v>43104804.375022307</v>
      </c>
      <c r="G214" s="102"/>
      <c r="H214" s="100">
        <f t="shared" si="39"/>
        <v>-43104804.375022307</v>
      </c>
      <c r="I214" s="98">
        <f t="shared" si="40"/>
        <v>-42820366.036470406</v>
      </c>
      <c r="J214" s="98">
        <f t="shared" si="41"/>
        <v>284438.33855190128</v>
      </c>
      <c r="K214" s="100"/>
      <c r="L214" s="100">
        <f t="shared" si="42"/>
        <v>-1211721.4429026451</v>
      </c>
      <c r="M214" s="98">
        <f t="shared" si="43"/>
        <v>-1311274.8613958068</v>
      </c>
      <c r="N214" s="95">
        <f t="shared" si="44"/>
        <v>-1026836.5228439055</v>
      </c>
      <c r="O214" s="95">
        <f t="shared" si="35"/>
        <v>-1211721.4429026376</v>
      </c>
    </row>
    <row r="215" spans="2:15" hidden="1" outlineLevel="1">
      <c r="B215" s="97">
        <v>45961</v>
      </c>
      <c r="E215" s="102">
        <f t="shared" ref="E215:E216" si="45">E214+D215</f>
        <v>43104804.375022314</v>
      </c>
      <c r="F215" s="98">
        <f t="shared" ref="F215:F216" si="46">(E203+E215+SUM(E204:E214)*2)/24</f>
        <v>43104804.375022307</v>
      </c>
      <c r="G215" s="102"/>
      <c r="H215" s="100">
        <f t="shared" ref="H215:H216" si="47">H214-G215</f>
        <v>-43104804.375022307</v>
      </c>
      <c r="I215" s="98">
        <f t="shared" si="40"/>
        <v>-42916705.692722268</v>
      </c>
      <c r="J215" s="98">
        <f t="shared" ref="J215:J216" si="48">F215+I215</f>
        <v>188098.68230003864</v>
      </c>
      <c r="K215" s="100"/>
      <c r="L215" s="100">
        <f t="shared" ref="L215:L216" si="49">L214+K215</f>
        <v>-1211721.4429026451</v>
      </c>
      <c r="M215" s="98">
        <f t="shared" si="43"/>
        <v>-1277555.9817076561</v>
      </c>
      <c r="N215" s="95">
        <f t="shared" si="44"/>
        <v>-1089457.2994076174</v>
      </c>
      <c r="O215" s="95">
        <f t="shared" si="35"/>
        <v>-1211721.4429026376</v>
      </c>
    </row>
    <row r="216" spans="2:15" hidden="1" outlineLevel="1">
      <c r="B216" s="97">
        <v>45991</v>
      </c>
      <c r="E216" s="102">
        <f t="shared" si="45"/>
        <v>43104804.375022314</v>
      </c>
      <c r="F216" s="98">
        <f t="shared" si="46"/>
        <v>43104804.375022307</v>
      </c>
      <c r="G216" s="102"/>
      <c r="H216" s="100">
        <f t="shared" si="47"/>
        <v>-43104804.375022307</v>
      </c>
      <c r="I216" s="98">
        <f t="shared" si="40"/>
        <v>-42993010.265640788</v>
      </c>
      <c r="J216" s="98">
        <f t="shared" si="48"/>
        <v>111794.10938151926</v>
      </c>
      <c r="K216" s="100"/>
      <c r="L216" s="100">
        <f t="shared" si="49"/>
        <v>-1211721.4429026451</v>
      </c>
      <c r="M216" s="98">
        <f t="shared" si="43"/>
        <v>-1250849.3811861724</v>
      </c>
      <c r="N216" s="95">
        <f t="shared" si="44"/>
        <v>-1139055.2718046531</v>
      </c>
      <c r="O216" s="95">
        <f t="shared" si="35"/>
        <v>-1211721.4429026376</v>
      </c>
    </row>
    <row r="217" spans="2:15" hidden="1" outlineLevel="1">
      <c r="B217" s="97">
        <v>46022</v>
      </c>
      <c r="E217" s="102">
        <f t="shared" ref="E217:E220" si="50">E216+D217</f>
        <v>43104804.375022314</v>
      </c>
      <c r="F217" s="98">
        <f t="shared" ref="F217:F220" si="51">(E205+E217+SUM(E206:E216)*2)/24</f>
        <v>43104804.375022307</v>
      </c>
      <c r="G217" s="102"/>
      <c r="H217" s="100">
        <f t="shared" ref="H217:H220" si="52">H216-G217</f>
        <v>-43104804.375022307</v>
      </c>
      <c r="I217" s="98">
        <f t="shared" ref="I217:I220" si="53">(H205+H217+SUM(H206:H216)*2)/24</f>
        <v>-43049279.755225986</v>
      </c>
      <c r="J217" s="98">
        <f t="shared" ref="J217:J220" si="54">F217+I217</f>
        <v>55524.619796320796</v>
      </c>
      <c r="K217" s="100"/>
      <c r="L217" s="100">
        <f t="shared" ref="L217:L220" si="55">L216+K217</f>
        <v>-1211721.4429026451</v>
      </c>
      <c r="M217" s="98">
        <f t="shared" ref="M217:M220" si="56">(L205+L217+SUM(L206:L216)*2)/24</f>
        <v>-1231155.059831355</v>
      </c>
      <c r="N217" s="95">
        <f t="shared" ref="N217:N220" si="57">M217+J217</f>
        <v>-1175630.4400350342</v>
      </c>
      <c r="O217" s="95">
        <f t="shared" si="35"/>
        <v>-1211721.4429026376</v>
      </c>
    </row>
    <row r="218" spans="2:15" hidden="1" outlineLevel="1">
      <c r="B218" s="97">
        <v>46053</v>
      </c>
      <c r="E218" s="102">
        <f t="shared" si="50"/>
        <v>43104804.375022314</v>
      </c>
      <c r="F218" s="98">
        <f t="shared" si="51"/>
        <v>43104804.375022307</v>
      </c>
      <c r="G218" s="102"/>
      <c r="H218" s="100">
        <f t="shared" si="52"/>
        <v>-43104804.375022307</v>
      </c>
      <c r="I218" s="98">
        <f t="shared" si="53"/>
        <v>-43085514.161477841</v>
      </c>
      <c r="J218" s="98">
        <f t="shared" si="54"/>
        <v>19290.213544465601</v>
      </c>
      <c r="K218" s="100"/>
      <c r="L218" s="100">
        <f t="shared" si="55"/>
        <v>-1211721.4429026451</v>
      </c>
      <c r="M218" s="98">
        <f t="shared" si="56"/>
        <v>-1218473.0176432044</v>
      </c>
      <c r="N218" s="95">
        <f t="shared" si="57"/>
        <v>-1199182.8040987388</v>
      </c>
      <c r="O218" s="95">
        <f t="shared" si="35"/>
        <v>-1211721.4429026376</v>
      </c>
    </row>
    <row r="219" spans="2:15" hidden="1" outlineLevel="1">
      <c r="B219" s="97">
        <v>46081</v>
      </c>
      <c r="E219" s="102">
        <f t="shared" si="50"/>
        <v>43104804.375022314</v>
      </c>
      <c r="F219" s="98">
        <f t="shared" si="51"/>
        <v>43104804.375022307</v>
      </c>
      <c r="G219" s="102"/>
      <c r="H219" s="100">
        <f t="shared" si="52"/>
        <v>-43104804.375022307</v>
      </c>
      <c r="I219" s="98">
        <f t="shared" si="53"/>
        <v>-43101713.484396368</v>
      </c>
      <c r="J219" s="98">
        <f t="shared" si="54"/>
        <v>3090.8906259387732</v>
      </c>
      <c r="K219" s="100"/>
      <c r="L219" s="100">
        <f t="shared" si="55"/>
        <v>-1211721.4429026451</v>
      </c>
      <c r="M219" s="98">
        <f t="shared" si="56"/>
        <v>-1212803.2546217204</v>
      </c>
      <c r="N219" s="95">
        <f t="shared" si="57"/>
        <v>-1209712.3639957816</v>
      </c>
      <c r="O219" s="95">
        <f t="shared" si="35"/>
        <v>-1211721.4429026376</v>
      </c>
    </row>
    <row r="220" spans="2:15" hidden="1" outlineLevel="1">
      <c r="B220" s="97">
        <v>46112</v>
      </c>
      <c r="E220" s="102">
        <f t="shared" si="50"/>
        <v>43104804.375022314</v>
      </c>
      <c r="F220" s="98">
        <f t="shared" si="51"/>
        <v>43104804.375022307</v>
      </c>
      <c r="G220" s="102"/>
      <c r="H220" s="100">
        <f t="shared" si="52"/>
        <v>-43104804.375022307</v>
      </c>
      <c r="I220" s="98">
        <f t="shared" si="53"/>
        <v>-43104804.3750223</v>
      </c>
      <c r="J220" s="98">
        <f t="shared" si="54"/>
        <v>0</v>
      </c>
      <c r="K220" s="100"/>
      <c r="L220" s="100">
        <f t="shared" si="55"/>
        <v>-1211721.4429026451</v>
      </c>
      <c r="M220" s="98">
        <f t="shared" si="56"/>
        <v>-1211721.4429026451</v>
      </c>
      <c r="N220" s="95">
        <f t="shared" si="57"/>
        <v>-1211721.4429026451</v>
      </c>
      <c r="O220" s="95">
        <f t="shared" si="35"/>
        <v>-1211721.4429026376</v>
      </c>
    </row>
    <row r="221" spans="2:15" collapsed="1">
      <c r="B221" s="97"/>
      <c r="E221" s="102"/>
      <c r="F221" s="98"/>
      <c r="G221" s="102"/>
      <c r="H221" s="100"/>
      <c r="I221" s="98"/>
      <c r="J221" s="98"/>
      <c r="K221" s="100"/>
      <c r="L221" s="100"/>
      <c r="M221" s="98"/>
      <c r="N221" s="95"/>
    </row>
    <row r="222" spans="2:15">
      <c r="E222" s="102"/>
      <c r="F222" s="98"/>
      <c r="G222" s="102"/>
      <c r="H222" s="100"/>
      <c r="I222" s="98"/>
      <c r="J222" s="98"/>
      <c r="K222" s="100"/>
      <c r="L222" s="100"/>
      <c r="M222" s="98"/>
      <c r="N222" s="95"/>
    </row>
    <row r="223" spans="2:15">
      <c r="E223" s="102"/>
      <c r="F223" s="98"/>
      <c r="G223" s="102"/>
      <c r="H223" s="100"/>
      <c r="I223" s="98"/>
      <c r="J223" s="98"/>
      <c r="K223" s="100"/>
      <c r="L223" s="100"/>
      <c r="M223" s="98"/>
      <c r="N223" s="95"/>
    </row>
    <row r="224" spans="2:15">
      <c r="E224" s="102"/>
      <c r="F224" s="98"/>
      <c r="G224" s="102"/>
      <c r="H224" s="100"/>
      <c r="I224" s="98"/>
      <c r="J224" s="98"/>
      <c r="K224" s="100"/>
      <c r="L224" s="100"/>
      <c r="M224" s="98"/>
      <c r="N224" s="95"/>
    </row>
  </sheetData>
  <phoneticPr fontId="0" type="noConversion"/>
  <printOptions horizontalCentered="1"/>
  <pageMargins left="0" right="0" top="0.25" bottom="0.5" header="0.11" footer="0"/>
  <pageSetup scale="66" orientation="portrait" r:id="rId1"/>
  <headerFooter alignWithMargins="0">
    <oddFooter>&amp;R&amp;P of &amp;N</oddFooter>
  </headerFooter>
  <rowBreaks count="1" manualBreakCount="1">
    <brk id="61" max="14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04"/>
  <sheetViews>
    <sheetView zoomScaleNormal="100" workbookViewId="0">
      <pane xSplit="2" ySplit="9" topLeftCell="C60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16" defaultRowHeight="12.75" outlineLevelRow="1" outlineLevelCol="1"/>
  <cols>
    <col min="1" max="1" width="3.42578125" customWidth="1"/>
    <col min="2" max="2" width="10.28515625" customWidth="1"/>
    <col min="3" max="3" width="14.85546875" customWidth="1"/>
    <col min="4" max="4" width="14.42578125" bestFit="1" customWidth="1"/>
    <col min="5" max="5" width="16.140625" bestFit="1" customWidth="1"/>
    <col min="6" max="6" width="15.42578125" customWidth="1"/>
    <col min="7" max="7" width="20.7109375" customWidth="1"/>
    <col min="10" max="10" width="20.140625" bestFit="1" customWidth="1"/>
    <col min="15" max="15" width="16" style="131" customWidth="1" outlineLevel="1"/>
  </cols>
  <sheetData>
    <row r="1" spans="1:15">
      <c r="A1" s="506"/>
      <c r="B1" s="507" t="s">
        <v>9</v>
      </c>
      <c r="C1" s="506"/>
      <c r="D1" s="506"/>
      <c r="E1" s="506"/>
      <c r="F1" s="506"/>
      <c r="G1" s="508"/>
      <c r="H1" s="508"/>
      <c r="I1" s="508"/>
      <c r="J1" s="509"/>
      <c r="K1" s="509"/>
      <c r="L1" s="509"/>
      <c r="M1" s="509"/>
    </row>
    <row r="2" spans="1:15">
      <c r="A2" s="506"/>
      <c r="B2" s="1067" t="s">
        <v>914</v>
      </c>
      <c r="C2" s="1114"/>
      <c r="D2" s="1114"/>
      <c r="E2" s="1114"/>
      <c r="F2" s="1114"/>
      <c r="G2" s="1114"/>
      <c r="H2" s="508"/>
      <c r="I2" s="508"/>
      <c r="J2" s="509"/>
      <c r="K2" s="509"/>
      <c r="L2" s="509"/>
      <c r="M2" s="509"/>
    </row>
    <row r="3" spans="1:15">
      <c r="A3" s="506"/>
      <c r="B3" s="507" t="s">
        <v>826</v>
      </c>
      <c r="C3" s="506"/>
      <c r="D3" s="506"/>
      <c r="E3" s="506"/>
      <c r="F3" s="506"/>
      <c r="G3" s="508"/>
      <c r="H3" s="508"/>
      <c r="I3" s="508"/>
      <c r="J3" s="509"/>
      <c r="K3" s="509"/>
      <c r="L3" s="509"/>
      <c r="M3" s="509"/>
    </row>
    <row r="4" spans="1:15">
      <c r="A4" s="506"/>
      <c r="B4" s="506"/>
      <c r="C4" s="1115" t="s">
        <v>840</v>
      </c>
      <c r="D4" s="1068"/>
      <c r="E4" s="1070"/>
      <c r="F4" s="1071" t="s">
        <v>726</v>
      </c>
      <c r="G4" s="511"/>
      <c r="H4" s="511"/>
      <c r="I4" s="511"/>
      <c r="K4" s="512"/>
      <c r="L4" s="512"/>
      <c r="M4" s="512"/>
    </row>
    <row r="5" spans="1:15" ht="15.6" customHeight="1">
      <c r="A5" s="509"/>
      <c r="B5" s="509"/>
      <c r="C5" s="1083" t="s">
        <v>731</v>
      </c>
      <c r="D5" s="1073"/>
      <c r="E5" s="1074"/>
      <c r="F5" s="1075" t="s">
        <v>725</v>
      </c>
      <c r="G5" s="515"/>
      <c r="H5" s="515"/>
      <c r="I5" s="515"/>
      <c r="J5" s="1077" t="s">
        <v>809</v>
      </c>
      <c r="K5" s="515"/>
      <c r="L5" s="515"/>
      <c r="M5" s="515"/>
    </row>
    <row r="6" spans="1:15" ht="15">
      <c r="A6" s="641"/>
      <c r="B6" s="642"/>
      <c r="C6" s="643" t="s">
        <v>93</v>
      </c>
      <c r="D6" s="643" t="s">
        <v>2</v>
      </c>
      <c r="E6" s="644" t="s">
        <v>115</v>
      </c>
      <c r="F6" s="643" t="s">
        <v>19</v>
      </c>
      <c r="G6" s="643" t="s">
        <v>20</v>
      </c>
      <c r="H6" s="643" t="s">
        <v>116</v>
      </c>
      <c r="I6" s="643" t="s">
        <v>18</v>
      </c>
      <c r="J6" s="643" t="s">
        <v>19</v>
      </c>
      <c r="K6" s="643" t="s">
        <v>20</v>
      </c>
      <c r="L6" s="644" t="s">
        <v>117</v>
      </c>
      <c r="M6" s="645" t="s">
        <v>118</v>
      </c>
      <c r="N6" s="646" t="s">
        <v>2</v>
      </c>
    </row>
    <row r="7" spans="1:15" ht="15">
      <c r="A7" s="647"/>
      <c r="B7" s="660" t="s">
        <v>17</v>
      </c>
      <c r="C7" s="648" t="s">
        <v>28</v>
      </c>
      <c r="D7" s="648"/>
      <c r="E7" s="650" t="s">
        <v>2</v>
      </c>
      <c r="F7" s="648" t="s">
        <v>3</v>
      </c>
      <c r="G7" s="648" t="s">
        <v>3</v>
      </c>
      <c r="H7" s="648" t="s">
        <v>712</v>
      </c>
      <c r="I7" s="648" t="s">
        <v>16</v>
      </c>
      <c r="J7" s="648" t="s">
        <v>24</v>
      </c>
      <c r="K7" s="650" t="s">
        <v>24</v>
      </c>
      <c r="L7" s="648" t="s">
        <v>18</v>
      </c>
      <c r="M7" s="651" t="s">
        <v>117</v>
      </c>
      <c r="N7" s="652" t="s">
        <v>37</v>
      </c>
    </row>
    <row r="8" spans="1:15" ht="15">
      <c r="A8" s="647"/>
      <c r="B8" s="649"/>
      <c r="C8" s="648" t="s">
        <v>119</v>
      </c>
      <c r="D8" s="648" t="s">
        <v>31</v>
      </c>
      <c r="E8" s="650" t="s">
        <v>32</v>
      </c>
      <c r="F8" s="648" t="s">
        <v>120</v>
      </c>
      <c r="G8" s="650" t="s">
        <v>128</v>
      </c>
      <c r="H8" s="648" t="s">
        <v>33</v>
      </c>
      <c r="I8" s="648" t="s">
        <v>122</v>
      </c>
      <c r="J8" s="648" t="s">
        <v>123</v>
      </c>
      <c r="K8" s="650" t="s">
        <v>824</v>
      </c>
      <c r="L8" s="648" t="s">
        <v>94</v>
      </c>
      <c r="M8" s="651" t="s">
        <v>125</v>
      </c>
      <c r="N8" s="652" t="s">
        <v>35</v>
      </c>
    </row>
    <row r="9" spans="1:15" ht="15">
      <c r="A9" s="653"/>
      <c r="B9" s="654"/>
      <c r="C9" s="655"/>
      <c r="D9" s="655"/>
      <c r="E9" s="656"/>
      <c r="F9" s="1076" t="s">
        <v>913</v>
      </c>
      <c r="G9" s="688"/>
      <c r="H9" s="655"/>
      <c r="I9" s="655"/>
      <c r="J9" s="655" t="s">
        <v>127</v>
      </c>
      <c r="K9" s="656" t="s">
        <v>825</v>
      </c>
      <c r="L9" s="655"/>
      <c r="M9" s="658"/>
      <c r="N9" s="689"/>
    </row>
    <row r="10" spans="1:15" ht="15">
      <c r="A10" s="647"/>
      <c r="B10" s="660" t="s">
        <v>5</v>
      </c>
      <c r="C10" s="648"/>
      <c r="D10" s="669">
        <v>0</v>
      </c>
      <c r="E10" s="663"/>
      <c r="F10" s="648"/>
      <c r="G10" s="648"/>
      <c r="H10" s="662"/>
      <c r="I10" s="662"/>
      <c r="J10" s="664"/>
      <c r="K10" s="664"/>
      <c r="L10" s="664"/>
      <c r="M10" s="665"/>
      <c r="N10" s="690"/>
    </row>
    <row r="11" spans="1:15" ht="15" hidden="1">
      <c r="A11" s="647"/>
      <c r="B11" s="667">
        <v>41425</v>
      </c>
      <c r="C11" s="662"/>
      <c r="D11" s="669">
        <f>D10+C11</f>
        <v>0</v>
      </c>
      <c r="E11" s="691"/>
      <c r="F11" s="662"/>
      <c r="G11" s="662"/>
      <c r="H11" s="662"/>
      <c r="I11" s="662"/>
      <c r="J11" s="691">
        <f>(-C11*0.35)+(F11*0.35)</f>
        <v>0</v>
      </c>
      <c r="K11" s="691">
        <f t="shared" ref="K11:K74" si="0">K10+J11</f>
        <v>0</v>
      </c>
      <c r="L11" s="691"/>
      <c r="M11" s="665"/>
      <c r="N11" s="692"/>
    </row>
    <row r="12" spans="1:15" ht="4.1500000000000004" customHeight="1">
      <c r="A12" s="647"/>
      <c r="B12" s="667">
        <v>41455</v>
      </c>
      <c r="C12" s="693">
        <v>0</v>
      </c>
      <c r="D12" s="693">
        <f>D11+C12</f>
        <v>0</v>
      </c>
      <c r="E12" s="691"/>
      <c r="F12" s="662"/>
      <c r="G12" s="662"/>
      <c r="H12" s="662"/>
      <c r="I12" s="662"/>
      <c r="J12" s="691">
        <f t="shared" ref="J12:J66" si="1">(-C12*0.35)+(F12*0.35)</f>
        <v>0</v>
      </c>
      <c r="K12" s="691">
        <f t="shared" si="0"/>
        <v>0</v>
      </c>
      <c r="L12" s="691"/>
      <c r="M12" s="665"/>
      <c r="N12" s="692"/>
    </row>
    <row r="13" spans="1:15" ht="15" hidden="1" outlineLevel="1">
      <c r="A13" s="647"/>
      <c r="B13" s="667">
        <v>41486</v>
      </c>
      <c r="C13" s="691">
        <v>225109.72608819039</v>
      </c>
      <c r="D13" s="691">
        <f>D12+C13</f>
        <v>225109.72608819039</v>
      </c>
      <c r="E13" s="691"/>
      <c r="F13" s="662"/>
      <c r="G13" s="662"/>
      <c r="H13" s="662"/>
      <c r="I13" s="662"/>
      <c r="J13" s="691">
        <f t="shared" si="1"/>
        <v>-78788.404130866635</v>
      </c>
      <c r="K13" s="691">
        <f t="shared" si="0"/>
        <v>-78788.404130866635</v>
      </c>
      <c r="L13" s="691"/>
      <c r="M13" s="665"/>
      <c r="N13" s="671">
        <f>+D13+G13+K13</f>
        <v>146321.32195732376</v>
      </c>
      <c r="O13" s="896"/>
    </row>
    <row r="14" spans="1:15" ht="15" hidden="1" outlineLevel="1">
      <c r="A14" s="647"/>
      <c r="B14" s="667">
        <v>41517</v>
      </c>
      <c r="C14" s="691">
        <v>997539.79684667266</v>
      </c>
      <c r="D14" s="691">
        <f>D13+C14</f>
        <v>1222649.5229348631</v>
      </c>
      <c r="E14" s="691"/>
      <c r="F14" s="693"/>
      <c r="G14" s="691">
        <f t="shared" ref="G14:G77" si="2">G13-F14</f>
        <v>0</v>
      </c>
      <c r="H14" s="662"/>
      <c r="I14" s="662"/>
      <c r="J14" s="691">
        <f>(-C14*0.35)+(F14*0.35)</f>
        <v>-349138.92889633542</v>
      </c>
      <c r="K14" s="691">
        <f t="shared" si="0"/>
        <v>-427927.33302720205</v>
      </c>
      <c r="L14" s="691"/>
      <c r="M14" s="665"/>
      <c r="N14" s="671">
        <f t="shared" ref="N14:N74" si="3">+D14+G14+K14</f>
        <v>794722.18990766106</v>
      </c>
      <c r="O14" s="896"/>
    </row>
    <row r="15" spans="1:15" ht="15" hidden="1" outlineLevel="1">
      <c r="A15" s="647"/>
      <c r="B15" s="667">
        <v>41547</v>
      </c>
      <c r="C15" s="691">
        <v>987576.85778201919</v>
      </c>
      <c r="D15" s="691">
        <f t="shared" ref="D15:D77" si="4">D14+C15</f>
        <v>2210226.3807168822</v>
      </c>
      <c r="E15" s="691"/>
      <c r="F15" s="693"/>
      <c r="G15" s="691">
        <f t="shared" si="2"/>
        <v>0</v>
      </c>
      <c r="H15" s="662"/>
      <c r="I15" s="662"/>
      <c r="J15" s="691">
        <f t="shared" si="1"/>
        <v>-345651.90022370667</v>
      </c>
      <c r="K15" s="691">
        <f t="shared" si="0"/>
        <v>-773579.23325090879</v>
      </c>
      <c r="L15" s="691"/>
      <c r="M15" s="665"/>
      <c r="N15" s="671">
        <f t="shared" si="3"/>
        <v>1436647.1474659734</v>
      </c>
      <c r="O15" s="896"/>
    </row>
    <row r="16" spans="1:15" ht="15" hidden="1" outlineLevel="1">
      <c r="A16" s="647"/>
      <c r="B16" s="667">
        <v>41578</v>
      </c>
      <c r="C16" s="691">
        <v>1000693.2562625039</v>
      </c>
      <c r="D16" s="691">
        <f t="shared" si="4"/>
        <v>3210919.6369793862</v>
      </c>
      <c r="E16" s="691"/>
      <c r="F16" s="693"/>
      <c r="G16" s="691">
        <f>G15-F16</f>
        <v>0</v>
      </c>
      <c r="H16" s="662"/>
      <c r="I16" s="662"/>
      <c r="J16" s="691">
        <f>(-C16*0.35)+(F16*0.35)</f>
        <v>-350242.63969187636</v>
      </c>
      <c r="K16" s="691">
        <f t="shared" si="0"/>
        <v>-1123821.8729427853</v>
      </c>
      <c r="L16" s="691"/>
      <c r="M16" s="665"/>
      <c r="N16" s="694">
        <f t="shared" si="3"/>
        <v>2087097.7640366009</v>
      </c>
      <c r="O16" s="896"/>
    </row>
    <row r="17" spans="1:17" ht="15" hidden="1" outlineLevel="1">
      <c r="A17" s="647"/>
      <c r="B17" s="667">
        <v>41608</v>
      </c>
      <c r="C17" s="691"/>
      <c r="D17" s="691">
        <f t="shared" si="4"/>
        <v>3210919.6369793862</v>
      </c>
      <c r="E17" s="691">
        <f>(D13+D17+SUM(D14:D16)*2)/24</f>
        <v>696817.5185137433</v>
      </c>
      <c r="F17" s="691">
        <v>44597</v>
      </c>
      <c r="G17" s="691">
        <f t="shared" si="2"/>
        <v>-44597</v>
      </c>
      <c r="H17" s="691">
        <f>(G13+G17+SUM(G14:G16)*2)/24</f>
        <v>-1858.2083333333333</v>
      </c>
      <c r="I17" s="691">
        <f>E17+H17</f>
        <v>694959.31018040993</v>
      </c>
      <c r="J17" s="691">
        <f>(-C17*0.35)+(F17*0.35)</f>
        <v>15608.949999999999</v>
      </c>
      <c r="K17" s="691">
        <f t="shared" si="0"/>
        <v>-1108212.9229427853</v>
      </c>
      <c r="L17" s="691">
        <f>(K13+K17+SUM(K14:K16)*2)/24</f>
        <v>-243235.75856314352</v>
      </c>
      <c r="M17" s="665">
        <f t="shared" ref="M17:M21" si="5">L17+I17</f>
        <v>451723.55161726638</v>
      </c>
      <c r="N17" s="694">
        <f t="shared" si="3"/>
        <v>2058109.7140366009</v>
      </c>
      <c r="O17" s="896"/>
      <c r="P17" s="895"/>
      <c r="Q17" s="697"/>
    </row>
    <row r="18" spans="1:17" ht="15" hidden="1" outlineLevel="1">
      <c r="A18" s="647"/>
      <c r="B18" s="667">
        <v>41639</v>
      </c>
      <c r="C18" s="693"/>
      <c r="D18" s="691">
        <f t="shared" si="4"/>
        <v>3210919.6369793862</v>
      </c>
      <c r="E18" s="691">
        <f>(D13+D18+SUM(D14:D17)*2)/24</f>
        <v>964394.15492869203</v>
      </c>
      <c r="F18" s="691">
        <v>45253</v>
      </c>
      <c r="G18" s="691">
        <f>G17-F18</f>
        <v>-89850</v>
      </c>
      <c r="H18" s="691">
        <f>(G13+G18+SUM(G14:G17)*2)/24</f>
        <v>-7460.166666666667</v>
      </c>
      <c r="I18" s="691">
        <f t="shared" ref="I18:I81" si="6">E18+H18</f>
        <v>956933.98826202541</v>
      </c>
      <c r="J18" s="691">
        <f t="shared" si="1"/>
        <v>15838.55</v>
      </c>
      <c r="K18" s="691">
        <f t="shared" si="0"/>
        <v>-1092374.3729427853</v>
      </c>
      <c r="L18" s="691">
        <f>(K13+K18+SUM(K14:K17)*2)/24</f>
        <v>-334926.89589170896</v>
      </c>
      <c r="M18" s="665">
        <f t="shared" si="5"/>
        <v>622007.09237031639</v>
      </c>
      <c r="N18" s="694">
        <f t="shared" si="3"/>
        <v>2028695.2640366009</v>
      </c>
      <c r="O18" s="896"/>
    </row>
    <row r="19" spans="1:17" ht="15" hidden="1" outlineLevel="1">
      <c r="A19" s="647"/>
      <c r="B19" s="667">
        <v>41670</v>
      </c>
      <c r="C19" s="693"/>
      <c r="D19" s="691">
        <f t="shared" si="4"/>
        <v>3210919.6369793862</v>
      </c>
      <c r="E19" s="691">
        <f>(D13+D19+SUM(D14:D18)*2)/24</f>
        <v>1231970.7913436408</v>
      </c>
      <c r="F19" s="691">
        <f>44124.8348434544-1599</f>
        <v>42525.834843454402</v>
      </c>
      <c r="G19" s="691">
        <f t="shared" si="2"/>
        <v>-132375.83484345442</v>
      </c>
      <c r="H19" s="691">
        <f>(G13+G19+SUM(G14:G18)*2)/24</f>
        <v>-16719.576451810601</v>
      </c>
      <c r="I19" s="691">
        <f t="shared" si="6"/>
        <v>1215251.2148918302</v>
      </c>
      <c r="J19" s="691">
        <f t="shared" si="1"/>
        <v>14884.04219520904</v>
      </c>
      <c r="K19" s="691">
        <f t="shared" si="0"/>
        <v>-1077490.3307475762</v>
      </c>
      <c r="L19" s="691">
        <f>(K13+K19+SUM(K14:K18)*2)/24</f>
        <v>-425337.92521214066</v>
      </c>
      <c r="M19" s="665">
        <f t="shared" si="5"/>
        <v>789913.28967968957</v>
      </c>
      <c r="N19" s="694">
        <f t="shared" si="3"/>
        <v>2001053.4713883556</v>
      </c>
      <c r="O19" s="896"/>
    </row>
    <row r="20" spans="1:17" ht="15" hidden="1" outlineLevel="1">
      <c r="A20" s="647"/>
      <c r="B20" s="667">
        <v>41698</v>
      </c>
      <c r="C20" s="693"/>
      <c r="D20" s="691">
        <f t="shared" si="4"/>
        <v>3210919.6369793862</v>
      </c>
      <c r="E20" s="691">
        <f>(D13+D20+SUM(D14:D19)*2)/24</f>
        <v>1499547.4277585896</v>
      </c>
      <c r="F20" s="691">
        <v>44125</v>
      </c>
      <c r="G20" s="691">
        <f t="shared" si="2"/>
        <v>-176500.83484345442</v>
      </c>
      <c r="H20" s="691">
        <f>(G13+G20+SUM(G14:G19)*2)/24</f>
        <v>-29589.437688765134</v>
      </c>
      <c r="I20" s="691">
        <f t="shared" si="6"/>
        <v>1469957.9900698245</v>
      </c>
      <c r="J20" s="691">
        <f t="shared" si="1"/>
        <v>15443.749999999998</v>
      </c>
      <c r="K20" s="691">
        <f t="shared" si="0"/>
        <v>-1062046.5807475762</v>
      </c>
      <c r="L20" s="691">
        <f>(K13+K20+SUM(K14:K19)*2)/24</f>
        <v>-514485.29652443872</v>
      </c>
      <c r="M20" s="665">
        <f t="shared" si="5"/>
        <v>955472.69354538573</v>
      </c>
      <c r="N20" s="694">
        <f t="shared" si="3"/>
        <v>1972372.2213883556</v>
      </c>
      <c r="O20" s="896"/>
    </row>
    <row r="21" spans="1:17" ht="15" hidden="1" outlineLevel="1">
      <c r="A21" s="647"/>
      <c r="B21" s="667">
        <v>41729</v>
      </c>
      <c r="C21" s="693"/>
      <c r="D21" s="691">
        <f t="shared" si="4"/>
        <v>3210919.6369793862</v>
      </c>
      <c r="E21" s="691">
        <f>(D13+D21+SUM(D14:D20)*2)/24</f>
        <v>1767124.0641735385</v>
      </c>
      <c r="F21" s="691">
        <f t="shared" ref="F21:F29" si="7">F20</f>
        <v>44125</v>
      </c>
      <c r="G21" s="691">
        <f t="shared" si="2"/>
        <v>-220625.83484345442</v>
      </c>
      <c r="H21" s="691">
        <f t="shared" ref="H21:H28" si="8">(G9+G21+SUM(G10:G20)*2)/24</f>
        <v>-46136.382259053004</v>
      </c>
      <c r="I21" s="691">
        <f t="shared" si="6"/>
        <v>1720987.6819144855</v>
      </c>
      <c r="J21" s="691">
        <f t="shared" si="1"/>
        <v>15443.749999999998</v>
      </c>
      <c r="K21" s="691">
        <f t="shared" si="0"/>
        <v>-1046602.8307475762</v>
      </c>
      <c r="L21" s="691">
        <f>(K13+K21+SUM(K14:K20)*2)/24</f>
        <v>-602345.68867007003</v>
      </c>
      <c r="M21" s="665">
        <f t="shared" si="5"/>
        <v>1118641.9932444156</v>
      </c>
      <c r="N21" s="694">
        <f t="shared" si="3"/>
        <v>1943690.9713883556</v>
      </c>
      <c r="O21" s="896"/>
    </row>
    <row r="22" spans="1:17" s="109" customFormat="1" ht="15" hidden="1" outlineLevel="1">
      <c r="A22" s="647"/>
      <c r="B22" s="667">
        <v>41759</v>
      </c>
      <c r="C22" s="693"/>
      <c r="D22" s="691">
        <f t="shared" si="4"/>
        <v>3210919.6369793862</v>
      </c>
      <c r="E22" s="691">
        <f t="shared" ref="E22:E27" si="9">(D10+D22+SUM(D11:D21)*2)/24</f>
        <v>2044080.2725088289</v>
      </c>
      <c r="F22" s="691">
        <f t="shared" si="7"/>
        <v>44125</v>
      </c>
      <c r="G22" s="691">
        <f>G21-F22</f>
        <v>-264750.83484345442</v>
      </c>
      <c r="H22" s="691">
        <f t="shared" si="8"/>
        <v>-66360.410162674205</v>
      </c>
      <c r="I22" s="691">
        <f>E22+H22</f>
        <v>1977719.8623461546</v>
      </c>
      <c r="J22" s="691">
        <f t="shared" si="1"/>
        <v>15443.749999999998</v>
      </c>
      <c r="K22" s="691">
        <f t="shared" si="0"/>
        <v>-1031159.0807475762</v>
      </c>
      <c r="L22" s="691">
        <f>(K13+K22+SUM(K14:K21)*2)/24</f>
        <v>-688919.10164903477</v>
      </c>
      <c r="M22" s="672">
        <f>L22+I22</f>
        <v>1288800.7606971199</v>
      </c>
      <c r="N22" s="694">
        <f>+D22+G22+K22</f>
        <v>1915009.7213883556</v>
      </c>
      <c r="O22" s="896"/>
    </row>
    <row r="23" spans="1:17" s="109" customFormat="1" ht="15" hidden="1" outlineLevel="1">
      <c r="A23" s="647"/>
      <c r="B23" s="667">
        <v>41790</v>
      </c>
      <c r="C23" s="693"/>
      <c r="D23" s="691">
        <f t="shared" si="4"/>
        <v>3210919.6369793862</v>
      </c>
      <c r="E23" s="691">
        <f t="shared" si="9"/>
        <v>2311656.9089237778</v>
      </c>
      <c r="F23" s="691">
        <f t="shared" si="7"/>
        <v>44125</v>
      </c>
      <c r="G23" s="691">
        <f t="shared" si="2"/>
        <v>-308875.83484345442</v>
      </c>
      <c r="H23" s="691">
        <f t="shared" si="8"/>
        <v>-90261.521399628735</v>
      </c>
      <c r="I23" s="691">
        <f t="shared" si="6"/>
        <v>2221395.3875241489</v>
      </c>
      <c r="J23" s="691">
        <f t="shared" si="1"/>
        <v>15443.749999999998</v>
      </c>
      <c r="K23" s="691">
        <f t="shared" si="0"/>
        <v>-1015715.3307475762</v>
      </c>
      <c r="L23" s="691">
        <f>(K13+K23+SUM(K14:K22)*2)/24</f>
        <v>-774205.53546133277</v>
      </c>
      <c r="M23" s="665">
        <f t="shared" ref="M23:M36" si="10">L23+I23</f>
        <v>1447189.8520628163</v>
      </c>
      <c r="N23" s="694">
        <f t="shared" si="3"/>
        <v>1886328.4713883556</v>
      </c>
      <c r="O23" s="896"/>
    </row>
    <row r="24" spans="1:17" ht="15" hidden="1" outlineLevel="1">
      <c r="A24" s="647"/>
      <c r="B24" s="667">
        <v>41820</v>
      </c>
      <c r="C24" s="693"/>
      <c r="D24" s="691">
        <f t="shared" si="4"/>
        <v>3210919.6369793862</v>
      </c>
      <c r="E24" s="691">
        <f t="shared" si="9"/>
        <v>2579233.5453387266</v>
      </c>
      <c r="F24" s="691">
        <f t="shared" si="7"/>
        <v>44125</v>
      </c>
      <c r="G24" s="691">
        <f>G23-F24</f>
        <v>-353000.83484345442</v>
      </c>
      <c r="H24" s="691">
        <f t="shared" si="8"/>
        <v>-117839.71596991661</v>
      </c>
      <c r="I24" s="691">
        <f t="shared" si="6"/>
        <v>2461393.8293688102</v>
      </c>
      <c r="J24" s="691">
        <f t="shared" si="1"/>
        <v>15443.749999999998</v>
      </c>
      <c r="K24" s="691">
        <f t="shared" si="0"/>
        <v>-1000271.5807475762</v>
      </c>
      <c r="L24" s="691">
        <f>(K13+K24+SUM(K14:K23)*2)/24</f>
        <v>-858204.99010696413</v>
      </c>
      <c r="M24" s="672">
        <f t="shared" si="10"/>
        <v>1603188.8392618462</v>
      </c>
      <c r="N24" s="694">
        <f t="shared" si="3"/>
        <v>1857647.2213883556</v>
      </c>
      <c r="O24" s="896"/>
    </row>
    <row r="25" spans="1:17" ht="15" hidden="1" outlineLevel="1">
      <c r="A25" s="647"/>
      <c r="B25" s="667">
        <v>41851</v>
      </c>
      <c r="C25" s="693"/>
      <c r="D25" s="691">
        <f t="shared" si="4"/>
        <v>3210919.6369793862</v>
      </c>
      <c r="E25" s="691">
        <f t="shared" si="9"/>
        <v>2837430.6098333341</v>
      </c>
      <c r="F25" s="691">
        <f t="shared" si="7"/>
        <v>44125</v>
      </c>
      <c r="G25" s="691">
        <f t="shared" si="2"/>
        <v>-397125.83484345442</v>
      </c>
      <c r="H25" s="691">
        <f t="shared" si="8"/>
        <v>-149094.99387353781</v>
      </c>
      <c r="I25" s="691">
        <f t="shared" si="6"/>
        <v>2688335.6159597961</v>
      </c>
      <c r="J25" s="691">
        <f t="shared" si="1"/>
        <v>15443.749999999998</v>
      </c>
      <c r="K25" s="691">
        <f t="shared" si="0"/>
        <v>-984827.8307475762</v>
      </c>
      <c r="L25" s="691">
        <f t="shared" ref="L25:L36" si="11">(K13+K25+SUM(K14:K24)*2)/24</f>
        <v>-940917.46558592888</v>
      </c>
      <c r="M25" s="672">
        <f t="shared" si="10"/>
        <v>1747418.1503738672</v>
      </c>
      <c r="N25" s="694">
        <f t="shared" si="3"/>
        <v>1828965.9713883556</v>
      </c>
      <c r="O25" s="896"/>
    </row>
    <row r="26" spans="1:17" ht="15" hidden="1" outlineLevel="1">
      <c r="A26" s="647"/>
      <c r="B26" s="667">
        <v>41882</v>
      </c>
      <c r="C26" s="693"/>
      <c r="D26" s="691">
        <f>D25+C26</f>
        <v>3210919.6369793862</v>
      </c>
      <c r="E26" s="691">
        <f t="shared" si="9"/>
        <v>3044683.9442056562</v>
      </c>
      <c r="F26" s="691">
        <f t="shared" si="7"/>
        <v>44125</v>
      </c>
      <c r="G26" s="691">
        <f>G25-F26</f>
        <v>-441250.83484345442</v>
      </c>
      <c r="H26" s="691">
        <f t="shared" si="8"/>
        <v>-184027.35511049232</v>
      </c>
      <c r="I26" s="691">
        <f t="shared" si="6"/>
        <v>2860656.5890951641</v>
      </c>
      <c r="J26" s="691">
        <f>(-C26*0.35)+(F26*0.35)</f>
        <v>15443.749999999998</v>
      </c>
      <c r="K26" s="691">
        <f t="shared" si="0"/>
        <v>-969384.0807475762</v>
      </c>
      <c r="L26" s="691">
        <f t="shared" si="11"/>
        <v>-1001229.8061833073</v>
      </c>
      <c r="M26" s="672">
        <f t="shared" si="10"/>
        <v>1859426.7829118567</v>
      </c>
      <c r="N26" s="694">
        <f t="shared" si="3"/>
        <v>1800284.7213883556</v>
      </c>
      <c r="O26" s="896"/>
    </row>
    <row r="27" spans="1:17" ht="15" hidden="1" outlineLevel="1">
      <c r="A27" s="647"/>
      <c r="B27" s="667">
        <v>41912</v>
      </c>
      <c r="C27" s="693"/>
      <c r="D27" s="691">
        <f t="shared" si="4"/>
        <v>3210919.6369793862</v>
      </c>
      <c r="E27" s="691">
        <f t="shared" si="9"/>
        <v>3169224.0846351148</v>
      </c>
      <c r="F27" s="691">
        <f t="shared" si="7"/>
        <v>44125</v>
      </c>
      <c r="G27" s="691">
        <f t="shared" ref="G27:G32" si="12">G26-F27</f>
        <v>-485375.83484345442</v>
      </c>
      <c r="H27" s="691">
        <f t="shared" si="8"/>
        <v>-222636.79968078024</v>
      </c>
      <c r="I27" s="691">
        <f t="shared" si="6"/>
        <v>2946587.2849543346</v>
      </c>
      <c r="J27" s="691">
        <f>(-C27*0.35)+(F27*0.35)</f>
        <v>15443.749999999998</v>
      </c>
      <c r="K27" s="691">
        <f t="shared" si="0"/>
        <v>-953940.3307475762</v>
      </c>
      <c r="L27" s="691">
        <f>(K15+K27+SUM(K16:K26)*2)/24</f>
        <v>-1031305.5497340175</v>
      </c>
      <c r="M27" s="672">
        <f>L27+I27</f>
        <v>1915281.7352203173</v>
      </c>
      <c r="N27" s="694">
        <f t="shared" si="3"/>
        <v>1771603.4713883556</v>
      </c>
      <c r="O27" s="896"/>
    </row>
    <row r="28" spans="1:17" ht="15" hidden="1" outlineLevel="1">
      <c r="A28" s="647"/>
      <c r="B28" s="667">
        <v>41943</v>
      </c>
      <c r="C28" s="693"/>
      <c r="D28" s="691">
        <f t="shared" si="4"/>
        <v>3210919.6369793862</v>
      </c>
      <c r="E28" s="691">
        <f t="shared" ref="E28:E36" si="13">(D16+D28+SUM(D17:D27)*2)/24</f>
        <v>3210919.6369793862</v>
      </c>
      <c r="F28" s="691">
        <f t="shared" si="7"/>
        <v>44125</v>
      </c>
      <c r="G28" s="691">
        <f t="shared" si="12"/>
        <v>-529500.83484345442</v>
      </c>
      <c r="H28" s="691">
        <f t="shared" si="8"/>
        <v>-264923.32758440141</v>
      </c>
      <c r="I28" s="691">
        <f t="shared" si="6"/>
        <v>2945996.309394985</v>
      </c>
      <c r="J28" s="691">
        <f>(-C28*0.35)+(F28*0.35)</f>
        <v>15443.749999999998</v>
      </c>
      <c r="K28" s="691">
        <f t="shared" si="0"/>
        <v>-938496.5807475762</v>
      </c>
      <c r="L28" s="691">
        <f t="shared" si="11"/>
        <v>-1031098.7082882449</v>
      </c>
      <c r="M28" s="672">
        <f t="shared" si="10"/>
        <v>1914897.6011067401</v>
      </c>
      <c r="N28" s="694">
        <f t="shared" si="3"/>
        <v>1742922.2213883556</v>
      </c>
      <c r="O28" s="896"/>
    </row>
    <row r="29" spans="1:17" s="109" customFormat="1" ht="15" hidden="1" outlineLevel="1">
      <c r="A29" s="647"/>
      <c r="B29" s="667">
        <v>41973</v>
      </c>
      <c r="C29" s="693"/>
      <c r="D29" s="691">
        <f t="shared" si="4"/>
        <v>3210919.6369793862</v>
      </c>
      <c r="E29" s="691">
        <f t="shared" si="13"/>
        <v>3210919.6369793862</v>
      </c>
      <c r="F29" s="691">
        <f t="shared" si="7"/>
        <v>44125</v>
      </c>
      <c r="G29" s="691">
        <f t="shared" si="12"/>
        <v>-573625.83484345442</v>
      </c>
      <c r="H29" s="691">
        <f t="shared" ref="H29:H36" si="14">(G17+G29+SUM(G18:G28)*2)/24</f>
        <v>-309028.73048802261</v>
      </c>
      <c r="I29" s="691">
        <f t="shared" si="6"/>
        <v>2901890.9064913634</v>
      </c>
      <c r="J29" s="691">
        <f t="shared" si="1"/>
        <v>15443.749999999998</v>
      </c>
      <c r="K29" s="691">
        <f t="shared" si="0"/>
        <v>-923052.8307475762</v>
      </c>
      <c r="L29" s="691">
        <f t="shared" si="11"/>
        <v>-1015661.8172719775</v>
      </c>
      <c r="M29" s="672">
        <f t="shared" si="10"/>
        <v>1886229.0892193858</v>
      </c>
      <c r="N29" s="694">
        <f t="shared" si="3"/>
        <v>1714240.9713883556</v>
      </c>
      <c r="O29" s="896"/>
    </row>
    <row r="30" spans="1:17" ht="15" hidden="1" outlineLevel="1">
      <c r="A30" s="647"/>
      <c r="B30" s="667">
        <v>42004</v>
      </c>
      <c r="C30" s="693"/>
      <c r="D30" s="691">
        <f t="shared" si="4"/>
        <v>3210919.6369793862</v>
      </c>
      <c r="E30" s="691">
        <f t="shared" si="13"/>
        <v>3210919.6369793862</v>
      </c>
      <c r="F30" s="691">
        <f>(D29+G29)/47</f>
        <v>56112.634087998551</v>
      </c>
      <c r="G30" s="691">
        <f t="shared" si="12"/>
        <v>-629738.46893145295</v>
      </c>
      <c r="H30" s="691">
        <f>(G18+G30+SUM(G19:G29)*2)/24</f>
        <v>-353566.95147864375</v>
      </c>
      <c r="I30" s="691">
        <f>E30+H30</f>
        <v>2857352.6855007424</v>
      </c>
      <c r="J30" s="691">
        <f t="shared" si="1"/>
        <v>19639.42193079949</v>
      </c>
      <c r="K30" s="691">
        <f t="shared" si="0"/>
        <v>-903413.4088167767</v>
      </c>
      <c r="L30" s="691">
        <f t="shared" si="11"/>
        <v>-1000073.4399252599</v>
      </c>
      <c r="M30" s="672">
        <f>L30+I30</f>
        <v>1857279.2455754825</v>
      </c>
      <c r="N30" s="694">
        <f t="shared" si="3"/>
        <v>1677767.7592311567</v>
      </c>
      <c r="O30" s="896"/>
    </row>
    <row r="31" spans="1:17" ht="15" hidden="1" outlineLevel="1">
      <c r="A31" s="647"/>
      <c r="B31" s="667">
        <v>42035</v>
      </c>
      <c r="C31" s="693"/>
      <c r="D31" s="691">
        <f t="shared" si="4"/>
        <v>3210919.6369793862</v>
      </c>
      <c r="E31" s="691">
        <f t="shared" si="13"/>
        <v>3210919.6369793862</v>
      </c>
      <c r="F31" s="691">
        <f t="shared" ref="F31:F76" si="15">F30</f>
        <v>56112.634087998551</v>
      </c>
      <c r="G31" s="691">
        <f t="shared" si="12"/>
        <v>-685851.10301945149</v>
      </c>
      <c r="H31" s="691">
        <f t="shared" si="14"/>
        <v>-399123.7738581209</v>
      </c>
      <c r="I31" s="691">
        <f t="shared" si="6"/>
        <v>2811795.8631212655</v>
      </c>
      <c r="J31" s="691">
        <f t="shared" si="1"/>
        <v>19639.42193079949</v>
      </c>
      <c r="K31" s="691">
        <f t="shared" si="0"/>
        <v>-883773.98688597721</v>
      </c>
      <c r="L31" s="691">
        <f t="shared" si="11"/>
        <v>-984128.5520924431</v>
      </c>
      <c r="M31" s="672">
        <f t="shared" si="10"/>
        <v>1827667.3110288223</v>
      </c>
      <c r="N31" s="671">
        <f t="shared" si="3"/>
        <v>1641294.5470739573</v>
      </c>
      <c r="O31" s="896"/>
    </row>
    <row r="32" spans="1:17" s="109" customFormat="1" ht="15" hidden="1" outlineLevel="1">
      <c r="A32" s="647"/>
      <c r="B32" s="667">
        <v>42063</v>
      </c>
      <c r="C32" s="693"/>
      <c r="D32" s="691">
        <f t="shared" si="4"/>
        <v>3210919.6369793862</v>
      </c>
      <c r="E32" s="691">
        <f t="shared" si="13"/>
        <v>3210919.6369793862</v>
      </c>
      <c r="F32" s="691">
        <f t="shared" si="15"/>
        <v>56112.634087998551</v>
      </c>
      <c r="G32" s="691">
        <f t="shared" si="12"/>
        <v>-741963.73710745003</v>
      </c>
      <c r="H32" s="691">
        <f t="shared" si="14"/>
        <v>-445746.19762645388</v>
      </c>
      <c r="I32" s="691">
        <f t="shared" si="6"/>
        <v>2765173.4393529324</v>
      </c>
      <c r="J32" s="691">
        <f t="shared" si="1"/>
        <v>19639.42193079949</v>
      </c>
      <c r="K32" s="691">
        <f t="shared" si="0"/>
        <v>-864134.56495517772</v>
      </c>
      <c r="L32" s="691">
        <f t="shared" si="11"/>
        <v>-967810.70377352647</v>
      </c>
      <c r="M32" s="672">
        <f t="shared" si="10"/>
        <v>1797362.7355794059</v>
      </c>
      <c r="N32" s="694">
        <f t="shared" si="3"/>
        <v>1604821.3349167584</v>
      </c>
      <c r="O32" s="896"/>
    </row>
    <row r="33" spans="1:16" ht="15" hidden="1" outlineLevel="1">
      <c r="A33" s="647"/>
      <c r="B33" s="667">
        <v>42094</v>
      </c>
      <c r="C33" s="693"/>
      <c r="D33" s="691">
        <f t="shared" si="4"/>
        <v>3210919.6369793862</v>
      </c>
      <c r="E33" s="691">
        <f t="shared" si="13"/>
        <v>3210919.6369793862</v>
      </c>
      <c r="F33" s="691">
        <f t="shared" si="15"/>
        <v>56112.634087998551</v>
      </c>
      <c r="G33" s="691">
        <f t="shared" si="2"/>
        <v>-798076.37119544856</v>
      </c>
      <c r="H33" s="691">
        <f t="shared" si="14"/>
        <v>-493367.59090212011</v>
      </c>
      <c r="I33" s="691">
        <f t="shared" si="6"/>
        <v>2717552.0460772663</v>
      </c>
      <c r="J33" s="691">
        <f t="shared" si="1"/>
        <v>19639.42193079949</v>
      </c>
      <c r="K33" s="691">
        <f t="shared" si="0"/>
        <v>-844495.14302437822</v>
      </c>
      <c r="L33" s="691">
        <f t="shared" si="11"/>
        <v>-951143.21612704347</v>
      </c>
      <c r="M33" s="672">
        <f t="shared" si="10"/>
        <v>1766408.8299502227</v>
      </c>
      <c r="N33" s="671">
        <f t="shared" si="3"/>
        <v>1568348.1227595594</v>
      </c>
      <c r="O33" s="896"/>
    </row>
    <row r="34" spans="1:16" s="109" customFormat="1" ht="15" hidden="1" outlineLevel="1">
      <c r="A34" s="647"/>
      <c r="B34" s="667">
        <v>42124</v>
      </c>
      <c r="C34" s="693"/>
      <c r="D34" s="691">
        <f t="shared" si="4"/>
        <v>3210919.6369793862</v>
      </c>
      <c r="E34" s="691">
        <f t="shared" si="13"/>
        <v>3210919.6369793862</v>
      </c>
      <c r="F34" s="691">
        <f t="shared" si="15"/>
        <v>56112.634087998551</v>
      </c>
      <c r="G34" s="691">
        <f t="shared" si="2"/>
        <v>-854189.0052834471</v>
      </c>
      <c r="H34" s="691">
        <f t="shared" si="14"/>
        <v>-541987.95368511963</v>
      </c>
      <c r="I34" s="691">
        <f t="shared" si="6"/>
        <v>2668931.6832942665</v>
      </c>
      <c r="J34" s="691">
        <f t="shared" si="1"/>
        <v>19639.42193079949</v>
      </c>
      <c r="K34" s="691">
        <f t="shared" si="0"/>
        <v>-824855.72109357873</v>
      </c>
      <c r="L34" s="691">
        <f t="shared" si="11"/>
        <v>-934126.08915299329</v>
      </c>
      <c r="M34" s="672">
        <f t="shared" si="10"/>
        <v>1734805.5941412733</v>
      </c>
      <c r="N34" s="694">
        <f t="shared" si="3"/>
        <v>1531874.9106023605</v>
      </c>
      <c r="O34" s="896"/>
    </row>
    <row r="35" spans="1:16" s="109" customFormat="1" ht="15" hidden="1" outlineLevel="1">
      <c r="A35" s="647"/>
      <c r="B35" s="667">
        <v>42155</v>
      </c>
      <c r="C35" s="693"/>
      <c r="D35" s="691">
        <f t="shared" si="4"/>
        <v>3210919.6369793862</v>
      </c>
      <c r="E35" s="691">
        <f t="shared" si="13"/>
        <v>3210919.6369793862</v>
      </c>
      <c r="F35" s="691">
        <f t="shared" si="15"/>
        <v>56112.634087998551</v>
      </c>
      <c r="G35" s="691">
        <f t="shared" si="2"/>
        <v>-910301.63937144564</v>
      </c>
      <c r="H35" s="691">
        <f t="shared" si="14"/>
        <v>-591607.28597545216</v>
      </c>
      <c r="I35" s="691">
        <f t="shared" si="6"/>
        <v>2619312.3510039342</v>
      </c>
      <c r="J35" s="691">
        <f t="shared" si="1"/>
        <v>19639.42193079949</v>
      </c>
      <c r="K35" s="691">
        <f t="shared" si="0"/>
        <v>-805216.29916277924</v>
      </c>
      <c r="L35" s="691">
        <f t="shared" si="11"/>
        <v>-916759.32285137696</v>
      </c>
      <c r="M35" s="672">
        <f t="shared" si="10"/>
        <v>1702553.0281525571</v>
      </c>
      <c r="N35" s="694">
        <f t="shared" si="3"/>
        <v>1495401.6984451616</v>
      </c>
      <c r="O35" s="896"/>
    </row>
    <row r="36" spans="1:16" ht="15" hidden="1" outlineLevel="1">
      <c r="A36" s="647"/>
      <c r="B36" s="667">
        <v>42185</v>
      </c>
      <c r="C36" s="693"/>
      <c r="D36" s="691">
        <f t="shared" si="4"/>
        <v>3210919.6369793862</v>
      </c>
      <c r="E36" s="691">
        <f t="shared" si="13"/>
        <v>3210919.6369793862</v>
      </c>
      <c r="F36" s="691">
        <f t="shared" si="15"/>
        <v>56112.634087998551</v>
      </c>
      <c r="G36" s="691">
        <f t="shared" si="2"/>
        <v>-966414.27345944417</v>
      </c>
      <c r="H36" s="691">
        <f t="shared" si="14"/>
        <v>-642225.58777311805</v>
      </c>
      <c r="I36" s="691">
        <f t="shared" si="6"/>
        <v>2568694.049206268</v>
      </c>
      <c r="J36" s="691">
        <f t="shared" si="1"/>
        <v>19639.42193079949</v>
      </c>
      <c r="K36" s="691">
        <f t="shared" si="0"/>
        <v>-785576.87723197974</v>
      </c>
      <c r="L36" s="691">
        <f t="shared" si="11"/>
        <v>-899042.91722219391</v>
      </c>
      <c r="M36" s="672">
        <f t="shared" si="10"/>
        <v>1669651.1319840741</v>
      </c>
      <c r="N36" s="671">
        <f t="shared" si="3"/>
        <v>1458928.4862879622</v>
      </c>
      <c r="O36" s="896"/>
    </row>
    <row r="37" spans="1:16" s="109" customFormat="1" ht="15" hidden="1" outlineLevel="1">
      <c r="A37" s="647"/>
      <c r="B37" s="667">
        <v>42216</v>
      </c>
      <c r="C37" s="691"/>
      <c r="D37" s="691">
        <f t="shared" si="4"/>
        <v>3210919.6369793862</v>
      </c>
      <c r="E37" s="691">
        <f>(D25+D37+SUM(D26:D36)*2)/24</f>
        <v>3210919.6369793862</v>
      </c>
      <c r="F37" s="691">
        <f t="shared" si="15"/>
        <v>56112.634087998551</v>
      </c>
      <c r="G37" s="691">
        <f t="shared" si="2"/>
        <v>-1022526.9075474427</v>
      </c>
      <c r="H37" s="691">
        <f>(G25+G37+SUM(G26:G36)*2)/24</f>
        <v>-693842.85907811706</v>
      </c>
      <c r="I37" s="691">
        <f t="shared" si="6"/>
        <v>2517076.777901269</v>
      </c>
      <c r="J37" s="691">
        <f t="shared" si="1"/>
        <v>19639.42193079949</v>
      </c>
      <c r="K37" s="691">
        <f t="shared" si="0"/>
        <v>-765937.45530118025</v>
      </c>
      <c r="L37" s="691">
        <f>(K25+K37+SUM(K26:K36)*2)/24</f>
        <v>-880976.87226544414</v>
      </c>
      <c r="M37" s="672">
        <f>L37+I37</f>
        <v>1636099.9056358249</v>
      </c>
      <c r="N37" s="694">
        <f t="shared" si="3"/>
        <v>1422455.2741307633</v>
      </c>
      <c r="O37" s="896"/>
    </row>
    <row r="38" spans="1:16" ht="15" hidden="1" outlineLevel="1">
      <c r="A38" s="647"/>
      <c r="B38" s="667">
        <v>42247</v>
      </c>
      <c r="C38" s="691"/>
      <c r="D38" s="691">
        <f t="shared" si="4"/>
        <v>3210919.6369793862</v>
      </c>
      <c r="E38" s="691">
        <f t="shared" ref="E38:E88" si="16">(D26+D38+SUM(D27:D37)*2)/24</f>
        <v>3210919.6369793862</v>
      </c>
      <c r="F38" s="691">
        <f t="shared" si="15"/>
        <v>56112.634087998551</v>
      </c>
      <c r="G38" s="691">
        <f t="shared" si="2"/>
        <v>-1078639.5416354414</v>
      </c>
      <c r="H38" s="691">
        <f t="shared" ref="H38:H100" si="17">(G26+G38+SUM(G27:G37)*2)/24</f>
        <v>-746459.09989044943</v>
      </c>
      <c r="I38" s="691">
        <f t="shared" si="6"/>
        <v>2464460.5370889367</v>
      </c>
      <c r="J38" s="691">
        <f t="shared" si="1"/>
        <v>19639.42193079949</v>
      </c>
      <c r="K38" s="695">
        <f t="shared" si="0"/>
        <v>-746298.03337038076</v>
      </c>
      <c r="L38" s="691">
        <f>(K26+K38+SUM(K27:K37)*2)/24</f>
        <v>-862561.18798112788</v>
      </c>
      <c r="M38" s="672">
        <f t="shared" ref="M38:M100" si="18">L38+I38</f>
        <v>1601899.3491078089</v>
      </c>
      <c r="N38" s="671">
        <f t="shared" si="3"/>
        <v>1385982.0619735639</v>
      </c>
      <c r="O38" s="896"/>
    </row>
    <row r="39" spans="1:16" ht="15" hidden="1" outlineLevel="1">
      <c r="A39" s="647"/>
      <c r="B39" s="667">
        <v>42277</v>
      </c>
      <c r="C39" s="691"/>
      <c r="D39" s="691">
        <f t="shared" si="4"/>
        <v>3210919.6369793862</v>
      </c>
      <c r="E39" s="691">
        <f t="shared" si="16"/>
        <v>3210919.6369793862</v>
      </c>
      <c r="F39" s="691">
        <f t="shared" si="15"/>
        <v>56112.634087998551</v>
      </c>
      <c r="G39" s="691">
        <f t="shared" si="2"/>
        <v>-1134752.17572344</v>
      </c>
      <c r="H39" s="691">
        <f t="shared" si="17"/>
        <v>-800074.31021011481</v>
      </c>
      <c r="I39" s="691">
        <f t="shared" si="6"/>
        <v>2410845.3267692714</v>
      </c>
      <c r="J39" s="691">
        <f t="shared" si="1"/>
        <v>19639.42193079949</v>
      </c>
      <c r="K39" s="695">
        <f t="shared" si="0"/>
        <v>-726658.61143958126</v>
      </c>
      <c r="L39" s="691">
        <f>(K27+K39+SUM(K28:K38)*2)/24</f>
        <v>-843795.8643692449</v>
      </c>
      <c r="M39" s="672">
        <f t="shared" si="18"/>
        <v>1567049.4624000266</v>
      </c>
      <c r="N39" s="671">
        <f t="shared" si="3"/>
        <v>1349508.8498163649</v>
      </c>
      <c r="O39" s="896"/>
    </row>
    <row r="40" spans="1:16" ht="15" hidden="1" outlineLevel="1">
      <c r="A40" s="647"/>
      <c r="B40" s="667">
        <v>42308</v>
      </c>
      <c r="C40" s="691"/>
      <c r="D40" s="691">
        <f t="shared" si="4"/>
        <v>3210919.6369793862</v>
      </c>
      <c r="E40" s="691">
        <f t="shared" si="16"/>
        <v>3210919.6369793862</v>
      </c>
      <c r="F40" s="691">
        <f t="shared" si="15"/>
        <v>56112.634087998551</v>
      </c>
      <c r="G40" s="691">
        <f t="shared" si="2"/>
        <v>-1190864.8098114387</v>
      </c>
      <c r="H40" s="691">
        <f t="shared" si="17"/>
        <v>-854688.49003711378</v>
      </c>
      <c r="I40" s="691">
        <f t="shared" si="6"/>
        <v>2356231.1469422723</v>
      </c>
      <c r="J40" s="691">
        <f t="shared" si="1"/>
        <v>19639.42193079949</v>
      </c>
      <c r="K40" s="695">
        <f t="shared" si="0"/>
        <v>-707019.18950878177</v>
      </c>
      <c r="L40" s="691">
        <f>(K28+K40+SUM(K29:K39)*2)/24</f>
        <v>-824680.90142979554</v>
      </c>
      <c r="M40" s="672">
        <f t="shared" si="18"/>
        <v>1531550.2455124767</v>
      </c>
      <c r="N40" s="694">
        <f t="shared" si="3"/>
        <v>1313035.6376591658</v>
      </c>
      <c r="O40" s="896"/>
    </row>
    <row r="41" spans="1:16" ht="15" hidden="1" outlineLevel="1">
      <c r="A41" s="647"/>
      <c r="B41" s="667">
        <v>42338</v>
      </c>
      <c r="C41" s="691"/>
      <c r="D41" s="691">
        <f t="shared" si="4"/>
        <v>3210919.6369793862</v>
      </c>
      <c r="E41" s="691">
        <f t="shared" si="16"/>
        <v>3210919.6369793862</v>
      </c>
      <c r="F41" s="691">
        <f t="shared" si="15"/>
        <v>56112.634087998551</v>
      </c>
      <c r="G41" s="691">
        <f t="shared" si="2"/>
        <v>-1246977.4438994373</v>
      </c>
      <c r="H41" s="691">
        <f t="shared" si="17"/>
        <v>-910301.63937144575</v>
      </c>
      <c r="I41" s="691">
        <f t="shared" si="6"/>
        <v>2300617.9976079403</v>
      </c>
      <c r="J41" s="691">
        <f t="shared" si="1"/>
        <v>19639.42193079949</v>
      </c>
      <c r="K41" s="695">
        <f t="shared" si="0"/>
        <v>-687379.76757798227</v>
      </c>
      <c r="L41" s="691">
        <f t="shared" ref="L41:L100" si="19">(K29+K41+SUM(K30:K40)*2)/24</f>
        <v>-805216.29916277935</v>
      </c>
      <c r="M41" s="672">
        <f t="shared" si="18"/>
        <v>1495401.6984451609</v>
      </c>
      <c r="N41" s="694">
        <f t="shared" si="3"/>
        <v>1276562.4255019666</v>
      </c>
      <c r="O41" s="896"/>
    </row>
    <row r="42" spans="1:16" ht="15" hidden="1" outlineLevel="1">
      <c r="A42" s="647"/>
      <c r="B42" s="667">
        <v>42369</v>
      </c>
      <c r="C42" s="691"/>
      <c r="D42" s="691">
        <f t="shared" si="4"/>
        <v>3210919.6369793862</v>
      </c>
      <c r="E42" s="691">
        <f t="shared" si="16"/>
        <v>3210919.6369793862</v>
      </c>
      <c r="F42" s="691">
        <f t="shared" si="15"/>
        <v>56112.634087998551</v>
      </c>
      <c r="G42" s="691">
        <f t="shared" si="2"/>
        <v>-1303090.077987436</v>
      </c>
      <c r="H42" s="691">
        <f t="shared" si="17"/>
        <v>-966414.27345944429</v>
      </c>
      <c r="I42" s="691">
        <f t="shared" si="6"/>
        <v>2244505.3635199419</v>
      </c>
      <c r="J42" s="691">
        <f t="shared" si="1"/>
        <v>19639.42193079949</v>
      </c>
      <c r="K42" s="695">
        <f t="shared" si="0"/>
        <v>-667740.34564718278</v>
      </c>
      <c r="L42" s="691">
        <f t="shared" si="19"/>
        <v>-785576.87723197974</v>
      </c>
      <c r="M42" s="672">
        <f t="shared" si="18"/>
        <v>1458928.4862879622</v>
      </c>
      <c r="N42" s="671">
        <f t="shared" si="3"/>
        <v>1240089.2133447675</v>
      </c>
      <c r="O42" s="896"/>
    </row>
    <row r="43" spans="1:16" hidden="1" outlineLevel="1">
      <c r="A43" s="634"/>
      <c r="B43" s="516">
        <v>42400</v>
      </c>
      <c r="C43" s="517"/>
      <c r="D43" s="919">
        <f t="shared" si="4"/>
        <v>3210919.6369793862</v>
      </c>
      <c r="E43" s="919">
        <f t="shared" si="16"/>
        <v>3210919.6369793862</v>
      </c>
      <c r="F43" s="919">
        <f>F42</f>
        <v>56112.634087998551</v>
      </c>
      <c r="G43" s="919">
        <f t="shared" si="2"/>
        <v>-1359202.7120754346</v>
      </c>
      <c r="H43" s="919">
        <f t="shared" si="17"/>
        <v>-1022526.9075474428</v>
      </c>
      <c r="I43" s="919">
        <f t="shared" si="6"/>
        <v>2188392.7294319435</v>
      </c>
      <c r="J43" s="919">
        <f t="shared" si="1"/>
        <v>19639.42193079949</v>
      </c>
      <c r="K43" s="922">
        <f t="shared" si="0"/>
        <v>-648100.92371638329</v>
      </c>
      <c r="L43" s="919">
        <f t="shared" si="19"/>
        <v>-765937.45530118037</v>
      </c>
      <c r="M43" s="920">
        <f t="shared" si="18"/>
        <v>1422455.274130763</v>
      </c>
      <c r="N43" s="926">
        <f t="shared" si="3"/>
        <v>1203616.0011875683</v>
      </c>
      <c r="O43" s="896"/>
      <c r="P43" s="109"/>
    </row>
    <row r="44" spans="1:16" ht="15" hidden="1" outlineLevel="1">
      <c r="A44" s="633"/>
      <c r="B44" s="516">
        <v>42428</v>
      </c>
      <c r="C44" s="518"/>
      <c r="D44" s="919">
        <f t="shared" si="4"/>
        <v>3210919.6369793862</v>
      </c>
      <c r="E44" s="919">
        <f t="shared" si="16"/>
        <v>3210919.6369793862</v>
      </c>
      <c r="F44" s="919">
        <f t="shared" si="15"/>
        <v>56112.634087998551</v>
      </c>
      <c r="G44" s="919">
        <f t="shared" si="2"/>
        <v>-1415315.3461634333</v>
      </c>
      <c r="H44" s="919">
        <f t="shared" si="17"/>
        <v>-1078639.5416354416</v>
      </c>
      <c r="I44" s="919">
        <f t="shared" si="6"/>
        <v>2132280.0953439446</v>
      </c>
      <c r="J44" s="919">
        <f t="shared" si="1"/>
        <v>19639.42193079949</v>
      </c>
      <c r="K44" s="922">
        <f t="shared" si="0"/>
        <v>-628461.50178558379</v>
      </c>
      <c r="L44" s="919">
        <f t="shared" si="19"/>
        <v>-746298.03337038076</v>
      </c>
      <c r="M44" s="920">
        <f t="shared" si="18"/>
        <v>1385982.0619735639</v>
      </c>
      <c r="N44" s="921">
        <f t="shared" si="3"/>
        <v>1167142.7890303691</v>
      </c>
      <c r="O44" s="896"/>
    </row>
    <row r="45" spans="1:16" s="109" customFormat="1" hidden="1" outlineLevel="1">
      <c r="A45" s="927"/>
      <c r="B45" s="516">
        <v>42460</v>
      </c>
      <c r="C45" s="15"/>
      <c r="D45" s="919">
        <f t="shared" si="4"/>
        <v>3210919.6369793862</v>
      </c>
      <c r="E45" s="919">
        <f t="shared" si="16"/>
        <v>3210919.6369793862</v>
      </c>
      <c r="F45" s="919">
        <f t="shared" si="15"/>
        <v>56112.634087998551</v>
      </c>
      <c r="G45" s="919">
        <f t="shared" si="2"/>
        <v>-1471427.9802514319</v>
      </c>
      <c r="H45" s="919">
        <f t="shared" si="17"/>
        <v>-1134752.1757234402</v>
      </c>
      <c r="I45" s="919">
        <f t="shared" si="6"/>
        <v>2076167.461255946</v>
      </c>
      <c r="J45" s="919">
        <f t="shared" si="1"/>
        <v>19639.42193079949</v>
      </c>
      <c r="K45" s="922">
        <f t="shared" si="0"/>
        <v>-608822.0798547843</v>
      </c>
      <c r="L45" s="919">
        <f t="shared" si="19"/>
        <v>-726658.61143958138</v>
      </c>
      <c r="M45" s="920">
        <f t="shared" si="18"/>
        <v>1349508.8498163647</v>
      </c>
      <c r="N45" s="926">
        <f t="shared" si="3"/>
        <v>1130669.57687317</v>
      </c>
      <c r="O45" s="896"/>
    </row>
    <row r="46" spans="1:16" hidden="1" outlineLevel="1">
      <c r="A46" s="683"/>
      <c r="B46" s="516">
        <v>42490</v>
      </c>
      <c r="C46" s="15"/>
      <c r="D46" s="919">
        <f t="shared" si="4"/>
        <v>3210919.6369793862</v>
      </c>
      <c r="E46" s="919">
        <f t="shared" si="16"/>
        <v>3210919.6369793862</v>
      </c>
      <c r="F46" s="919">
        <f t="shared" si="15"/>
        <v>56112.634087998551</v>
      </c>
      <c r="G46" s="919">
        <f t="shared" si="2"/>
        <v>-1527540.6143394306</v>
      </c>
      <c r="H46" s="919">
        <f t="shared" si="17"/>
        <v>-1190864.8098114387</v>
      </c>
      <c r="I46" s="919">
        <f t="shared" si="6"/>
        <v>2020054.8271679475</v>
      </c>
      <c r="J46" s="919">
        <f t="shared" si="1"/>
        <v>19639.42193079949</v>
      </c>
      <c r="K46" s="922">
        <f t="shared" si="0"/>
        <v>-589182.65792398481</v>
      </c>
      <c r="L46" s="919">
        <f t="shared" si="19"/>
        <v>-707019.18950878177</v>
      </c>
      <c r="M46" s="920">
        <f t="shared" si="18"/>
        <v>1313035.6376591658</v>
      </c>
      <c r="N46" s="921">
        <f t="shared" si="3"/>
        <v>1094196.3647159708</v>
      </c>
      <c r="O46" s="896"/>
    </row>
    <row r="47" spans="1:16" s="109" customFormat="1" hidden="1" outlineLevel="1">
      <c r="A47" s="927"/>
      <c r="B47" s="516">
        <v>42521</v>
      </c>
      <c r="C47" s="15"/>
      <c r="D47" s="919">
        <f t="shared" si="4"/>
        <v>3210919.6369793862</v>
      </c>
      <c r="E47" s="919">
        <f t="shared" si="16"/>
        <v>3210919.6369793862</v>
      </c>
      <c r="F47" s="919">
        <f t="shared" si="15"/>
        <v>56112.634087998551</v>
      </c>
      <c r="G47" s="919">
        <f t="shared" si="2"/>
        <v>-1583653.2484274292</v>
      </c>
      <c r="H47" s="919">
        <f t="shared" si="17"/>
        <v>-1246977.4438994373</v>
      </c>
      <c r="I47" s="919">
        <f t="shared" si="6"/>
        <v>1963942.1930799489</v>
      </c>
      <c r="J47" s="919">
        <f t="shared" si="1"/>
        <v>19639.42193079949</v>
      </c>
      <c r="K47" s="922">
        <f t="shared" si="0"/>
        <v>-569543.23599318531</v>
      </c>
      <c r="L47" s="919">
        <f t="shared" si="19"/>
        <v>-687379.76757798227</v>
      </c>
      <c r="M47" s="920">
        <f t="shared" si="18"/>
        <v>1276562.4255019666</v>
      </c>
      <c r="N47" s="926">
        <f t="shared" si="3"/>
        <v>1057723.1525587717</v>
      </c>
      <c r="O47" s="331"/>
    </row>
    <row r="48" spans="1:16" s="109" customFormat="1" hidden="1" outlineLevel="1">
      <c r="A48" s="927"/>
      <c r="B48" s="519">
        <v>42551</v>
      </c>
      <c r="C48" s="15"/>
      <c r="D48" s="919">
        <f t="shared" si="4"/>
        <v>3210919.6369793862</v>
      </c>
      <c r="E48" s="919">
        <f t="shared" si="16"/>
        <v>3210919.6369793862</v>
      </c>
      <c r="F48" s="919">
        <f t="shared" si="15"/>
        <v>56112.634087998551</v>
      </c>
      <c r="G48" s="919">
        <f t="shared" si="2"/>
        <v>-1639765.8825154279</v>
      </c>
      <c r="H48" s="919">
        <f t="shared" si="17"/>
        <v>-1303090.077987436</v>
      </c>
      <c r="I48" s="919">
        <f t="shared" si="6"/>
        <v>1907829.5589919502</v>
      </c>
      <c r="J48" s="919">
        <f t="shared" si="1"/>
        <v>19639.42193079949</v>
      </c>
      <c r="K48" s="922">
        <f t="shared" si="0"/>
        <v>-549903.81406238582</v>
      </c>
      <c r="L48" s="919">
        <f t="shared" si="19"/>
        <v>-667740.34564718278</v>
      </c>
      <c r="M48" s="920">
        <f t="shared" si="18"/>
        <v>1240089.2133447675</v>
      </c>
      <c r="N48" s="926">
        <f t="shared" si="3"/>
        <v>1021249.9404015725</v>
      </c>
      <c r="O48" s="331"/>
    </row>
    <row r="49" spans="1:15" s="109" customFormat="1" hidden="1" outlineLevel="1">
      <c r="A49" s="927"/>
      <c r="B49" s="516">
        <v>42582</v>
      </c>
      <c r="C49" s="15"/>
      <c r="D49" s="919">
        <f t="shared" si="4"/>
        <v>3210919.6369793862</v>
      </c>
      <c r="E49" s="919">
        <f t="shared" si="16"/>
        <v>3210919.6369793862</v>
      </c>
      <c r="F49" s="919">
        <f t="shared" si="15"/>
        <v>56112.634087998551</v>
      </c>
      <c r="G49" s="919">
        <f t="shared" si="2"/>
        <v>-1695878.5166034265</v>
      </c>
      <c r="H49" s="919">
        <f t="shared" si="17"/>
        <v>-1359202.7120754344</v>
      </c>
      <c r="I49" s="919">
        <f t="shared" si="6"/>
        <v>1851716.9249039518</v>
      </c>
      <c r="J49" s="919">
        <f t="shared" si="1"/>
        <v>19639.42193079949</v>
      </c>
      <c r="K49" s="922">
        <f t="shared" si="0"/>
        <v>-530264.39213158633</v>
      </c>
      <c r="L49" s="919">
        <f t="shared" si="19"/>
        <v>-648100.9237163834</v>
      </c>
      <c r="M49" s="920">
        <f t="shared" si="18"/>
        <v>1203616.0011875685</v>
      </c>
      <c r="N49" s="926">
        <f t="shared" si="3"/>
        <v>984776.72824437334</v>
      </c>
      <c r="O49" s="331"/>
    </row>
    <row r="50" spans="1:15" hidden="1" outlineLevel="1">
      <c r="A50" s="683"/>
      <c r="B50" s="516">
        <v>42613</v>
      </c>
      <c r="C50" s="15"/>
      <c r="D50" s="919">
        <f t="shared" si="4"/>
        <v>3210919.6369793862</v>
      </c>
      <c r="E50" s="919">
        <f t="shared" si="16"/>
        <v>3210919.6369793862</v>
      </c>
      <c r="F50" s="919">
        <f t="shared" si="15"/>
        <v>56112.634087998551</v>
      </c>
      <c r="G50" s="919">
        <f t="shared" si="2"/>
        <v>-1751991.1506914252</v>
      </c>
      <c r="H50" s="919">
        <f t="shared" si="17"/>
        <v>-1415315.3461634333</v>
      </c>
      <c r="I50" s="919">
        <f t="shared" si="6"/>
        <v>1795604.2908159529</v>
      </c>
      <c r="J50" s="919">
        <f t="shared" si="1"/>
        <v>19639.42193079949</v>
      </c>
      <c r="K50" s="922">
        <f t="shared" si="0"/>
        <v>-510624.97020078683</v>
      </c>
      <c r="L50" s="919">
        <f t="shared" si="19"/>
        <v>-628461.50178558391</v>
      </c>
      <c r="M50" s="920">
        <f t="shared" si="18"/>
        <v>1167142.7890303689</v>
      </c>
      <c r="N50" s="921">
        <f t="shared" si="3"/>
        <v>948303.51608717418</v>
      </c>
    </row>
    <row r="51" spans="1:15" hidden="1" outlineLevel="1">
      <c r="A51" s="927"/>
      <c r="B51" s="516">
        <v>42643</v>
      </c>
      <c r="C51" s="15"/>
      <c r="D51" s="919">
        <f t="shared" si="4"/>
        <v>3210919.6369793862</v>
      </c>
      <c r="E51" s="919">
        <f t="shared" si="16"/>
        <v>3210919.6369793862</v>
      </c>
      <c r="F51" s="919">
        <f t="shared" si="15"/>
        <v>56112.634087998551</v>
      </c>
      <c r="G51" s="919">
        <f t="shared" si="2"/>
        <v>-1808103.7847794238</v>
      </c>
      <c r="H51" s="919">
        <f t="shared" si="17"/>
        <v>-1471427.9802514322</v>
      </c>
      <c r="I51" s="919">
        <f t="shared" si="6"/>
        <v>1739491.656727954</v>
      </c>
      <c r="J51" s="919">
        <f t="shared" si="1"/>
        <v>19639.42193079949</v>
      </c>
      <c r="K51" s="922">
        <f t="shared" si="0"/>
        <v>-490985.54826998734</v>
      </c>
      <c r="L51" s="919">
        <f t="shared" si="19"/>
        <v>-608822.07985478442</v>
      </c>
      <c r="M51" s="920">
        <f t="shared" si="18"/>
        <v>1130669.5768731697</v>
      </c>
      <c r="N51" s="921">
        <f t="shared" si="3"/>
        <v>911830.30392997502</v>
      </c>
    </row>
    <row r="52" spans="1:15" hidden="1" outlineLevel="1">
      <c r="A52" s="683"/>
      <c r="B52" s="516">
        <v>42674</v>
      </c>
      <c r="C52" s="133"/>
      <c r="D52" s="919">
        <f t="shared" si="4"/>
        <v>3210919.6369793862</v>
      </c>
      <c r="E52" s="919">
        <f t="shared" si="16"/>
        <v>3210919.6369793862</v>
      </c>
      <c r="F52" s="919">
        <f t="shared" si="15"/>
        <v>56112.634087998551</v>
      </c>
      <c r="G52" s="919">
        <f t="shared" si="2"/>
        <v>-1864216.4188674225</v>
      </c>
      <c r="H52" s="919">
        <f t="shared" si="17"/>
        <v>-1527540.6143394308</v>
      </c>
      <c r="I52" s="919">
        <f t="shared" si="6"/>
        <v>1683379.0226399554</v>
      </c>
      <c r="J52" s="919">
        <f t="shared" si="1"/>
        <v>19639.42193079949</v>
      </c>
      <c r="K52" s="922">
        <f t="shared" si="0"/>
        <v>-471346.12633918785</v>
      </c>
      <c r="L52" s="919">
        <f t="shared" si="19"/>
        <v>-589182.65792398481</v>
      </c>
      <c r="M52" s="920">
        <f t="shared" si="18"/>
        <v>1094196.3647159706</v>
      </c>
      <c r="N52" s="921">
        <f t="shared" si="3"/>
        <v>875357.09177277586</v>
      </c>
    </row>
    <row r="53" spans="1:15" hidden="1" outlineLevel="1">
      <c r="A53" s="683"/>
      <c r="B53" s="516">
        <v>42704</v>
      </c>
      <c r="C53" s="133"/>
      <c r="D53" s="919">
        <f t="shared" si="4"/>
        <v>3210919.6369793862</v>
      </c>
      <c r="E53" s="919">
        <f t="shared" si="16"/>
        <v>3210919.6369793862</v>
      </c>
      <c r="F53" s="919">
        <f t="shared" si="15"/>
        <v>56112.634087998551</v>
      </c>
      <c r="G53" s="919">
        <f t="shared" si="2"/>
        <v>-1920329.0529554212</v>
      </c>
      <c r="H53" s="919">
        <f t="shared" si="17"/>
        <v>-1583653.2484274292</v>
      </c>
      <c r="I53" s="919">
        <f t="shared" si="6"/>
        <v>1627266.388551957</v>
      </c>
      <c r="J53" s="919">
        <f t="shared" si="1"/>
        <v>19639.42193079949</v>
      </c>
      <c r="K53" s="922">
        <f t="shared" si="0"/>
        <v>-451706.70440838835</v>
      </c>
      <c r="L53" s="919">
        <f t="shared" si="19"/>
        <v>-569543.23599318531</v>
      </c>
      <c r="M53" s="920">
        <f t="shared" si="18"/>
        <v>1057723.1525587717</v>
      </c>
      <c r="N53" s="921">
        <f t="shared" si="3"/>
        <v>838883.8796155767</v>
      </c>
    </row>
    <row r="54" spans="1:15" hidden="1" outlineLevel="1">
      <c r="A54" s="683"/>
      <c r="B54" s="516">
        <v>42735</v>
      </c>
      <c r="C54" s="133"/>
      <c r="D54" s="919">
        <f t="shared" si="4"/>
        <v>3210919.6369793862</v>
      </c>
      <c r="E54" s="919">
        <f t="shared" si="16"/>
        <v>3210919.6369793862</v>
      </c>
      <c r="F54" s="919">
        <f t="shared" si="15"/>
        <v>56112.634087998551</v>
      </c>
      <c r="G54" s="919">
        <f t="shared" si="2"/>
        <v>-1976441.6870434198</v>
      </c>
      <c r="H54" s="919">
        <f t="shared" si="17"/>
        <v>-1639765.8825154279</v>
      </c>
      <c r="I54" s="919">
        <f t="shared" si="6"/>
        <v>1571153.7544639583</v>
      </c>
      <c r="J54" s="919">
        <f t="shared" si="1"/>
        <v>19639.42193079949</v>
      </c>
      <c r="K54" s="922">
        <f t="shared" si="0"/>
        <v>-432067.28247758886</v>
      </c>
      <c r="L54" s="919">
        <f t="shared" si="19"/>
        <v>-549903.81406238594</v>
      </c>
      <c r="M54" s="920">
        <f t="shared" si="18"/>
        <v>1021249.9404015724</v>
      </c>
      <c r="N54" s="921">
        <f t="shared" si="3"/>
        <v>802410.66745837755</v>
      </c>
    </row>
    <row r="55" spans="1:15" collapsed="1">
      <c r="A55" s="683"/>
      <c r="B55" s="516">
        <v>42766</v>
      </c>
      <c r="C55" s="133"/>
      <c r="D55" s="919">
        <f t="shared" si="4"/>
        <v>3210919.6369793862</v>
      </c>
      <c r="E55" s="919">
        <f t="shared" si="16"/>
        <v>3210919.6369793862</v>
      </c>
      <c r="F55" s="919">
        <f t="shared" si="15"/>
        <v>56112.634087998551</v>
      </c>
      <c r="G55" s="919">
        <f t="shared" si="2"/>
        <v>-2032554.3211314185</v>
      </c>
      <c r="H55" s="919">
        <f t="shared" si="17"/>
        <v>-1695878.5166034263</v>
      </c>
      <c r="I55" s="919">
        <f t="shared" si="6"/>
        <v>1515041.1203759599</v>
      </c>
      <c r="J55" s="919">
        <f t="shared" si="1"/>
        <v>19639.42193079949</v>
      </c>
      <c r="K55" s="922">
        <f t="shared" si="0"/>
        <v>-412427.86054678936</v>
      </c>
      <c r="L55" s="919">
        <f t="shared" si="19"/>
        <v>-530264.39213158633</v>
      </c>
      <c r="M55" s="920">
        <f t="shared" si="18"/>
        <v>984776.72824437357</v>
      </c>
      <c r="N55" s="921">
        <f t="shared" si="3"/>
        <v>765937.45530117839</v>
      </c>
    </row>
    <row r="56" spans="1:15">
      <c r="A56" s="683"/>
      <c r="B56" s="516">
        <v>42794</v>
      </c>
      <c r="C56" s="133"/>
      <c r="D56" s="919">
        <f t="shared" si="4"/>
        <v>3210919.6369793862</v>
      </c>
      <c r="E56" s="919">
        <f t="shared" si="16"/>
        <v>3210919.6369793862</v>
      </c>
      <c r="F56" s="919">
        <f t="shared" si="15"/>
        <v>56112.634087998551</v>
      </c>
      <c r="G56" s="919">
        <f t="shared" si="2"/>
        <v>-2088666.9552194171</v>
      </c>
      <c r="H56" s="919">
        <f t="shared" si="17"/>
        <v>-1751991.1506914252</v>
      </c>
      <c r="I56" s="919">
        <f t="shared" si="6"/>
        <v>1458928.486287961</v>
      </c>
      <c r="J56" s="919">
        <f t="shared" si="1"/>
        <v>19639.42193079949</v>
      </c>
      <c r="K56" s="922">
        <f t="shared" si="0"/>
        <v>-392788.43861598987</v>
      </c>
      <c r="L56" s="919">
        <f t="shared" si="19"/>
        <v>-510624.97020078683</v>
      </c>
      <c r="M56" s="920">
        <f t="shared" si="18"/>
        <v>948303.51608717418</v>
      </c>
      <c r="N56" s="921">
        <f t="shared" si="3"/>
        <v>729464.24314397923</v>
      </c>
    </row>
    <row r="57" spans="1:15">
      <c r="A57" s="683"/>
      <c r="B57" s="516">
        <v>42825</v>
      </c>
      <c r="C57" s="133"/>
      <c r="D57" s="919">
        <f t="shared" si="4"/>
        <v>3210919.6369793862</v>
      </c>
      <c r="E57" s="919">
        <f t="shared" si="16"/>
        <v>3210919.6369793862</v>
      </c>
      <c r="F57" s="919">
        <f t="shared" si="15"/>
        <v>56112.634087998551</v>
      </c>
      <c r="G57" s="919">
        <f t="shared" si="2"/>
        <v>-2144779.5893074158</v>
      </c>
      <c r="H57" s="919">
        <f t="shared" si="17"/>
        <v>-1808103.7847794238</v>
      </c>
      <c r="I57" s="919">
        <f t="shared" si="6"/>
        <v>1402815.8521999624</v>
      </c>
      <c r="J57" s="919">
        <f t="shared" si="1"/>
        <v>19639.42193079949</v>
      </c>
      <c r="K57" s="922">
        <f t="shared" si="0"/>
        <v>-373149.01668519038</v>
      </c>
      <c r="L57" s="919">
        <f t="shared" si="19"/>
        <v>-490985.54826998728</v>
      </c>
      <c r="M57" s="920">
        <f t="shared" si="18"/>
        <v>911830.30392997502</v>
      </c>
      <c r="N57" s="921">
        <f t="shared" si="3"/>
        <v>692991.03098678007</v>
      </c>
    </row>
    <row r="58" spans="1:15">
      <c r="A58" s="683"/>
      <c r="B58" s="516">
        <v>42855</v>
      </c>
      <c r="C58" s="133"/>
      <c r="D58" s="919">
        <f t="shared" si="4"/>
        <v>3210919.6369793862</v>
      </c>
      <c r="E58" s="919">
        <f t="shared" si="16"/>
        <v>3210919.6369793862</v>
      </c>
      <c r="F58" s="919">
        <f t="shared" si="15"/>
        <v>56112.634087998551</v>
      </c>
      <c r="G58" s="919">
        <f t="shared" si="2"/>
        <v>-2200892.2233954142</v>
      </c>
      <c r="H58" s="919">
        <f t="shared" si="17"/>
        <v>-1864216.4188674223</v>
      </c>
      <c r="I58" s="919">
        <f t="shared" si="6"/>
        <v>1346703.2181119639</v>
      </c>
      <c r="J58" s="919">
        <f t="shared" si="1"/>
        <v>19639.42193079949</v>
      </c>
      <c r="K58" s="922">
        <f t="shared" si="0"/>
        <v>-353509.59475439088</v>
      </c>
      <c r="L58" s="919">
        <f t="shared" si="19"/>
        <v>-471346.1263391879</v>
      </c>
      <c r="M58" s="920">
        <f t="shared" si="18"/>
        <v>875357.0917727761</v>
      </c>
      <c r="N58" s="921">
        <f t="shared" si="3"/>
        <v>656517.81882958114</v>
      </c>
    </row>
    <row r="59" spans="1:15">
      <c r="A59" s="683"/>
      <c r="B59" s="516">
        <v>42886</v>
      </c>
      <c r="C59" s="133"/>
      <c r="D59" s="919">
        <f t="shared" si="4"/>
        <v>3210919.6369793862</v>
      </c>
      <c r="E59" s="919">
        <f t="shared" si="16"/>
        <v>3210919.6369793862</v>
      </c>
      <c r="F59" s="919">
        <f t="shared" si="15"/>
        <v>56112.634087998551</v>
      </c>
      <c r="G59" s="919">
        <f t="shared" si="2"/>
        <v>-2257004.8574834126</v>
      </c>
      <c r="H59" s="919">
        <f t="shared" si="17"/>
        <v>-1920329.0529554214</v>
      </c>
      <c r="I59" s="919">
        <f t="shared" si="6"/>
        <v>1290590.5840239648</v>
      </c>
      <c r="J59" s="919">
        <f t="shared" si="1"/>
        <v>19639.42193079949</v>
      </c>
      <c r="K59" s="922">
        <f t="shared" si="0"/>
        <v>-333870.17282359139</v>
      </c>
      <c r="L59" s="919">
        <f t="shared" si="19"/>
        <v>-451706.70440838841</v>
      </c>
      <c r="M59" s="920">
        <f t="shared" si="18"/>
        <v>838883.87961557647</v>
      </c>
      <c r="N59" s="921">
        <f t="shared" si="3"/>
        <v>620044.60667238222</v>
      </c>
    </row>
    <row r="60" spans="1:15">
      <c r="A60" s="683"/>
      <c r="B60" s="519">
        <v>42916</v>
      </c>
      <c r="C60" s="133"/>
      <c r="D60" s="919">
        <f t="shared" si="4"/>
        <v>3210919.6369793862</v>
      </c>
      <c r="E60" s="919">
        <f t="shared" si="16"/>
        <v>3210919.6369793862</v>
      </c>
      <c r="F60" s="919">
        <f t="shared" si="15"/>
        <v>56112.634087998551</v>
      </c>
      <c r="G60" s="919">
        <f t="shared" si="2"/>
        <v>-2313117.491571411</v>
      </c>
      <c r="H60" s="919">
        <f t="shared" si="17"/>
        <v>-1976441.68704342</v>
      </c>
      <c r="I60" s="919">
        <f t="shared" si="6"/>
        <v>1234477.9499359662</v>
      </c>
      <c r="J60" s="919">
        <f t="shared" si="1"/>
        <v>19639.42193079949</v>
      </c>
      <c r="K60" s="922">
        <f t="shared" si="0"/>
        <v>-314230.7508927919</v>
      </c>
      <c r="L60" s="919">
        <f t="shared" si="19"/>
        <v>-432067.28247758886</v>
      </c>
      <c r="M60" s="920">
        <f t="shared" si="18"/>
        <v>802410.66745837731</v>
      </c>
      <c r="N60" s="921">
        <f t="shared" si="3"/>
        <v>583571.39451518329</v>
      </c>
    </row>
    <row r="61" spans="1:15">
      <c r="A61" s="683"/>
      <c r="B61" s="516">
        <v>42947</v>
      </c>
      <c r="C61" s="133"/>
      <c r="D61" s="919">
        <f t="shared" si="4"/>
        <v>3210919.6369793862</v>
      </c>
      <c r="E61" s="919">
        <f t="shared" si="16"/>
        <v>3210919.6369793862</v>
      </c>
      <c r="F61" s="919">
        <f t="shared" si="15"/>
        <v>56112.634087998551</v>
      </c>
      <c r="G61" s="919">
        <f t="shared" si="2"/>
        <v>-2369230.1256594094</v>
      </c>
      <c r="H61" s="919">
        <f t="shared" si="17"/>
        <v>-2032554.3211314185</v>
      </c>
      <c r="I61" s="919">
        <f t="shared" si="6"/>
        <v>1178365.3158479678</v>
      </c>
      <c r="J61" s="919">
        <f t="shared" si="1"/>
        <v>19639.42193079949</v>
      </c>
      <c r="K61" s="922">
        <f t="shared" si="0"/>
        <v>-294591.3289619924</v>
      </c>
      <c r="L61" s="919">
        <f t="shared" si="19"/>
        <v>-412427.86054678936</v>
      </c>
      <c r="M61" s="920">
        <f t="shared" si="18"/>
        <v>765937.45530117839</v>
      </c>
      <c r="N61" s="921">
        <f t="shared" si="3"/>
        <v>547098.18235798436</v>
      </c>
    </row>
    <row r="62" spans="1:15">
      <c r="A62" s="683"/>
      <c r="B62" s="516">
        <v>42978</v>
      </c>
      <c r="C62" s="133"/>
      <c r="D62" s="919">
        <f t="shared" si="4"/>
        <v>3210919.6369793862</v>
      </c>
      <c r="E62" s="919">
        <f t="shared" si="16"/>
        <v>3210919.6369793862</v>
      </c>
      <c r="F62" s="919">
        <f t="shared" si="15"/>
        <v>56112.634087998551</v>
      </c>
      <c r="G62" s="919">
        <f t="shared" si="2"/>
        <v>-2425342.7597474079</v>
      </c>
      <c r="H62" s="919">
        <f t="shared" si="17"/>
        <v>-2088666.9552194171</v>
      </c>
      <c r="I62" s="919">
        <f t="shared" si="6"/>
        <v>1122252.6817599691</v>
      </c>
      <c r="J62" s="919">
        <f t="shared" si="1"/>
        <v>19639.42193079949</v>
      </c>
      <c r="K62" s="922">
        <f t="shared" si="0"/>
        <v>-274951.90703119291</v>
      </c>
      <c r="L62" s="919">
        <f t="shared" si="19"/>
        <v>-392788.43861598993</v>
      </c>
      <c r="M62" s="920">
        <f t="shared" si="18"/>
        <v>729464.24314397923</v>
      </c>
      <c r="N62" s="921">
        <f t="shared" si="3"/>
        <v>510624.97020078544</v>
      </c>
    </row>
    <row r="63" spans="1:15">
      <c r="A63" s="683"/>
      <c r="B63" s="516">
        <v>43008</v>
      </c>
      <c r="C63" s="133"/>
      <c r="D63" s="919">
        <f t="shared" si="4"/>
        <v>3210919.6369793862</v>
      </c>
      <c r="E63" s="919">
        <f t="shared" si="16"/>
        <v>3210919.6369793862</v>
      </c>
      <c r="F63" s="919">
        <f t="shared" si="15"/>
        <v>56112.634087998551</v>
      </c>
      <c r="G63" s="919">
        <f t="shared" si="2"/>
        <v>-2481455.3938354063</v>
      </c>
      <c r="H63" s="919">
        <f t="shared" si="17"/>
        <v>-2144779.5893074158</v>
      </c>
      <c r="I63" s="919">
        <f t="shared" si="6"/>
        <v>1066140.0476719704</v>
      </c>
      <c r="J63" s="919">
        <f t="shared" si="1"/>
        <v>19639.42193079949</v>
      </c>
      <c r="K63" s="922">
        <f t="shared" si="0"/>
        <v>-255312.48510039342</v>
      </c>
      <c r="L63" s="919">
        <f t="shared" si="19"/>
        <v>-373149.01668519038</v>
      </c>
      <c r="M63" s="920">
        <f t="shared" si="18"/>
        <v>692991.03098678007</v>
      </c>
      <c r="N63" s="921">
        <f t="shared" si="3"/>
        <v>474151.75804358651</v>
      </c>
    </row>
    <row r="64" spans="1:15">
      <c r="A64" s="683"/>
      <c r="B64" s="516">
        <v>43039</v>
      </c>
      <c r="C64" s="133"/>
      <c r="D64" s="919">
        <f t="shared" si="4"/>
        <v>3210919.6369793862</v>
      </c>
      <c r="E64" s="919">
        <f t="shared" si="16"/>
        <v>3210919.6369793862</v>
      </c>
      <c r="F64" s="919">
        <f t="shared" si="15"/>
        <v>56112.634087998551</v>
      </c>
      <c r="G64" s="919">
        <f t="shared" si="2"/>
        <v>-2537568.0279234047</v>
      </c>
      <c r="H64" s="919">
        <f t="shared" si="17"/>
        <v>-2200892.2233954142</v>
      </c>
      <c r="I64" s="919">
        <f t="shared" si="6"/>
        <v>1010027.413583972</v>
      </c>
      <c r="J64" s="919">
        <f t="shared" si="1"/>
        <v>19639.42193079949</v>
      </c>
      <c r="K64" s="922">
        <f t="shared" si="0"/>
        <v>-235673.06316959392</v>
      </c>
      <c r="L64" s="919">
        <f t="shared" si="19"/>
        <v>-353509.59475439088</v>
      </c>
      <c r="M64" s="920">
        <f t="shared" si="18"/>
        <v>656517.81882958114</v>
      </c>
      <c r="N64" s="921">
        <f t="shared" si="3"/>
        <v>437678.54588638758</v>
      </c>
    </row>
    <row r="65" spans="1:15">
      <c r="A65" s="683"/>
      <c r="B65" s="516">
        <v>43069</v>
      </c>
      <c r="C65" s="133"/>
      <c r="D65" s="919">
        <f t="shared" si="4"/>
        <v>3210919.6369793862</v>
      </c>
      <c r="E65" s="919">
        <f t="shared" si="16"/>
        <v>3210919.6369793862</v>
      </c>
      <c r="F65" s="919">
        <f t="shared" si="15"/>
        <v>56112.634087998551</v>
      </c>
      <c r="G65" s="919">
        <f t="shared" si="2"/>
        <v>-2593680.6620114031</v>
      </c>
      <c r="H65" s="919">
        <f t="shared" si="17"/>
        <v>-2257004.8574834126</v>
      </c>
      <c r="I65" s="919">
        <f t="shared" si="6"/>
        <v>953914.77949597361</v>
      </c>
      <c r="J65" s="919">
        <f t="shared" si="1"/>
        <v>19639.42193079949</v>
      </c>
      <c r="K65" s="922">
        <f t="shared" si="0"/>
        <v>-216033.64123879443</v>
      </c>
      <c r="L65" s="919">
        <f t="shared" si="19"/>
        <v>-333870.17282359139</v>
      </c>
      <c r="M65" s="920">
        <f t="shared" si="18"/>
        <v>620044.60667238222</v>
      </c>
      <c r="N65" s="921">
        <f t="shared" si="3"/>
        <v>401205.33372918866</v>
      </c>
    </row>
    <row r="66" spans="1:15">
      <c r="A66" s="683"/>
      <c r="B66" s="516">
        <v>43100</v>
      </c>
      <c r="C66" s="133"/>
      <c r="D66" s="919">
        <f t="shared" si="4"/>
        <v>3210919.6369793862</v>
      </c>
      <c r="E66" s="919">
        <f t="shared" si="16"/>
        <v>3210919.6369793862</v>
      </c>
      <c r="F66" s="919">
        <f t="shared" si="15"/>
        <v>56112.634087998551</v>
      </c>
      <c r="G66" s="919">
        <f t="shared" si="2"/>
        <v>-2649793.2960994015</v>
      </c>
      <c r="H66" s="919">
        <f t="shared" si="17"/>
        <v>-2313117.491571411</v>
      </c>
      <c r="I66" s="919">
        <f t="shared" si="6"/>
        <v>897802.14540797519</v>
      </c>
      <c r="J66" s="919">
        <f t="shared" si="1"/>
        <v>19639.42193079949</v>
      </c>
      <c r="K66" s="922">
        <f t="shared" si="0"/>
        <v>-196394.21930799494</v>
      </c>
      <c r="L66" s="919">
        <f t="shared" si="19"/>
        <v>-314230.75089279196</v>
      </c>
      <c r="M66" s="920">
        <f t="shared" si="18"/>
        <v>583571.39451518329</v>
      </c>
      <c r="N66" s="921">
        <f t="shared" si="3"/>
        <v>364732.12157198973</v>
      </c>
    </row>
    <row r="67" spans="1:15" s="1137" customFormat="1">
      <c r="A67" s="1294"/>
      <c r="B67" s="1302">
        <v>43131</v>
      </c>
      <c r="C67" s="1296"/>
      <c r="D67" s="1297">
        <f t="shared" si="4"/>
        <v>3210919.6369793862</v>
      </c>
      <c r="E67" s="1297">
        <f t="shared" si="16"/>
        <v>3210919.6369793862</v>
      </c>
      <c r="F67" s="1297">
        <f t="shared" si="15"/>
        <v>56112.634087998551</v>
      </c>
      <c r="G67" s="1297">
        <f t="shared" si="2"/>
        <v>-2705905.9301874</v>
      </c>
      <c r="H67" s="1297">
        <f t="shared" si="17"/>
        <v>-2369230.1256594094</v>
      </c>
      <c r="I67" s="1297">
        <f t="shared" si="6"/>
        <v>841689.51131997677</v>
      </c>
      <c r="J67" s="1297">
        <f>(-C67*0.21)+(F67*0.21)</f>
        <v>11783.653158479696</v>
      </c>
      <c r="K67" s="1298">
        <f t="shared" si="0"/>
        <v>-184610.56614951525</v>
      </c>
      <c r="L67" s="1297">
        <f t="shared" si="19"/>
        <v>-294918.65266083909</v>
      </c>
      <c r="M67" s="1299">
        <f t="shared" si="18"/>
        <v>546770.85865913774</v>
      </c>
      <c r="N67" s="1300">
        <f t="shared" si="3"/>
        <v>320403.14064247103</v>
      </c>
      <c r="O67" s="1301"/>
    </row>
    <row r="68" spans="1:15">
      <c r="A68" s="683"/>
      <c r="B68" s="516">
        <v>43159</v>
      </c>
      <c r="C68" s="133"/>
      <c r="D68" s="919">
        <f t="shared" si="4"/>
        <v>3210919.6369793862</v>
      </c>
      <c r="E68" s="919">
        <f t="shared" si="16"/>
        <v>3210919.6369793862</v>
      </c>
      <c r="F68" s="919">
        <f t="shared" si="15"/>
        <v>56112.634087998551</v>
      </c>
      <c r="G68" s="919">
        <f t="shared" si="2"/>
        <v>-2762018.5642753984</v>
      </c>
      <c r="H68" s="919">
        <f t="shared" si="17"/>
        <v>-2425342.7597474079</v>
      </c>
      <c r="I68" s="919">
        <f t="shared" si="6"/>
        <v>785576.87723197835</v>
      </c>
      <c r="J68" s="919">
        <f t="shared" ref="J68:J76" si="20">(-C68*0.21)+(F68*0.21)</f>
        <v>11783.653158479696</v>
      </c>
      <c r="K68" s="922">
        <f t="shared" si="0"/>
        <v>-172826.91299103556</v>
      </c>
      <c r="L68" s="919">
        <f t="shared" si="19"/>
        <v>-276261.20182657958</v>
      </c>
      <c r="M68" s="920">
        <f t="shared" si="18"/>
        <v>509315.67540539877</v>
      </c>
      <c r="N68" s="921">
        <f t="shared" si="3"/>
        <v>276074.15971295227</v>
      </c>
    </row>
    <row r="69" spans="1:15">
      <c r="A69" s="683"/>
      <c r="B69" s="516">
        <v>43190</v>
      </c>
      <c r="C69" s="133"/>
      <c r="D69" s="919">
        <f t="shared" si="4"/>
        <v>3210919.6369793862</v>
      </c>
      <c r="E69" s="919">
        <f t="shared" si="16"/>
        <v>3210919.6369793862</v>
      </c>
      <c r="F69" s="919">
        <f t="shared" si="15"/>
        <v>56112.634087998551</v>
      </c>
      <c r="G69" s="919">
        <f t="shared" si="2"/>
        <v>-2818131.1983633968</v>
      </c>
      <c r="H69" s="919">
        <f t="shared" si="17"/>
        <v>-2481455.3938354063</v>
      </c>
      <c r="I69" s="919">
        <f t="shared" si="6"/>
        <v>729464.24314397993</v>
      </c>
      <c r="J69" s="919">
        <f t="shared" si="20"/>
        <v>11783.653158479696</v>
      </c>
      <c r="K69" s="922">
        <f t="shared" si="0"/>
        <v>-161043.25983255586</v>
      </c>
      <c r="L69" s="919">
        <f t="shared" si="19"/>
        <v>-258258.39839001335</v>
      </c>
      <c r="M69" s="920">
        <f t="shared" si="18"/>
        <v>471205.84475396655</v>
      </c>
      <c r="N69" s="921">
        <f t="shared" si="3"/>
        <v>231745.17878343354</v>
      </c>
    </row>
    <row r="70" spans="1:15">
      <c r="A70" s="683"/>
      <c r="B70" s="516">
        <v>43220</v>
      </c>
      <c r="C70" s="133"/>
      <c r="D70" s="919">
        <f t="shared" si="4"/>
        <v>3210919.6369793862</v>
      </c>
      <c r="E70" s="919">
        <f t="shared" si="16"/>
        <v>3210919.6369793862</v>
      </c>
      <c r="F70" s="919">
        <f t="shared" si="15"/>
        <v>56112.634087998551</v>
      </c>
      <c r="G70" s="919">
        <f t="shared" si="2"/>
        <v>-2874243.8324513952</v>
      </c>
      <c r="H70" s="919">
        <f t="shared" si="17"/>
        <v>-2537568.0279234047</v>
      </c>
      <c r="I70" s="919">
        <f t="shared" si="6"/>
        <v>673351.60905598151</v>
      </c>
      <c r="J70" s="919">
        <f t="shared" si="20"/>
        <v>11783.653158479696</v>
      </c>
      <c r="K70" s="922">
        <f t="shared" si="0"/>
        <v>-149259.60667407617</v>
      </c>
      <c r="L70" s="919">
        <f t="shared" si="19"/>
        <v>-240910.24235114048</v>
      </c>
      <c r="M70" s="920">
        <f t="shared" si="18"/>
        <v>432441.36670484103</v>
      </c>
      <c r="N70" s="921">
        <f t="shared" si="3"/>
        <v>187416.19785391481</v>
      </c>
    </row>
    <row r="71" spans="1:15">
      <c r="A71" s="683"/>
      <c r="B71" s="516">
        <v>43251</v>
      </c>
      <c r="C71" s="133"/>
      <c r="D71" s="919">
        <f t="shared" si="4"/>
        <v>3210919.6369793862</v>
      </c>
      <c r="E71" s="919">
        <f t="shared" si="16"/>
        <v>3210919.6369793862</v>
      </c>
      <c r="F71" s="919">
        <f t="shared" si="15"/>
        <v>56112.634087998551</v>
      </c>
      <c r="G71" s="919">
        <f t="shared" si="2"/>
        <v>-2930356.4665393936</v>
      </c>
      <c r="H71" s="919">
        <f t="shared" si="17"/>
        <v>-2593680.6620114031</v>
      </c>
      <c r="I71" s="919">
        <f t="shared" si="6"/>
        <v>617238.97496798309</v>
      </c>
      <c r="J71" s="919">
        <f t="shared" si="20"/>
        <v>11783.653158479696</v>
      </c>
      <c r="K71" s="922">
        <f t="shared" si="0"/>
        <v>-137475.95351559648</v>
      </c>
      <c r="L71" s="919">
        <f t="shared" si="19"/>
        <v>-224216.73370996091</v>
      </c>
      <c r="M71" s="920">
        <f t="shared" si="18"/>
        <v>393022.24125802214</v>
      </c>
      <c r="N71" s="921">
        <f t="shared" si="3"/>
        <v>143087.21692439608</v>
      </c>
    </row>
    <row r="72" spans="1:15" s="1137" customFormat="1">
      <c r="A72" s="1294"/>
      <c r="B72" s="1295">
        <v>43281</v>
      </c>
      <c r="C72" s="1296"/>
      <c r="D72" s="1297">
        <f t="shared" si="4"/>
        <v>3210919.6369793862</v>
      </c>
      <c r="E72" s="1297">
        <f t="shared" si="16"/>
        <v>3210919.6369793862</v>
      </c>
      <c r="F72" s="1297">
        <f t="shared" si="15"/>
        <v>56112.634087998551</v>
      </c>
      <c r="G72" s="1297">
        <f t="shared" si="2"/>
        <v>-2986469.1006273921</v>
      </c>
      <c r="H72" s="1297">
        <f t="shared" si="17"/>
        <v>-2649793.2960994015</v>
      </c>
      <c r="I72" s="1297">
        <f t="shared" si="6"/>
        <v>561126.34087998467</v>
      </c>
      <c r="J72" s="1297">
        <f t="shared" si="20"/>
        <v>11783.653158479696</v>
      </c>
      <c r="K72" s="1298">
        <f t="shared" si="0"/>
        <v>-125692.30035711679</v>
      </c>
      <c r="L72" s="1297">
        <f t="shared" si="19"/>
        <v>-208177.87246647466</v>
      </c>
      <c r="M72" s="1299">
        <f t="shared" si="18"/>
        <v>352948.46841351001</v>
      </c>
      <c r="N72" s="1300">
        <f t="shared" si="3"/>
        <v>98758.235994877352</v>
      </c>
      <c r="O72" s="1301"/>
    </row>
    <row r="73" spans="1:15">
      <c r="A73" s="683"/>
      <c r="B73" s="516">
        <v>43312</v>
      </c>
      <c r="C73" s="133"/>
      <c r="D73" s="919">
        <f t="shared" si="4"/>
        <v>3210919.6369793862</v>
      </c>
      <c r="E73" s="919">
        <f t="shared" si="16"/>
        <v>3210919.6369793862</v>
      </c>
      <c r="F73" s="919">
        <f t="shared" si="15"/>
        <v>56112.634087998551</v>
      </c>
      <c r="G73" s="919">
        <f t="shared" si="2"/>
        <v>-3042581.7347153905</v>
      </c>
      <c r="H73" s="919">
        <f t="shared" si="17"/>
        <v>-2705905.9301874</v>
      </c>
      <c r="I73" s="919">
        <f t="shared" si="6"/>
        <v>505013.70679198625</v>
      </c>
      <c r="J73" s="919">
        <f>(-C73*0.21)+(F73*0.21)</f>
        <v>11783.653158479696</v>
      </c>
      <c r="K73" s="922">
        <f t="shared" si="0"/>
        <v>-113908.6471986371</v>
      </c>
      <c r="L73" s="919">
        <f t="shared" si="19"/>
        <v>-192793.6586206817</v>
      </c>
      <c r="M73" s="920">
        <f t="shared" si="18"/>
        <v>312220.04817130452</v>
      </c>
      <c r="N73" s="921">
        <f t="shared" si="3"/>
        <v>54429.255065358622</v>
      </c>
    </row>
    <row r="74" spans="1:15">
      <c r="A74" s="683"/>
      <c r="B74" s="516">
        <v>43343</v>
      </c>
      <c r="C74" s="133"/>
      <c r="D74" s="919">
        <f t="shared" si="4"/>
        <v>3210919.6369793862</v>
      </c>
      <c r="E74" s="919">
        <f t="shared" si="16"/>
        <v>3210919.6369793862</v>
      </c>
      <c r="F74" s="919">
        <f t="shared" si="15"/>
        <v>56112.634087998551</v>
      </c>
      <c r="G74" s="919">
        <f t="shared" si="2"/>
        <v>-3098694.3688033889</v>
      </c>
      <c r="H74" s="919">
        <f t="shared" si="17"/>
        <v>-2762018.5642753984</v>
      </c>
      <c r="I74" s="919">
        <f t="shared" si="6"/>
        <v>448901.07270398783</v>
      </c>
      <c r="J74" s="919">
        <f t="shared" si="20"/>
        <v>11783.653158479696</v>
      </c>
      <c r="K74" s="922">
        <f t="shared" si="0"/>
        <v>-102124.99404015741</v>
      </c>
      <c r="L74" s="919">
        <f t="shared" si="19"/>
        <v>-178064.09217258208</v>
      </c>
      <c r="M74" s="920">
        <f t="shared" si="18"/>
        <v>270836.98053140577</v>
      </c>
      <c r="N74" s="921">
        <f t="shared" si="3"/>
        <v>10100.274135839893</v>
      </c>
    </row>
    <row r="75" spans="1:15">
      <c r="A75" s="683"/>
      <c r="B75" s="516">
        <v>43373</v>
      </c>
      <c r="C75" s="133"/>
      <c r="D75" s="919">
        <f t="shared" si="4"/>
        <v>3210919.6369793862</v>
      </c>
      <c r="E75" s="919">
        <f t="shared" si="16"/>
        <v>3210919.6369793862</v>
      </c>
      <c r="F75" s="919">
        <f t="shared" si="15"/>
        <v>56112.634087998551</v>
      </c>
      <c r="G75" s="919">
        <f t="shared" si="2"/>
        <v>-3154807.0028913873</v>
      </c>
      <c r="H75" s="919">
        <f t="shared" si="17"/>
        <v>-2818131.1983633968</v>
      </c>
      <c r="I75" s="919">
        <f t="shared" si="6"/>
        <v>392788.43861598941</v>
      </c>
      <c r="J75" s="919">
        <f t="shared" si="20"/>
        <v>11783.653158479696</v>
      </c>
      <c r="K75" s="922">
        <f t="shared" ref="K75:K100" si="21">K74+J75</f>
        <v>-90341.340881677723</v>
      </c>
      <c r="L75" s="919">
        <f t="shared" si="19"/>
        <v>-163989.17312217579</v>
      </c>
      <c r="M75" s="920">
        <f t="shared" si="18"/>
        <v>228799.26549381361</v>
      </c>
      <c r="N75" s="921"/>
    </row>
    <row r="76" spans="1:15">
      <c r="A76" s="683"/>
      <c r="B76" s="516">
        <v>43404</v>
      </c>
      <c r="C76" s="133"/>
      <c r="D76" s="919">
        <f t="shared" si="4"/>
        <v>3210919.6369793862</v>
      </c>
      <c r="E76" s="919">
        <f t="shared" si="16"/>
        <v>3210919.6369793862</v>
      </c>
      <c r="F76" s="919">
        <f t="shared" si="15"/>
        <v>56112.634087998551</v>
      </c>
      <c r="G76" s="919">
        <f t="shared" si="2"/>
        <v>-3210919.6369793857</v>
      </c>
      <c r="H76" s="919">
        <f t="shared" si="17"/>
        <v>-2874243.8324513952</v>
      </c>
      <c r="I76" s="919">
        <f t="shared" si="6"/>
        <v>336675.80452799099</v>
      </c>
      <c r="J76" s="919">
        <f t="shared" si="20"/>
        <v>11783.653158479696</v>
      </c>
      <c r="K76" s="922">
        <f t="shared" si="21"/>
        <v>-78557.687723198032</v>
      </c>
      <c r="L76" s="919">
        <f t="shared" si="19"/>
        <v>-150568.90146946281</v>
      </c>
      <c r="M76" s="920">
        <f t="shared" si="18"/>
        <v>186106.90305852817</v>
      </c>
      <c r="N76" s="921"/>
    </row>
    <row r="77" spans="1:15">
      <c r="A77" s="683"/>
      <c r="B77" s="516">
        <v>43434</v>
      </c>
      <c r="C77" s="133"/>
      <c r="D77" s="919">
        <f t="shared" si="4"/>
        <v>3210919.6369793862</v>
      </c>
      <c r="E77" s="919">
        <f t="shared" si="16"/>
        <v>3210919.6369793862</v>
      </c>
      <c r="F77" s="919"/>
      <c r="G77" s="919">
        <f t="shared" si="2"/>
        <v>-3210919.6369793857</v>
      </c>
      <c r="H77" s="919">
        <f t="shared" si="17"/>
        <v>-2928018.4401190602</v>
      </c>
      <c r="I77" s="919">
        <f t="shared" si="6"/>
        <v>282901.19686032599</v>
      </c>
      <c r="J77" s="919">
        <f t="shared" ref="J77:J100" si="22">(-C77*0.35)+(F77*0.35)</f>
        <v>0</v>
      </c>
      <c r="K77" s="922">
        <f t="shared" si="21"/>
        <v>-78557.687723198032</v>
      </c>
      <c r="L77" s="919">
        <f t="shared" si="19"/>
        <v>-138294.26276271313</v>
      </c>
      <c r="M77" s="920">
        <f t="shared" si="18"/>
        <v>144606.93409761286</v>
      </c>
      <c r="N77" s="921"/>
    </row>
    <row r="78" spans="1:15" s="1137" customFormat="1">
      <c r="A78" s="1294"/>
      <c r="B78" s="1302">
        <v>43465</v>
      </c>
      <c r="C78" s="1296"/>
      <c r="D78" s="1297">
        <f t="shared" ref="D78:D100" si="23">D77+C78</f>
        <v>3210919.6369793862</v>
      </c>
      <c r="E78" s="1297">
        <f t="shared" si="16"/>
        <v>3210919.6369793862</v>
      </c>
      <c r="F78" s="1297"/>
      <c r="G78" s="1297">
        <f t="shared" ref="G78:G100" si="24">G77-F78</f>
        <v>-3210919.6369793857</v>
      </c>
      <c r="H78" s="1297">
        <f t="shared" si="17"/>
        <v>-2977116.9949460588</v>
      </c>
      <c r="I78" s="1297">
        <f t="shared" si="6"/>
        <v>233802.64203332737</v>
      </c>
      <c r="J78" s="1297">
        <f t="shared" si="22"/>
        <v>0</v>
      </c>
      <c r="K78" s="1298">
        <f t="shared" si="21"/>
        <v>-78557.687723198032</v>
      </c>
      <c r="L78" s="1297">
        <f t="shared" si="19"/>
        <v>-127656.24255019672</v>
      </c>
      <c r="M78" s="1299">
        <f t="shared" si="18"/>
        <v>106146.39948313065</v>
      </c>
      <c r="N78" s="1300"/>
      <c r="O78" s="1301"/>
    </row>
    <row r="79" spans="1:15">
      <c r="A79" s="683"/>
      <c r="B79" s="516">
        <v>43496</v>
      </c>
      <c r="C79" s="133"/>
      <c r="D79" s="919">
        <f t="shared" si="23"/>
        <v>3210919.6369793862</v>
      </c>
      <c r="E79" s="919">
        <f t="shared" si="16"/>
        <v>3210919.6369793862</v>
      </c>
      <c r="F79" s="919"/>
      <c r="G79" s="919">
        <f t="shared" si="24"/>
        <v>-3210919.6369793857</v>
      </c>
      <c r="H79" s="919">
        <f t="shared" si="17"/>
        <v>-3021539.4969323911</v>
      </c>
      <c r="I79" s="919">
        <f t="shared" si="6"/>
        <v>189380.14004699513</v>
      </c>
      <c r="J79" s="919">
        <f t="shared" si="22"/>
        <v>0</v>
      </c>
      <c r="K79" s="922">
        <f t="shared" si="21"/>
        <v>-78557.687723198032</v>
      </c>
      <c r="L79" s="919">
        <f t="shared" si="19"/>
        <v>-118327.51713306697</v>
      </c>
      <c r="M79" s="920">
        <f t="shared" si="18"/>
        <v>71052.622913928164</v>
      </c>
      <c r="N79" s="921"/>
    </row>
    <row r="80" spans="1:15">
      <c r="A80" s="683"/>
      <c r="B80" s="516">
        <v>43524</v>
      </c>
      <c r="C80" s="133"/>
      <c r="D80" s="919">
        <f t="shared" si="23"/>
        <v>3210919.6369793862</v>
      </c>
      <c r="E80" s="919">
        <f t="shared" si="16"/>
        <v>3210919.6369793862</v>
      </c>
      <c r="F80" s="919"/>
      <c r="G80" s="919">
        <f t="shared" si="24"/>
        <v>-3210919.6369793857</v>
      </c>
      <c r="H80" s="919">
        <f t="shared" si="17"/>
        <v>-3061285.9460780565</v>
      </c>
      <c r="I80" s="919">
        <f t="shared" si="6"/>
        <v>149633.69090132974</v>
      </c>
      <c r="J80" s="919">
        <f t="shared" si="22"/>
        <v>0</v>
      </c>
      <c r="K80" s="922">
        <f t="shared" si="21"/>
        <v>-78557.687723198032</v>
      </c>
      <c r="L80" s="919">
        <f t="shared" si="19"/>
        <v>-109980.76281247719</v>
      </c>
      <c r="M80" s="920">
        <f t="shared" si="18"/>
        <v>39652.928088852554</v>
      </c>
      <c r="N80" s="921"/>
    </row>
    <row r="81" spans="1:14">
      <c r="A81" s="683"/>
      <c r="B81" s="516">
        <v>43555</v>
      </c>
      <c r="C81" s="133"/>
      <c r="D81" s="919">
        <f t="shared" si="23"/>
        <v>3210919.6369793862</v>
      </c>
      <c r="E81" s="919">
        <f t="shared" si="16"/>
        <v>3210919.6369793862</v>
      </c>
      <c r="F81" s="919"/>
      <c r="G81" s="919">
        <f t="shared" si="24"/>
        <v>-3210919.6369793857</v>
      </c>
      <c r="H81" s="919">
        <f t="shared" si="17"/>
        <v>-3096356.3423830555</v>
      </c>
      <c r="I81" s="919">
        <f t="shared" si="6"/>
        <v>114563.29459633073</v>
      </c>
      <c r="J81" s="919">
        <f t="shared" si="22"/>
        <v>0</v>
      </c>
      <c r="K81" s="922">
        <f t="shared" si="21"/>
        <v>-78557.687723198032</v>
      </c>
      <c r="L81" s="919">
        <f t="shared" si="19"/>
        <v>-102615.97958842736</v>
      </c>
      <c r="M81" s="920">
        <f t="shared" si="18"/>
        <v>11947.315007903366</v>
      </c>
      <c r="N81" s="921"/>
    </row>
    <row r="82" spans="1:14">
      <c r="A82" s="683"/>
      <c r="B82" s="516">
        <v>43585</v>
      </c>
      <c r="C82" s="133"/>
      <c r="D82" s="919">
        <f t="shared" si="23"/>
        <v>3210919.6369793862</v>
      </c>
      <c r="E82" s="919">
        <f t="shared" si="16"/>
        <v>3210919.6369793862</v>
      </c>
      <c r="F82" s="919"/>
      <c r="G82" s="919">
        <f t="shared" si="24"/>
        <v>-3210919.6369793857</v>
      </c>
      <c r="H82" s="919">
        <f t="shared" si="17"/>
        <v>-3126750.6858473881</v>
      </c>
      <c r="I82" s="919">
        <f t="shared" ref="I82:I100" si="25">E82+H82</f>
        <v>84168.951131998096</v>
      </c>
      <c r="J82" s="919">
        <f t="shared" si="22"/>
        <v>0</v>
      </c>
      <c r="K82" s="922">
        <f t="shared" si="21"/>
        <v>-78557.687723198032</v>
      </c>
      <c r="L82" s="919">
        <f t="shared" si="19"/>
        <v>-96233.167460917539</v>
      </c>
      <c r="M82" s="920">
        <f t="shared" si="18"/>
        <v>-12064.216328919443</v>
      </c>
      <c r="N82" s="921"/>
    </row>
    <row r="83" spans="1:14">
      <c r="A83" s="683"/>
      <c r="B83" s="516">
        <v>43616</v>
      </c>
      <c r="C83" s="133"/>
      <c r="D83" s="919">
        <f t="shared" si="23"/>
        <v>3210919.6369793862</v>
      </c>
      <c r="E83" s="919">
        <f t="shared" si="16"/>
        <v>3210919.6369793862</v>
      </c>
      <c r="F83" s="919"/>
      <c r="G83" s="919">
        <f t="shared" si="24"/>
        <v>-3210919.6369793857</v>
      </c>
      <c r="H83" s="919">
        <f t="shared" si="17"/>
        <v>-3152468.9764710539</v>
      </c>
      <c r="I83" s="919">
        <f t="shared" si="25"/>
        <v>58450.660508332308</v>
      </c>
      <c r="J83" s="919">
        <f t="shared" si="22"/>
        <v>0</v>
      </c>
      <c r="K83" s="922">
        <f t="shared" si="21"/>
        <v>-78557.687723198032</v>
      </c>
      <c r="L83" s="919">
        <f t="shared" si="19"/>
        <v>-90832.326429947687</v>
      </c>
      <c r="M83" s="920">
        <f t="shared" si="18"/>
        <v>-32381.665921615378</v>
      </c>
      <c r="N83" s="921"/>
    </row>
    <row r="84" spans="1:14">
      <c r="A84" s="683"/>
      <c r="B84" s="519">
        <v>43646</v>
      </c>
      <c r="C84" s="133"/>
      <c r="D84" s="919">
        <f t="shared" si="23"/>
        <v>3210919.6369793862</v>
      </c>
      <c r="E84" s="919">
        <f t="shared" si="16"/>
        <v>3210919.6369793862</v>
      </c>
      <c r="F84" s="919"/>
      <c r="G84" s="919">
        <f t="shared" si="24"/>
        <v>-3210919.6369793857</v>
      </c>
      <c r="H84" s="919">
        <f t="shared" si="17"/>
        <v>-3173511.2142540533</v>
      </c>
      <c r="I84" s="919">
        <f t="shared" si="25"/>
        <v>37408.422725332901</v>
      </c>
      <c r="J84" s="919">
        <f t="shared" si="22"/>
        <v>0</v>
      </c>
      <c r="K84" s="922">
        <f t="shared" si="21"/>
        <v>-78557.687723198032</v>
      </c>
      <c r="L84" s="919">
        <f t="shared" si="19"/>
        <v>-86413.456495517807</v>
      </c>
      <c r="M84" s="920">
        <f t="shared" si="18"/>
        <v>-49005.033770184906</v>
      </c>
      <c r="N84" s="921"/>
    </row>
    <row r="85" spans="1:14">
      <c r="A85" s="683"/>
      <c r="B85" s="516">
        <v>43677</v>
      </c>
      <c r="C85" s="133"/>
      <c r="D85" s="919">
        <f t="shared" si="23"/>
        <v>3210919.6369793862</v>
      </c>
      <c r="E85" s="919">
        <f t="shared" si="16"/>
        <v>3210919.6369793862</v>
      </c>
      <c r="F85" s="919"/>
      <c r="G85" s="919">
        <f t="shared" si="24"/>
        <v>-3210919.6369793857</v>
      </c>
      <c r="H85" s="919">
        <f t="shared" si="17"/>
        <v>-3189877.3991963863</v>
      </c>
      <c r="I85" s="919">
        <f t="shared" si="25"/>
        <v>21042.237782999873</v>
      </c>
      <c r="J85" s="919">
        <f t="shared" si="22"/>
        <v>0</v>
      </c>
      <c r="K85" s="922">
        <f t="shared" si="21"/>
        <v>-78557.687723198032</v>
      </c>
      <c r="L85" s="919">
        <f t="shared" si="19"/>
        <v>-82976.557657627898</v>
      </c>
      <c r="M85" s="920">
        <f t="shared" si="18"/>
        <v>-61934.319874628025</v>
      </c>
      <c r="N85" s="921"/>
    </row>
    <row r="86" spans="1:14">
      <c r="A86" s="683"/>
      <c r="B86" s="516">
        <v>43708</v>
      </c>
      <c r="C86" s="133"/>
      <c r="D86" s="919">
        <f t="shared" si="23"/>
        <v>3210919.6369793862</v>
      </c>
      <c r="E86" s="919">
        <f t="shared" si="16"/>
        <v>3210919.6369793862</v>
      </c>
      <c r="F86" s="919"/>
      <c r="G86" s="919">
        <f t="shared" si="24"/>
        <v>-3210919.6369793857</v>
      </c>
      <c r="H86" s="919">
        <f t="shared" si="17"/>
        <v>-3201567.5312980525</v>
      </c>
      <c r="I86" s="919">
        <f t="shared" si="25"/>
        <v>9352.1056813336909</v>
      </c>
      <c r="J86" s="919">
        <f t="shared" si="22"/>
        <v>0</v>
      </c>
      <c r="K86" s="922">
        <f t="shared" si="21"/>
        <v>-78557.687723198032</v>
      </c>
      <c r="L86" s="919">
        <f t="shared" si="19"/>
        <v>-80521.629916277961</v>
      </c>
      <c r="M86" s="920">
        <f t="shared" si="18"/>
        <v>-71169.524234944271</v>
      </c>
      <c r="N86" s="921"/>
    </row>
    <row r="87" spans="1:14">
      <c r="A87" s="683"/>
      <c r="B87" s="516">
        <v>43738</v>
      </c>
      <c r="C87" s="133"/>
      <c r="D87" s="919">
        <f t="shared" si="23"/>
        <v>3210919.6369793862</v>
      </c>
      <c r="E87" s="919">
        <f t="shared" si="16"/>
        <v>3210919.6369793862</v>
      </c>
      <c r="F87" s="919"/>
      <c r="G87" s="919">
        <f t="shared" si="24"/>
        <v>-3210919.6369793857</v>
      </c>
      <c r="H87" s="919">
        <f t="shared" si="17"/>
        <v>-3208581.6105590523</v>
      </c>
      <c r="I87" s="919">
        <f>E87+H87</f>
        <v>2338.0264203338884</v>
      </c>
      <c r="J87" s="919">
        <f t="shared" si="22"/>
        <v>0</v>
      </c>
      <c r="K87" s="922">
        <f t="shared" si="21"/>
        <v>-78557.687723198032</v>
      </c>
      <c r="L87" s="919">
        <f t="shared" si="19"/>
        <v>-79048.673271468011</v>
      </c>
      <c r="M87" s="920">
        <f t="shared" si="18"/>
        <v>-76710.646851134123</v>
      </c>
      <c r="N87" s="921"/>
    </row>
    <row r="88" spans="1:14">
      <c r="A88" s="683"/>
      <c r="B88" s="516">
        <v>43769</v>
      </c>
      <c r="C88" s="133"/>
      <c r="D88" s="919">
        <f t="shared" si="23"/>
        <v>3210919.6369793862</v>
      </c>
      <c r="E88" s="919">
        <f t="shared" si="16"/>
        <v>3210919.6369793862</v>
      </c>
      <c r="F88" s="919"/>
      <c r="G88" s="919">
        <f t="shared" si="24"/>
        <v>-3210919.6369793857</v>
      </c>
      <c r="H88" s="919">
        <f>(G76+G88+SUM(G77:G87)*2)/24</f>
        <v>-3210919.6369793857</v>
      </c>
      <c r="I88" s="919">
        <f t="shared" si="25"/>
        <v>0</v>
      </c>
      <c r="J88" s="919">
        <f t="shared" si="22"/>
        <v>0</v>
      </c>
      <c r="K88" s="922">
        <f t="shared" si="21"/>
        <v>-78557.687723198032</v>
      </c>
      <c r="L88" s="919">
        <f t="shared" si="19"/>
        <v>-78557.687723198018</v>
      </c>
      <c r="M88" s="920">
        <f t="shared" si="18"/>
        <v>-78557.687723198018</v>
      </c>
      <c r="N88" s="921"/>
    </row>
    <row r="89" spans="1:14">
      <c r="A89" s="683"/>
      <c r="B89" s="516">
        <v>43799</v>
      </c>
      <c r="C89" s="133"/>
      <c r="D89" s="919">
        <f t="shared" si="23"/>
        <v>3210919.6369793862</v>
      </c>
      <c r="E89" s="919">
        <f t="shared" ref="E89:E100" si="26">(D77+D89+SUM(D78:D88)*2)/24</f>
        <v>3210919.6369793862</v>
      </c>
      <c r="F89" s="919"/>
      <c r="G89" s="919">
        <f t="shared" si="24"/>
        <v>-3210919.6369793857</v>
      </c>
      <c r="H89" s="919">
        <f t="shared" si="17"/>
        <v>-3210919.6369793857</v>
      </c>
      <c r="I89" s="919">
        <f t="shared" si="25"/>
        <v>0</v>
      </c>
      <c r="J89" s="919">
        <f t="shared" si="22"/>
        <v>0</v>
      </c>
      <c r="K89" s="922">
        <f t="shared" si="21"/>
        <v>-78557.687723198032</v>
      </c>
      <c r="L89" s="919">
        <f t="shared" si="19"/>
        <v>-78557.687723198018</v>
      </c>
      <c r="M89" s="920">
        <f t="shared" si="18"/>
        <v>-78557.687723198018</v>
      </c>
      <c r="N89" s="921"/>
    </row>
    <row r="90" spans="1:14">
      <c r="A90" s="683"/>
      <c r="B90" s="516">
        <v>43830</v>
      </c>
      <c r="C90" s="133"/>
      <c r="D90" s="919">
        <f t="shared" si="23"/>
        <v>3210919.6369793862</v>
      </c>
      <c r="E90" s="919">
        <f t="shared" si="26"/>
        <v>3210919.6369793862</v>
      </c>
      <c r="F90" s="919"/>
      <c r="G90" s="919">
        <f t="shared" si="24"/>
        <v>-3210919.6369793857</v>
      </c>
      <c r="H90" s="919">
        <f t="shared" si="17"/>
        <v>-3210919.6369793857</v>
      </c>
      <c r="I90" s="919">
        <f t="shared" si="25"/>
        <v>0</v>
      </c>
      <c r="J90" s="919">
        <f t="shared" si="22"/>
        <v>0</v>
      </c>
      <c r="K90" s="922">
        <f t="shared" si="21"/>
        <v>-78557.687723198032</v>
      </c>
      <c r="L90" s="919">
        <f t="shared" si="19"/>
        <v>-78557.687723198018</v>
      </c>
      <c r="M90" s="920">
        <f t="shared" si="18"/>
        <v>-78557.687723198018</v>
      </c>
      <c r="N90" s="921"/>
    </row>
    <row r="91" spans="1:14">
      <c r="A91" s="683"/>
      <c r="B91" s="516">
        <v>43861</v>
      </c>
      <c r="C91" s="133"/>
      <c r="D91" s="919">
        <f t="shared" si="23"/>
        <v>3210919.6369793862</v>
      </c>
      <c r="E91" s="919">
        <f t="shared" si="26"/>
        <v>3210919.6369793862</v>
      </c>
      <c r="F91" s="923"/>
      <c r="G91" s="919">
        <f t="shared" si="24"/>
        <v>-3210919.6369793857</v>
      </c>
      <c r="H91" s="919">
        <f t="shared" si="17"/>
        <v>-3210919.6369793857</v>
      </c>
      <c r="I91" s="919">
        <f t="shared" si="25"/>
        <v>0</v>
      </c>
      <c r="J91" s="919">
        <f t="shared" si="22"/>
        <v>0</v>
      </c>
      <c r="K91" s="922">
        <f t="shared" si="21"/>
        <v>-78557.687723198032</v>
      </c>
      <c r="L91" s="919">
        <f t="shared" si="19"/>
        <v>-78557.687723198018</v>
      </c>
      <c r="M91" s="920">
        <f t="shared" si="18"/>
        <v>-78557.687723198018</v>
      </c>
      <c r="N91" s="921"/>
    </row>
    <row r="92" spans="1:14">
      <c r="A92" s="683"/>
      <c r="B92" s="516">
        <v>43889</v>
      </c>
      <c r="C92" s="133"/>
      <c r="D92" s="919">
        <f t="shared" si="23"/>
        <v>3210919.6369793862</v>
      </c>
      <c r="E92" s="919">
        <f t="shared" si="26"/>
        <v>3210919.6369793862</v>
      </c>
      <c r="F92" s="923"/>
      <c r="G92" s="919">
        <f t="shared" si="24"/>
        <v>-3210919.6369793857</v>
      </c>
      <c r="H92" s="919">
        <f t="shared" si="17"/>
        <v>-3210919.6369793857</v>
      </c>
      <c r="I92" s="919">
        <f t="shared" si="25"/>
        <v>0</v>
      </c>
      <c r="J92" s="919">
        <f t="shared" si="22"/>
        <v>0</v>
      </c>
      <c r="K92" s="922">
        <f t="shared" si="21"/>
        <v>-78557.687723198032</v>
      </c>
      <c r="L92" s="919">
        <f t="shared" si="19"/>
        <v>-78557.687723198018</v>
      </c>
      <c r="M92" s="920">
        <f t="shared" si="18"/>
        <v>-78557.687723198018</v>
      </c>
      <c r="N92" s="921"/>
    </row>
    <row r="93" spans="1:14">
      <c r="A93" s="683"/>
      <c r="B93" s="516">
        <v>43921</v>
      </c>
      <c r="C93" s="133"/>
      <c r="D93" s="919">
        <f t="shared" si="23"/>
        <v>3210919.6369793862</v>
      </c>
      <c r="E93" s="919">
        <f t="shared" si="26"/>
        <v>3210919.6369793862</v>
      </c>
      <c r="F93" s="923"/>
      <c r="G93" s="919">
        <f t="shared" si="24"/>
        <v>-3210919.6369793857</v>
      </c>
      <c r="H93" s="919">
        <f t="shared" si="17"/>
        <v>-3210919.6369793857</v>
      </c>
      <c r="I93" s="919">
        <f t="shared" si="25"/>
        <v>0</v>
      </c>
      <c r="J93" s="919">
        <f t="shared" si="22"/>
        <v>0</v>
      </c>
      <c r="K93" s="922">
        <f t="shared" si="21"/>
        <v>-78557.687723198032</v>
      </c>
      <c r="L93" s="919">
        <f t="shared" si="19"/>
        <v>-78557.687723198018</v>
      </c>
      <c r="M93" s="920">
        <f t="shared" si="18"/>
        <v>-78557.687723198018</v>
      </c>
      <c r="N93" s="921"/>
    </row>
    <row r="94" spans="1:14">
      <c r="A94" s="683"/>
      <c r="B94" s="516">
        <v>43951</v>
      </c>
      <c r="C94" s="133"/>
      <c r="D94" s="919">
        <f t="shared" si="23"/>
        <v>3210919.6369793862</v>
      </c>
      <c r="E94" s="919">
        <f t="shared" si="26"/>
        <v>3210919.6369793862</v>
      </c>
      <c r="F94" s="923"/>
      <c r="G94" s="919">
        <f t="shared" si="24"/>
        <v>-3210919.6369793857</v>
      </c>
      <c r="H94" s="919">
        <f t="shared" si="17"/>
        <v>-3210919.6369793857</v>
      </c>
      <c r="I94" s="919">
        <f t="shared" si="25"/>
        <v>0</v>
      </c>
      <c r="J94" s="919">
        <f t="shared" si="22"/>
        <v>0</v>
      </c>
      <c r="K94" s="922">
        <f t="shared" si="21"/>
        <v>-78557.687723198032</v>
      </c>
      <c r="L94" s="919">
        <f t="shared" si="19"/>
        <v>-78557.687723198018</v>
      </c>
      <c r="M94" s="920">
        <f t="shared" si="18"/>
        <v>-78557.687723198018</v>
      </c>
      <c r="N94" s="921"/>
    </row>
    <row r="95" spans="1:14">
      <c r="A95" s="683"/>
      <c r="B95" s="516">
        <v>43982</v>
      </c>
      <c r="C95" s="133"/>
      <c r="D95" s="919">
        <f t="shared" si="23"/>
        <v>3210919.6369793862</v>
      </c>
      <c r="E95" s="919">
        <f t="shared" si="26"/>
        <v>3210919.6369793862</v>
      </c>
      <c r="F95" s="923"/>
      <c r="G95" s="919">
        <f t="shared" si="24"/>
        <v>-3210919.6369793857</v>
      </c>
      <c r="H95" s="919">
        <f t="shared" si="17"/>
        <v>-3210919.6369793857</v>
      </c>
      <c r="I95" s="919">
        <f t="shared" si="25"/>
        <v>0</v>
      </c>
      <c r="J95" s="919">
        <f t="shared" si="22"/>
        <v>0</v>
      </c>
      <c r="K95" s="922">
        <f t="shared" si="21"/>
        <v>-78557.687723198032</v>
      </c>
      <c r="L95" s="919">
        <f t="shared" si="19"/>
        <v>-78557.687723198018</v>
      </c>
      <c r="M95" s="920">
        <f t="shared" si="18"/>
        <v>-78557.687723198018</v>
      </c>
      <c r="N95" s="921"/>
    </row>
    <row r="96" spans="1:14">
      <c r="A96" s="683"/>
      <c r="B96" s="519">
        <v>44012</v>
      </c>
      <c r="C96" s="133"/>
      <c r="D96" s="919">
        <f t="shared" si="23"/>
        <v>3210919.6369793862</v>
      </c>
      <c r="E96" s="919">
        <f t="shared" si="26"/>
        <v>3210919.6369793862</v>
      </c>
      <c r="F96" s="923"/>
      <c r="G96" s="919">
        <f t="shared" si="24"/>
        <v>-3210919.6369793857</v>
      </c>
      <c r="H96" s="919">
        <f t="shared" si="17"/>
        <v>-3210919.6369793857</v>
      </c>
      <c r="I96" s="919">
        <f t="shared" si="25"/>
        <v>0</v>
      </c>
      <c r="J96" s="919">
        <f t="shared" si="22"/>
        <v>0</v>
      </c>
      <c r="K96" s="922">
        <f t="shared" si="21"/>
        <v>-78557.687723198032</v>
      </c>
      <c r="L96" s="919">
        <f t="shared" si="19"/>
        <v>-78557.687723198018</v>
      </c>
      <c r="M96" s="920">
        <f t="shared" si="18"/>
        <v>-78557.687723198018</v>
      </c>
      <c r="N96" s="921"/>
    </row>
    <row r="97" spans="1:14">
      <c r="A97" s="683"/>
      <c r="B97" s="516">
        <v>44043</v>
      </c>
      <c r="C97" s="133"/>
      <c r="D97" s="919">
        <f t="shared" si="23"/>
        <v>3210919.6369793862</v>
      </c>
      <c r="E97" s="919">
        <f t="shared" si="26"/>
        <v>3210919.6369793862</v>
      </c>
      <c r="F97" s="923"/>
      <c r="G97" s="919">
        <f t="shared" si="24"/>
        <v>-3210919.6369793857</v>
      </c>
      <c r="H97" s="919">
        <f t="shared" si="17"/>
        <v>-3210919.6369793857</v>
      </c>
      <c r="I97" s="919">
        <f t="shared" si="25"/>
        <v>0</v>
      </c>
      <c r="J97" s="919">
        <f t="shared" si="22"/>
        <v>0</v>
      </c>
      <c r="K97" s="922">
        <f t="shared" si="21"/>
        <v>-78557.687723198032</v>
      </c>
      <c r="L97" s="919">
        <f t="shared" si="19"/>
        <v>-78557.687723198018</v>
      </c>
      <c r="M97" s="920">
        <f t="shared" si="18"/>
        <v>-78557.687723198018</v>
      </c>
      <c r="N97" s="921"/>
    </row>
    <row r="98" spans="1:14">
      <c r="A98" s="683"/>
      <c r="B98" s="516">
        <v>44074</v>
      </c>
      <c r="C98" s="133"/>
      <c r="D98" s="919">
        <f t="shared" si="23"/>
        <v>3210919.6369793862</v>
      </c>
      <c r="E98" s="919">
        <f t="shared" si="26"/>
        <v>3210919.6369793862</v>
      </c>
      <c r="F98" s="923"/>
      <c r="G98" s="919">
        <f t="shared" si="24"/>
        <v>-3210919.6369793857</v>
      </c>
      <c r="H98" s="919">
        <f t="shared" si="17"/>
        <v>-3210919.6369793857</v>
      </c>
      <c r="I98" s="919">
        <f t="shared" si="25"/>
        <v>0</v>
      </c>
      <c r="J98" s="919">
        <f t="shared" si="22"/>
        <v>0</v>
      </c>
      <c r="K98" s="922">
        <f t="shared" si="21"/>
        <v>-78557.687723198032</v>
      </c>
      <c r="L98" s="919">
        <f t="shared" si="19"/>
        <v>-78557.687723198018</v>
      </c>
      <c r="M98" s="920">
        <f t="shared" si="18"/>
        <v>-78557.687723198018</v>
      </c>
      <c r="N98" s="921"/>
    </row>
    <row r="99" spans="1:14">
      <c r="A99" s="683"/>
      <c r="B99" s="516">
        <v>44104</v>
      </c>
      <c r="C99" s="133"/>
      <c r="D99" s="919">
        <f t="shared" si="23"/>
        <v>3210919.6369793862</v>
      </c>
      <c r="E99" s="919">
        <f t="shared" si="26"/>
        <v>3210919.6369793862</v>
      </c>
      <c r="F99" s="923"/>
      <c r="G99" s="919">
        <f t="shared" si="24"/>
        <v>-3210919.6369793857</v>
      </c>
      <c r="H99" s="919">
        <f t="shared" si="17"/>
        <v>-3210919.6369793857</v>
      </c>
      <c r="I99" s="919">
        <f t="shared" si="25"/>
        <v>0</v>
      </c>
      <c r="J99" s="919">
        <f t="shared" si="22"/>
        <v>0</v>
      </c>
      <c r="K99" s="922">
        <f t="shared" si="21"/>
        <v>-78557.687723198032</v>
      </c>
      <c r="L99" s="919">
        <f t="shared" si="19"/>
        <v>-78557.687723198018</v>
      </c>
      <c r="M99" s="920">
        <f t="shared" si="18"/>
        <v>-78557.687723198018</v>
      </c>
      <c r="N99" s="921"/>
    </row>
    <row r="100" spans="1:14">
      <c r="A100" s="683"/>
      <c r="B100" s="516">
        <v>44135</v>
      </c>
      <c r="C100" s="133"/>
      <c r="D100" s="919">
        <f t="shared" si="23"/>
        <v>3210919.6369793862</v>
      </c>
      <c r="E100" s="919">
        <f t="shared" si="26"/>
        <v>3210919.6369793862</v>
      </c>
      <c r="F100" s="923"/>
      <c r="G100" s="919">
        <f t="shared" si="24"/>
        <v>-3210919.6369793857</v>
      </c>
      <c r="H100" s="919">
        <f t="shared" si="17"/>
        <v>-3210919.6369793857</v>
      </c>
      <c r="I100" s="919">
        <f t="shared" si="25"/>
        <v>0</v>
      </c>
      <c r="J100" s="919">
        <f t="shared" si="22"/>
        <v>0</v>
      </c>
      <c r="K100" s="520">
        <f t="shared" si="21"/>
        <v>-78557.687723198032</v>
      </c>
      <c r="L100" s="517">
        <f t="shared" si="19"/>
        <v>-78557.687723198018</v>
      </c>
      <c r="M100" s="636">
        <f t="shared" si="18"/>
        <v>-78557.687723198018</v>
      </c>
      <c r="N100" s="635"/>
    </row>
    <row r="101" spans="1:14">
      <c r="A101" s="684"/>
      <c r="B101" s="685"/>
      <c r="C101" s="685"/>
      <c r="D101" s="924"/>
      <c r="E101" s="924"/>
      <c r="F101" s="924"/>
      <c r="G101" s="924"/>
      <c r="H101" s="924"/>
      <c r="I101" s="924"/>
      <c r="J101" s="924"/>
      <c r="K101" s="685"/>
      <c r="L101" s="685"/>
      <c r="M101" s="686"/>
      <c r="N101" s="687">
        <f t="shared" ref="N101" si="27">+D101+G101+K101</f>
        <v>0</v>
      </c>
    </row>
    <row r="102" spans="1:14">
      <c r="D102" s="925"/>
      <c r="E102" s="925"/>
      <c r="F102" s="925"/>
      <c r="G102" s="925"/>
      <c r="H102" s="925"/>
      <c r="I102" s="925"/>
      <c r="J102" s="925"/>
    </row>
    <row r="103" spans="1:14">
      <c r="E103" t="s">
        <v>941</v>
      </c>
      <c r="F103" s="1047">
        <f>SUM(F61:F72)</f>
        <v>673351.60905598255</v>
      </c>
    </row>
    <row r="104" spans="1:14">
      <c r="E104" t="s">
        <v>942</v>
      </c>
      <c r="F104" s="1047">
        <f>SUM(F67:F78)</f>
        <v>561126.34087998548</v>
      </c>
    </row>
  </sheetData>
  <printOptions horizontalCentered="1"/>
  <pageMargins left="0.2" right="0.2" top="0.75" bottom="0.75" header="0.3" footer="0.3"/>
  <pageSetup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U232"/>
  <sheetViews>
    <sheetView zoomScaleNormal="100" workbookViewId="0">
      <pane xSplit="2" ySplit="7" topLeftCell="C191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10.7109375" defaultRowHeight="12.75" outlineLevelRow="1"/>
  <cols>
    <col min="1" max="1" width="13" style="3" bestFit="1" customWidth="1"/>
    <col min="2" max="2" width="3.140625" style="3" customWidth="1"/>
    <col min="3" max="3" width="18" style="5" customWidth="1"/>
    <col min="4" max="4" width="1.85546875" style="5" customWidth="1"/>
    <col min="5" max="5" width="13.42578125" style="3" bestFit="1" customWidth="1"/>
    <col min="6" max="6" width="1.85546875" style="3" customWidth="1"/>
    <col min="7" max="7" width="19" style="3" customWidth="1"/>
    <col min="8" max="8" width="1.85546875" style="3" customWidth="1"/>
    <col min="9" max="9" width="17.42578125" style="3" customWidth="1"/>
    <col min="10" max="10" width="1.85546875" style="3" customWidth="1"/>
    <col min="11" max="11" width="16.5703125" style="17" customWidth="1"/>
    <col min="12" max="12" width="14.140625" style="17" bestFit="1" customWidth="1"/>
    <col min="13" max="13" width="1.85546875" style="17" customWidth="1"/>
    <col min="14" max="14" width="15.28515625" style="17" bestFit="1" customWidth="1"/>
    <col min="15" max="15" width="1.85546875" style="17" customWidth="1"/>
    <col min="16" max="16" width="19.7109375" style="3" customWidth="1"/>
    <col min="17" max="17" width="17.42578125" style="3" customWidth="1"/>
    <col min="18" max="18" width="15.28515625" style="3" bestFit="1" customWidth="1"/>
    <col min="19" max="19" width="16.28515625" style="3" customWidth="1"/>
    <col min="20" max="20" width="10.7109375" style="3" customWidth="1"/>
    <col min="21" max="21" width="15.85546875" style="3" bestFit="1" customWidth="1"/>
    <col min="22" max="16384" width="10.7109375" style="3"/>
  </cols>
  <sheetData>
    <row r="1" spans="1:17" ht="15" customHeight="1">
      <c r="A1" s="1" t="s">
        <v>9</v>
      </c>
      <c r="C1" s="2"/>
      <c r="D1" s="2"/>
      <c r="P1" s="4"/>
      <c r="Q1" s="4"/>
    </row>
    <row r="2" spans="1:17" ht="15" customHeight="1">
      <c r="A2" s="1" t="s">
        <v>10</v>
      </c>
      <c r="C2" s="2"/>
      <c r="D2" s="2"/>
      <c r="L2" s="929"/>
    </row>
    <row r="3" spans="1:17" ht="15" customHeight="1">
      <c r="A3" s="1"/>
      <c r="B3" s="1"/>
      <c r="C3" s="3"/>
      <c r="D3" s="3"/>
    </row>
    <row r="4" spans="1:17" ht="15" customHeight="1">
      <c r="C4" s="1049" t="s">
        <v>11</v>
      </c>
      <c r="D4" s="1050"/>
      <c r="E4" s="1401" t="s">
        <v>12</v>
      </c>
      <c r="F4" s="1401"/>
      <c r="G4" s="1401"/>
      <c r="H4" s="1050"/>
      <c r="I4" s="1049" t="s">
        <v>13</v>
      </c>
      <c r="J4" s="1049"/>
      <c r="K4" s="1401">
        <v>28300431</v>
      </c>
      <c r="L4" s="1401"/>
      <c r="M4" s="1401"/>
      <c r="N4" s="1049" t="s">
        <v>13</v>
      </c>
      <c r="O4" s="6"/>
    </row>
    <row r="5" spans="1:17" ht="15" customHeight="1">
      <c r="C5" s="7" t="s">
        <v>14</v>
      </c>
      <c r="D5" s="3"/>
      <c r="E5" s="1402" t="s">
        <v>15</v>
      </c>
      <c r="F5" s="1402"/>
      <c r="G5" s="1402"/>
      <c r="I5" s="8" t="s">
        <v>16</v>
      </c>
      <c r="J5" s="18"/>
      <c r="K5" s="19" t="s">
        <v>84</v>
      </c>
      <c r="L5" s="19"/>
      <c r="M5" s="20"/>
      <c r="N5" s="10"/>
      <c r="O5" s="10"/>
      <c r="P5" s="21" t="s">
        <v>85</v>
      </c>
      <c r="Q5" s="22" t="s">
        <v>86</v>
      </c>
    </row>
    <row r="6" spans="1:17" ht="15" customHeight="1">
      <c r="C6" s="3"/>
      <c r="D6" s="3"/>
    </row>
    <row r="7" spans="1:17" ht="15" customHeight="1">
      <c r="A7" s="9" t="s">
        <v>17</v>
      </c>
      <c r="B7" s="9"/>
      <c r="C7" s="8" t="s">
        <v>2</v>
      </c>
      <c r="D7" s="6"/>
      <c r="E7" s="8" t="s">
        <v>3</v>
      </c>
      <c r="F7" s="8"/>
      <c r="G7" s="8" t="s">
        <v>2</v>
      </c>
      <c r="H7" s="6"/>
      <c r="I7" s="8" t="s">
        <v>2</v>
      </c>
      <c r="J7" s="8"/>
      <c r="K7" s="23" t="s">
        <v>87</v>
      </c>
      <c r="L7" s="23" t="s">
        <v>88</v>
      </c>
      <c r="M7" s="23"/>
      <c r="N7" s="23" t="s">
        <v>89</v>
      </c>
      <c r="O7" s="23"/>
      <c r="P7" s="24" t="s">
        <v>2</v>
      </c>
      <c r="Q7" s="8" t="s">
        <v>2</v>
      </c>
    </row>
    <row r="8" spans="1:17" ht="4.5" customHeight="1">
      <c r="C8" s="6"/>
      <c r="D8" s="6"/>
      <c r="E8" s="6"/>
      <c r="F8" s="6"/>
      <c r="G8" s="6"/>
      <c r="H8" s="6"/>
      <c r="I8" s="6"/>
      <c r="J8" s="6"/>
      <c r="K8" s="929">
        <f>K10-L10</f>
        <v>-17834610</v>
      </c>
      <c r="P8" s="25"/>
    </row>
    <row r="9" spans="1:17">
      <c r="A9" s="11"/>
      <c r="B9" s="11"/>
      <c r="C9" s="13"/>
      <c r="D9" s="3"/>
      <c r="E9" s="13"/>
      <c r="F9" s="13"/>
      <c r="G9" s="13"/>
      <c r="I9" s="13"/>
      <c r="J9" s="13"/>
    </row>
    <row r="10" spans="1:17" hidden="1" outlineLevel="1">
      <c r="A10" s="11">
        <v>37135</v>
      </c>
      <c r="B10" s="11"/>
      <c r="C10" s="13">
        <v>113632921</v>
      </c>
      <c r="D10" s="3"/>
      <c r="E10" s="13">
        <f>293885</f>
        <v>293885</v>
      </c>
      <c r="F10" s="13"/>
      <c r="G10" s="13">
        <v>57794862.990000002</v>
      </c>
      <c r="I10" s="13">
        <f>+C10-G10</f>
        <v>55838058.009999998</v>
      </c>
      <c r="J10" s="928"/>
      <c r="K10" s="929">
        <v>-17740610</v>
      </c>
      <c r="L10" s="26">
        <v>94000</v>
      </c>
      <c r="M10" s="26"/>
      <c r="N10" s="27">
        <f t="shared" ref="N10:N45" si="0">I10+K10</f>
        <v>38097448.009999998</v>
      </c>
      <c r="O10" s="27"/>
      <c r="P10" s="13"/>
      <c r="Q10" s="13"/>
    </row>
    <row r="11" spans="1:17" hidden="1" outlineLevel="1">
      <c r="A11" s="11">
        <v>37165</v>
      </c>
      <c r="B11" s="11"/>
      <c r="C11" s="13">
        <v>113632921</v>
      </c>
      <c r="D11" s="3"/>
      <c r="E11" s="13">
        <f>293885</f>
        <v>293885</v>
      </c>
      <c r="F11" s="13"/>
      <c r="G11" s="13">
        <f>G12-E11</f>
        <v>58382589.990000002</v>
      </c>
      <c r="I11" s="13">
        <f t="shared" ref="I11:I73" si="1">+C11-G11</f>
        <v>55250331.009999998</v>
      </c>
      <c r="J11" s="928"/>
      <c r="K11" s="929">
        <f>K10+L11</f>
        <v>-17643610</v>
      </c>
      <c r="L11" s="26">
        <v>97000</v>
      </c>
      <c r="M11" s="26"/>
      <c r="N11" s="27">
        <f t="shared" si="0"/>
        <v>37606721.009999998</v>
      </c>
      <c r="O11" s="27"/>
      <c r="P11" s="13"/>
      <c r="Q11" s="13"/>
    </row>
    <row r="12" spans="1:17" hidden="1" outlineLevel="1">
      <c r="A12" s="11">
        <v>37196</v>
      </c>
      <c r="B12" s="11"/>
      <c r="C12" s="13">
        <v>113632921</v>
      </c>
      <c r="D12" s="3"/>
      <c r="E12" s="13">
        <f>293885</f>
        <v>293885</v>
      </c>
      <c r="F12" s="13"/>
      <c r="G12" s="13">
        <f>G13-E12</f>
        <v>58676474.990000002</v>
      </c>
      <c r="I12" s="13">
        <f t="shared" si="1"/>
        <v>54956446.009999998</v>
      </c>
      <c r="J12" s="928"/>
      <c r="K12" s="929">
        <f>K11+L12</f>
        <v>-17550610</v>
      </c>
      <c r="L12" s="26">
        <v>93000</v>
      </c>
      <c r="M12" s="26"/>
      <c r="N12" s="27">
        <f t="shared" si="0"/>
        <v>37405836.009999998</v>
      </c>
      <c r="O12" s="27"/>
      <c r="P12" s="13"/>
      <c r="Q12" s="13"/>
    </row>
    <row r="13" spans="1:17" hidden="1" outlineLevel="1">
      <c r="A13" s="11">
        <v>37226</v>
      </c>
      <c r="B13" s="14"/>
      <c r="C13" s="13">
        <v>113632921</v>
      </c>
      <c r="D13" s="3"/>
      <c r="E13" s="13">
        <f>293885</f>
        <v>293885</v>
      </c>
      <c r="F13" s="13"/>
      <c r="G13" s="13">
        <f>58970402.99-43</f>
        <v>58970359.990000002</v>
      </c>
      <c r="I13" s="13">
        <f t="shared" si="1"/>
        <v>54662561.009999998</v>
      </c>
      <c r="J13" s="928"/>
      <c r="K13" s="929">
        <f t="shared" ref="K13:K74" si="2">K12+L13</f>
        <v>-17456392</v>
      </c>
      <c r="L13" s="26">
        <v>94218</v>
      </c>
      <c r="M13" s="26"/>
      <c r="N13" s="27">
        <f t="shared" si="0"/>
        <v>37206169.009999998</v>
      </c>
      <c r="O13" s="27"/>
      <c r="P13" s="13"/>
      <c r="Q13" s="13"/>
    </row>
    <row r="14" spans="1:17" hidden="1" outlineLevel="1">
      <c r="A14" s="11">
        <v>37257</v>
      </c>
      <c r="B14" s="11"/>
      <c r="C14" s="13">
        <f t="shared" ref="C14:C45" si="3">+C13</f>
        <v>113632921</v>
      </c>
      <c r="D14" s="3"/>
      <c r="E14" s="13">
        <f>293885</f>
        <v>293885</v>
      </c>
      <c r="F14" s="13"/>
      <c r="G14" s="13">
        <f t="shared" ref="G14:G45" si="4">+G13+E14</f>
        <v>59264244.990000002</v>
      </c>
      <c r="I14" s="13">
        <f t="shared" si="1"/>
        <v>54368676.009999998</v>
      </c>
      <c r="J14" s="928"/>
      <c r="K14" s="929">
        <f t="shared" si="2"/>
        <v>-17362392</v>
      </c>
      <c r="L14" s="26">
        <v>94000</v>
      </c>
      <c r="M14" s="26"/>
      <c r="N14" s="27">
        <f t="shared" si="0"/>
        <v>37006284.009999998</v>
      </c>
      <c r="O14" s="27"/>
      <c r="P14" s="13"/>
      <c r="Q14" s="13"/>
    </row>
    <row r="15" spans="1:17" hidden="1" outlineLevel="1">
      <c r="A15" s="11">
        <v>37288</v>
      </c>
      <c r="B15" s="11"/>
      <c r="C15" s="13">
        <f t="shared" si="3"/>
        <v>113632921</v>
      </c>
      <c r="D15" s="3"/>
      <c r="E15" s="13">
        <f t="shared" ref="E15:E46" si="5">+E14</f>
        <v>293885</v>
      </c>
      <c r="F15" s="13"/>
      <c r="G15" s="13">
        <f t="shared" si="4"/>
        <v>59558129.990000002</v>
      </c>
      <c r="I15" s="13">
        <f t="shared" si="1"/>
        <v>54074791.009999998</v>
      </c>
      <c r="J15" s="928"/>
      <c r="K15" s="929">
        <f t="shared" si="2"/>
        <v>-17268392</v>
      </c>
      <c r="L15" s="26">
        <v>94000</v>
      </c>
      <c r="M15" s="26"/>
      <c r="N15" s="27">
        <f t="shared" si="0"/>
        <v>36806399.009999998</v>
      </c>
      <c r="O15" s="27"/>
      <c r="P15" s="13"/>
      <c r="Q15" s="13"/>
    </row>
    <row r="16" spans="1:17" hidden="1" outlineLevel="1">
      <c r="A16" s="11">
        <v>37316</v>
      </c>
      <c r="B16" s="11"/>
      <c r="C16" s="13">
        <f t="shared" si="3"/>
        <v>113632921</v>
      </c>
      <c r="D16" s="3"/>
      <c r="E16" s="13">
        <f t="shared" si="5"/>
        <v>293885</v>
      </c>
      <c r="F16" s="13"/>
      <c r="G16" s="13">
        <f t="shared" si="4"/>
        <v>59852014.990000002</v>
      </c>
      <c r="I16" s="13">
        <f t="shared" si="1"/>
        <v>53780906.009999998</v>
      </c>
      <c r="J16" s="928"/>
      <c r="K16" s="929">
        <f>K15+L16</f>
        <v>-17174392</v>
      </c>
      <c r="L16" s="26">
        <v>94000</v>
      </c>
      <c r="M16" s="26"/>
      <c r="N16" s="27">
        <f t="shared" si="0"/>
        <v>36606514.009999998</v>
      </c>
      <c r="O16" s="27"/>
      <c r="P16" s="13"/>
      <c r="Q16" s="13"/>
    </row>
    <row r="17" spans="1:19" hidden="1" outlineLevel="1">
      <c r="A17" s="11">
        <v>37347</v>
      </c>
      <c r="B17" s="11"/>
      <c r="C17" s="13">
        <f t="shared" si="3"/>
        <v>113632921</v>
      </c>
      <c r="D17" s="3"/>
      <c r="E17" s="13">
        <f t="shared" si="5"/>
        <v>293885</v>
      </c>
      <c r="F17" s="13"/>
      <c r="G17" s="13">
        <f t="shared" si="4"/>
        <v>60145899.990000002</v>
      </c>
      <c r="I17" s="13">
        <f t="shared" si="1"/>
        <v>53487021.009999998</v>
      </c>
      <c r="J17" s="928"/>
      <c r="K17" s="929">
        <f t="shared" si="2"/>
        <v>-17080392</v>
      </c>
      <c r="L17" s="26">
        <v>94000</v>
      </c>
      <c r="M17" s="26"/>
      <c r="N17" s="27">
        <f t="shared" si="0"/>
        <v>36406629.009999998</v>
      </c>
      <c r="O17" s="27"/>
      <c r="P17" s="13"/>
      <c r="Q17" s="13"/>
    </row>
    <row r="18" spans="1:19" hidden="1" outlineLevel="1">
      <c r="A18" s="11">
        <v>37377</v>
      </c>
      <c r="B18" s="11"/>
      <c r="C18" s="13">
        <f t="shared" si="3"/>
        <v>113632921</v>
      </c>
      <c r="D18" s="3"/>
      <c r="E18" s="13">
        <f t="shared" si="5"/>
        <v>293885</v>
      </c>
      <c r="F18" s="13"/>
      <c r="G18" s="13">
        <f t="shared" si="4"/>
        <v>60439784.990000002</v>
      </c>
      <c r="I18" s="13">
        <f t="shared" si="1"/>
        <v>53193136.009999998</v>
      </c>
      <c r="J18" s="928"/>
      <c r="K18" s="929">
        <f t="shared" si="2"/>
        <v>-16986392</v>
      </c>
      <c r="L18" s="26">
        <v>94000</v>
      </c>
      <c r="M18" s="26"/>
      <c r="N18" s="27">
        <f t="shared" si="0"/>
        <v>36206744.009999998</v>
      </c>
      <c r="O18" s="27"/>
      <c r="P18" s="13"/>
      <c r="Q18" s="13"/>
    </row>
    <row r="19" spans="1:19" ht="12.75" hidden="1" customHeight="1" outlineLevel="1">
      <c r="A19" s="11">
        <v>37408</v>
      </c>
      <c r="B19" s="11"/>
      <c r="C19" s="13">
        <f t="shared" si="3"/>
        <v>113632921</v>
      </c>
      <c r="D19" s="3"/>
      <c r="E19" s="13">
        <f t="shared" si="5"/>
        <v>293885</v>
      </c>
      <c r="F19" s="13"/>
      <c r="G19" s="13">
        <f t="shared" si="4"/>
        <v>60733669.990000002</v>
      </c>
      <c r="I19" s="13">
        <f t="shared" si="1"/>
        <v>52899251.009999998</v>
      </c>
      <c r="J19" s="928"/>
      <c r="K19" s="929">
        <f t="shared" si="2"/>
        <v>-16893392</v>
      </c>
      <c r="L19" s="26">
        <v>93000</v>
      </c>
      <c r="M19" s="26"/>
      <c r="N19" s="27">
        <f t="shared" si="0"/>
        <v>36005859.009999998</v>
      </c>
      <c r="O19" s="27"/>
      <c r="P19" s="13"/>
      <c r="Q19" s="13"/>
    </row>
    <row r="20" spans="1:19" ht="12.75" hidden="1" customHeight="1" outlineLevel="1">
      <c r="A20" s="11">
        <v>37438</v>
      </c>
      <c r="B20" s="11"/>
      <c r="C20" s="13">
        <f t="shared" si="3"/>
        <v>113632921</v>
      </c>
      <c r="D20" s="3"/>
      <c r="E20" s="13">
        <f t="shared" si="5"/>
        <v>293885</v>
      </c>
      <c r="F20" s="13"/>
      <c r="G20" s="13">
        <f t="shared" si="4"/>
        <v>61027554.990000002</v>
      </c>
      <c r="I20" s="13">
        <f t="shared" si="1"/>
        <v>52605366.009999998</v>
      </c>
      <c r="J20" s="928"/>
      <c r="K20" s="929">
        <f t="shared" si="2"/>
        <v>-16799392</v>
      </c>
      <c r="L20" s="26">
        <v>94000</v>
      </c>
      <c r="M20" s="26"/>
      <c r="N20" s="27">
        <f t="shared" si="0"/>
        <v>35805974.009999998</v>
      </c>
      <c r="O20" s="27"/>
      <c r="P20" s="13"/>
      <c r="Q20" s="13"/>
    </row>
    <row r="21" spans="1:19" hidden="1" outlineLevel="1">
      <c r="A21" s="11">
        <v>37469</v>
      </c>
      <c r="B21" s="11"/>
      <c r="C21" s="13">
        <f t="shared" si="3"/>
        <v>113632921</v>
      </c>
      <c r="D21" s="3"/>
      <c r="E21" s="13">
        <f t="shared" si="5"/>
        <v>293885</v>
      </c>
      <c r="F21" s="13"/>
      <c r="G21" s="13">
        <f t="shared" si="4"/>
        <v>61321439.990000002</v>
      </c>
      <c r="I21" s="13">
        <f t="shared" si="1"/>
        <v>52311481.009999998</v>
      </c>
      <c r="J21" s="928"/>
      <c r="K21" s="929">
        <f t="shared" si="2"/>
        <v>-16705392</v>
      </c>
      <c r="L21" s="26">
        <v>94000</v>
      </c>
      <c r="M21" s="26"/>
      <c r="N21" s="27">
        <f t="shared" si="0"/>
        <v>35606089.009999998</v>
      </c>
      <c r="O21" s="27"/>
      <c r="P21" s="13"/>
      <c r="Q21" s="13"/>
    </row>
    <row r="22" spans="1:19" hidden="1" outlineLevel="1">
      <c r="A22" s="11">
        <v>37500</v>
      </c>
      <c r="B22" s="11"/>
      <c r="C22" s="13">
        <f t="shared" si="3"/>
        <v>113632921</v>
      </c>
      <c r="D22" s="3"/>
      <c r="E22" s="13">
        <f t="shared" si="5"/>
        <v>293885</v>
      </c>
      <c r="F22" s="13"/>
      <c r="G22" s="13">
        <f t="shared" si="4"/>
        <v>61615324.990000002</v>
      </c>
      <c r="I22" s="13">
        <f t="shared" si="1"/>
        <v>52017596.009999998</v>
      </c>
      <c r="J22" s="928"/>
      <c r="K22" s="929">
        <f t="shared" si="2"/>
        <v>-16611392</v>
      </c>
      <c r="L22" s="26">
        <v>94000</v>
      </c>
      <c r="M22" s="26"/>
      <c r="N22" s="27">
        <f>I22+K22</f>
        <v>35406204.009999998</v>
      </c>
      <c r="O22" s="27"/>
      <c r="P22" s="13"/>
      <c r="Q22" s="13">
        <f>+(I10+I22+2*SUM(I11:I21))/24</f>
        <v>53793149.42666667</v>
      </c>
      <c r="R22" s="13"/>
      <c r="S22" s="13"/>
    </row>
    <row r="23" spans="1:19" hidden="1" outlineLevel="1">
      <c r="A23" s="11">
        <v>37530</v>
      </c>
      <c r="B23" s="11"/>
      <c r="C23" s="13">
        <f t="shared" si="3"/>
        <v>113632921</v>
      </c>
      <c r="D23" s="3"/>
      <c r="E23" s="13">
        <f t="shared" si="5"/>
        <v>293885</v>
      </c>
      <c r="F23" s="13"/>
      <c r="G23" s="13">
        <f t="shared" si="4"/>
        <v>61909209.990000002</v>
      </c>
      <c r="I23" s="13">
        <f t="shared" si="1"/>
        <v>51723711.009999998</v>
      </c>
      <c r="J23" s="928"/>
      <c r="K23" s="929">
        <f t="shared" si="2"/>
        <v>-16517392</v>
      </c>
      <c r="L23" s="26">
        <v>94000</v>
      </c>
      <c r="M23" s="26"/>
      <c r="N23" s="27">
        <f t="shared" si="0"/>
        <v>35206319.009999998</v>
      </c>
      <c r="O23" s="27"/>
      <c r="P23" s="13"/>
      <c r="Q23" s="13">
        <f t="shared" ref="Q23:Q53" si="6">+(I11+I23+2*SUM(I12:I22))/24</f>
        <v>53487021.009999998</v>
      </c>
      <c r="R23" s="13"/>
      <c r="S23" s="13"/>
    </row>
    <row r="24" spans="1:19" hidden="1" outlineLevel="1">
      <c r="A24" s="11">
        <v>37561</v>
      </c>
      <c r="B24" s="11"/>
      <c r="C24" s="13">
        <f t="shared" si="3"/>
        <v>113632921</v>
      </c>
      <c r="D24" s="3"/>
      <c r="E24" s="13">
        <f t="shared" si="5"/>
        <v>293885</v>
      </c>
      <c r="F24" s="13"/>
      <c r="G24" s="13">
        <f t="shared" si="4"/>
        <v>62203094.990000002</v>
      </c>
      <c r="I24" s="13">
        <f t="shared" si="1"/>
        <v>51429826.009999998</v>
      </c>
      <c r="J24" s="928"/>
      <c r="K24" s="929">
        <f t="shared" si="2"/>
        <v>-16423392</v>
      </c>
      <c r="L24" s="26">
        <v>94000</v>
      </c>
      <c r="M24" s="26"/>
      <c r="N24" s="27">
        <f t="shared" si="0"/>
        <v>35006434.009999998</v>
      </c>
      <c r="O24" s="27"/>
      <c r="P24" s="13"/>
      <c r="Q24" s="13">
        <f t="shared" si="6"/>
        <v>53193136.009999998</v>
      </c>
      <c r="R24" s="13"/>
      <c r="S24" s="13"/>
    </row>
    <row r="25" spans="1:19" hidden="1" outlineLevel="1">
      <c r="A25" s="11">
        <v>37591</v>
      </c>
      <c r="B25" s="11"/>
      <c r="C25" s="13">
        <f t="shared" si="3"/>
        <v>113632921</v>
      </c>
      <c r="D25" s="3"/>
      <c r="E25" s="13">
        <f t="shared" si="5"/>
        <v>293885</v>
      </c>
      <c r="F25" s="13"/>
      <c r="G25" s="13">
        <f t="shared" si="4"/>
        <v>62496979.990000002</v>
      </c>
      <c r="I25" s="13">
        <f t="shared" si="1"/>
        <v>51135941.009999998</v>
      </c>
      <c r="J25" s="928"/>
      <c r="K25" s="929">
        <f t="shared" si="2"/>
        <v>-16330174</v>
      </c>
      <c r="L25" s="26">
        <v>93218</v>
      </c>
      <c r="M25" s="26"/>
      <c r="N25" s="27">
        <f t="shared" si="0"/>
        <v>34805767.009999998</v>
      </c>
      <c r="O25" s="27"/>
      <c r="P25" s="13"/>
      <c r="Q25" s="13">
        <f t="shared" si="6"/>
        <v>52899251.009999998</v>
      </c>
      <c r="R25" s="13"/>
      <c r="S25" s="13"/>
    </row>
    <row r="26" spans="1:19" hidden="1" outlineLevel="1">
      <c r="A26" s="11">
        <v>37622</v>
      </c>
      <c r="B26" s="11"/>
      <c r="C26" s="13">
        <f t="shared" si="3"/>
        <v>113632921</v>
      </c>
      <c r="D26" s="3"/>
      <c r="E26" s="13">
        <f t="shared" si="5"/>
        <v>293885</v>
      </c>
      <c r="F26" s="13"/>
      <c r="G26" s="13">
        <f t="shared" si="4"/>
        <v>62790864.990000002</v>
      </c>
      <c r="I26" s="13">
        <f t="shared" si="1"/>
        <v>50842056.009999998</v>
      </c>
      <c r="J26" s="928"/>
      <c r="K26" s="929">
        <f t="shared" si="2"/>
        <v>-16236174</v>
      </c>
      <c r="L26" s="26">
        <v>94000</v>
      </c>
      <c r="M26" s="26"/>
      <c r="N26" s="27">
        <f t="shared" si="0"/>
        <v>34605882.009999998</v>
      </c>
      <c r="O26" s="27"/>
      <c r="P26" s="13"/>
      <c r="Q26" s="13">
        <f t="shared" si="6"/>
        <v>52605366.009999998</v>
      </c>
      <c r="R26" s="13"/>
      <c r="S26" s="13"/>
    </row>
    <row r="27" spans="1:19" hidden="1" outlineLevel="1">
      <c r="A27" s="11">
        <v>37653</v>
      </c>
      <c r="B27" s="11"/>
      <c r="C27" s="13">
        <f t="shared" si="3"/>
        <v>113632921</v>
      </c>
      <c r="D27" s="3"/>
      <c r="E27" s="13">
        <f t="shared" si="5"/>
        <v>293885</v>
      </c>
      <c r="F27" s="13"/>
      <c r="G27" s="13">
        <f t="shared" si="4"/>
        <v>63084749.990000002</v>
      </c>
      <c r="I27" s="13">
        <f t="shared" si="1"/>
        <v>50548171.009999998</v>
      </c>
      <c r="J27" s="928"/>
      <c r="K27" s="929">
        <f t="shared" si="2"/>
        <v>-16142174</v>
      </c>
      <c r="L27" s="26">
        <v>94000</v>
      </c>
      <c r="M27" s="26"/>
      <c r="N27" s="27">
        <f t="shared" si="0"/>
        <v>34405997.009999998</v>
      </c>
      <c r="O27" s="27"/>
      <c r="P27" s="13"/>
      <c r="Q27" s="13">
        <f t="shared" si="6"/>
        <v>52311481.009999998</v>
      </c>
      <c r="R27" s="13"/>
      <c r="S27" s="13"/>
    </row>
    <row r="28" spans="1:19" hidden="1" outlineLevel="1">
      <c r="A28" s="11">
        <v>37681</v>
      </c>
      <c r="B28" s="11"/>
      <c r="C28" s="13">
        <f t="shared" si="3"/>
        <v>113632921</v>
      </c>
      <c r="D28" s="3"/>
      <c r="E28" s="13">
        <f t="shared" si="5"/>
        <v>293885</v>
      </c>
      <c r="F28" s="13"/>
      <c r="G28" s="13">
        <f t="shared" si="4"/>
        <v>63378634.990000002</v>
      </c>
      <c r="I28" s="13">
        <f t="shared" si="1"/>
        <v>50254286.009999998</v>
      </c>
      <c r="J28" s="928"/>
      <c r="K28" s="929">
        <f t="shared" si="2"/>
        <v>-16048174</v>
      </c>
      <c r="L28" s="26">
        <v>94000</v>
      </c>
      <c r="M28" s="26"/>
      <c r="N28" s="27">
        <f t="shared" si="0"/>
        <v>34206112.009999998</v>
      </c>
      <c r="O28" s="27"/>
      <c r="P28" s="13"/>
      <c r="Q28" s="13">
        <f t="shared" si="6"/>
        <v>52017596.009999998</v>
      </c>
      <c r="R28" s="13"/>
      <c r="S28" s="13"/>
    </row>
    <row r="29" spans="1:19" hidden="1" outlineLevel="1">
      <c r="A29" s="11">
        <v>37712</v>
      </c>
      <c r="B29" s="11"/>
      <c r="C29" s="13">
        <f t="shared" si="3"/>
        <v>113632921</v>
      </c>
      <c r="D29" s="3"/>
      <c r="E29" s="13">
        <f t="shared" si="5"/>
        <v>293885</v>
      </c>
      <c r="F29" s="13"/>
      <c r="G29" s="13">
        <f t="shared" si="4"/>
        <v>63672519.990000002</v>
      </c>
      <c r="I29" s="13">
        <f t="shared" si="1"/>
        <v>49960401.009999998</v>
      </c>
      <c r="J29" s="928"/>
      <c r="K29" s="929">
        <f t="shared" si="2"/>
        <v>-15954174</v>
      </c>
      <c r="L29" s="26">
        <v>94000</v>
      </c>
      <c r="M29" s="26"/>
      <c r="N29" s="27">
        <f t="shared" si="0"/>
        <v>34006227.009999998</v>
      </c>
      <c r="O29" s="27"/>
      <c r="P29" s="13"/>
      <c r="Q29" s="13">
        <f t="shared" si="6"/>
        <v>51723711.009999998</v>
      </c>
      <c r="R29" s="13"/>
      <c r="S29" s="13"/>
    </row>
    <row r="30" spans="1:19" hidden="1" outlineLevel="1">
      <c r="A30" s="11">
        <v>37742</v>
      </c>
      <c r="B30" s="11"/>
      <c r="C30" s="13">
        <f t="shared" si="3"/>
        <v>113632921</v>
      </c>
      <c r="D30" s="3"/>
      <c r="E30" s="13">
        <f t="shared" si="5"/>
        <v>293885</v>
      </c>
      <c r="F30" s="13"/>
      <c r="G30" s="13">
        <f t="shared" si="4"/>
        <v>63966404.990000002</v>
      </c>
      <c r="I30" s="13">
        <f t="shared" si="1"/>
        <v>49666516.009999998</v>
      </c>
      <c r="J30" s="928"/>
      <c r="K30" s="929">
        <f t="shared" si="2"/>
        <v>-15860174</v>
      </c>
      <c r="L30" s="26">
        <v>94000</v>
      </c>
      <c r="M30" s="26"/>
      <c r="N30" s="27">
        <f t="shared" si="0"/>
        <v>33806342.009999998</v>
      </c>
      <c r="O30" s="27"/>
      <c r="P30" s="13"/>
      <c r="Q30" s="13">
        <f t="shared" si="6"/>
        <v>51429826.009999998</v>
      </c>
      <c r="R30" s="13"/>
      <c r="S30" s="13"/>
    </row>
    <row r="31" spans="1:19" hidden="1" outlineLevel="1">
      <c r="A31" s="11">
        <v>37773</v>
      </c>
      <c r="B31" s="11"/>
      <c r="C31" s="13">
        <f t="shared" si="3"/>
        <v>113632921</v>
      </c>
      <c r="D31" s="3"/>
      <c r="E31" s="13">
        <f t="shared" si="5"/>
        <v>293885</v>
      </c>
      <c r="F31" s="13"/>
      <c r="G31" s="13">
        <f t="shared" si="4"/>
        <v>64260289.990000002</v>
      </c>
      <c r="I31" s="13">
        <f t="shared" si="1"/>
        <v>49372631.009999998</v>
      </c>
      <c r="J31" s="928"/>
      <c r="K31" s="929">
        <f t="shared" si="2"/>
        <v>-15767174</v>
      </c>
      <c r="L31" s="26">
        <v>93000</v>
      </c>
      <c r="M31" s="26"/>
      <c r="N31" s="27">
        <f t="shared" si="0"/>
        <v>33605457.009999998</v>
      </c>
      <c r="O31" s="27"/>
      <c r="P31" s="13"/>
      <c r="Q31" s="13">
        <f t="shared" si="6"/>
        <v>51135941.009999998</v>
      </c>
      <c r="R31" s="13"/>
      <c r="S31" s="13"/>
    </row>
    <row r="32" spans="1:19" ht="12.75" hidden="1" customHeight="1" outlineLevel="1">
      <c r="A32" s="11">
        <v>37803</v>
      </c>
      <c r="B32" s="11"/>
      <c r="C32" s="13">
        <f t="shared" si="3"/>
        <v>113632921</v>
      </c>
      <c r="D32" s="3"/>
      <c r="E32" s="13">
        <f t="shared" si="5"/>
        <v>293885</v>
      </c>
      <c r="F32" s="13"/>
      <c r="G32" s="13">
        <f t="shared" si="4"/>
        <v>64554174.990000002</v>
      </c>
      <c r="I32" s="13">
        <f t="shared" si="1"/>
        <v>49078746.009999998</v>
      </c>
      <c r="J32" s="928"/>
      <c r="K32" s="929">
        <f t="shared" si="2"/>
        <v>-15674174</v>
      </c>
      <c r="L32" s="26">
        <v>93000</v>
      </c>
      <c r="M32" s="26"/>
      <c r="N32" s="27">
        <f t="shared" si="0"/>
        <v>33404572.009999998</v>
      </c>
      <c r="O32" s="27"/>
      <c r="P32" s="13"/>
      <c r="Q32" s="13">
        <f t="shared" si="6"/>
        <v>50842056.009999998</v>
      </c>
      <c r="R32" s="13"/>
      <c r="S32" s="13"/>
    </row>
    <row r="33" spans="1:19" hidden="1" outlineLevel="1">
      <c r="A33" s="11">
        <v>37834</v>
      </c>
      <c r="B33" s="11"/>
      <c r="C33" s="13">
        <f t="shared" si="3"/>
        <v>113632921</v>
      </c>
      <c r="D33" s="3"/>
      <c r="E33" s="13">
        <f t="shared" si="5"/>
        <v>293885</v>
      </c>
      <c r="F33" s="13"/>
      <c r="G33" s="13">
        <f t="shared" si="4"/>
        <v>64848059.990000002</v>
      </c>
      <c r="I33" s="13">
        <f t="shared" si="1"/>
        <v>48784861.009999998</v>
      </c>
      <c r="J33" s="928"/>
      <c r="K33" s="929">
        <f t="shared" si="2"/>
        <v>-15581174</v>
      </c>
      <c r="L33" s="26">
        <v>93000</v>
      </c>
      <c r="M33" s="26"/>
      <c r="N33" s="27">
        <f t="shared" si="0"/>
        <v>33203687.009999998</v>
      </c>
      <c r="O33" s="27"/>
      <c r="P33" s="13"/>
      <c r="Q33" s="13">
        <f t="shared" si="6"/>
        <v>50548171.009999998</v>
      </c>
      <c r="R33" s="13"/>
      <c r="S33" s="13"/>
    </row>
    <row r="34" spans="1:19" hidden="1" outlineLevel="1">
      <c r="A34" s="11">
        <v>37865</v>
      </c>
      <c r="B34" s="11"/>
      <c r="C34" s="13">
        <f t="shared" si="3"/>
        <v>113632921</v>
      </c>
      <c r="D34" s="3"/>
      <c r="E34" s="13">
        <f t="shared" si="5"/>
        <v>293885</v>
      </c>
      <c r="F34" s="13"/>
      <c r="G34" s="13">
        <f t="shared" si="4"/>
        <v>65141944.990000002</v>
      </c>
      <c r="I34" s="13">
        <f t="shared" si="1"/>
        <v>48490976.009999998</v>
      </c>
      <c r="J34" s="928"/>
      <c r="K34" s="929">
        <f t="shared" si="2"/>
        <v>-15485174</v>
      </c>
      <c r="L34" s="26">
        <v>96000</v>
      </c>
      <c r="M34" s="26"/>
      <c r="N34" s="27">
        <f t="shared" si="0"/>
        <v>33005802.009999998</v>
      </c>
      <c r="O34" s="27"/>
      <c r="P34" s="13"/>
      <c r="Q34" s="13">
        <f t="shared" si="6"/>
        <v>50254286.009999998</v>
      </c>
      <c r="R34" s="13"/>
      <c r="S34" s="13"/>
    </row>
    <row r="35" spans="1:19" hidden="1" outlineLevel="1">
      <c r="A35" s="11">
        <v>37895</v>
      </c>
      <c r="B35" s="11"/>
      <c r="C35" s="13">
        <f t="shared" si="3"/>
        <v>113632921</v>
      </c>
      <c r="D35" s="3"/>
      <c r="E35" s="13">
        <f t="shared" si="5"/>
        <v>293885</v>
      </c>
      <c r="F35" s="13"/>
      <c r="G35" s="13">
        <f t="shared" si="4"/>
        <v>65435829.990000002</v>
      </c>
      <c r="I35" s="13">
        <f t="shared" si="1"/>
        <v>48197091.009999998</v>
      </c>
      <c r="J35" s="928"/>
      <c r="K35" s="929">
        <f t="shared" si="2"/>
        <v>-15391174</v>
      </c>
      <c r="L35" s="26">
        <v>94000</v>
      </c>
      <c r="M35" s="26"/>
      <c r="N35" s="27">
        <f t="shared" si="0"/>
        <v>32805917.009999998</v>
      </c>
      <c r="O35" s="27"/>
      <c r="P35" s="13"/>
      <c r="Q35" s="13">
        <f t="shared" si="6"/>
        <v>49960401.009999998</v>
      </c>
    </row>
    <row r="36" spans="1:19" hidden="1" outlineLevel="1">
      <c r="A36" s="11">
        <v>37926</v>
      </c>
      <c r="B36" s="11"/>
      <c r="C36" s="13">
        <f t="shared" si="3"/>
        <v>113632921</v>
      </c>
      <c r="D36" s="3"/>
      <c r="E36" s="13">
        <f t="shared" si="5"/>
        <v>293885</v>
      </c>
      <c r="F36" s="13"/>
      <c r="G36" s="13">
        <f t="shared" si="4"/>
        <v>65729714.990000002</v>
      </c>
      <c r="I36" s="13">
        <f t="shared" si="1"/>
        <v>47903206.009999998</v>
      </c>
      <c r="J36" s="928"/>
      <c r="K36" s="929">
        <f t="shared" si="2"/>
        <v>-15297174</v>
      </c>
      <c r="L36" s="26">
        <v>94000</v>
      </c>
      <c r="M36" s="26"/>
      <c r="N36" s="27">
        <f t="shared" si="0"/>
        <v>32606032.009999998</v>
      </c>
      <c r="O36" s="27"/>
      <c r="P36" s="13"/>
      <c r="Q36" s="13">
        <f t="shared" si="6"/>
        <v>49666516.009999998</v>
      </c>
    </row>
    <row r="37" spans="1:19" hidden="1" outlineLevel="1">
      <c r="A37" s="11">
        <v>37956</v>
      </c>
      <c r="B37" s="11"/>
      <c r="C37" s="13">
        <f t="shared" si="3"/>
        <v>113632921</v>
      </c>
      <c r="D37" s="3"/>
      <c r="E37" s="13">
        <f t="shared" si="5"/>
        <v>293885</v>
      </c>
      <c r="F37" s="13"/>
      <c r="G37" s="13">
        <f t="shared" si="4"/>
        <v>66023599.990000002</v>
      </c>
      <c r="I37" s="13">
        <f t="shared" si="1"/>
        <v>47609321.009999998</v>
      </c>
      <c r="J37" s="928"/>
      <c r="K37" s="929">
        <f t="shared" si="2"/>
        <v>-15203956</v>
      </c>
      <c r="L37" s="26">
        <v>93218</v>
      </c>
      <c r="M37" s="26"/>
      <c r="N37" s="27">
        <f t="shared" si="0"/>
        <v>32405365.009999998</v>
      </c>
      <c r="O37" s="27"/>
      <c r="P37" s="13"/>
      <c r="Q37" s="13">
        <f t="shared" si="6"/>
        <v>49372631.009999998</v>
      </c>
    </row>
    <row r="38" spans="1:19" hidden="1" outlineLevel="1">
      <c r="A38" s="11">
        <v>37987</v>
      </c>
      <c r="B38" s="11"/>
      <c r="C38" s="13">
        <f t="shared" si="3"/>
        <v>113632921</v>
      </c>
      <c r="D38" s="3"/>
      <c r="E38" s="13">
        <f t="shared" si="5"/>
        <v>293885</v>
      </c>
      <c r="F38" s="13"/>
      <c r="G38" s="13">
        <f t="shared" si="4"/>
        <v>66317484.990000002</v>
      </c>
      <c r="I38" s="13">
        <f t="shared" si="1"/>
        <v>47315436.009999998</v>
      </c>
      <c r="J38" s="928"/>
      <c r="K38" s="929">
        <f t="shared" si="2"/>
        <v>-15109956</v>
      </c>
      <c r="L38" s="26">
        <v>94000</v>
      </c>
      <c r="M38" s="26"/>
      <c r="N38" s="27">
        <f t="shared" si="0"/>
        <v>32205480.009999998</v>
      </c>
      <c r="O38" s="27"/>
      <c r="P38" s="13"/>
      <c r="Q38" s="13">
        <f t="shared" si="6"/>
        <v>49078746.009999998</v>
      </c>
    </row>
    <row r="39" spans="1:19" hidden="1" outlineLevel="1">
      <c r="A39" s="11">
        <v>38018</v>
      </c>
      <c r="B39" s="11"/>
      <c r="C39" s="13">
        <f t="shared" si="3"/>
        <v>113632921</v>
      </c>
      <c r="D39" s="3"/>
      <c r="E39" s="13">
        <f t="shared" si="5"/>
        <v>293885</v>
      </c>
      <c r="F39" s="13"/>
      <c r="G39" s="13">
        <f t="shared" si="4"/>
        <v>66611369.990000002</v>
      </c>
      <c r="I39" s="13">
        <f t="shared" si="1"/>
        <v>47021551.009999998</v>
      </c>
      <c r="J39" s="928"/>
      <c r="K39" s="929">
        <f t="shared" si="2"/>
        <v>-15015956</v>
      </c>
      <c r="L39" s="26">
        <v>94000</v>
      </c>
      <c r="M39" s="26"/>
      <c r="N39" s="27">
        <f t="shared" si="0"/>
        <v>32005595.009999998</v>
      </c>
      <c r="O39" s="27"/>
      <c r="P39" s="13"/>
      <c r="Q39" s="13">
        <f t="shared" si="6"/>
        <v>48784861.009999998</v>
      </c>
    </row>
    <row r="40" spans="1:19" hidden="1" outlineLevel="1">
      <c r="A40" s="11">
        <v>38047</v>
      </c>
      <c r="B40" s="11"/>
      <c r="C40" s="13">
        <f t="shared" si="3"/>
        <v>113632921</v>
      </c>
      <c r="D40" s="3"/>
      <c r="E40" s="13">
        <f t="shared" si="5"/>
        <v>293885</v>
      </c>
      <c r="F40" s="13"/>
      <c r="G40" s="13">
        <f t="shared" si="4"/>
        <v>66905254.990000002</v>
      </c>
      <c r="I40" s="13">
        <f t="shared" si="1"/>
        <v>46727666.009999998</v>
      </c>
      <c r="J40" s="928"/>
      <c r="K40" s="929">
        <f t="shared" si="2"/>
        <v>-14921956</v>
      </c>
      <c r="L40" s="26">
        <v>94000</v>
      </c>
      <c r="M40" s="26"/>
      <c r="N40" s="27">
        <f t="shared" si="0"/>
        <v>31805710.009999998</v>
      </c>
      <c r="O40" s="27"/>
      <c r="P40" s="13"/>
      <c r="Q40" s="13">
        <f t="shared" si="6"/>
        <v>48490976.009999998</v>
      </c>
    </row>
    <row r="41" spans="1:19" ht="12.75" hidden="1" customHeight="1" outlineLevel="1">
      <c r="A41" s="12">
        <v>38078</v>
      </c>
      <c r="B41" s="12"/>
      <c r="C41" s="16">
        <f t="shared" si="3"/>
        <v>113632921</v>
      </c>
      <c r="E41" s="16">
        <f t="shared" si="5"/>
        <v>293885</v>
      </c>
      <c r="F41" s="16"/>
      <c r="G41" s="16">
        <f t="shared" si="4"/>
        <v>67199139.99000001</v>
      </c>
      <c r="H41" s="5"/>
      <c r="I41" s="16">
        <f t="shared" si="1"/>
        <v>46433781.00999999</v>
      </c>
      <c r="J41" s="930"/>
      <c r="K41" s="929">
        <f t="shared" si="2"/>
        <v>-14827956</v>
      </c>
      <c r="L41" s="26">
        <v>94000</v>
      </c>
      <c r="M41" s="27"/>
      <c r="N41" s="27">
        <f t="shared" si="0"/>
        <v>31605825.00999999</v>
      </c>
      <c r="O41" s="27"/>
      <c r="P41" s="13"/>
      <c r="Q41" s="16">
        <f t="shared" si="6"/>
        <v>48197091.00999999</v>
      </c>
    </row>
    <row r="42" spans="1:19" hidden="1" outlineLevel="1">
      <c r="A42" s="12">
        <v>38108</v>
      </c>
      <c r="B42" s="12"/>
      <c r="C42" s="16">
        <f t="shared" si="3"/>
        <v>113632921</v>
      </c>
      <c r="E42" s="16">
        <f t="shared" si="5"/>
        <v>293885</v>
      </c>
      <c r="F42" s="16"/>
      <c r="G42" s="16">
        <f t="shared" si="4"/>
        <v>67493024.99000001</v>
      </c>
      <c r="H42" s="5"/>
      <c r="I42" s="16">
        <f t="shared" si="1"/>
        <v>46139896.00999999</v>
      </c>
      <c r="J42" s="930"/>
      <c r="K42" s="929">
        <f t="shared" si="2"/>
        <v>-14733956</v>
      </c>
      <c r="L42" s="26">
        <v>94000</v>
      </c>
      <c r="M42" s="27"/>
      <c r="N42" s="27">
        <f t="shared" si="0"/>
        <v>31405940.00999999</v>
      </c>
      <c r="O42" s="27"/>
      <c r="P42" s="13"/>
      <c r="Q42" s="16">
        <f t="shared" si="6"/>
        <v>47903206.00999999</v>
      </c>
    </row>
    <row r="43" spans="1:19" hidden="1" outlineLevel="1">
      <c r="A43" s="12">
        <v>38139</v>
      </c>
      <c r="B43" s="12"/>
      <c r="C43" s="16">
        <f t="shared" si="3"/>
        <v>113632921</v>
      </c>
      <c r="E43" s="16">
        <f t="shared" si="5"/>
        <v>293885</v>
      </c>
      <c r="F43" s="16"/>
      <c r="G43" s="16">
        <f t="shared" si="4"/>
        <v>67786909.99000001</v>
      </c>
      <c r="H43" s="5"/>
      <c r="I43" s="16">
        <f t="shared" si="1"/>
        <v>45846011.00999999</v>
      </c>
      <c r="J43" s="930"/>
      <c r="K43" s="931">
        <f t="shared" si="2"/>
        <v>-14640956</v>
      </c>
      <c r="L43" s="27">
        <v>93000</v>
      </c>
      <c r="M43" s="27"/>
      <c r="N43" s="27">
        <f t="shared" si="0"/>
        <v>31205055.00999999</v>
      </c>
      <c r="O43" s="27"/>
      <c r="P43" s="16"/>
      <c r="Q43" s="16">
        <f t="shared" si="6"/>
        <v>47609321.00999999</v>
      </c>
    </row>
    <row r="44" spans="1:19" ht="12.75" hidden="1" customHeight="1" outlineLevel="1">
      <c r="A44" s="12">
        <v>38169</v>
      </c>
      <c r="B44" s="12"/>
      <c r="C44" s="16">
        <f t="shared" si="3"/>
        <v>113632921</v>
      </c>
      <c r="E44" s="16">
        <f t="shared" si="5"/>
        <v>293885</v>
      </c>
      <c r="F44" s="16"/>
      <c r="G44" s="16">
        <f t="shared" si="4"/>
        <v>68080794.99000001</v>
      </c>
      <c r="H44" s="5"/>
      <c r="I44" s="16">
        <f t="shared" si="1"/>
        <v>45552126.00999999</v>
      </c>
      <c r="J44" s="930"/>
      <c r="K44" s="931">
        <f t="shared" si="2"/>
        <v>-14546956</v>
      </c>
      <c r="L44" s="27">
        <v>94000</v>
      </c>
      <c r="M44" s="27"/>
      <c r="N44" s="27">
        <f t="shared" si="0"/>
        <v>31005170.00999999</v>
      </c>
      <c r="O44" s="27"/>
      <c r="P44" s="16"/>
      <c r="Q44" s="16">
        <f t="shared" si="6"/>
        <v>47315436.00999999</v>
      </c>
    </row>
    <row r="45" spans="1:19" hidden="1" outlineLevel="1">
      <c r="A45" s="12">
        <v>38200</v>
      </c>
      <c r="B45" s="12"/>
      <c r="C45" s="16">
        <f t="shared" si="3"/>
        <v>113632921</v>
      </c>
      <c r="E45" s="16">
        <f t="shared" si="5"/>
        <v>293885</v>
      </c>
      <c r="F45" s="16"/>
      <c r="G45" s="16">
        <f t="shared" si="4"/>
        <v>68374679.99000001</v>
      </c>
      <c r="H45" s="5"/>
      <c r="I45" s="16">
        <f t="shared" si="1"/>
        <v>45258241.00999999</v>
      </c>
      <c r="J45" s="930"/>
      <c r="K45" s="931">
        <f t="shared" si="2"/>
        <v>-14452956</v>
      </c>
      <c r="L45" s="27">
        <v>94000</v>
      </c>
      <c r="M45" s="27"/>
      <c r="N45" s="27">
        <f t="shared" si="0"/>
        <v>30805285.00999999</v>
      </c>
      <c r="O45" s="27"/>
      <c r="P45" s="16"/>
      <c r="Q45" s="16">
        <f t="shared" si="6"/>
        <v>47021551.00999999</v>
      </c>
    </row>
    <row r="46" spans="1:19" hidden="1" outlineLevel="1">
      <c r="A46" s="12">
        <v>38231</v>
      </c>
      <c r="B46" s="12"/>
      <c r="C46" s="16">
        <f t="shared" ref="C46:C77" si="7">+C45</f>
        <v>113632921</v>
      </c>
      <c r="E46" s="16">
        <f t="shared" si="5"/>
        <v>293885</v>
      </c>
      <c r="F46" s="16"/>
      <c r="G46" s="16">
        <f t="shared" ref="G46:G77" si="8">+G45+E46</f>
        <v>68668564.99000001</v>
      </c>
      <c r="H46" s="5"/>
      <c r="I46" s="16">
        <f t="shared" si="1"/>
        <v>44964356.00999999</v>
      </c>
      <c r="J46" s="930"/>
      <c r="K46" s="931">
        <f t="shared" si="2"/>
        <v>-14358956</v>
      </c>
      <c r="L46" s="27">
        <v>94000</v>
      </c>
      <c r="M46" s="27"/>
      <c r="N46" s="27">
        <f t="shared" ref="N46:N108" si="9">I46+K46</f>
        <v>30605400.00999999</v>
      </c>
      <c r="O46" s="27"/>
      <c r="P46" s="16"/>
      <c r="Q46" s="16">
        <f t="shared" si="6"/>
        <v>46727666.00999999</v>
      </c>
    </row>
    <row r="47" spans="1:19" hidden="1" outlineLevel="1">
      <c r="A47" s="12">
        <v>38261</v>
      </c>
      <c r="B47" s="12"/>
      <c r="C47" s="16">
        <f t="shared" si="7"/>
        <v>113632921</v>
      </c>
      <c r="E47" s="16">
        <f t="shared" ref="E47:E78" si="10">+E46</f>
        <v>293885</v>
      </c>
      <c r="F47" s="16"/>
      <c r="G47" s="16">
        <f t="shared" si="8"/>
        <v>68962449.99000001</v>
      </c>
      <c r="H47" s="5"/>
      <c r="I47" s="16">
        <f t="shared" si="1"/>
        <v>44670471.00999999</v>
      </c>
      <c r="J47" s="930"/>
      <c r="K47" s="931">
        <f t="shared" si="2"/>
        <v>-14264956</v>
      </c>
      <c r="L47" s="27">
        <v>94000</v>
      </c>
      <c r="M47" s="27"/>
      <c r="N47" s="27">
        <f t="shared" si="9"/>
        <v>30405515.00999999</v>
      </c>
      <c r="O47" s="27"/>
      <c r="P47" s="16"/>
      <c r="Q47" s="16">
        <f t="shared" si="6"/>
        <v>46433781.00999999</v>
      </c>
    </row>
    <row r="48" spans="1:19" hidden="1" outlineLevel="1">
      <c r="A48" s="12">
        <v>38292</v>
      </c>
      <c r="B48" s="12"/>
      <c r="C48" s="16">
        <f t="shared" si="7"/>
        <v>113632921</v>
      </c>
      <c r="E48" s="16">
        <f t="shared" si="10"/>
        <v>293885</v>
      </c>
      <c r="F48" s="16"/>
      <c r="G48" s="16">
        <f t="shared" si="8"/>
        <v>69256334.99000001</v>
      </c>
      <c r="H48" s="5"/>
      <c r="I48" s="16">
        <f t="shared" si="1"/>
        <v>44376586.00999999</v>
      </c>
      <c r="J48" s="930"/>
      <c r="K48" s="931">
        <f t="shared" si="2"/>
        <v>-14171956</v>
      </c>
      <c r="L48" s="27">
        <v>93000</v>
      </c>
      <c r="M48" s="27"/>
      <c r="N48" s="27">
        <f t="shared" si="9"/>
        <v>30204630.00999999</v>
      </c>
      <c r="O48" s="27"/>
      <c r="P48" s="16"/>
      <c r="Q48" s="16">
        <f t="shared" si="6"/>
        <v>46139896.00999999</v>
      </c>
    </row>
    <row r="49" spans="1:17" hidden="1" outlineLevel="1">
      <c r="A49" s="12">
        <v>38322</v>
      </c>
      <c r="B49" s="12"/>
      <c r="C49" s="16">
        <f t="shared" si="7"/>
        <v>113632921</v>
      </c>
      <c r="E49" s="16">
        <f t="shared" si="10"/>
        <v>293885</v>
      </c>
      <c r="F49" s="16"/>
      <c r="G49" s="16">
        <f t="shared" si="8"/>
        <v>69550219.99000001</v>
      </c>
      <c r="H49" s="5"/>
      <c r="I49" s="16">
        <f t="shared" si="1"/>
        <v>44082701.00999999</v>
      </c>
      <c r="J49" s="930"/>
      <c r="K49" s="931">
        <f t="shared" si="2"/>
        <v>-14077738</v>
      </c>
      <c r="L49" s="27">
        <v>94218</v>
      </c>
      <c r="M49" s="27"/>
      <c r="N49" s="27">
        <f t="shared" si="9"/>
        <v>30004963.00999999</v>
      </c>
      <c r="O49" s="27"/>
      <c r="P49" s="16"/>
      <c r="Q49" s="16">
        <f t="shared" si="6"/>
        <v>45846011.00999999</v>
      </c>
    </row>
    <row r="50" spans="1:17" hidden="1" outlineLevel="1">
      <c r="A50" s="12">
        <v>38353</v>
      </c>
      <c r="B50" s="12"/>
      <c r="C50" s="16">
        <f t="shared" si="7"/>
        <v>113632921</v>
      </c>
      <c r="E50" s="16">
        <f t="shared" si="10"/>
        <v>293885</v>
      </c>
      <c r="F50" s="16"/>
      <c r="G50" s="16">
        <f t="shared" si="8"/>
        <v>69844104.99000001</v>
      </c>
      <c r="H50" s="5"/>
      <c r="I50" s="16">
        <f t="shared" si="1"/>
        <v>43788816.00999999</v>
      </c>
      <c r="J50" s="930"/>
      <c r="K50" s="931">
        <f t="shared" si="2"/>
        <v>-13983738</v>
      </c>
      <c r="L50" s="27">
        <v>94000</v>
      </c>
      <c r="M50" s="27"/>
      <c r="N50" s="27">
        <f t="shared" si="9"/>
        <v>29805078.00999999</v>
      </c>
      <c r="O50" s="27"/>
      <c r="P50" s="16"/>
      <c r="Q50" s="16">
        <f t="shared" si="6"/>
        <v>45552126.00999999</v>
      </c>
    </row>
    <row r="51" spans="1:17" hidden="1" outlineLevel="1">
      <c r="A51" s="12">
        <v>38384</v>
      </c>
      <c r="B51" s="12"/>
      <c r="C51" s="16">
        <f t="shared" si="7"/>
        <v>113632921</v>
      </c>
      <c r="E51" s="16">
        <f t="shared" si="10"/>
        <v>293885</v>
      </c>
      <c r="F51" s="16"/>
      <c r="G51" s="16">
        <f t="shared" si="8"/>
        <v>70137989.99000001</v>
      </c>
      <c r="H51" s="5"/>
      <c r="I51" s="16">
        <f t="shared" si="1"/>
        <v>43494931.00999999</v>
      </c>
      <c r="J51" s="930"/>
      <c r="K51" s="931">
        <f t="shared" si="2"/>
        <v>-13889738</v>
      </c>
      <c r="L51" s="27">
        <v>94000</v>
      </c>
      <c r="M51" s="27"/>
      <c r="N51" s="27">
        <f t="shared" si="9"/>
        <v>29605193.00999999</v>
      </c>
      <c r="O51" s="27"/>
      <c r="P51" s="16"/>
      <c r="Q51" s="16">
        <f t="shared" si="6"/>
        <v>45258241.00999999</v>
      </c>
    </row>
    <row r="52" spans="1:17" ht="12.75" hidden="1" customHeight="1" outlineLevel="1">
      <c r="A52" s="12">
        <v>38412</v>
      </c>
      <c r="B52" s="12"/>
      <c r="C52" s="16">
        <f t="shared" si="7"/>
        <v>113632921</v>
      </c>
      <c r="E52" s="16">
        <f t="shared" si="10"/>
        <v>293885</v>
      </c>
      <c r="F52" s="16"/>
      <c r="G52" s="16">
        <f t="shared" si="8"/>
        <v>70431874.99000001</v>
      </c>
      <c r="H52" s="5"/>
      <c r="I52" s="16">
        <f t="shared" si="1"/>
        <v>43201046.00999999</v>
      </c>
      <c r="J52" s="930"/>
      <c r="K52" s="931">
        <f t="shared" si="2"/>
        <v>-13795738</v>
      </c>
      <c r="L52" s="27">
        <v>94000</v>
      </c>
      <c r="M52" s="27"/>
      <c r="N52" s="27">
        <f t="shared" si="9"/>
        <v>29405308.00999999</v>
      </c>
      <c r="O52" s="27"/>
      <c r="P52" s="16"/>
      <c r="Q52" s="16">
        <f t="shared" si="6"/>
        <v>44964356.00999999</v>
      </c>
    </row>
    <row r="53" spans="1:17" ht="12.75" hidden="1" customHeight="1" outlineLevel="1">
      <c r="A53" s="12">
        <v>38443</v>
      </c>
      <c r="B53" s="12"/>
      <c r="C53" s="16">
        <f t="shared" si="7"/>
        <v>113632921</v>
      </c>
      <c r="E53" s="16">
        <f t="shared" si="10"/>
        <v>293885</v>
      </c>
      <c r="F53" s="16"/>
      <c r="G53" s="16">
        <f t="shared" si="8"/>
        <v>70725759.99000001</v>
      </c>
      <c r="H53" s="5"/>
      <c r="I53" s="16">
        <f t="shared" si="1"/>
        <v>42907161.00999999</v>
      </c>
      <c r="J53" s="930"/>
      <c r="K53" s="931">
        <f t="shared" si="2"/>
        <v>-13701738</v>
      </c>
      <c r="L53" s="27">
        <v>94000</v>
      </c>
      <c r="M53" s="27"/>
      <c r="N53" s="27">
        <f t="shared" si="9"/>
        <v>29205423.00999999</v>
      </c>
      <c r="O53" s="27"/>
      <c r="P53" s="16"/>
      <c r="Q53" s="16">
        <f t="shared" si="6"/>
        <v>44670471.00999999</v>
      </c>
    </row>
    <row r="54" spans="1:17" hidden="1" outlineLevel="1">
      <c r="A54" s="12">
        <v>38473</v>
      </c>
      <c r="B54" s="12"/>
      <c r="C54" s="16">
        <f t="shared" si="7"/>
        <v>113632921</v>
      </c>
      <c r="E54" s="16">
        <f t="shared" si="10"/>
        <v>293885</v>
      </c>
      <c r="F54" s="16"/>
      <c r="G54" s="16">
        <f t="shared" si="8"/>
        <v>71019644.99000001</v>
      </c>
      <c r="H54" s="5"/>
      <c r="I54" s="16">
        <f t="shared" si="1"/>
        <v>42613276.00999999</v>
      </c>
      <c r="J54" s="930"/>
      <c r="K54" s="931">
        <f t="shared" si="2"/>
        <v>-13607738</v>
      </c>
      <c r="L54" s="27">
        <v>94000</v>
      </c>
      <c r="M54" s="27"/>
      <c r="N54" s="27">
        <f t="shared" si="9"/>
        <v>29005538.00999999</v>
      </c>
      <c r="O54" s="27"/>
      <c r="P54" s="16"/>
      <c r="Q54" s="16">
        <f t="shared" ref="Q54:Q72" si="11">+(I42+I54+2*SUM(I43:I53))/24</f>
        <v>44376586.00999999</v>
      </c>
    </row>
    <row r="55" spans="1:17" hidden="1" outlineLevel="1">
      <c r="A55" s="12">
        <v>38504</v>
      </c>
      <c r="B55" s="12"/>
      <c r="C55" s="16">
        <f t="shared" si="7"/>
        <v>113632921</v>
      </c>
      <c r="E55" s="16">
        <f t="shared" si="10"/>
        <v>293885</v>
      </c>
      <c r="F55" s="16"/>
      <c r="G55" s="16">
        <f t="shared" si="8"/>
        <v>71313529.99000001</v>
      </c>
      <c r="H55" s="5"/>
      <c r="I55" s="16">
        <f t="shared" si="1"/>
        <v>42319391.00999999</v>
      </c>
      <c r="J55" s="930"/>
      <c r="K55" s="931">
        <f t="shared" si="2"/>
        <v>-13514738</v>
      </c>
      <c r="L55" s="27">
        <v>93000</v>
      </c>
      <c r="M55" s="27"/>
      <c r="N55" s="27">
        <f t="shared" si="9"/>
        <v>28804653.00999999</v>
      </c>
      <c r="O55" s="27"/>
      <c r="P55" s="16"/>
      <c r="Q55" s="16">
        <f t="shared" si="11"/>
        <v>44082701.00999999</v>
      </c>
    </row>
    <row r="56" spans="1:17" ht="12.75" hidden="1" customHeight="1" outlineLevel="1">
      <c r="A56" s="11">
        <v>38534</v>
      </c>
      <c r="B56" s="11"/>
      <c r="C56" s="13">
        <f t="shared" si="7"/>
        <v>113632921</v>
      </c>
      <c r="D56" s="3"/>
      <c r="E56" s="13">
        <f t="shared" si="10"/>
        <v>293885</v>
      </c>
      <c r="F56" s="13"/>
      <c r="G56" s="13">
        <f t="shared" si="8"/>
        <v>71607414.99000001</v>
      </c>
      <c r="I56" s="13">
        <f t="shared" si="1"/>
        <v>42025506.00999999</v>
      </c>
      <c r="J56" s="928"/>
      <c r="K56" s="929">
        <f t="shared" si="2"/>
        <v>-13420738</v>
      </c>
      <c r="L56" s="26">
        <v>94000</v>
      </c>
      <c r="M56" s="26"/>
      <c r="N56" s="26">
        <f t="shared" si="9"/>
        <v>28604768.00999999</v>
      </c>
      <c r="O56" s="26"/>
      <c r="P56" s="13"/>
      <c r="Q56" s="13">
        <f t="shared" si="11"/>
        <v>43788816.00999999</v>
      </c>
    </row>
    <row r="57" spans="1:17" hidden="1" outlineLevel="1">
      <c r="A57" s="11">
        <v>38565</v>
      </c>
      <c r="B57" s="11"/>
      <c r="C57" s="13">
        <f t="shared" si="7"/>
        <v>113632921</v>
      </c>
      <c r="D57" s="3"/>
      <c r="E57" s="13">
        <f t="shared" si="10"/>
        <v>293885</v>
      </c>
      <c r="F57" s="13"/>
      <c r="G57" s="13">
        <f t="shared" si="8"/>
        <v>71901299.99000001</v>
      </c>
      <c r="I57" s="13">
        <f t="shared" si="1"/>
        <v>41731621.00999999</v>
      </c>
      <c r="J57" s="928"/>
      <c r="K57" s="929">
        <f t="shared" si="2"/>
        <v>-13326738</v>
      </c>
      <c r="L57" s="26">
        <v>94000</v>
      </c>
      <c r="M57" s="26"/>
      <c r="N57" s="26">
        <f t="shared" si="9"/>
        <v>28404883.00999999</v>
      </c>
      <c r="O57" s="26"/>
      <c r="P57" s="13"/>
      <c r="Q57" s="13">
        <f t="shared" si="11"/>
        <v>43494931.00999999</v>
      </c>
    </row>
    <row r="58" spans="1:17" hidden="1" outlineLevel="1">
      <c r="A58" s="11">
        <v>38596</v>
      </c>
      <c r="B58" s="11"/>
      <c r="C58" s="13">
        <f t="shared" si="7"/>
        <v>113632921</v>
      </c>
      <c r="D58" s="3"/>
      <c r="E58" s="13">
        <f t="shared" si="10"/>
        <v>293885</v>
      </c>
      <c r="F58" s="13"/>
      <c r="G58" s="13">
        <f t="shared" si="8"/>
        <v>72195184.99000001</v>
      </c>
      <c r="I58" s="13">
        <f t="shared" si="1"/>
        <v>41437736.00999999</v>
      </c>
      <c r="J58" s="928"/>
      <c r="K58" s="929">
        <f t="shared" si="2"/>
        <v>-13232738</v>
      </c>
      <c r="L58" s="26">
        <v>94000</v>
      </c>
      <c r="M58" s="26"/>
      <c r="N58" s="26">
        <f t="shared" si="9"/>
        <v>28204998.00999999</v>
      </c>
      <c r="O58" s="26"/>
      <c r="P58" s="13"/>
      <c r="Q58" s="13">
        <f t="shared" si="11"/>
        <v>43201046.00999999</v>
      </c>
    </row>
    <row r="59" spans="1:17" hidden="1" outlineLevel="1">
      <c r="A59" s="11">
        <v>38626</v>
      </c>
      <c r="B59" s="11"/>
      <c r="C59" s="13">
        <f t="shared" si="7"/>
        <v>113632921</v>
      </c>
      <c r="D59" s="3"/>
      <c r="E59" s="13">
        <f t="shared" si="10"/>
        <v>293885</v>
      </c>
      <c r="F59" s="13"/>
      <c r="G59" s="13">
        <f t="shared" si="8"/>
        <v>72489069.99000001</v>
      </c>
      <c r="I59" s="13">
        <f t="shared" si="1"/>
        <v>41143851.00999999</v>
      </c>
      <c r="J59" s="928"/>
      <c r="K59" s="929">
        <f t="shared" si="2"/>
        <v>-13138738</v>
      </c>
      <c r="L59" s="26">
        <v>94000</v>
      </c>
      <c r="M59" s="26"/>
      <c r="N59" s="26">
        <f t="shared" si="9"/>
        <v>28005113.00999999</v>
      </c>
      <c r="O59" s="26"/>
      <c r="P59" s="13"/>
      <c r="Q59" s="13">
        <f t="shared" si="11"/>
        <v>42907161.00999999</v>
      </c>
    </row>
    <row r="60" spans="1:17" hidden="1" outlineLevel="1">
      <c r="A60" s="11">
        <v>38657</v>
      </c>
      <c r="B60" s="11"/>
      <c r="C60" s="13">
        <f t="shared" si="7"/>
        <v>113632921</v>
      </c>
      <c r="D60" s="3"/>
      <c r="E60" s="13">
        <f t="shared" si="10"/>
        <v>293885</v>
      </c>
      <c r="F60" s="13"/>
      <c r="G60" s="13">
        <f t="shared" si="8"/>
        <v>72782954.99000001</v>
      </c>
      <c r="I60" s="13">
        <f t="shared" si="1"/>
        <v>40849966.00999999</v>
      </c>
      <c r="J60" s="928"/>
      <c r="K60" s="929">
        <f t="shared" si="2"/>
        <v>-13044738</v>
      </c>
      <c r="L60" s="26">
        <v>94000</v>
      </c>
      <c r="M60" s="26"/>
      <c r="N60" s="26">
        <f t="shared" si="9"/>
        <v>27805228.00999999</v>
      </c>
      <c r="O60" s="26"/>
      <c r="P60" s="13"/>
      <c r="Q60" s="13">
        <f t="shared" si="11"/>
        <v>42613276.00999999</v>
      </c>
    </row>
    <row r="61" spans="1:17" hidden="1" outlineLevel="1">
      <c r="A61" s="12">
        <v>38687</v>
      </c>
      <c r="B61" s="12"/>
      <c r="C61" s="16">
        <f t="shared" si="7"/>
        <v>113632921</v>
      </c>
      <c r="E61" s="16">
        <f t="shared" si="10"/>
        <v>293885</v>
      </c>
      <c r="F61" s="16"/>
      <c r="G61" s="16">
        <f t="shared" si="8"/>
        <v>73076839.99000001</v>
      </c>
      <c r="H61" s="5"/>
      <c r="I61" s="16">
        <f t="shared" si="1"/>
        <v>40556081.00999999</v>
      </c>
      <c r="J61" s="930"/>
      <c r="K61" s="929">
        <f t="shared" si="2"/>
        <v>-12951520</v>
      </c>
      <c r="L61" s="26">
        <v>93218</v>
      </c>
      <c r="M61" s="26"/>
      <c r="N61" s="26">
        <f t="shared" si="9"/>
        <v>27604561.00999999</v>
      </c>
      <c r="O61" s="26"/>
      <c r="P61" s="13"/>
      <c r="Q61" s="16">
        <f t="shared" si="11"/>
        <v>42319391.00999999</v>
      </c>
    </row>
    <row r="62" spans="1:17" hidden="1" outlineLevel="1">
      <c r="A62" s="12">
        <v>38718</v>
      </c>
      <c r="B62" s="12"/>
      <c r="C62" s="16">
        <f t="shared" si="7"/>
        <v>113632921</v>
      </c>
      <c r="E62" s="16">
        <f t="shared" si="10"/>
        <v>293885</v>
      </c>
      <c r="F62" s="16"/>
      <c r="G62" s="16">
        <f t="shared" si="8"/>
        <v>73370724.99000001</v>
      </c>
      <c r="H62" s="5"/>
      <c r="I62" s="16">
        <f t="shared" si="1"/>
        <v>40262196.00999999</v>
      </c>
      <c r="J62" s="930"/>
      <c r="K62" s="929">
        <f t="shared" si="2"/>
        <v>-12750520</v>
      </c>
      <c r="L62" s="26">
        <v>201000</v>
      </c>
      <c r="M62" s="26"/>
      <c r="N62" s="26">
        <f t="shared" si="9"/>
        <v>27511676.00999999</v>
      </c>
      <c r="O62" s="26"/>
      <c r="P62" s="26"/>
      <c r="Q62" s="16">
        <f t="shared" si="11"/>
        <v>42025506.00999999</v>
      </c>
    </row>
    <row r="63" spans="1:17" hidden="1" outlineLevel="1">
      <c r="A63" s="12">
        <v>38749</v>
      </c>
      <c r="B63" s="12"/>
      <c r="C63" s="16">
        <f t="shared" si="7"/>
        <v>113632921</v>
      </c>
      <c r="E63" s="16">
        <f t="shared" si="10"/>
        <v>293885</v>
      </c>
      <c r="F63" s="16"/>
      <c r="G63" s="16">
        <f t="shared" si="8"/>
        <v>73664609.99000001</v>
      </c>
      <c r="H63" s="5"/>
      <c r="I63" s="16">
        <f t="shared" si="1"/>
        <v>39968311.00999999</v>
      </c>
      <c r="J63" s="930"/>
      <c r="K63" s="929">
        <f t="shared" si="2"/>
        <v>-12609520</v>
      </c>
      <c r="L63" s="26">
        <v>141000</v>
      </c>
      <c r="M63" s="26"/>
      <c r="N63" s="26">
        <f t="shared" si="9"/>
        <v>27358791.00999999</v>
      </c>
      <c r="O63" s="26"/>
      <c r="P63" s="26"/>
      <c r="Q63" s="16">
        <f t="shared" si="11"/>
        <v>41731621.00999999</v>
      </c>
    </row>
    <row r="64" spans="1:17" ht="12.75" hidden="1" customHeight="1" outlineLevel="1">
      <c r="A64" s="12">
        <v>38777</v>
      </c>
      <c r="B64" s="12"/>
      <c r="C64" s="16">
        <f t="shared" si="7"/>
        <v>113632921</v>
      </c>
      <c r="E64" s="16">
        <f t="shared" si="10"/>
        <v>293885</v>
      </c>
      <c r="F64" s="16"/>
      <c r="G64" s="16">
        <f t="shared" si="8"/>
        <v>73958494.99000001</v>
      </c>
      <c r="H64" s="5"/>
      <c r="I64" s="16">
        <f t="shared" si="1"/>
        <v>39674426.00999999</v>
      </c>
      <c r="J64" s="930"/>
      <c r="K64" s="929">
        <f t="shared" si="2"/>
        <v>-12449520</v>
      </c>
      <c r="L64" s="26">
        <v>160000</v>
      </c>
      <c r="M64" s="26"/>
      <c r="N64" s="26">
        <f t="shared" si="9"/>
        <v>27224906.00999999</v>
      </c>
      <c r="O64" s="26"/>
      <c r="P64" s="26"/>
      <c r="Q64" s="16">
        <f t="shared" si="11"/>
        <v>41437736.00999999</v>
      </c>
    </row>
    <row r="65" spans="1:18" ht="12.75" hidden="1" customHeight="1" outlineLevel="1">
      <c r="A65" s="12">
        <v>38808</v>
      </c>
      <c r="B65" s="12"/>
      <c r="C65" s="16">
        <f t="shared" si="7"/>
        <v>113632921</v>
      </c>
      <c r="E65" s="16">
        <f t="shared" si="10"/>
        <v>293885</v>
      </c>
      <c r="F65" s="16"/>
      <c r="G65" s="16">
        <f t="shared" si="8"/>
        <v>74252379.99000001</v>
      </c>
      <c r="H65" s="5"/>
      <c r="I65" s="16">
        <f t="shared" si="1"/>
        <v>39380541.00999999</v>
      </c>
      <c r="J65" s="930"/>
      <c r="K65" s="929">
        <f t="shared" si="2"/>
        <v>-12356520</v>
      </c>
      <c r="L65" s="26">
        <v>93000</v>
      </c>
      <c r="M65" s="26"/>
      <c r="N65" s="26">
        <f t="shared" si="9"/>
        <v>27024021.00999999</v>
      </c>
      <c r="O65" s="26"/>
      <c r="P65" s="26"/>
      <c r="Q65" s="16">
        <f t="shared" si="11"/>
        <v>41143851.00999999</v>
      </c>
    </row>
    <row r="66" spans="1:18" hidden="1" outlineLevel="1">
      <c r="A66" s="12">
        <v>38838</v>
      </c>
      <c r="B66" s="12"/>
      <c r="C66" s="16">
        <f t="shared" si="7"/>
        <v>113632921</v>
      </c>
      <c r="E66" s="16">
        <f t="shared" si="10"/>
        <v>293885</v>
      </c>
      <c r="F66" s="16"/>
      <c r="G66" s="16">
        <f t="shared" si="8"/>
        <v>74546264.99000001</v>
      </c>
      <c r="H66" s="5"/>
      <c r="I66" s="16">
        <f t="shared" si="1"/>
        <v>39086656.00999999</v>
      </c>
      <c r="J66" s="930"/>
      <c r="K66" s="929">
        <f t="shared" si="2"/>
        <v>-12308520</v>
      </c>
      <c r="L66" s="26">
        <v>48000</v>
      </c>
      <c r="M66" s="26"/>
      <c r="N66" s="26">
        <f t="shared" si="9"/>
        <v>26778136.00999999</v>
      </c>
      <c r="O66" s="26"/>
      <c r="P66" s="26"/>
      <c r="Q66" s="16">
        <f t="shared" si="11"/>
        <v>40849966.00999999</v>
      </c>
    </row>
    <row r="67" spans="1:18" hidden="1" outlineLevel="1">
      <c r="A67" s="12">
        <v>38869</v>
      </c>
      <c r="B67" s="12"/>
      <c r="C67" s="16">
        <f t="shared" si="7"/>
        <v>113632921</v>
      </c>
      <c r="E67" s="16">
        <f t="shared" si="10"/>
        <v>293885</v>
      </c>
      <c r="F67" s="16"/>
      <c r="G67" s="16">
        <f t="shared" si="8"/>
        <v>74840149.99000001</v>
      </c>
      <c r="H67" s="5"/>
      <c r="I67" s="16">
        <f t="shared" si="1"/>
        <v>38792771.00999999</v>
      </c>
      <c r="J67" s="930"/>
      <c r="K67" s="929">
        <f t="shared" si="2"/>
        <v>-12260520</v>
      </c>
      <c r="L67" s="26">
        <v>48000</v>
      </c>
      <c r="M67" s="26"/>
      <c r="N67" s="26">
        <f t="shared" si="9"/>
        <v>26532251.00999999</v>
      </c>
      <c r="O67" s="26"/>
      <c r="P67" s="26"/>
      <c r="Q67" s="16">
        <f t="shared" si="11"/>
        <v>40556081.00999999</v>
      </c>
    </row>
    <row r="68" spans="1:18" ht="12.75" hidden="1" customHeight="1" outlineLevel="1">
      <c r="A68" s="12">
        <v>38899</v>
      </c>
      <c r="B68" s="12"/>
      <c r="C68" s="16">
        <f t="shared" si="7"/>
        <v>113632921</v>
      </c>
      <c r="E68" s="16">
        <f t="shared" si="10"/>
        <v>293885</v>
      </c>
      <c r="F68" s="16"/>
      <c r="G68" s="16">
        <f t="shared" si="8"/>
        <v>75134034.99000001</v>
      </c>
      <c r="H68" s="5"/>
      <c r="I68" s="16">
        <f t="shared" si="1"/>
        <v>38498886.00999999</v>
      </c>
      <c r="J68" s="930"/>
      <c r="K68" s="929">
        <f t="shared" si="2"/>
        <v>-12190520</v>
      </c>
      <c r="L68" s="26">
        <v>70000</v>
      </c>
      <c r="M68" s="26"/>
      <c r="N68" s="26">
        <f t="shared" si="9"/>
        <v>26308366.00999999</v>
      </c>
      <c r="O68" s="26"/>
      <c r="P68" s="26"/>
      <c r="Q68" s="16">
        <f t="shared" si="11"/>
        <v>40262196.00999999</v>
      </c>
    </row>
    <row r="69" spans="1:18" hidden="1" outlineLevel="1">
      <c r="A69" s="12">
        <v>38930</v>
      </c>
      <c r="B69" s="12"/>
      <c r="C69" s="16">
        <f t="shared" si="7"/>
        <v>113632921</v>
      </c>
      <c r="E69" s="16">
        <f t="shared" si="10"/>
        <v>293885</v>
      </c>
      <c r="F69" s="16"/>
      <c r="G69" s="16">
        <f t="shared" si="8"/>
        <v>75427919.99000001</v>
      </c>
      <c r="H69" s="5"/>
      <c r="I69" s="16">
        <f t="shared" si="1"/>
        <v>38205001.00999999</v>
      </c>
      <c r="J69" s="930"/>
      <c r="K69" s="929">
        <f t="shared" si="2"/>
        <v>-12148520</v>
      </c>
      <c r="L69" s="26">
        <v>42000</v>
      </c>
      <c r="M69" s="26"/>
      <c r="N69" s="26">
        <f t="shared" si="9"/>
        <v>26056481.00999999</v>
      </c>
      <c r="O69" s="26"/>
      <c r="P69" s="26"/>
      <c r="Q69" s="16">
        <f t="shared" si="11"/>
        <v>39968311.00999999</v>
      </c>
    </row>
    <row r="70" spans="1:18" hidden="1" outlineLevel="1">
      <c r="A70" s="12">
        <v>38961</v>
      </c>
      <c r="B70" s="12"/>
      <c r="C70" s="16">
        <f t="shared" si="7"/>
        <v>113632921</v>
      </c>
      <c r="E70" s="16">
        <f t="shared" si="10"/>
        <v>293885</v>
      </c>
      <c r="F70" s="16"/>
      <c r="G70" s="16">
        <f t="shared" si="8"/>
        <v>75721804.99000001</v>
      </c>
      <c r="H70" s="5"/>
      <c r="I70" s="16">
        <f t="shared" si="1"/>
        <v>37911116.00999999</v>
      </c>
      <c r="J70" s="930"/>
      <c r="K70" s="929">
        <f t="shared" si="2"/>
        <v>-12164520</v>
      </c>
      <c r="L70" s="932">
        <v>-16000</v>
      </c>
      <c r="M70" s="26"/>
      <c r="N70" s="26">
        <f t="shared" si="9"/>
        <v>25746596.00999999</v>
      </c>
      <c r="O70" s="26"/>
      <c r="P70" s="26"/>
      <c r="Q70" s="16">
        <f t="shared" si="11"/>
        <v>39674426.00999999</v>
      </c>
    </row>
    <row r="71" spans="1:18" hidden="1" outlineLevel="1">
      <c r="A71" s="12">
        <v>38991</v>
      </c>
      <c r="B71" s="12"/>
      <c r="C71" s="16">
        <f t="shared" si="7"/>
        <v>113632921</v>
      </c>
      <c r="E71" s="16">
        <f t="shared" si="10"/>
        <v>293885</v>
      </c>
      <c r="F71" s="16"/>
      <c r="G71" s="16">
        <f t="shared" si="8"/>
        <v>76015689.99000001</v>
      </c>
      <c r="H71" s="5"/>
      <c r="I71" s="16">
        <f t="shared" si="1"/>
        <v>37617231.00999999</v>
      </c>
      <c r="J71" s="930"/>
      <c r="K71" s="929">
        <f t="shared" si="2"/>
        <v>-12104520</v>
      </c>
      <c r="L71" s="26">
        <v>60000</v>
      </c>
      <c r="M71" s="26"/>
      <c r="N71" s="26">
        <f t="shared" si="9"/>
        <v>25512711.00999999</v>
      </c>
      <c r="O71" s="26"/>
      <c r="P71" s="26"/>
      <c r="Q71" s="16">
        <f t="shared" si="11"/>
        <v>39380541.00999999</v>
      </c>
    </row>
    <row r="72" spans="1:18" hidden="1" outlineLevel="1">
      <c r="A72" s="12">
        <v>39022</v>
      </c>
      <c r="B72" s="12"/>
      <c r="C72" s="16">
        <f t="shared" si="7"/>
        <v>113632921</v>
      </c>
      <c r="E72" s="16">
        <f t="shared" si="10"/>
        <v>293885</v>
      </c>
      <c r="F72" s="16"/>
      <c r="G72" s="16">
        <f t="shared" si="8"/>
        <v>76309574.99000001</v>
      </c>
      <c r="H72" s="5"/>
      <c r="I72" s="16">
        <f t="shared" si="1"/>
        <v>37323346.00999999</v>
      </c>
      <c r="J72" s="930"/>
      <c r="K72" s="929">
        <f t="shared" si="2"/>
        <v>-11974520</v>
      </c>
      <c r="L72" s="26">
        <v>130000</v>
      </c>
      <c r="M72" s="26"/>
      <c r="N72" s="26">
        <f t="shared" si="9"/>
        <v>25348826.00999999</v>
      </c>
      <c r="O72" s="26"/>
      <c r="P72" s="26"/>
      <c r="Q72" s="16">
        <f t="shared" si="11"/>
        <v>39086656.00999999</v>
      </c>
    </row>
    <row r="73" spans="1:18" hidden="1" outlineLevel="1">
      <c r="A73" s="11">
        <v>39052</v>
      </c>
      <c r="B73" s="11"/>
      <c r="C73" s="13">
        <f t="shared" si="7"/>
        <v>113632921</v>
      </c>
      <c r="D73" s="3"/>
      <c r="E73" s="13">
        <f t="shared" si="10"/>
        <v>293885</v>
      </c>
      <c r="F73" s="13"/>
      <c r="G73" s="13">
        <f t="shared" si="8"/>
        <v>76603459.99000001</v>
      </c>
      <c r="I73" s="13">
        <f t="shared" si="1"/>
        <v>37029461.00999999</v>
      </c>
      <c r="J73" s="928"/>
      <c r="K73" s="929">
        <f t="shared" si="2"/>
        <v>-11825302</v>
      </c>
      <c r="L73" s="26">
        <v>149218</v>
      </c>
      <c r="M73" s="26"/>
      <c r="N73" s="26">
        <f t="shared" si="9"/>
        <v>25204159.00999999</v>
      </c>
      <c r="O73" s="26"/>
      <c r="P73" s="26"/>
      <c r="Q73" s="13">
        <f>+(I61+I73+2*SUM(I62:I72))/24</f>
        <v>38792771.00999999</v>
      </c>
      <c r="R73" s="28">
        <f>+(I67+I73+2*SUM(I68:I72))/12</f>
        <v>37911116.00999999</v>
      </c>
    </row>
    <row r="74" spans="1:18" hidden="1" outlineLevel="1">
      <c r="A74" s="11">
        <v>39083</v>
      </c>
      <c r="B74" s="11"/>
      <c r="C74" s="13">
        <f t="shared" si="7"/>
        <v>113632921</v>
      </c>
      <c r="D74" s="3"/>
      <c r="E74" s="13">
        <f t="shared" si="10"/>
        <v>293885</v>
      </c>
      <c r="F74" s="13"/>
      <c r="G74" s="13">
        <f t="shared" si="8"/>
        <v>76897344.99000001</v>
      </c>
      <c r="I74" s="13">
        <f t="shared" ref="I74:I137" si="12">+C74-G74</f>
        <v>36735576.00999999</v>
      </c>
      <c r="J74" s="929"/>
      <c r="K74" s="929">
        <f t="shared" si="2"/>
        <v>-11617302</v>
      </c>
      <c r="L74" s="26">
        <v>208000</v>
      </c>
      <c r="M74" s="26"/>
      <c r="N74" s="26">
        <f t="shared" si="9"/>
        <v>25118274.00999999</v>
      </c>
      <c r="O74" s="26"/>
      <c r="P74" s="26">
        <f>(N62+N74+SUM(N63:N73)*2)/24</f>
        <v>26284184.926666658</v>
      </c>
      <c r="Q74" s="13"/>
    </row>
    <row r="75" spans="1:18" hidden="1" outlineLevel="1">
      <c r="A75" s="11">
        <v>39114</v>
      </c>
      <c r="B75" s="11"/>
      <c r="C75" s="13">
        <f t="shared" si="7"/>
        <v>113632921</v>
      </c>
      <c r="D75" s="3"/>
      <c r="E75" s="13">
        <f t="shared" si="10"/>
        <v>293885</v>
      </c>
      <c r="F75" s="13"/>
      <c r="G75" s="13">
        <f t="shared" si="8"/>
        <v>77191229.99000001</v>
      </c>
      <c r="I75" s="13">
        <f t="shared" si="12"/>
        <v>36441691.00999999</v>
      </c>
      <c r="J75" s="928"/>
      <c r="K75" s="929">
        <f t="shared" ref="K75:K138" si="13">K74+L75</f>
        <v>-11521302</v>
      </c>
      <c r="L75" s="26">
        <v>96000</v>
      </c>
      <c r="M75" s="26"/>
      <c r="N75" s="26">
        <f t="shared" si="9"/>
        <v>24920389.00999999</v>
      </c>
      <c r="O75" s="26"/>
      <c r="P75" s="13">
        <f t="shared" ref="P75:P137" si="14">(N63+N75+SUM(N64:N74)*2)/24</f>
        <v>26082859.75999999</v>
      </c>
      <c r="Q75" s="13"/>
    </row>
    <row r="76" spans="1:18" ht="12.75" hidden="1" customHeight="1" outlineLevel="1">
      <c r="A76" s="11">
        <v>39142</v>
      </c>
      <c r="B76" s="11"/>
      <c r="C76" s="13">
        <f t="shared" si="7"/>
        <v>113632921</v>
      </c>
      <c r="D76" s="3"/>
      <c r="E76" s="13">
        <f t="shared" si="10"/>
        <v>293885</v>
      </c>
      <c r="F76" s="13"/>
      <c r="G76" s="13">
        <f t="shared" si="8"/>
        <v>77485114.99000001</v>
      </c>
      <c r="I76" s="13">
        <f t="shared" si="12"/>
        <v>36147806.00999999</v>
      </c>
      <c r="J76" s="928"/>
      <c r="K76" s="929">
        <f t="shared" si="13"/>
        <v>-11361302</v>
      </c>
      <c r="L76" s="26">
        <v>160000</v>
      </c>
      <c r="M76" s="26"/>
      <c r="N76" s="26">
        <f t="shared" si="9"/>
        <v>24786504.00999999</v>
      </c>
      <c r="O76" s="26"/>
      <c r="P76" s="13">
        <f t="shared" si="14"/>
        <v>25879659.593333323</v>
      </c>
      <c r="Q76" s="13"/>
    </row>
    <row r="77" spans="1:18" ht="12.75" hidden="1" customHeight="1" outlineLevel="1">
      <c r="A77" s="11">
        <v>39173</v>
      </c>
      <c r="B77" s="11"/>
      <c r="C77" s="13">
        <f t="shared" si="7"/>
        <v>113632921</v>
      </c>
      <c r="D77" s="3"/>
      <c r="E77" s="13">
        <f t="shared" si="10"/>
        <v>293885</v>
      </c>
      <c r="F77" s="13"/>
      <c r="G77" s="13">
        <f t="shared" si="8"/>
        <v>77778999.99000001</v>
      </c>
      <c r="I77" s="13">
        <f t="shared" si="12"/>
        <v>35853921.00999999</v>
      </c>
      <c r="J77" s="928"/>
      <c r="K77" s="929">
        <f t="shared" si="13"/>
        <v>-11221302</v>
      </c>
      <c r="L77" s="26">
        <v>140000</v>
      </c>
      <c r="M77" s="26"/>
      <c r="N77" s="26">
        <f t="shared" si="9"/>
        <v>24632619.00999999</v>
      </c>
      <c r="O77" s="26"/>
      <c r="P77" s="13">
        <f t="shared" si="14"/>
        <v>25678417.75999999</v>
      </c>
      <c r="Q77" s="13"/>
    </row>
    <row r="78" spans="1:18" hidden="1" outlineLevel="1">
      <c r="A78" s="11">
        <v>39203</v>
      </c>
      <c r="B78" s="11"/>
      <c r="C78" s="13">
        <f t="shared" ref="C78:C109" si="15">+C77</f>
        <v>113632921</v>
      </c>
      <c r="D78" s="3"/>
      <c r="E78" s="13">
        <f t="shared" si="10"/>
        <v>293885</v>
      </c>
      <c r="F78" s="13"/>
      <c r="G78" s="13">
        <f t="shared" ref="G78:G109" si="16">+G77+E78</f>
        <v>78072884.99000001</v>
      </c>
      <c r="I78" s="13">
        <f t="shared" si="12"/>
        <v>35560036.00999999</v>
      </c>
      <c r="J78" s="928"/>
      <c r="K78" s="929">
        <f t="shared" si="13"/>
        <v>-11090302</v>
      </c>
      <c r="L78" s="26">
        <v>131000</v>
      </c>
      <c r="M78" s="26"/>
      <c r="N78" s="26">
        <f t="shared" si="9"/>
        <v>24469734.00999999</v>
      </c>
      <c r="O78" s="26"/>
      <c r="P78" s="13">
        <f t="shared" si="14"/>
        <v>25482592.593333323</v>
      </c>
      <c r="Q78" s="13"/>
    </row>
    <row r="79" spans="1:18" hidden="1" outlineLevel="1">
      <c r="A79" s="11">
        <v>39234</v>
      </c>
      <c r="B79" s="11"/>
      <c r="C79" s="13">
        <f t="shared" si="15"/>
        <v>113632921</v>
      </c>
      <c r="D79" s="3"/>
      <c r="E79" s="13">
        <f t="shared" ref="E79:E110" si="17">+E78</f>
        <v>293885</v>
      </c>
      <c r="F79" s="13"/>
      <c r="G79" s="13">
        <f t="shared" si="16"/>
        <v>78366769.99000001</v>
      </c>
      <c r="I79" s="13">
        <f t="shared" si="12"/>
        <v>35266151.00999999</v>
      </c>
      <c r="J79" s="928"/>
      <c r="K79" s="929">
        <f t="shared" si="13"/>
        <v>-11092302</v>
      </c>
      <c r="L79" s="932">
        <v>-2000</v>
      </c>
      <c r="M79" s="26"/>
      <c r="N79" s="26">
        <f t="shared" si="9"/>
        <v>24173849.00999999</v>
      </c>
      <c r="O79" s="26"/>
      <c r="P79" s="13">
        <f t="shared" si="14"/>
        <v>25288142.426666658</v>
      </c>
      <c r="Q79" s="13"/>
    </row>
    <row r="80" spans="1:18" ht="12.75" hidden="1" customHeight="1" outlineLevel="1">
      <c r="A80" s="11">
        <v>39264</v>
      </c>
      <c r="B80" s="11"/>
      <c r="C80" s="13">
        <f t="shared" si="15"/>
        <v>113632921</v>
      </c>
      <c r="D80" s="3"/>
      <c r="E80" s="13">
        <f t="shared" si="17"/>
        <v>293885</v>
      </c>
      <c r="F80" s="13"/>
      <c r="G80" s="13">
        <f t="shared" si="16"/>
        <v>78660654.99000001</v>
      </c>
      <c r="I80" s="13">
        <f t="shared" si="12"/>
        <v>34972266.00999999</v>
      </c>
      <c r="J80" s="928"/>
      <c r="K80" s="929">
        <f t="shared" si="13"/>
        <v>-11055302</v>
      </c>
      <c r="L80" s="26">
        <v>37000</v>
      </c>
      <c r="M80" s="26"/>
      <c r="N80" s="26">
        <f t="shared" si="9"/>
        <v>23916964.00999999</v>
      </c>
      <c r="O80" s="26"/>
      <c r="P80" s="13">
        <f t="shared" si="14"/>
        <v>25090233.926666658</v>
      </c>
      <c r="Q80" s="13"/>
    </row>
    <row r="81" spans="1:17" hidden="1" outlineLevel="1">
      <c r="A81" s="11">
        <v>39295</v>
      </c>
      <c r="B81" s="11"/>
      <c r="C81" s="13">
        <f t="shared" si="15"/>
        <v>113632921</v>
      </c>
      <c r="D81" s="3"/>
      <c r="E81" s="13">
        <f t="shared" si="17"/>
        <v>293885</v>
      </c>
      <c r="F81" s="13"/>
      <c r="G81" s="13">
        <f t="shared" si="16"/>
        <v>78954539.99000001</v>
      </c>
      <c r="I81" s="13">
        <f t="shared" si="12"/>
        <v>34678381.00999999</v>
      </c>
      <c r="J81" s="928"/>
      <c r="K81" s="929">
        <f t="shared" si="13"/>
        <v>-11053302</v>
      </c>
      <c r="L81" s="26">
        <v>2000</v>
      </c>
      <c r="M81" s="26"/>
      <c r="N81" s="26">
        <f t="shared" si="9"/>
        <v>23625079.00999999</v>
      </c>
      <c r="O81" s="26"/>
      <c r="P81" s="13">
        <f t="shared" si="14"/>
        <v>24889283.75999999</v>
      </c>
      <c r="Q81" s="13"/>
    </row>
    <row r="82" spans="1:17" hidden="1" outlineLevel="1">
      <c r="A82" s="11">
        <v>39326</v>
      </c>
      <c r="B82" s="11"/>
      <c r="C82" s="13">
        <f t="shared" si="15"/>
        <v>113632921</v>
      </c>
      <c r="D82" s="3"/>
      <c r="E82" s="13">
        <f t="shared" si="17"/>
        <v>293885</v>
      </c>
      <c r="F82" s="13"/>
      <c r="G82" s="13">
        <f t="shared" si="16"/>
        <v>79248424.99000001</v>
      </c>
      <c r="I82" s="13">
        <f t="shared" si="12"/>
        <v>34384496.00999999</v>
      </c>
      <c r="J82" s="928"/>
      <c r="K82" s="929">
        <f t="shared" si="13"/>
        <v>-11046302</v>
      </c>
      <c r="L82" s="26">
        <v>7000</v>
      </c>
      <c r="M82" s="26"/>
      <c r="N82" s="26">
        <f t="shared" si="9"/>
        <v>23338194.00999999</v>
      </c>
      <c r="O82" s="26"/>
      <c r="P82" s="13">
        <f t="shared" si="14"/>
        <v>24687625.25999999</v>
      </c>
      <c r="Q82" s="13"/>
    </row>
    <row r="83" spans="1:17" hidden="1" outlineLevel="1">
      <c r="A83" s="11">
        <v>39356</v>
      </c>
      <c r="B83" s="11"/>
      <c r="C83" s="13">
        <f t="shared" si="15"/>
        <v>113632921</v>
      </c>
      <c r="D83" s="3"/>
      <c r="E83" s="13">
        <f t="shared" si="17"/>
        <v>293885</v>
      </c>
      <c r="F83" s="13"/>
      <c r="G83" s="13">
        <f t="shared" si="16"/>
        <v>79542309.99000001</v>
      </c>
      <c r="I83" s="13">
        <f t="shared" si="12"/>
        <v>34090611.00999999</v>
      </c>
      <c r="J83" s="928"/>
      <c r="K83" s="929">
        <f t="shared" si="13"/>
        <v>-10979302</v>
      </c>
      <c r="L83" s="26">
        <v>67000</v>
      </c>
      <c r="M83" s="26"/>
      <c r="N83" s="26">
        <f t="shared" si="9"/>
        <v>23111309.00999999</v>
      </c>
      <c r="O83" s="26"/>
      <c r="P83" s="13">
        <f t="shared" si="14"/>
        <v>24487216.75999999</v>
      </c>
      <c r="Q83" s="13"/>
    </row>
    <row r="84" spans="1:17" hidden="1" outlineLevel="1">
      <c r="A84" s="11">
        <v>39387</v>
      </c>
      <c r="B84" s="11"/>
      <c r="C84" s="13">
        <f t="shared" si="15"/>
        <v>113632921</v>
      </c>
      <c r="D84" s="3"/>
      <c r="E84" s="13">
        <f t="shared" si="17"/>
        <v>293885</v>
      </c>
      <c r="F84" s="13"/>
      <c r="G84" s="13">
        <f t="shared" si="16"/>
        <v>79836194.99000001</v>
      </c>
      <c r="I84" s="13">
        <f t="shared" si="12"/>
        <v>33796726.00999999</v>
      </c>
      <c r="J84" s="928"/>
      <c r="K84" s="929">
        <f t="shared" si="13"/>
        <v>-10863302</v>
      </c>
      <c r="L84" s="26">
        <v>116000</v>
      </c>
      <c r="M84" s="26"/>
      <c r="N84" s="26">
        <f t="shared" si="9"/>
        <v>22933424.00999999</v>
      </c>
      <c r="O84" s="26"/>
      <c r="P84" s="13">
        <f t="shared" si="14"/>
        <v>24286516.593333323</v>
      </c>
      <c r="Q84" s="13"/>
    </row>
    <row r="85" spans="1:17" hidden="1" outlineLevel="1">
      <c r="A85" s="11">
        <v>39417</v>
      </c>
      <c r="B85" s="11"/>
      <c r="C85" s="13">
        <f t="shared" si="15"/>
        <v>113632921</v>
      </c>
      <c r="D85" s="3"/>
      <c r="E85" s="13">
        <f t="shared" si="17"/>
        <v>293885</v>
      </c>
      <c r="F85" s="13"/>
      <c r="G85" s="13">
        <f t="shared" si="16"/>
        <v>80130079.99000001</v>
      </c>
      <c r="I85" s="13">
        <f t="shared" si="12"/>
        <v>33502841.00999999</v>
      </c>
      <c r="J85" s="928"/>
      <c r="K85" s="929">
        <f t="shared" si="13"/>
        <v>-10699302</v>
      </c>
      <c r="L85" s="26">
        <v>164000</v>
      </c>
      <c r="M85" s="26"/>
      <c r="N85" s="26">
        <f t="shared" si="9"/>
        <v>22803539.00999999</v>
      </c>
      <c r="O85" s="26"/>
      <c r="P85" s="27">
        <f t="shared" si="14"/>
        <v>24085849.00999999</v>
      </c>
      <c r="Q85" s="13"/>
    </row>
    <row r="86" spans="1:17" hidden="1" outlineLevel="1">
      <c r="A86" s="11">
        <v>39448</v>
      </c>
      <c r="B86" s="11"/>
      <c r="C86" s="13">
        <f t="shared" si="15"/>
        <v>113632921</v>
      </c>
      <c r="D86" s="3"/>
      <c r="E86" s="13">
        <f t="shared" si="17"/>
        <v>293885</v>
      </c>
      <c r="F86" s="13"/>
      <c r="G86" s="13">
        <f t="shared" si="16"/>
        <v>80423964.99000001</v>
      </c>
      <c r="I86" s="13">
        <f t="shared" si="12"/>
        <v>33208956.00999999</v>
      </c>
      <c r="J86" s="928"/>
      <c r="K86" s="929">
        <f t="shared" si="13"/>
        <v>-10396302</v>
      </c>
      <c r="L86" s="26">
        <v>303000</v>
      </c>
      <c r="M86" s="26"/>
      <c r="N86" s="26">
        <f t="shared" si="9"/>
        <v>22812654.00999999</v>
      </c>
      <c r="O86" s="26"/>
      <c r="P86" s="13">
        <f t="shared" si="14"/>
        <v>23889755.676666658</v>
      </c>
      <c r="Q86" s="13"/>
    </row>
    <row r="87" spans="1:17" hidden="1" outlineLevel="1">
      <c r="A87" s="11">
        <v>39479</v>
      </c>
      <c r="B87" s="11"/>
      <c r="C87" s="13">
        <f t="shared" si="15"/>
        <v>113632921</v>
      </c>
      <c r="D87" s="3"/>
      <c r="E87" s="13">
        <f t="shared" si="17"/>
        <v>293885</v>
      </c>
      <c r="F87" s="13"/>
      <c r="G87" s="13">
        <f t="shared" si="16"/>
        <v>80717849.99000001</v>
      </c>
      <c r="I87" s="13">
        <f t="shared" si="12"/>
        <v>32915071.00999999</v>
      </c>
      <c r="J87" s="928"/>
      <c r="K87" s="929">
        <f t="shared" si="13"/>
        <v>-10245302</v>
      </c>
      <c r="L87" s="26">
        <v>151000</v>
      </c>
      <c r="M87" s="26"/>
      <c r="N87" s="26">
        <f t="shared" si="9"/>
        <v>22669769.00999999</v>
      </c>
      <c r="O87" s="26"/>
      <c r="P87" s="13">
        <f t="shared" si="14"/>
        <v>23699912.343333323</v>
      </c>
      <c r="Q87" s="13"/>
    </row>
    <row r="88" spans="1:17" ht="12.75" hidden="1" customHeight="1" outlineLevel="1">
      <c r="A88" s="11">
        <v>39508</v>
      </c>
      <c r="B88" s="11"/>
      <c r="C88" s="13">
        <f t="shared" si="15"/>
        <v>113632921</v>
      </c>
      <c r="D88" s="3"/>
      <c r="E88" s="13">
        <f t="shared" si="17"/>
        <v>293885</v>
      </c>
      <c r="F88" s="13"/>
      <c r="G88" s="13">
        <f t="shared" si="16"/>
        <v>81011734.99000001</v>
      </c>
      <c r="I88" s="13">
        <f t="shared" si="12"/>
        <v>32621186.00999999</v>
      </c>
      <c r="J88" s="928"/>
      <c r="K88" s="929">
        <f t="shared" si="13"/>
        <v>-10129302</v>
      </c>
      <c r="L88" s="26">
        <v>116000</v>
      </c>
      <c r="M88" s="26"/>
      <c r="N88" s="26">
        <f t="shared" si="9"/>
        <v>22491884.00999999</v>
      </c>
      <c r="O88" s="26"/>
      <c r="P88" s="13">
        <f t="shared" si="14"/>
        <v>23510527.343333323</v>
      </c>
      <c r="Q88" s="13"/>
    </row>
    <row r="89" spans="1:17" ht="12.75" hidden="1" customHeight="1" outlineLevel="1">
      <c r="A89" s="11">
        <v>39539</v>
      </c>
      <c r="B89" s="11"/>
      <c r="C89" s="13">
        <f t="shared" si="15"/>
        <v>113632921</v>
      </c>
      <c r="D89" s="3"/>
      <c r="E89" s="13">
        <f t="shared" si="17"/>
        <v>293885</v>
      </c>
      <c r="F89" s="13"/>
      <c r="G89" s="13">
        <f t="shared" si="16"/>
        <v>81305619.99000001</v>
      </c>
      <c r="I89" s="13">
        <f t="shared" si="12"/>
        <v>32327301.00999999</v>
      </c>
      <c r="J89" s="928"/>
      <c r="K89" s="929">
        <f t="shared" si="13"/>
        <v>-10003302</v>
      </c>
      <c r="L89" s="26">
        <v>126000</v>
      </c>
      <c r="M89" s="26"/>
      <c r="N89" s="26">
        <f t="shared" si="9"/>
        <v>22323999.00999999</v>
      </c>
      <c r="O89" s="26"/>
      <c r="P89" s="13">
        <f t="shared" si="14"/>
        <v>23318725.676666658</v>
      </c>
      <c r="Q89" s="13"/>
    </row>
    <row r="90" spans="1:17" hidden="1" outlineLevel="1">
      <c r="A90" s="11">
        <v>39569</v>
      </c>
      <c r="B90" s="11"/>
      <c r="C90" s="13">
        <f t="shared" si="15"/>
        <v>113632921</v>
      </c>
      <c r="D90" s="3"/>
      <c r="E90" s="13">
        <f t="shared" si="17"/>
        <v>293885</v>
      </c>
      <c r="F90" s="13"/>
      <c r="G90" s="13">
        <f t="shared" si="16"/>
        <v>81599504.99000001</v>
      </c>
      <c r="I90" s="13">
        <f t="shared" si="12"/>
        <v>32033416.00999999</v>
      </c>
      <c r="J90" s="928"/>
      <c r="K90" s="929">
        <f t="shared" si="13"/>
        <v>-9914302</v>
      </c>
      <c r="L90" s="26">
        <v>89000</v>
      </c>
      <c r="M90" s="26"/>
      <c r="N90" s="26">
        <f t="shared" si="9"/>
        <v>22119114.00999999</v>
      </c>
      <c r="O90" s="26"/>
      <c r="P90" s="13">
        <f t="shared" si="14"/>
        <v>23124590.676666658</v>
      </c>
      <c r="Q90" s="13"/>
    </row>
    <row r="91" spans="1:17" hidden="1" outlineLevel="1">
      <c r="A91" s="11">
        <v>39600</v>
      </c>
      <c r="B91" s="11"/>
      <c r="C91" s="13">
        <f t="shared" si="15"/>
        <v>113632921</v>
      </c>
      <c r="D91" s="3"/>
      <c r="E91" s="13">
        <f t="shared" si="17"/>
        <v>293885</v>
      </c>
      <c r="F91" s="13"/>
      <c r="G91" s="13">
        <f t="shared" si="16"/>
        <v>81893389.99000001</v>
      </c>
      <c r="I91" s="13">
        <f t="shared" si="12"/>
        <v>31739531.00999999</v>
      </c>
      <c r="J91" s="928"/>
      <c r="K91" s="929">
        <f t="shared" si="13"/>
        <v>-9942302</v>
      </c>
      <c r="L91" s="932">
        <v>-28000</v>
      </c>
      <c r="M91" s="26"/>
      <c r="N91" s="26">
        <f t="shared" si="9"/>
        <v>21797229.00999999</v>
      </c>
      <c r="O91" s="26"/>
      <c r="P91" s="13">
        <f t="shared" si="14"/>
        <v>22927622.343333323</v>
      </c>
      <c r="Q91" s="13"/>
    </row>
    <row r="92" spans="1:17" ht="12.75" hidden="1" customHeight="1" outlineLevel="1">
      <c r="A92" s="11">
        <v>39630</v>
      </c>
      <c r="B92" s="11"/>
      <c r="C92" s="13">
        <f t="shared" si="15"/>
        <v>113632921</v>
      </c>
      <c r="D92" s="3"/>
      <c r="E92" s="13">
        <f t="shared" si="17"/>
        <v>293885</v>
      </c>
      <c r="F92" s="13"/>
      <c r="G92" s="13">
        <f t="shared" si="16"/>
        <v>82187274.99000001</v>
      </c>
      <c r="I92" s="13">
        <f t="shared" si="12"/>
        <v>31445646.00999999</v>
      </c>
      <c r="J92" s="928"/>
      <c r="K92" s="929">
        <f t="shared" si="13"/>
        <v>-9931302</v>
      </c>
      <c r="L92" s="26">
        <v>11000</v>
      </c>
      <c r="M92" s="26"/>
      <c r="N92" s="26">
        <f t="shared" si="9"/>
        <v>21514344.00999999</v>
      </c>
      <c r="O92" s="26"/>
      <c r="P92" s="13">
        <f t="shared" si="14"/>
        <v>22728487.343333323</v>
      </c>
      <c r="Q92" s="13"/>
    </row>
    <row r="93" spans="1:17" hidden="1" outlineLevel="1">
      <c r="A93" s="11">
        <v>39661</v>
      </c>
      <c r="B93" s="11"/>
      <c r="C93" s="13">
        <f t="shared" si="15"/>
        <v>113632921</v>
      </c>
      <c r="D93" s="3"/>
      <c r="E93" s="13">
        <f t="shared" si="17"/>
        <v>293885</v>
      </c>
      <c r="F93" s="13"/>
      <c r="G93" s="13">
        <f t="shared" si="16"/>
        <v>82481159.99000001</v>
      </c>
      <c r="I93" s="13">
        <f t="shared" si="12"/>
        <v>31151761.00999999</v>
      </c>
      <c r="J93" s="928"/>
      <c r="K93" s="929">
        <f t="shared" si="13"/>
        <v>-9965302</v>
      </c>
      <c r="L93" s="932">
        <v>-34000</v>
      </c>
      <c r="M93" s="26"/>
      <c r="N93" s="26">
        <f t="shared" si="9"/>
        <v>21186459.00999999</v>
      </c>
      <c r="O93" s="26"/>
      <c r="P93" s="13">
        <f t="shared" si="14"/>
        <v>22526769.00999999</v>
      </c>
      <c r="Q93" s="13"/>
    </row>
    <row r="94" spans="1:17" hidden="1" outlineLevel="1">
      <c r="A94" s="11">
        <v>39692</v>
      </c>
      <c r="B94" s="11"/>
      <c r="C94" s="13">
        <f t="shared" si="15"/>
        <v>113632921</v>
      </c>
      <c r="D94" s="3"/>
      <c r="E94" s="13">
        <f t="shared" si="17"/>
        <v>293885</v>
      </c>
      <c r="F94" s="13"/>
      <c r="G94" s="13">
        <f t="shared" si="16"/>
        <v>82775044.99000001</v>
      </c>
      <c r="I94" s="13">
        <f t="shared" si="12"/>
        <v>30857876.00999999</v>
      </c>
      <c r="J94" s="928"/>
      <c r="K94" s="929">
        <f t="shared" si="13"/>
        <v>-9949302</v>
      </c>
      <c r="L94" s="26">
        <v>16000</v>
      </c>
      <c r="M94" s="26"/>
      <c r="N94" s="26">
        <f t="shared" si="9"/>
        <v>20908574.00999999</v>
      </c>
      <c r="O94" s="26"/>
      <c r="P94" s="13">
        <f t="shared" si="14"/>
        <v>22323925.676666658</v>
      </c>
      <c r="Q94" s="13"/>
    </row>
    <row r="95" spans="1:17" hidden="1" outlineLevel="1">
      <c r="A95" s="11">
        <v>39722</v>
      </c>
      <c r="B95" s="11"/>
      <c r="C95" s="13">
        <f t="shared" si="15"/>
        <v>113632921</v>
      </c>
      <c r="D95" s="3"/>
      <c r="E95" s="13">
        <f t="shared" si="17"/>
        <v>293885</v>
      </c>
      <c r="F95" s="13"/>
      <c r="G95" s="13">
        <f t="shared" si="16"/>
        <v>83068929.99000001</v>
      </c>
      <c r="I95" s="13">
        <f t="shared" si="12"/>
        <v>30563991.00999999</v>
      </c>
      <c r="J95" s="928"/>
      <c r="K95" s="929">
        <f t="shared" si="13"/>
        <v>-9921302</v>
      </c>
      <c r="L95" s="26">
        <v>28000</v>
      </c>
      <c r="M95" s="26"/>
      <c r="N95" s="26">
        <f t="shared" si="9"/>
        <v>20642689.00999999</v>
      </c>
      <c r="O95" s="26"/>
      <c r="P95" s="13">
        <f t="shared" si="14"/>
        <v>22119832.343333323</v>
      </c>
      <c r="Q95" s="13"/>
    </row>
    <row r="96" spans="1:17" hidden="1" outlineLevel="1">
      <c r="A96" s="11">
        <v>39753</v>
      </c>
      <c r="B96" s="11"/>
      <c r="C96" s="13">
        <f t="shared" si="15"/>
        <v>113632921</v>
      </c>
      <c r="D96" s="3"/>
      <c r="E96" s="13">
        <f t="shared" si="17"/>
        <v>293885</v>
      </c>
      <c r="F96" s="13"/>
      <c r="G96" s="13">
        <f t="shared" si="16"/>
        <v>83362814.99000001</v>
      </c>
      <c r="I96" s="13">
        <f t="shared" si="12"/>
        <v>30270106.00999999</v>
      </c>
      <c r="J96" s="928"/>
      <c r="K96" s="929">
        <f t="shared" si="13"/>
        <v>-9769302</v>
      </c>
      <c r="L96" s="26">
        <v>152000</v>
      </c>
      <c r="M96" s="26"/>
      <c r="N96" s="26">
        <f t="shared" si="9"/>
        <v>20500804.00999999</v>
      </c>
      <c r="O96" s="26"/>
      <c r="P96" s="13">
        <f t="shared" si="14"/>
        <v>21915614.00999999</v>
      </c>
      <c r="Q96" s="13"/>
    </row>
    <row r="97" spans="1:17" hidden="1" outlineLevel="1">
      <c r="A97" s="11">
        <v>39783</v>
      </c>
      <c r="B97" s="11"/>
      <c r="C97" s="13">
        <f t="shared" si="15"/>
        <v>113632921</v>
      </c>
      <c r="D97" s="3"/>
      <c r="E97" s="13">
        <f t="shared" si="17"/>
        <v>293885</v>
      </c>
      <c r="F97" s="13"/>
      <c r="G97" s="13">
        <f t="shared" si="16"/>
        <v>83656699.99000001</v>
      </c>
      <c r="I97" s="13">
        <f t="shared" si="12"/>
        <v>29976221.00999999</v>
      </c>
      <c r="J97" s="928"/>
      <c r="K97" s="929">
        <f t="shared" si="13"/>
        <v>-9573084</v>
      </c>
      <c r="L97" s="26">
        <v>196218</v>
      </c>
      <c r="M97" s="26"/>
      <c r="N97" s="26">
        <f t="shared" si="9"/>
        <v>20403137.00999999</v>
      </c>
      <c r="O97" s="26"/>
      <c r="P97" s="13">
        <f t="shared" si="14"/>
        <v>21714238.093333323</v>
      </c>
      <c r="Q97" s="13"/>
    </row>
    <row r="98" spans="1:17" hidden="1" outlineLevel="1">
      <c r="A98" s="11">
        <v>39814</v>
      </c>
      <c r="B98" s="11"/>
      <c r="C98" s="13">
        <f t="shared" si="15"/>
        <v>113632921</v>
      </c>
      <c r="D98" s="3"/>
      <c r="E98" s="13">
        <f t="shared" si="17"/>
        <v>293885</v>
      </c>
      <c r="F98" s="13"/>
      <c r="G98" s="13">
        <f t="shared" si="16"/>
        <v>83950584.99000001</v>
      </c>
      <c r="I98" s="13">
        <f t="shared" si="12"/>
        <v>29682336.00999999</v>
      </c>
      <c r="J98" s="928"/>
      <c r="K98" s="929">
        <f t="shared" si="13"/>
        <v>-9291084</v>
      </c>
      <c r="L98" s="26">
        <v>282000</v>
      </c>
      <c r="M98" s="26"/>
      <c r="N98" s="26">
        <f t="shared" si="9"/>
        <v>20391252.00999999</v>
      </c>
      <c r="O98" s="26"/>
      <c r="P98" s="13">
        <f t="shared" si="14"/>
        <v>21513329.593333323</v>
      </c>
      <c r="Q98" s="13"/>
    </row>
    <row r="99" spans="1:17" hidden="1" outlineLevel="1">
      <c r="A99" s="11">
        <v>39845</v>
      </c>
      <c r="B99" s="11"/>
      <c r="C99" s="13">
        <f t="shared" si="15"/>
        <v>113632921</v>
      </c>
      <c r="D99" s="3"/>
      <c r="E99" s="13">
        <f t="shared" si="17"/>
        <v>293885</v>
      </c>
      <c r="F99" s="13"/>
      <c r="G99" s="13">
        <f t="shared" si="16"/>
        <v>84244469.99000001</v>
      </c>
      <c r="I99" s="13">
        <f t="shared" si="12"/>
        <v>29388451.00999999</v>
      </c>
      <c r="J99" s="928"/>
      <c r="K99" s="929">
        <f t="shared" si="13"/>
        <v>-9116084</v>
      </c>
      <c r="L99" s="26">
        <v>175000</v>
      </c>
      <c r="M99" s="26"/>
      <c r="N99" s="26">
        <f t="shared" si="9"/>
        <v>20272367.00999999</v>
      </c>
      <c r="O99" s="26"/>
      <c r="P99" s="13">
        <f t="shared" si="14"/>
        <v>21312546.093333323</v>
      </c>
      <c r="Q99" s="13"/>
    </row>
    <row r="100" spans="1:17" ht="12.75" hidden="1" customHeight="1" outlineLevel="1">
      <c r="A100" s="11">
        <v>39873</v>
      </c>
      <c r="B100" s="11"/>
      <c r="C100" s="13">
        <f t="shared" si="15"/>
        <v>113632921</v>
      </c>
      <c r="D100" s="3"/>
      <c r="E100" s="13">
        <f t="shared" si="17"/>
        <v>293885</v>
      </c>
      <c r="F100" s="13"/>
      <c r="G100" s="13">
        <f t="shared" si="16"/>
        <v>84538354.99000001</v>
      </c>
      <c r="I100" s="13">
        <f t="shared" si="12"/>
        <v>29094566.00999999</v>
      </c>
      <c r="J100" s="928"/>
      <c r="K100" s="929">
        <f t="shared" si="13"/>
        <v>-8952084</v>
      </c>
      <c r="L100" s="26">
        <v>164000</v>
      </c>
      <c r="M100" s="26"/>
      <c r="N100" s="26">
        <f t="shared" si="9"/>
        <v>20142482.00999999</v>
      </c>
      <c r="O100" s="26"/>
      <c r="P100" s="13">
        <f t="shared" si="14"/>
        <v>21114762.593333323</v>
      </c>
      <c r="Q100" s="13"/>
    </row>
    <row r="101" spans="1:17" ht="12.75" hidden="1" customHeight="1" outlineLevel="1">
      <c r="A101" s="11">
        <v>39904</v>
      </c>
      <c r="B101" s="11"/>
      <c r="C101" s="13">
        <f t="shared" si="15"/>
        <v>113632921</v>
      </c>
      <c r="D101" s="3"/>
      <c r="E101" s="13">
        <f t="shared" si="17"/>
        <v>293885</v>
      </c>
      <c r="F101" s="13"/>
      <c r="G101" s="13">
        <f t="shared" si="16"/>
        <v>84832239.99000001</v>
      </c>
      <c r="I101" s="13">
        <f t="shared" si="12"/>
        <v>28800681.00999999</v>
      </c>
      <c r="J101" s="928"/>
      <c r="K101" s="929">
        <f t="shared" si="13"/>
        <v>-8844084</v>
      </c>
      <c r="L101" s="26">
        <v>108000</v>
      </c>
      <c r="M101" s="26"/>
      <c r="N101" s="26">
        <f t="shared" si="9"/>
        <v>19956597.00999999</v>
      </c>
      <c r="O101" s="26"/>
      <c r="P101" s="13">
        <f t="shared" si="14"/>
        <v>20918229.093333323</v>
      </c>
      <c r="Q101" s="13"/>
    </row>
    <row r="102" spans="1:17" hidden="1" outlineLevel="1">
      <c r="A102" s="11">
        <v>39934</v>
      </c>
      <c r="B102" s="11"/>
      <c r="C102" s="13">
        <f t="shared" si="15"/>
        <v>113632921</v>
      </c>
      <c r="D102" s="3"/>
      <c r="E102" s="13">
        <f t="shared" si="17"/>
        <v>293885</v>
      </c>
      <c r="F102" s="13"/>
      <c r="G102" s="13">
        <f t="shared" si="16"/>
        <v>85126124.99000001</v>
      </c>
      <c r="I102" s="13">
        <f t="shared" si="12"/>
        <v>28506796.00999999</v>
      </c>
      <c r="J102" s="928"/>
      <c r="K102" s="929">
        <f t="shared" si="13"/>
        <v>-8758084</v>
      </c>
      <c r="L102" s="26">
        <v>86000</v>
      </c>
      <c r="M102" s="26"/>
      <c r="N102" s="26">
        <f t="shared" si="9"/>
        <v>19748712.00999999</v>
      </c>
      <c r="O102" s="26"/>
      <c r="P102" s="13">
        <f t="shared" si="14"/>
        <v>20720820.593333323</v>
      </c>
      <c r="Q102" s="13"/>
    </row>
    <row r="103" spans="1:17" hidden="1" outlineLevel="1">
      <c r="A103" s="11">
        <v>39965</v>
      </c>
      <c r="B103" s="11"/>
      <c r="C103" s="13">
        <f t="shared" si="15"/>
        <v>113632921</v>
      </c>
      <c r="D103" s="3"/>
      <c r="E103" s="13">
        <f t="shared" si="17"/>
        <v>293885</v>
      </c>
      <c r="F103" s="13"/>
      <c r="G103" s="13">
        <f t="shared" si="16"/>
        <v>85420009.99000001</v>
      </c>
      <c r="I103" s="13">
        <f t="shared" si="12"/>
        <v>28212911.00999999</v>
      </c>
      <c r="J103" s="928"/>
      <c r="K103" s="929">
        <f t="shared" si="13"/>
        <v>-8626084</v>
      </c>
      <c r="L103" s="26">
        <v>132000</v>
      </c>
      <c r="M103" s="26"/>
      <c r="N103" s="26">
        <f t="shared" si="9"/>
        <v>19586827.00999999</v>
      </c>
      <c r="O103" s="26"/>
      <c r="P103" s="13">
        <f t="shared" si="14"/>
        <v>20529953.75999999</v>
      </c>
      <c r="Q103" s="13"/>
    </row>
    <row r="104" spans="1:17" ht="12.75" hidden="1" customHeight="1" outlineLevel="1">
      <c r="A104" s="11">
        <v>39995</v>
      </c>
      <c r="B104" s="11"/>
      <c r="C104" s="13">
        <f t="shared" si="15"/>
        <v>113632921</v>
      </c>
      <c r="D104" s="3"/>
      <c r="E104" s="13">
        <f t="shared" si="17"/>
        <v>293885</v>
      </c>
      <c r="F104" s="13"/>
      <c r="G104" s="13">
        <f t="shared" si="16"/>
        <v>85713894.99000001</v>
      </c>
      <c r="I104" s="13">
        <f t="shared" si="12"/>
        <v>27919026.00999999</v>
      </c>
      <c r="J104" s="928"/>
      <c r="K104" s="929">
        <f t="shared" si="13"/>
        <v>-8634084</v>
      </c>
      <c r="L104" s="932">
        <v>-8000</v>
      </c>
      <c r="M104" s="26"/>
      <c r="N104" s="26">
        <f t="shared" si="9"/>
        <v>19284942.00999999</v>
      </c>
      <c r="O104" s="26"/>
      <c r="P104" s="13">
        <f t="shared" si="14"/>
        <v>20344961.926666658</v>
      </c>
      <c r="Q104" s="13"/>
    </row>
    <row r="105" spans="1:17" hidden="1" outlineLevel="1">
      <c r="A105" s="11">
        <v>40026</v>
      </c>
      <c r="B105" s="11"/>
      <c r="C105" s="13">
        <f t="shared" si="15"/>
        <v>113632921</v>
      </c>
      <c r="D105" s="3"/>
      <c r="E105" s="13">
        <f t="shared" si="17"/>
        <v>293885</v>
      </c>
      <c r="F105" s="13"/>
      <c r="G105" s="13">
        <f t="shared" si="16"/>
        <v>86007779.99000001</v>
      </c>
      <c r="I105" s="13">
        <f t="shared" si="12"/>
        <v>27625141.00999999</v>
      </c>
      <c r="J105" s="928"/>
      <c r="K105" s="929">
        <f t="shared" si="13"/>
        <v>-8676084</v>
      </c>
      <c r="L105" s="932">
        <v>-42000</v>
      </c>
      <c r="M105" s="26"/>
      <c r="N105" s="26">
        <f t="shared" si="9"/>
        <v>18949057.00999999</v>
      </c>
      <c r="O105" s="26"/>
      <c r="P105" s="13">
        <f t="shared" si="14"/>
        <v>20158845.093333323</v>
      </c>
      <c r="Q105" s="13"/>
    </row>
    <row r="106" spans="1:17" hidden="1" outlineLevel="1">
      <c r="A106" s="11">
        <v>40057</v>
      </c>
      <c r="B106" s="11"/>
      <c r="C106" s="13">
        <f t="shared" si="15"/>
        <v>113632921</v>
      </c>
      <c r="D106" s="3"/>
      <c r="E106" s="13">
        <f t="shared" si="17"/>
        <v>293885</v>
      </c>
      <c r="F106" s="13"/>
      <c r="G106" s="13">
        <f t="shared" si="16"/>
        <v>86301664.99000001</v>
      </c>
      <c r="I106" s="13">
        <f t="shared" si="12"/>
        <v>27331256.00999999</v>
      </c>
      <c r="J106" s="928"/>
      <c r="K106" s="929">
        <f t="shared" si="13"/>
        <v>-8710084</v>
      </c>
      <c r="L106" s="932">
        <v>-34000</v>
      </c>
      <c r="M106" s="26"/>
      <c r="N106" s="26">
        <f t="shared" si="9"/>
        <v>18621172.00999999</v>
      </c>
      <c r="O106" s="26"/>
      <c r="P106" s="13">
        <f t="shared" si="14"/>
        <v>19970311.593333323</v>
      </c>
      <c r="Q106" s="13"/>
    </row>
    <row r="107" spans="1:17" hidden="1" outlineLevel="1">
      <c r="A107" s="11">
        <v>40087</v>
      </c>
      <c r="B107" s="11"/>
      <c r="C107" s="13">
        <f t="shared" si="15"/>
        <v>113632921</v>
      </c>
      <c r="D107" s="3"/>
      <c r="E107" s="13">
        <f t="shared" si="17"/>
        <v>293885</v>
      </c>
      <c r="F107" s="13"/>
      <c r="G107" s="13">
        <f t="shared" si="16"/>
        <v>86595549.99000001</v>
      </c>
      <c r="I107" s="13">
        <f t="shared" si="12"/>
        <v>27037371.00999999</v>
      </c>
      <c r="J107" s="928"/>
      <c r="K107" s="929">
        <f t="shared" si="13"/>
        <v>-8748084</v>
      </c>
      <c r="L107" s="932">
        <v>-38000</v>
      </c>
      <c r="M107" s="26"/>
      <c r="N107" s="26">
        <f t="shared" si="9"/>
        <v>18289287.00999999</v>
      </c>
      <c r="O107" s="26"/>
      <c r="P107" s="13">
        <f t="shared" si="14"/>
        <v>19776944.75999999</v>
      </c>
      <c r="Q107" s="13"/>
    </row>
    <row r="108" spans="1:17" hidden="1" outlineLevel="1">
      <c r="A108" s="11">
        <v>40118</v>
      </c>
      <c r="B108" s="11"/>
      <c r="C108" s="13">
        <f t="shared" si="15"/>
        <v>113632921</v>
      </c>
      <c r="D108" s="3"/>
      <c r="E108" s="13">
        <f t="shared" si="17"/>
        <v>293885</v>
      </c>
      <c r="F108" s="13"/>
      <c r="G108" s="13">
        <f t="shared" si="16"/>
        <v>86889434.99000001</v>
      </c>
      <c r="I108" s="13">
        <f t="shared" si="12"/>
        <v>26743486.00999999</v>
      </c>
      <c r="J108" s="928"/>
      <c r="K108" s="929">
        <f t="shared" si="13"/>
        <v>-8638084</v>
      </c>
      <c r="L108" s="26">
        <v>110000</v>
      </c>
      <c r="M108" s="26"/>
      <c r="N108" s="26">
        <f t="shared" si="9"/>
        <v>18105402.00999999</v>
      </c>
      <c r="O108" s="26"/>
      <c r="P108" s="13">
        <f t="shared" si="14"/>
        <v>19579077.926666658</v>
      </c>
      <c r="Q108" s="13"/>
    </row>
    <row r="109" spans="1:17" hidden="1" outlineLevel="1">
      <c r="A109" s="11">
        <v>40148</v>
      </c>
      <c r="B109" s="11"/>
      <c r="C109" s="13">
        <f t="shared" si="15"/>
        <v>113632921</v>
      </c>
      <c r="D109" s="3"/>
      <c r="E109" s="13">
        <f t="shared" si="17"/>
        <v>293885</v>
      </c>
      <c r="F109" s="13"/>
      <c r="G109" s="13">
        <f t="shared" si="16"/>
        <v>87183319.99000001</v>
      </c>
      <c r="I109" s="13">
        <f t="shared" si="12"/>
        <v>26449601.00999999</v>
      </c>
      <c r="J109" s="928"/>
      <c r="K109" s="929">
        <f>K108+L109</f>
        <v>-8446866</v>
      </c>
      <c r="L109" s="26">
        <v>191218</v>
      </c>
      <c r="M109" s="26"/>
      <c r="N109" s="26">
        <f>I109+K109</f>
        <v>18002735.00999999</v>
      </c>
      <c r="O109" s="26"/>
      <c r="P109" s="13">
        <f t="shared" si="14"/>
        <v>19379252.75999999</v>
      </c>
      <c r="Q109" s="13"/>
    </row>
    <row r="110" spans="1:17" hidden="1" outlineLevel="1">
      <c r="A110" s="11">
        <v>40179</v>
      </c>
      <c r="B110" s="11"/>
      <c r="C110" s="13">
        <f t="shared" ref="C110:C141" si="18">+C109</f>
        <v>113632921</v>
      </c>
      <c r="D110" s="3"/>
      <c r="E110" s="13">
        <f t="shared" si="17"/>
        <v>293885</v>
      </c>
      <c r="F110" s="13"/>
      <c r="G110" s="13">
        <f t="shared" ref="G110:G141" si="19">+G109+E110</f>
        <v>87477204.99000001</v>
      </c>
      <c r="I110" s="13">
        <f t="shared" si="12"/>
        <v>26155716.00999999</v>
      </c>
      <c r="J110" s="928"/>
      <c r="K110" s="929">
        <f t="shared" si="13"/>
        <v>-8426866</v>
      </c>
      <c r="L110" s="26">
        <v>20000</v>
      </c>
      <c r="M110" s="26"/>
      <c r="N110" s="26">
        <f t="shared" ref="N110:N173" si="20">I110+K110</f>
        <v>17728850.00999999</v>
      </c>
      <c r="O110" s="26"/>
      <c r="P110" s="13">
        <f t="shared" si="14"/>
        <v>19168302.593333323</v>
      </c>
      <c r="Q110" s="13"/>
    </row>
    <row r="111" spans="1:17" hidden="1" outlineLevel="1">
      <c r="A111" s="11">
        <v>40210</v>
      </c>
      <c r="B111" s="11"/>
      <c r="C111" s="13">
        <f t="shared" si="18"/>
        <v>113632921</v>
      </c>
      <c r="D111" s="3"/>
      <c r="E111" s="13">
        <f t="shared" ref="E111:E142" si="21">+E110</f>
        <v>293885</v>
      </c>
      <c r="F111" s="13"/>
      <c r="G111" s="13">
        <f t="shared" si="19"/>
        <v>87771089.99000001</v>
      </c>
      <c r="I111" s="13">
        <f t="shared" si="12"/>
        <v>25861831.00999999</v>
      </c>
      <c r="J111" s="928"/>
      <c r="K111" s="929">
        <f t="shared" si="13"/>
        <v>-8501866</v>
      </c>
      <c r="L111" s="932">
        <v>-75000</v>
      </c>
      <c r="M111" s="26"/>
      <c r="N111" s="26">
        <f t="shared" si="20"/>
        <v>17359965.00999999</v>
      </c>
      <c r="O111" s="26"/>
      <c r="P111" s="13">
        <f t="shared" si="14"/>
        <v>18936019.093333323</v>
      </c>
      <c r="Q111" s="13"/>
    </row>
    <row r="112" spans="1:17" ht="12.75" hidden="1" customHeight="1" outlineLevel="1">
      <c r="A112" s="11">
        <v>40238</v>
      </c>
      <c r="B112" s="11"/>
      <c r="C112" s="13">
        <f t="shared" si="18"/>
        <v>113632921</v>
      </c>
      <c r="D112" s="3"/>
      <c r="E112" s="13">
        <f t="shared" si="21"/>
        <v>293885</v>
      </c>
      <c r="F112" s="13"/>
      <c r="G112" s="13">
        <f t="shared" si="19"/>
        <v>88064974.99000001</v>
      </c>
      <c r="I112" s="13">
        <f t="shared" si="12"/>
        <v>25567946.00999999</v>
      </c>
      <c r="J112" s="928"/>
      <c r="K112" s="929">
        <f t="shared" si="13"/>
        <v>-8446866</v>
      </c>
      <c r="L112" s="26">
        <v>55000</v>
      </c>
      <c r="M112" s="26"/>
      <c r="N112" s="26">
        <f t="shared" si="20"/>
        <v>17121080.00999999</v>
      </c>
      <c r="O112" s="26"/>
      <c r="P112" s="13">
        <f t="shared" si="14"/>
        <v>18688777.25999999</v>
      </c>
      <c r="Q112" s="13"/>
    </row>
    <row r="113" spans="1:19" ht="12.75" hidden="1" customHeight="1" outlineLevel="1">
      <c r="A113" s="11">
        <v>40269</v>
      </c>
      <c r="B113" s="11"/>
      <c r="C113" s="13">
        <f t="shared" si="18"/>
        <v>113632921</v>
      </c>
      <c r="D113" s="3"/>
      <c r="E113" s="13">
        <f t="shared" si="21"/>
        <v>293885</v>
      </c>
      <c r="F113" s="13"/>
      <c r="G113" s="13">
        <f t="shared" si="19"/>
        <v>88358859.99000001</v>
      </c>
      <c r="I113" s="13">
        <f t="shared" si="12"/>
        <v>25274061.00999999</v>
      </c>
      <c r="J113" s="928"/>
      <c r="K113" s="929">
        <f t="shared" si="13"/>
        <v>-8446866</v>
      </c>
      <c r="L113" s="929">
        <v>0</v>
      </c>
      <c r="M113" s="26"/>
      <c r="N113" s="26">
        <f t="shared" si="20"/>
        <v>16827195.00999999</v>
      </c>
      <c r="O113" s="26"/>
      <c r="P113" s="13">
        <f t="shared" si="14"/>
        <v>18432493.75999999</v>
      </c>
      <c r="Q113" s="13"/>
      <c r="R113" s="928"/>
    </row>
    <row r="114" spans="1:19" hidden="1" outlineLevel="1">
      <c r="A114" s="11">
        <v>40299</v>
      </c>
      <c r="B114" s="11"/>
      <c r="C114" s="13">
        <f t="shared" si="18"/>
        <v>113632921</v>
      </c>
      <c r="D114" s="3"/>
      <c r="E114" s="13">
        <f t="shared" si="21"/>
        <v>293885</v>
      </c>
      <c r="F114" s="13"/>
      <c r="G114" s="13">
        <f t="shared" si="19"/>
        <v>88652744.99000001</v>
      </c>
      <c r="I114" s="13">
        <f t="shared" si="12"/>
        <v>24980176.00999999</v>
      </c>
      <c r="J114" s="928"/>
      <c r="K114" s="929">
        <f t="shared" si="13"/>
        <v>-8446866</v>
      </c>
      <c r="L114" s="929">
        <v>0</v>
      </c>
      <c r="M114" s="26"/>
      <c r="N114" s="26">
        <f t="shared" si="20"/>
        <v>16533310.00999999</v>
      </c>
      <c r="O114" s="26"/>
      <c r="P114" s="13">
        <f t="shared" si="14"/>
        <v>18168126.926666658</v>
      </c>
      <c r="Q114" s="13"/>
      <c r="R114" s="928"/>
    </row>
    <row r="115" spans="1:19" hidden="1" outlineLevel="1">
      <c r="A115" s="11">
        <v>40330</v>
      </c>
      <c r="B115" s="11"/>
      <c r="C115" s="13">
        <f t="shared" si="18"/>
        <v>113632921</v>
      </c>
      <c r="D115" s="3"/>
      <c r="E115" s="13">
        <f t="shared" si="21"/>
        <v>293885</v>
      </c>
      <c r="F115" s="13"/>
      <c r="G115" s="13">
        <f>+G114+E115</f>
        <v>88946629.99000001</v>
      </c>
      <c r="I115" s="13">
        <f t="shared" si="12"/>
        <v>24686291.00999999</v>
      </c>
      <c r="J115" s="928"/>
      <c r="K115" s="929">
        <f>K114+L115</f>
        <v>-9039866</v>
      </c>
      <c r="L115" s="932">
        <v>-593000</v>
      </c>
      <c r="M115" s="26"/>
      <c r="N115" s="26">
        <f t="shared" si="20"/>
        <v>15646425.00999999</v>
      </c>
      <c r="O115" s="26"/>
      <c r="P115" s="13">
        <f t="shared" si="14"/>
        <v>17869968.426666658</v>
      </c>
      <c r="Q115" s="13">
        <f>(I103+I115+SUM(I104:I114)*2)/24</f>
        <v>26449601.00999999</v>
      </c>
      <c r="R115" s="928">
        <f>(K103+K115+SUM(K104:K114)*2)/24</f>
        <v>-8579632.583333334</v>
      </c>
      <c r="S115" s="13"/>
    </row>
    <row r="116" spans="1:19" ht="12.75" hidden="1" customHeight="1" outlineLevel="1">
      <c r="A116" s="11">
        <v>40360</v>
      </c>
      <c r="B116" s="11"/>
      <c r="C116" s="13">
        <f t="shared" si="18"/>
        <v>113632921</v>
      </c>
      <c r="D116" s="3"/>
      <c r="E116" s="13">
        <f t="shared" si="21"/>
        <v>293885</v>
      </c>
      <c r="F116" s="13"/>
      <c r="G116" s="13">
        <f t="shared" si="19"/>
        <v>89240514.99000001</v>
      </c>
      <c r="I116" s="13">
        <f t="shared" si="12"/>
        <v>24392406.00999999</v>
      </c>
      <c r="J116" s="928"/>
      <c r="K116" s="929">
        <f t="shared" si="13"/>
        <v>-9321838</v>
      </c>
      <c r="L116" s="932">
        <v>-281972</v>
      </c>
      <c r="M116" s="26"/>
      <c r="N116" s="26">
        <f t="shared" si="20"/>
        <v>15070568.00999999</v>
      </c>
      <c r="O116" s="26"/>
      <c r="P116" s="13">
        <f t="shared" si="14"/>
        <v>17530186.093333323</v>
      </c>
      <c r="Q116" s="13">
        <f>(I104+I116+SUM(I105:I115)*2)/24</f>
        <v>26155716.00999999</v>
      </c>
      <c r="R116" s="928">
        <f>(K104+K116+SUM(K105:K115)*2)/24</f>
        <v>-8625529.916666666</v>
      </c>
    </row>
    <row r="117" spans="1:19" hidden="1" outlineLevel="1">
      <c r="A117" s="11">
        <v>40391</v>
      </c>
      <c r="B117" s="11"/>
      <c r="C117" s="13">
        <f t="shared" si="18"/>
        <v>113632921</v>
      </c>
      <c r="D117" s="3"/>
      <c r="E117" s="13">
        <f t="shared" si="21"/>
        <v>293885</v>
      </c>
      <c r="F117" s="13"/>
      <c r="G117" s="13">
        <f t="shared" si="19"/>
        <v>89534399.99000001</v>
      </c>
      <c r="I117" s="13">
        <f t="shared" si="12"/>
        <v>24098521.00999999</v>
      </c>
      <c r="J117" s="928"/>
      <c r="K117" s="929">
        <f t="shared" si="13"/>
        <v>-10190568</v>
      </c>
      <c r="L117" s="932">
        <v>-868730</v>
      </c>
      <c r="M117" s="26"/>
      <c r="N117" s="26">
        <f t="shared" si="20"/>
        <v>13907953.00999999</v>
      </c>
      <c r="O117" s="26"/>
      <c r="P117" s="13">
        <f t="shared" si="14"/>
        <v>17144541.176666658</v>
      </c>
      <c r="Q117" s="13">
        <f t="shared" ref="Q117:Q125" si="22">(I105+I117+SUM(I106:I116)*2)/24</f>
        <v>25861831.00999999</v>
      </c>
      <c r="R117" s="928">
        <f t="shared" ref="R117:R125" si="23">(K105+K117+SUM(K106:K116)*2)/24</f>
        <v>-8717289.833333334</v>
      </c>
    </row>
    <row r="118" spans="1:19" hidden="1" outlineLevel="1">
      <c r="A118" s="11">
        <v>40422</v>
      </c>
      <c r="B118" s="11"/>
      <c r="C118" s="13">
        <f t="shared" si="18"/>
        <v>113632921</v>
      </c>
      <c r="D118" s="3"/>
      <c r="E118" s="13">
        <f t="shared" si="21"/>
        <v>293885</v>
      </c>
      <c r="F118" s="13"/>
      <c r="G118" s="13">
        <f>+G117+E118</f>
        <v>89828284.99000001</v>
      </c>
      <c r="I118" s="13">
        <f>+C118-G118</f>
        <v>23804636.00999999</v>
      </c>
      <c r="J118" s="928"/>
      <c r="K118" s="929">
        <f t="shared" si="13"/>
        <v>-7602202</v>
      </c>
      <c r="L118" s="26">
        <v>2588366</v>
      </c>
      <c r="M118" s="26"/>
      <c r="N118" s="26">
        <f t="shared" si="20"/>
        <v>16202434.00999999</v>
      </c>
      <c r="O118" s="26"/>
      <c r="P118" s="13">
        <f t="shared" si="14"/>
        <v>16833714.426666658</v>
      </c>
      <c r="Q118" s="13">
        <f t="shared" si="22"/>
        <v>25567946.00999999</v>
      </c>
      <c r="R118" s="928">
        <f>(K106+K118+SUM(K107:K117)*2)/24</f>
        <v>-8734231.583333334</v>
      </c>
    </row>
    <row r="119" spans="1:19" hidden="1" outlineLevel="1">
      <c r="A119" s="11">
        <v>40452</v>
      </c>
      <c r="B119" s="11"/>
      <c r="C119" s="13">
        <f t="shared" si="18"/>
        <v>113632921</v>
      </c>
      <c r="D119" s="3"/>
      <c r="E119" s="13">
        <f t="shared" si="21"/>
        <v>293885</v>
      </c>
      <c r="F119" s="13"/>
      <c r="G119" s="13">
        <f t="shared" si="19"/>
        <v>90122169.99000001</v>
      </c>
      <c r="I119" s="13">
        <f t="shared" si="12"/>
        <v>23510751.00999999</v>
      </c>
      <c r="J119" s="928"/>
      <c r="K119" s="929">
        <f t="shared" si="13"/>
        <v>-7508351</v>
      </c>
      <c r="L119" s="26">
        <v>93851</v>
      </c>
      <c r="M119" s="26"/>
      <c r="N119" s="26">
        <f t="shared" si="20"/>
        <v>16002400.00999999</v>
      </c>
      <c r="O119" s="26"/>
      <c r="P119" s="13">
        <f t="shared" si="14"/>
        <v>16637646.718333324</v>
      </c>
      <c r="Q119" s="13">
        <f t="shared" si="22"/>
        <v>25274061.00999999</v>
      </c>
      <c r="R119" s="928">
        <f t="shared" si="23"/>
        <v>-8636414.291666666</v>
      </c>
    </row>
    <row r="120" spans="1:19" hidden="1" outlineLevel="1">
      <c r="A120" s="11">
        <v>40483</v>
      </c>
      <c r="B120" s="11"/>
      <c r="C120" s="13">
        <f t="shared" si="18"/>
        <v>113632921</v>
      </c>
      <c r="D120" s="3"/>
      <c r="E120" s="13">
        <f t="shared" si="21"/>
        <v>293885</v>
      </c>
      <c r="F120" s="13"/>
      <c r="G120" s="13">
        <f>+G119+E120</f>
        <v>90416054.99000001</v>
      </c>
      <c r="I120" s="13">
        <f t="shared" si="12"/>
        <v>23216866.00999999</v>
      </c>
      <c r="J120" s="928"/>
      <c r="K120" s="929">
        <f t="shared" si="13"/>
        <v>-7414500</v>
      </c>
      <c r="L120" s="26">
        <v>93851</v>
      </c>
      <c r="M120" s="26"/>
      <c r="N120" s="26">
        <f t="shared" si="20"/>
        <v>15802366.00999999</v>
      </c>
      <c r="O120" s="26"/>
      <c r="P120" s="13">
        <f t="shared" si="14"/>
        <v>16446399.926666657</v>
      </c>
      <c r="Q120" s="13">
        <f t="shared" si="22"/>
        <v>24980176.00999999</v>
      </c>
      <c r="R120" s="928">
        <f t="shared" si="23"/>
        <v>-8533776.083333334</v>
      </c>
    </row>
    <row r="121" spans="1:19" hidden="1" outlineLevel="1">
      <c r="A121" s="11">
        <v>40513</v>
      </c>
      <c r="B121" s="11"/>
      <c r="C121" s="13">
        <f t="shared" si="18"/>
        <v>113632921</v>
      </c>
      <c r="D121" s="3"/>
      <c r="E121" s="13">
        <f t="shared" si="21"/>
        <v>293885</v>
      </c>
      <c r="F121" s="13"/>
      <c r="G121" s="13">
        <f t="shared" si="19"/>
        <v>90709939.99000001</v>
      </c>
      <c r="I121" s="13">
        <f>+C121-G121</f>
        <v>22922981.00999999</v>
      </c>
      <c r="J121" s="928"/>
      <c r="K121" s="929">
        <f t="shared" si="13"/>
        <v>-7320648</v>
      </c>
      <c r="L121" s="26">
        <v>93852</v>
      </c>
      <c r="M121" s="26"/>
      <c r="N121" s="26">
        <f t="shared" si="20"/>
        <v>15602333.00999999</v>
      </c>
      <c r="O121" s="26"/>
      <c r="P121" s="13">
        <f t="shared" si="14"/>
        <v>16250423.343333324</v>
      </c>
      <c r="Q121" s="13">
        <f t="shared" si="22"/>
        <v>24686291.00999999</v>
      </c>
      <c r="R121" s="928">
        <f>(K109+K121+SUM(K110:K120)*2)/24</f>
        <v>-8435867.666666666</v>
      </c>
    </row>
    <row r="122" spans="1:19" hidden="1" outlineLevel="1">
      <c r="A122" s="11">
        <v>40544</v>
      </c>
      <c r="B122" s="11"/>
      <c r="C122" s="13">
        <f t="shared" si="18"/>
        <v>113632921</v>
      </c>
      <c r="D122" s="3"/>
      <c r="E122" s="13">
        <f t="shared" si="21"/>
        <v>293885</v>
      </c>
      <c r="F122" s="13"/>
      <c r="G122" s="13">
        <f t="shared" si="19"/>
        <v>91003824.99000001</v>
      </c>
      <c r="I122" s="13">
        <f t="shared" si="12"/>
        <v>22629096.00999999</v>
      </c>
      <c r="J122" s="928"/>
      <c r="K122" s="929">
        <f t="shared" si="13"/>
        <v>-7148582</v>
      </c>
      <c r="L122" s="26">
        <v>172066</v>
      </c>
      <c r="M122" s="26"/>
      <c r="N122" s="26">
        <f t="shared" si="20"/>
        <v>15480514.00999999</v>
      </c>
      <c r="O122" s="26"/>
      <c r="P122" s="13">
        <f t="shared" si="14"/>
        <v>16056725.926666657</v>
      </c>
      <c r="Q122" s="13">
        <f t="shared" si="22"/>
        <v>24392406.00999999</v>
      </c>
      <c r="R122" s="928">
        <f t="shared" si="23"/>
        <v>-8335680.083333333</v>
      </c>
    </row>
    <row r="123" spans="1:19" hidden="1" outlineLevel="1">
      <c r="A123" s="11">
        <v>40575</v>
      </c>
      <c r="B123" s="11"/>
      <c r="C123" s="13">
        <f t="shared" si="18"/>
        <v>113632921</v>
      </c>
      <c r="D123" s="3"/>
      <c r="E123" s="13">
        <f t="shared" si="21"/>
        <v>293885</v>
      </c>
      <c r="F123" s="13"/>
      <c r="G123" s="13">
        <f t="shared" si="19"/>
        <v>91297709.99000001</v>
      </c>
      <c r="I123" s="13">
        <f t="shared" si="12"/>
        <v>22335211.00999999</v>
      </c>
      <c r="J123" s="928"/>
      <c r="K123" s="929">
        <f t="shared" si="13"/>
        <v>-7033427</v>
      </c>
      <c r="L123" s="26">
        <v>115155</v>
      </c>
      <c r="M123" s="26"/>
      <c r="N123" s="26">
        <f t="shared" si="20"/>
        <v>15301784.00999999</v>
      </c>
      <c r="O123" s="26"/>
      <c r="P123" s="13">
        <f t="shared" si="14"/>
        <v>15877287.718333324</v>
      </c>
      <c r="Q123" s="13">
        <f>(I111+I123+SUM(I112:I122)*2)/24</f>
        <v>24098521.00999999</v>
      </c>
      <c r="R123" s="928">
        <f t="shared" si="23"/>
        <v>-8221233.291666667</v>
      </c>
    </row>
    <row r="124" spans="1:19" ht="12.75" hidden="1" customHeight="1" outlineLevel="1">
      <c r="A124" s="11">
        <v>40603</v>
      </c>
      <c r="B124" s="11"/>
      <c r="C124" s="13">
        <f t="shared" si="18"/>
        <v>113632921</v>
      </c>
      <c r="D124" s="3"/>
      <c r="E124" s="13">
        <f t="shared" si="21"/>
        <v>293885</v>
      </c>
      <c r="F124" s="13"/>
      <c r="G124" s="13">
        <f t="shared" si="19"/>
        <v>91591594.99000001</v>
      </c>
      <c r="I124" s="13">
        <f t="shared" si="12"/>
        <v>22041326.00999999</v>
      </c>
      <c r="J124" s="928"/>
      <c r="K124" s="929">
        <f t="shared" si="13"/>
        <v>-6854672</v>
      </c>
      <c r="L124" s="26">
        <v>178755</v>
      </c>
      <c r="M124" s="26"/>
      <c r="N124" s="26">
        <f t="shared" si="20"/>
        <v>15186654.00999999</v>
      </c>
      <c r="O124" s="26"/>
      <c r="P124" s="13">
        <f t="shared" si="14"/>
        <v>15710929.093333324</v>
      </c>
      <c r="Q124" s="13">
        <f t="shared" si="22"/>
        <v>23804636.00999999</v>
      </c>
      <c r="R124" s="928">
        <f t="shared" si="23"/>
        <v>-8093706.916666667</v>
      </c>
    </row>
    <row r="125" spans="1:19" ht="12.75" hidden="1" customHeight="1" outlineLevel="1">
      <c r="A125" s="11">
        <v>40634</v>
      </c>
      <c r="B125" s="11"/>
      <c r="C125" s="13">
        <f t="shared" si="18"/>
        <v>113632921</v>
      </c>
      <c r="D125" s="3"/>
      <c r="E125" s="13">
        <f t="shared" si="21"/>
        <v>293885</v>
      </c>
      <c r="F125" s="13"/>
      <c r="G125" s="13">
        <f t="shared" si="19"/>
        <v>91885479.99000001</v>
      </c>
      <c r="I125" s="13">
        <f t="shared" si="12"/>
        <v>21747441.00999999</v>
      </c>
      <c r="J125" s="928"/>
      <c r="K125" s="929">
        <f t="shared" si="13"/>
        <v>-6688678</v>
      </c>
      <c r="L125" s="26">
        <v>165994</v>
      </c>
      <c r="M125" s="26"/>
      <c r="N125" s="26">
        <f t="shared" si="20"/>
        <v>15058763.00999999</v>
      </c>
      <c r="O125" s="26"/>
      <c r="P125" s="13">
        <f t="shared" si="14"/>
        <v>15556643.343333324</v>
      </c>
      <c r="Q125" s="13">
        <f t="shared" si="22"/>
        <v>23510751.00999999</v>
      </c>
      <c r="R125" s="928">
        <f t="shared" si="23"/>
        <v>-7954107.666666667</v>
      </c>
    </row>
    <row r="126" spans="1:19" hidden="1" outlineLevel="1">
      <c r="A126" s="11">
        <v>40664</v>
      </c>
      <c r="B126" s="11"/>
      <c r="C126" s="13">
        <f t="shared" si="18"/>
        <v>113632921</v>
      </c>
      <c r="D126" s="3"/>
      <c r="E126" s="13">
        <f t="shared" si="21"/>
        <v>293885</v>
      </c>
      <c r="F126" s="13"/>
      <c r="G126" s="13">
        <f t="shared" si="19"/>
        <v>92179364.99000001</v>
      </c>
      <c r="I126" s="13">
        <f t="shared" si="12"/>
        <v>21453556.00999999</v>
      </c>
      <c r="J126" s="928"/>
      <c r="K126" s="929">
        <f t="shared" si="13"/>
        <v>-6620851</v>
      </c>
      <c r="L126" s="26">
        <v>67827</v>
      </c>
      <c r="M126" s="26"/>
      <c r="N126" s="26">
        <f t="shared" si="20"/>
        <v>14832705.00999999</v>
      </c>
      <c r="O126" s="26"/>
      <c r="P126" s="13">
        <f t="shared" si="14"/>
        <v>15412100.13499999</v>
      </c>
      <c r="Q126" s="13">
        <f t="shared" ref="Q126:Q132" si="24">(I114+I126+SUM(I115:I125)*2)/24</f>
        <v>23216866.00999999</v>
      </c>
      <c r="R126" s="928">
        <f t="shared" ref="R126:R131" si="25">(K114+K126+SUM(K115:K125)*2)/24</f>
        <v>-7804765.875</v>
      </c>
    </row>
    <row r="127" spans="1:19" hidden="1" outlineLevel="1">
      <c r="A127" s="11">
        <v>40695</v>
      </c>
      <c r="B127" s="11"/>
      <c r="C127" s="13">
        <f t="shared" si="18"/>
        <v>113632921</v>
      </c>
      <c r="D127" s="3"/>
      <c r="E127" s="13">
        <f t="shared" si="21"/>
        <v>293885</v>
      </c>
      <c r="F127" s="13"/>
      <c r="G127" s="13">
        <f t="shared" si="19"/>
        <v>92473249.99000001</v>
      </c>
      <c r="I127" s="13">
        <f t="shared" si="12"/>
        <v>21159671.00999999</v>
      </c>
      <c r="J127" s="928"/>
      <c r="K127" s="929">
        <f t="shared" si="13"/>
        <v>-6581403</v>
      </c>
      <c r="L127" s="26">
        <v>39448</v>
      </c>
      <c r="M127" s="26"/>
      <c r="N127" s="26">
        <f t="shared" si="20"/>
        <v>14578268.00999999</v>
      </c>
      <c r="O127" s="26"/>
      <c r="P127" s="13">
        <f t="shared" si="14"/>
        <v>15296735.051666657</v>
      </c>
      <c r="Q127" s="13">
        <f t="shared" si="24"/>
        <v>22922981.00999999</v>
      </c>
      <c r="R127" s="928">
        <f t="shared" si="25"/>
        <v>-7626245.958333333</v>
      </c>
    </row>
    <row r="128" spans="1:19" ht="12.75" hidden="1" customHeight="1" outlineLevel="1">
      <c r="A128" s="11">
        <v>40725</v>
      </c>
      <c r="B128" s="11"/>
      <c r="C128" s="13">
        <f t="shared" si="18"/>
        <v>113632921</v>
      </c>
      <c r="D128" s="3"/>
      <c r="E128" s="13">
        <f t="shared" si="21"/>
        <v>293885</v>
      </c>
      <c r="F128" s="13"/>
      <c r="G128" s="13">
        <f t="shared" si="19"/>
        <v>92767134.99000001</v>
      </c>
      <c r="I128" s="13">
        <f t="shared" si="12"/>
        <v>20865786.00999999</v>
      </c>
      <c r="J128" s="928"/>
      <c r="K128" s="929">
        <f t="shared" si="13"/>
        <v>-6594147</v>
      </c>
      <c r="L128" s="932">
        <v>-12744</v>
      </c>
      <c r="M128" s="26"/>
      <c r="N128" s="26">
        <f t="shared" si="20"/>
        <v>14271639.00999999</v>
      </c>
      <c r="O128" s="26"/>
      <c r="P128" s="13">
        <f t="shared" si="14"/>
        <v>15218939.801666657</v>
      </c>
      <c r="Q128" s="13">
        <f t="shared" si="24"/>
        <v>22629096.00999999</v>
      </c>
      <c r="R128" s="928">
        <f t="shared" si="25"/>
        <v>-7410156.208333333</v>
      </c>
    </row>
    <row r="129" spans="1:18" hidden="1" outlineLevel="1">
      <c r="A129" s="11">
        <v>40756</v>
      </c>
      <c r="B129" s="11"/>
      <c r="C129" s="13">
        <f t="shared" si="18"/>
        <v>113632921</v>
      </c>
      <c r="D129" s="3"/>
      <c r="E129" s="13">
        <f t="shared" si="21"/>
        <v>293885</v>
      </c>
      <c r="F129" s="13"/>
      <c r="G129" s="13">
        <f t="shared" si="19"/>
        <v>93061019.99000001</v>
      </c>
      <c r="I129" s="13">
        <f t="shared" si="12"/>
        <v>20571901.00999999</v>
      </c>
      <c r="J129" s="928"/>
      <c r="K129" s="929">
        <f t="shared" si="13"/>
        <v>-6571810</v>
      </c>
      <c r="L129" s="26">
        <v>22337</v>
      </c>
      <c r="M129" s="26"/>
      <c r="N129" s="26">
        <f t="shared" si="20"/>
        <v>14000091.00999999</v>
      </c>
      <c r="O129" s="26"/>
      <c r="P129" s="13">
        <f t="shared" si="14"/>
        <v>15189490.176666657</v>
      </c>
      <c r="Q129" s="13">
        <f t="shared" si="24"/>
        <v>22335211.00999999</v>
      </c>
      <c r="R129" s="928">
        <f t="shared" si="25"/>
        <v>-7145720.833333333</v>
      </c>
    </row>
    <row r="130" spans="1:18" hidden="1" outlineLevel="1">
      <c r="A130" s="11">
        <v>40787</v>
      </c>
      <c r="B130" s="11"/>
      <c r="C130" s="13">
        <f t="shared" si="18"/>
        <v>113632921</v>
      </c>
      <c r="D130" s="3"/>
      <c r="E130" s="13">
        <f t="shared" si="21"/>
        <v>293885</v>
      </c>
      <c r="F130" s="13"/>
      <c r="G130" s="13">
        <f t="shared" si="19"/>
        <v>93354904.99000001</v>
      </c>
      <c r="I130" s="13">
        <f t="shared" si="12"/>
        <v>20278016.00999999</v>
      </c>
      <c r="J130" s="928"/>
      <c r="K130" s="929">
        <f t="shared" si="13"/>
        <v>-6621778</v>
      </c>
      <c r="L130" s="932">
        <v>-49968</v>
      </c>
      <c r="M130" s="26"/>
      <c r="N130" s="26">
        <f t="shared" si="20"/>
        <v>13656238.00999999</v>
      </c>
      <c r="O130" s="26"/>
      <c r="P130" s="13">
        <f t="shared" si="14"/>
        <v>15087237.75999999</v>
      </c>
      <c r="Q130" s="13">
        <f t="shared" si="24"/>
        <v>22041326.00999999</v>
      </c>
      <c r="R130" s="928">
        <f t="shared" si="25"/>
        <v>-6954088.25</v>
      </c>
    </row>
    <row r="131" spans="1:18" hidden="1" outlineLevel="1">
      <c r="A131" s="11">
        <v>40817</v>
      </c>
      <c r="B131" s="11"/>
      <c r="C131" s="13">
        <f t="shared" si="18"/>
        <v>113632921</v>
      </c>
      <c r="D131" s="3"/>
      <c r="E131" s="13">
        <f t="shared" si="21"/>
        <v>293885</v>
      </c>
      <c r="F131" s="13"/>
      <c r="G131" s="13">
        <f t="shared" si="19"/>
        <v>93648789.99000001</v>
      </c>
      <c r="I131" s="13">
        <f t="shared" si="12"/>
        <v>19984131.00999999</v>
      </c>
      <c r="J131" s="928"/>
      <c r="K131" s="929">
        <f t="shared" si="13"/>
        <v>-6565626</v>
      </c>
      <c r="L131" s="26">
        <v>56152</v>
      </c>
      <c r="M131" s="26"/>
      <c r="N131" s="26">
        <f t="shared" si="20"/>
        <v>13418505.00999999</v>
      </c>
      <c r="O131" s="26"/>
      <c r="P131" s="13">
        <f t="shared" si="14"/>
        <v>14873483.968333324</v>
      </c>
      <c r="Q131" s="13">
        <f t="shared" si="24"/>
        <v>21747441.00999999</v>
      </c>
      <c r="R131" s="928">
        <f t="shared" si="25"/>
        <v>-6873957.041666667</v>
      </c>
    </row>
    <row r="132" spans="1:18" ht="13.5" hidden="1" customHeight="1" outlineLevel="1">
      <c r="A132" s="11">
        <v>40848</v>
      </c>
      <c r="B132" s="11"/>
      <c r="C132" s="13">
        <f t="shared" si="18"/>
        <v>113632921</v>
      </c>
      <c r="D132" s="3"/>
      <c r="E132" s="13">
        <f t="shared" si="21"/>
        <v>293885</v>
      </c>
      <c r="F132" s="13"/>
      <c r="G132" s="13">
        <f t="shared" si="19"/>
        <v>93942674.99000001</v>
      </c>
      <c r="I132" s="13">
        <f t="shared" si="12"/>
        <v>19690246.00999999</v>
      </c>
      <c r="J132" s="928"/>
      <c r="K132" s="929">
        <f t="shared" si="13"/>
        <v>-6434628</v>
      </c>
      <c r="L132" s="26">
        <v>130998</v>
      </c>
      <c r="M132" s="26"/>
      <c r="N132" s="26">
        <f t="shared" si="20"/>
        <v>13255618.00999999</v>
      </c>
      <c r="O132" s="26"/>
      <c r="P132" s="13">
        <f>(N120+N132+SUM(N121:N131)*2)/24</f>
        <v>14659707.176666657</v>
      </c>
      <c r="Q132" s="13">
        <f t="shared" si="24"/>
        <v>21453556.00999999</v>
      </c>
      <c r="R132" s="928">
        <f t="shared" ref="R132:R140" si="26">(K120+K132+SUM(K121:K131)*2)/24</f>
        <v>-6793848.833333333</v>
      </c>
    </row>
    <row r="133" spans="1:18" hidden="1" outlineLevel="1">
      <c r="A133" s="11">
        <v>40878</v>
      </c>
      <c r="B133" s="11"/>
      <c r="C133" s="13">
        <f t="shared" si="18"/>
        <v>113632921</v>
      </c>
      <c r="D133" s="3"/>
      <c r="E133" s="13">
        <f t="shared" si="21"/>
        <v>293885</v>
      </c>
      <c r="F133" s="13"/>
      <c r="G133" s="13">
        <f>+G132+E133</f>
        <v>94236559.99000001</v>
      </c>
      <c r="I133" s="13">
        <f>+C133-G133</f>
        <v>19396361.00999999</v>
      </c>
      <c r="J133" s="928"/>
      <c r="K133" s="929">
        <f t="shared" si="13"/>
        <v>-6194395</v>
      </c>
      <c r="L133" s="26">
        <v>240233</v>
      </c>
      <c r="M133" s="26"/>
      <c r="N133" s="26">
        <f>I133+K133</f>
        <v>13201966.00999999</v>
      </c>
      <c r="O133" s="26"/>
      <c r="P133" s="13">
        <f t="shared" si="14"/>
        <v>14453577.38499999</v>
      </c>
      <c r="Q133" s="13">
        <f t="shared" ref="Q133:Q140" si="27">(I121+I133+SUM(I122:I132)*2)/24</f>
        <v>21159671.00999999</v>
      </c>
      <c r="R133" s="928">
        <f t="shared" si="26"/>
        <v>-6706093.625</v>
      </c>
    </row>
    <row r="134" spans="1:18" hidden="1" outlineLevel="1">
      <c r="A134" s="11">
        <v>40909</v>
      </c>
      <c r="B134" s="11"/>
      <c r="C134" s="13">
        <f t="shared" si="18"/>
        <v>113632921</v>
      </c>
      <c r="D134" s="3"/>
      <c r="E134" s="13">
        <f t="shared" si="21"/>
        <v>293885</v>
      </c>
      <c r="F134" s="13"/>
      <c r="G134" s="13">
        <f t="shared" si="19"/>
        <v>94530444.99000001</v>
      </c>
      <c r="I134" s="13">
        <f t="shared" si="12"/>
        <v>19102476.00999999</v>
      </c>
      <c r="J134" s="928"/>
      <c r="K134" s="929">
        <f t="shared" si="13"/>
        <v>-6094588</v>
      </c>
      <c r="L134" s="26">
        <v>99807</v>
      </c>
      <c r="M134" s="26"/>
      <c r="N134" s="26">
        <f t="shared" si="20"/>
        <v>13007888.00999999</v>
      </c>
      <c r="O134" s="26"/>
      <c r="P134" s="13">
        <f t="shared" si="14"/>
        <v>14250536.00999999</v>
      </c>
      <c r="Q134" s="13">
        <f t="shared" si="27"/>
        <v>20865786.00999999</v>
      </c>
      <c r="R134" s="928">
        <f t="shared" si="26"/>
        <v>-6615250</v>
      </c>
    </row>
    <row r="135" spans="1:18" hidden="1" outlineLevel="1">
      <c r="A135" s="11">
        <v>40940</v>
      </c>
      <c r="B135" s="11"/>
      <c r="C135" s="13">
        <f t="shared" si="18"/>
        <v>113632921</v>
      </c>
      <c r="D135" s="3"/>
      <c r="E135" s="13">
        <f t="shared" si="21"/>
        <v>293885</v>
      </c>
      <c r="F135" s="13"/>
      <c r="G135" s="13">
        <f t="shared" si="19"/>
        <v>94824329.99000001</v>
      </c>
      <c r="I135" s="13">
        <f t="shared" si="12"/>
        <v>18808591.00999999</v>
      </c>
      <c r="J135" s="928"/>
      <c r="K135" s="929">
        <f t="shared" si="13"/>
        <v>-5956320</v>
      </c>
      <c r="L135" s="26">
        <v>138268</v>
      </c>
      <c r="M135" s="26"/>
      <c r="N135" s="26">
        <f t="shared" si="20"/>
        <v>12852271.00999999</v>
      </c>
      <c r="O135" s="26"/>
      <c r="P135" s="13">
        <f t="shared" si="14"/>
        <v>14045446.88499999</v>
      </c>
      <c r="Q135" s="13">
        <f t="shared" si="27"/>
        <v>20571901.00999999</v>
      </c>
      <c r="R135" s="928">
        <f t="shared" si="26"/>
        <v>-6526454.125</v>
      </c>
    </row>
    <row r="136" spans="1:18" ht="12.75" hidden="1" customHeight="1" outlineLevel="1">
      <c r="A136" s="11">
        <v>40969</v>
      </c>
      <c r="B136" s="11"/>
      <c r="C136" s="13">
        <f t="shared" si="18"/>
        <v>113632921</v>
      </c>
      <c r="D136" s="3"/>
      <c r="E136" s="13">
        <f t="shared" si="21"/>
        <v>293885</v>
      </c>
      <c r="F136" s="13"/>
      <c r="G136" s="13">
        <f t="shared" si="19"/>
        <v>95118214.99000001</v>
      </c>
      <c r="I136" s="13">
        <f t="shared" si="12"/>
        <v>18514706.00999999</v>
      </c>
      <c r="J136" s="928"/>
      <c r="K136" s="929">
        <f t="shared" si="13"/>
        <v>-5849028</v>
      </c>
      <c r="L136" s="26">
        <v>107292</v>
      </c>
      <c r="M136" s="26"/>
      <c r="N136" s="26">
        <f t="shared" si="20"/>
        <v>12665678.00999999</v>
      </c>
      <c r="O136" s="26"/>
      <c r="P136" s="13">
        <f t="shared" si="14"/>
        <v>13838343.176666657</v>
      </c>
      <c r="Q136" s="13">
        <f t="shared" si="27"/>
        <v>20278016.00999999</v>
      </c>
      <c r="R136" s="928">
        <f t="shared" si="26"/>
        <v>-6439672.833333333</v>
      </c>
    </row>
    <row r="137" spans="1:18" ht="12.75" hidden="1" customHeight="1" outlineLevel="1">
      <c r="A137" s="11">
        <v>41000</v>
      </c>
      <c r="B137" s="11"/>
      <c r="C137" s="13">
        <f t="shared" si="18"/>
        <v>113632921</v>
      </c>
      <c r="D137" s="3"/>
      <c r="E137" s="13">
        <f t="shared" si="21"/>
        <v>293885</v>
      </c>
      <c r="F137" s="13"/>
      <c r="G137" s="13">
        <f t="shared" si="19"/>
        <v>95412099.99000001</v>
      </c>
      <c r="I137" s="13">
        <f t="shared" si="12"/>
        <v>18220821.00999999</v>
      </c>
      <c r="J137" s="928"/>
      <c r="K137" s="929">
        <f t="shared" si="13"/>
        <v>-5855441</v>
      </c>
      <c r="L137" s="932">
        <v>-6413</v>
      </c>
      <c r="M137" s="26"/>
      <c r="N137" s="26">
        <f t="shared" si="20"/>
        <v>12365380.00999999</v>
      </c>
      <c r="O137" s="26"/>
      <c r="P137" s="13">
        <f t="shared" si="14"/>
        <v>13621078.218333324</v>
      </c>
      <c r="Q137" s="13">
        <f t="shared" si="27"/>
        <v>19984131.00999999</v>
      </c>
      <c r="R137" s="928">
        <f t="shared" si="26"/>
        <v>-6363052.791666667</v>
      </c>
    </row>
    <row r="138" spans="1:18" hidden="1" outlineLevel="1">
      <c r="A138" s="11">
        <v>41030</v>
      </c>
      <c r="B138" s="11"/>
      <c r="C138" s="13">
        <f t="shared" si="18"/>
        <v>113632921</v>
      </c>
      <c r="D138" s="3"/>
      <c r="E138" s="13">
        <f t="shared" si="21"/>
        <v>293885</v>
      </c>
      <c r="F138" s="13"/>
      <c r="G138" s="13">
        <f t="shared" si="19"/>
        <v>95705984.99000001</v>
      </c>
      <c r="I138" s="13">
        <f t="shared" ref="I138:I198" si="28">+C138-G138</f>
        <v>17926936.00999999</v>
      </c>
      <c r="J138" s="928"/>
      <c r="K138" s="929">
        <f t="shared" si="13"/>
        <v>-5762631</v>
      </c>
      <c r="L138" s="26">
        <v>92810</v>
      </c>
      <c r="M138" s="26"/>
      <c r="N138" s="26">
        <f t="shared" si="20"/>
        <v>12164305.00999999</v>
      </c>
      <c r="O138" s="26"/>
      <c r="P138" s="13">
        <f t="shared" ref="P138:P201" si="29">(N126+N138+SUM(N127:N137)*2)/24</f>
        <v>13397670.593333324</v>
      </c>
      <c r="Q138" s="13">
        <f t="shared" si="27"/>
        <v>19690246.00999999</v>
      </c>
      <c r="R138" s="928">
        <f t="shared" si="26"/>
        <v>-6292575.416666667</v>
      </c>
    </row>
    <row r="139" spans="1:18" hidden="1" outlineLevel="1">
      <c r="A139" s="11">
        <v>41061</v>
      </c>
      <c r="B139" s="11"/>
      <c r="C139" s="13">
        <f t="shared" si="18"/>
        <v>113632921</v>
      </c>
      <c r="D139" s="3"/>
      <c r="E139" s="13">
        <f t="shared" si="21"/>
        <v>293885</v>
      </c>
      <c r="F139" s="13"/>
      <c r="G139" s="13">
        <f t="shared" si="19"/>
        <v>95999869.99000001</v>
      </c>
      <c r="I139" s="13">
        <f t="shared" si="28"/>
        <v>17633051.00999999</v>
      </c>
      <c r="J139" s="928"/>
      <c r="K139" s="929">
        <f t="shared" ref="K139:K202" si="30">K138+L139</f>
        <v>-5679146</v>
      </c>
      <c r="L139" s="26">
        <v>83485</v>
      </c>
      <c r="M139" s="26"/>
      <c r="N139" s="26">
        <f t="shared" si="20"/>
        <v>11953905.00999999</v>
      </c>
      <c r="O139" s="26"/>
      <c r="P139" s="13">
        <f t="shared" si="29"/>
        <v>13177138.801666657</v>
      </c>
      <c r="Q139" s="13">
        <f t="shared" si="27"/>
        <v>19396361.00999999</v>
      </c>
      <c r="R139" s="928">
        <f t="shared" si="26"/>
        <v>-6219222.208333333</v>
      </c>
    </row>
    <row r="140" spans="1:18" ht="12.75" hidden="1" customHeight="1" outlineLevel="1">
      <c r="A140" s="11">
        <v>41091</v>
      </c>
      <c r="B140" s="11"/>
      <c r="C140" s="13">
        <f t="shared" si="18"/>
        <v>113632921</v>
      </c>
      <c r="D140" s="3"/>
      <c r="E140" s="13">
        <f t="shared" si="21"/>
        <v>293885</v>
      </c>
      <c r="F140" s="13"/>
      <c r="G140" s="13">
        <f t="shared" si="19"/>
        <v>96293754.99000001</v>
      </c>
      <c r="I140" s="13">
        <f t="shared" si="28"/>
        <v>17339166.00999999</v>
      </c>
      <c r="J140" s="928"/>
      <c r="K140" s="929">
        <f t="shared" si="30"/>
        <v>-5590570</v>
      </c>
      <c r="L140" s="26">
        <v>88576</v>
      </c>
      <c r="M140" s="26"/>
      <c r="N140" s="26">
        <f t="shared" si="20"/>
        <v>11748596.00999999</v>
      </c>
      <c r="O140" s="26"/>
      <c r="P140" s="13">
        <f t="shared" si="29"/>
        <v>12962663.551666657</v>
      </c>
      <c r="Q140" s="13">
        <f t="shared" si="27"/>
        <v>19102476.00999999</v>
      </c>
      <c r="R140" s="928">
        <f t="shared" si="26"/>
        <v>-6139812.458333333</v>
      </c>
    </row>
    <row r="141" spans="1:18" hidden="1" outlineLevel="1">
      <c r="A141" s="11">
        <v>41122</v>
      </c>
      <c r="B141" s="11"/>
      <c r="C141" s="13">
        <f t="shared" si="18"/>
        <v>113632921</v>
      </c>
      <c r="D141" s="3"/>
      <c r="E141" s="13">
        <f t="shared" si="21"/>
        <v>293885</v>
      </c>
      <c r="F141" s="13"/>
      <c r="G141" s="13">
        <f t="shared" si="19"/>
        <v>96587639.99000001</v>
      </c>
      <c r="I141" s="13">
        <f t="shared" si="28"/>
        <v>17045281.00999999</v>
      </c>
      <c r="J141" s="928"/>
      <c r="K141" s="929">
        <f t="shared" si="30"/>
        <v>-5542704</v>
      </c>
      <c r="L141" s="26">
        <v>47866</v>
      </c>
      <c r="M141" s="26"/>
      <c r="N141" s="26">
        <f t="shared" si="20"/>
        <v>11502577.00999999</v>
      </c>
      <c r="O141" s="26"/>
      <c r="P141" s="13">
        <f t="shared" si="29"/>
        <v>12753473.676666657</v>
      </c>
      <c r="Q141" s="13">
        <f t="shared" ref="Q141:Q147" si="31">(I129+I141+SUM(I130:I140)*2)/24</f>
        <v>18808591.00999999</v>
      </c>
      <c r="R141" s="928">
        <f t="shared" ref="R141:R147" si="32">(K129+K141+SUM(K130:K140)*2)/24</f>
        <v>-6055117.333333333</v>
      </c>
    </row>
    <row r="142" spans="1:18" hidden="1" outlineLevel="1">
      <c r="A142" s="11">
        <v>41153</v>
      </c>
      <c r="B142" s="11"/>
      <c r="C142" s="13">
        <f t="shared" ref="C142:C173" si="33">+C141</f>
        <v>113632921</v>
      </c>
      <c r="D142" s="3"/>
      <c r="E142" s="13">
        <f t="shared" si="21"/>
        <v>293885</v>
      </c>
      <c r="F142" s="13"/>
      <c r="G142" s="13">
        <f t="shared" ref="G142:G173" si="34">+G141+E142</f>
        <v>96881524.99000001</v>
      </c>
      <c r="I142" s="13">
        <f t="shared" si="28"/>
        <v>16751396.00999999</v>
      </c>
      <c r="J142" s="928"/>
      <c r="K142" s="929">
        <f t="shared" si="30"/>
        <v>-5440424</v>
      </c>
      <c r="L142" s="26">
        <v>102280</v>
      </c>
      <c r="M142" s="26"/>
      <c r="N142" s="26">
        <f t="shared" si="20"/>
        <v>11310972.00999999</v>
      </c>
      <c r="O142" s="26"/>
      <c r="P142" s="13">
        <f t="shared" si="29"/>
        <v>12551691.176666657</v>
      </c>
      <c r="Q142" s="13">
        <f t="shared" si="31"/>
        <v>18514706.00999999</v>
      </c>
      <c r="R142" s="928">
        <f t="shared" si="32"/>
        <v>-5963014.833333333</v>
      </c>
    </row>
    <row r="143" spans="1:18" hidden="1" outlineLevel="1">
      <c r="A143" s="11">
        <v>41183</v>
      </c>
      <c r="B143" s="11"/>
      <c r="C143" s="13">
        <f t="shared" si="33"/>
        <v>113632921</v>
      </c>
      <c r="D143" s="3"/>
      <c r="E143" s="13">
        <f t="shared" ref="E143:E174" si="35">+E142</f>
        <v>293885</v>
      </c>
      <c r="F143" s="13"/>
      <c r="G143" s="13">
        <f t="shared" si="34"/>
        <v>97175409.99000001</v>
      </c>
      <c r="I143" s="13">
        <f t="shared" si="28"/>
        <v>16457511.00999999</v>
      </c>
      <c r="J143" s="928"/>
      <c r="K143" s="929">
        <f t="shared" si="30"/>
        <v>-5306192.84</v>
      </c>
      <c r="L143" s="26">
        <v>134231.16</v>
      </c>
      <c r="M143" s="26"/>
      <c r="N143" s="26">
        <f t="shared" si="20"/>
        <v>11151318.169999991</v>
      </c>
      <c r="O143" s="26"/>
      <c r="P143" s="13">
        <f t="shared" si="29"/>
        <v>12359505.641666658</v>
      </c>
      <c r="Q143" s="13">
        <f t="shared" si="31"/>
        <v>18220821.00999999</v>
      </c>
      <c r="R143" s="928">
        <f t="shared" si="32"/>
        <v>-5861315.3683333332</v>
      </c>
    </row>
    <row r="144" spans="1:18" ht="14.25" hidden="1" customHeight="1" outlineLevel="1">
      <c r="A144" s="11">
        <v>41214</v>
      </c>
      <c r="B144" s="11"/>
      <c r="C144" s="13">
        <f t="shared" si="33"/>
        <v>113632921</v>
      </c>
      <c r="D144" s="3"/>
      <c r="E144" s="13">
        <f t="shared" si="35"/>
        <v>293885</v>
      </c>
      <c r="F144" s="13"/>
      <c r="G144" s="13">
        <f t="shared" si="34"/>
        <v>97469294.99000001</v>
      </c>
      <c r="I144" s="13">
        <f t="shared" si="28"/>
        <v>16163626.00999999</v>
      </c>
      <c r="J144" s="928"/>
      <c r="K144" s="929">
        <f t="shared" si="30"/>
        <v>-5211436.34</v>
      </c>
      <c r="L144" s="26">
        <v>94756.5</v>
      </c>
      <c r="M144" s="26"/>
      <c r="N144" s="26">
        <f t="shared" si="20"/>
        <v>10952189.669999991</v>
      </c>
      <c r="O144" s="26"/>
      <c r="P144" s="13">
        <f t="shared" si="29"/>
        <v>12169063.342499992</v>
      </c>
      <c r="Q144" s="13">
        <f t="shared" si="31"/>
        <v>17926936.00999999</v>
      </c>
      <c r="R144" s="928">
        <f t="shared" si="32"/>
        <v>-5757872.6675000004</v>
      </c>
    </row>
    <row r="145" spans="1:18" hidden="1" outlineLevel="1">
      <c r="A145" s="11">
        <v>41244</v>
      </c>
      <c r="B145" s="11"/>
      <c r="C145" s="13">
        <f t="shared" si="33"/>
        <v>113632921</v>
      </c>
      <c r="D145" s="3"/>
      <c r="E145" s="13">
        <f t="shared" si="35"/>
        <v>293885</v>
      </c>
      <c r="F145" s="13"/>
      <c r="G145" s="13">
        <f t="shared" si="34"/>
        <v>97763179.99000001</v>
      </c>
      <c r="I145" s="13">
        <f t="shared" si="28"/>
        <v>15869741.00999999</v>
      </c>
      <c r="J145" s="928"/>
      <c r="K145" s="929">
        <f t="shared" si="30"/>
        <v>-5068171.8499999996</v>
      </c>
      <c r="L145" s="26">
        <v>143264.49</v>
      </c>
      <c r="M145" s="26"/>
      <c r="N145" s="26">
        <f t="shared" si="20"/>
        <v>10801569.159999991</v>
      </c>
      <c r="O145" s="26"/>
      <c r="P145" s="13">
        <f t="shared" si="29"/>
        <v>11973070.626249989</v>
      </c>
      <c r="Q145" s="13">
        <f t="shared" si="31"/>
        <v>17633051.00999999</v>
      </c>
      <c r="R145" s="928">
        <f t="shared" si="32"/>
        <v>-5659980.38375</v>
      </c>
    </row>
    <row r="146" spans="1:18" hidden="1" outlineLevel="1">
      <c r="A146" s="11">
        <v>41275</v>
      </c>
      <c r="B146" s="11"/>
      <c r="C146" s="13">
        <f t="shared" si="33"/>
        <v>113632921</v>
      </c>
      <c r="D146" s="3"/>
      <c r="E146" s="13">
        <f t="shared" si="35"/>
        <v>293885</v>
      </c>
      <c r="F146" s="13"/>
      <c r="G146" s="13">
        <f t="shared" si="34"/>
        <v>98057064.99000001</v>
      </c>
      <c r="I146" s="13">
        <f t="shared" si="28"/>
        <v>15575856.00999999</v>
      </c>
      <c r="J146" s="928"/>
      <c r="K146" s="929">
        <f t="shared" si="30"/>
        <v>-4974320.43</v>
      </c>
      <c r="L146" s="26">
        <v>93851.42</v>
      </c>
      <c r="M146" s="26"/>
      <c r="N146" s="26">
        <f t="shared" si="20"/>
        <v>10601535.579999991</v>
      </c>
      <c r="O146" s="26"/>
      <c r="P146" s="13">
        <f t="shared" si="29"/>
        <v>11772789.406249991</v>
      </c>
      <c r="Q146" s="13">
        <f t="shared" si="31"/>
        <v>17339166.00999999</v>
      </c>
      <c r="R146" s="928">
        <f t="shared" si="32"/>
        <v>-5566376.6037500007</v>
      </c>
    </row>
    <row r="147" spans="1:18" hidden="1" outlineLevel="1">
      <c r="A147" s="11">
        <v>41306</v>
      </c>
      <c r="B147" s="11"/>
      <c r="C147" s="13">
        <f t="shared" si="33"/>
        <v>113632921</v>
      </c>
      <c r="D147" s="3"/>
      <c r="E147" s="13">
        <f t="shared" si="35"/>
        <v>293885</v>
      </c>
      <c r="F147" s="13"/>
      <c r="G147" s="13">
        <f t="shared" si="34"/>
        <v>98350949.99000001</v>
      </c>
      <c r="I147" s="13">
        <f t="shared" si="28"/>
        <v>15281971.00999999</v>
      </c>
      <c r="J147" s="928"/>
      <c r="K147" s="929">
        <f t="shared" si="30"/>
        <v>-4880469.01</v>
      </c>
      <c r="L147" s="26">
        <v>93851.42</v>
      </c>
      <c r="M147" s="26"/>
      <c r="N147" s="26">
        <f t="shared" si="20"/>
        <v>10401501.999999991</v>
      </c>
      <c r="O147" s="26"/>
      <c r="P147" s="13">
        <f t="shared" si="29"/>
        <v>11570409.34624999</v>
      </c>
      <c r="Q147" s="13">
        <f t="shared" si="31"/>
        <v>17045281.00999999</v>
      </c>
      <c r="R147" s="928">
        <f t="shared" si="32"/>
        <v>-5474871.6637500012</v>
      </c>
    </row>
    <row r="148" spans="1:18" ht="12.75" hidden="1" customHeight="1" outlineLevel="1">
      <c r="A148" s="11">
        <v>41334</v>
      </c>
      <c r="B148" s="11"/>
      <c r="C148" s="13">
        <f t="shared" si="33"/>
        <v>113632921</v>
      </c>
      <c r="D148" s="3"/>
      <c r="E148" s="13">
        <f t="shared" si="35"/>
        <v>293885</v>
      </c>
      <c r="F148" s="13"/>
      <c r="G148" s="13">
        <f t="shared" si="34"/>
        <v>98644834.99000001</v>
      </c>
      <c r="I148" s="13">
        <f t="shared" si="28"/>
        <v>14988086.00999999</v>
      </c>
      <c r="J148" s="928"/>
      <c r="K148" s="929">
        <f t="shared" si="30"/>
        <v>-4786617.59</v>
      </c>
      <c r="L148" s="26">
        <v>93851.42</v>
      </c>
      <c r="M148" s="26"/>
      <c r="N148" s="26">
        <f t="shared" si="20"/>
        <v>10201468.419999991</v>
      </c>
      <c r="O148" s="26"/>
      <c r="P148" s="13">
        <f t="shared" si="29"/>
        <v>11365618.57124999</v>
      </c>
      <c r="Q148" s="13">
        <f>(I136+I148+SUM(I137:I147)*2)/24</f>
        <v>16751396.00999999</v>
      </c>
      <c r="R148" s="928">
        <f>(K136+K148+SUM(K137:K147)*2)/24</f>
        <v>-5385777.4387500007</v>
      </c>
    </row>
    <row r="149" spans="1:18" ht="12.75" hidden="1" customHeight="1" outlineLevel="1">
      <c r="A149" s="11">
        <v>41365</v>
      </c>
      <c r="B149" s="11"/>
      <c r="C149" s="13">
        <f t="shared" si="33"/>
        <v>113632921</v>
      </c>
      <c r="D149" s="3"/>
      <c r="E149" s="13">
        <f t="shared" si="35"/>
        <v>293885</v>
      </c>
      <c r="F149" s="13"/>
      <c r="G149" s="13">
        <f t="shared" si="34"/>
        <v>98938719.99000001</v>
      </c>
      <c r="I149" s="13">
        <f t="shared" si="28"/>
        <v>14694201.00999999</v>
      </c>
      <c r="J149" s="928"/>
      <c r="K149" s="929">
        <f t="shared" si="30"/>
        <v>-4692766.17</v>
      </c>
      <c r="L149" s="26">
        <v>93851.42</v>
      </c>
      <c r="M149" s="26"/>
      <c r="N149" s="26">
        <f t="shared" si="20"/>
        <v>10001434.839999991</v>
      </c>
      <c r="O149" s="26"/>
      <c r="P149" s="13">
        <f t="shared" si="29"/>
        <v>11164445.45624999</v>
      </c>
      <c r="Q149" s="13">
        <f t="shared" ref="Q149:Q174" si="36">(I137+I149+SUM(I138:I148)*2)/24</f>
        <v>16457511.00999999</v>
      </c>
      <c r="R149" s="928">
        <f t="shared" ref="R149:R174" si="37">(K137+K149+SUM(K138:K148)*2)/24</f>
        <v>-5293065.55375</v>
      </c>
    </row>
    <row r="150" spans="1:18" hidden="1" outlineLevel="1">
      <c r="A150" s="11">
        <v>41395</v>
      </c>
      <c r="B150" s="11"/>
      <c r="C150" s="13">
        <f t="shared" si="33"/>
        <v>113632921</v>
      </c>
      <c r="D150" s="3"/>
      <c r="E150" s="13">
        <f t="shared" si="35"/>
        <v>293885</v>
      </c>
      <c r="F150" s="13"/>
      <c r="G150" s="13">
        <f t="shared" si="34"/>
        <v>99232604.99000001</v>
      </c>
      <c r="I150" s="13">
        <f t="shared" si="28"/>
        <v>14400316.00999999</v>
      </c>
      <c r="J150" s="928"/>
      <c r="K150" s="929">
        <f t="shared" si="30"/>
        <v>-4598914.75</v>
      </c>
      <c r="L150" s="26">
        <v>93851.42</v>
      </c>
      <c r="M150" s="26"/>
      <c r="N150" s="26">
        <f t="shared" si="20"/>
        <v>9801401.2599999905</v>
      </c>
      <c r="O150" s="26"/>
      <c r="P150" s="13">
        <f t="shared" si="29"/>
        <v>10967493.417916656</v>
      </c>
      <c r="Q150" s="13">
        <f t="shared" si="36"/>
        <v>16163626.00999999</v>
      </c>
      <c r="R150" s="928">
        <f t="shared" si="37"/>
        <v>-5196132.592083334</v>
      </c>
    </row>
    <row r="151" spans="1:18" hidden="1" outlineLevel="1">
      <c r="A151" s="11">
        <v>41426</v>
      </c>
      <c r="B151" s="11"/>
      <c r="C151" s="13">
        <f t="shared" si="33"/>
        <v>113632921</v>
      </c>
      <c r="D151" s="3"/>
      <c r="E151" s="13">
        <f t="shared" si="35"/>
        <v>293885</v>
      </c>
      <c r="F151" s="13"/>
      <c r="G151" s="13">
        <f t="shared" si="34"/>
        <v>99526489.99000001</v>
      </c>
      <c r="I151" s="13">
        <f t="shared" si="28"/>
        <v>14106431.00999999</v>
      </c>
      <c r="J151" s="928"/>
      <c r="K151" s="929">
        <f t="shared" si="30"/>
        <v>-4505063.33</v>
      </c>
      <c r="L151" s="26">
        <v>93851.42</v>
      </c>
      <c r="M151" s="26"/>
      <c r="N151" s="26">
        <f t="shared" si="20"/>
        <v>9601367.6799999904</v>
      </c>
      <c r="O151" s="26"/>
      <c r="P151" s="13">
        <f t="shared" si="29"/>
        <v>10771016.70624999</v>
      </c>
      <c r="Q151" s="13">
        <f t="shared" si="36"/>
        <v>15869741.00999999</v>
      </c>
      <c r="R151" s="928">
        <f t="shared" si="37"/>
        <v>-5098724.30375</v>
      </c>
    </row>
    <row r="152" spans="1:18" ht="12.75" hidden="1" customHeight="1" outlineLevel="1">
      <c r="A152" s="11">
        <v>41456</v>
      </c>
      <c r="B152" s="11"/>
      <c r="C152" s="13">
        <f t="shared" si="33"/>
        <v>113632921</v>
      </c>
      <c r="D152" s="3"/>
      <c r="E152" s="13">
        <f t="shared" si="35"/>
        <v>293885</v>
      </c>
      <c r="F152" s="13"/>
      <c r="G152" s="13">
        <f t="shared" si="34"/>
        <v>99820374.99000001</v>
      </c>
      <c r="I152" s="13">
        <f t="shared" si="28"/>
        <v>13812546.00999999</v>
      </c>
      <c r="J152" s="928"/>
      <c r="K152" s="929">
        <f t="shared" si="30"/>
        <v>-4411211.91</v>
      </c>
      <c r="L152" s="26">
        <v>93851.42</v>
      </c>
      <c r="M152" s="26"/>
      <c r="N152" s="26">
        <f t="shared" si="20"/>
        <v>9401334.0999999903</v>
      </c>
      <c r="O152" s="26"/>
      <c r="P152" s="13">
        <f t="shared" si="29"/>
        <v>10575191.737916656</v>
      </c>
      <c r="Q152" s="13">
        <f t="shared" si="36"/>
        <v>15575856.00999999</v>
      </c>
      <c r="R152" s="928">
        <f>(K140+K152+SUM(K141:K151)*2)/24</f>
        <v>-5000664.2720833337</v>
      </c>
    </row>
    <row r="153" spans="1:18" hidden="1" outlineLevel="1">
      <c r="A153" s="11">
        <v>41487</v>
      </c>
      <c r="B153" s="11"/>
      <c r="C153" s="13">
        <f t="shared" si="33"/>
        <v>113632921</v>
      </c>
      <c r="D153" s="3"/>
      <c r="E153" s="13">
        <f t="shared" si="35"/>
        <v>293885</v>
      </c>
      <c r="F153" s="13"/>
      <c r="G153" s="13">
        <f t="shared" si="34"/>
        <v>100114259.99000001</v>
      </c>
      <c r="I153" s="13">
        <f t="shared" si="28"/>
        <v>13518661.00999999</v>
      </c>
      <c r="J153" s="928"/>
      <c r="K153" s="929">
        <f t="shared" si="30"/>
        <v>-4317360.49</v>
      </c>
      <c r="L153" s="26">
        <v>93851.42</v>
      </c>
      <c r="M153" s="26"/>
      <c r="N153" s="26">
        <f t="shared" si="20"/>
        <v>9201300.5199999902</v>
      </c>
      <c r="O153" s="26"/>
      <c r="P153" s="13">
        <f t="shared" si="29"/>
        <v>10381502.637916656</v>
      </c>
      <c r="Q153" s="13">
        <f t="shared" si="36"/>
        <v>15281971.00999999</v>
      </c>
      <c r="R153" s="928">
        <f t="shared" si="37"/>
        <v>-4900468.3720833333</v>
      </c>
    </row>
    <row r="154" spans="1:18" hidden="1" outlineLevel="1">
      <c r="A154" s="11">
        <v>41518</v>
      </c>
      <c r="B154" s="11"/>
      <c r="C154" s="13">
        <f t="shared" si="33"/>
        <v>113632921</v>
      </c>
      <c r="D154" s="3"/>
      <c r="E154" s="13">
        <f t="shared" si="35"/>
        <v>293885</v>
      </c>
      <c r="F154" s="13"/>
      <c r="G154" s="13">
        <f t="shared" si="34"/>
        <v>100408144.99000001</v>
      </c>
      <c r="I154" s="13">
        <f t="shared" si="28"/>
        <v>13224776.00999999</v>
      </c>
      <c r="J154" s="928"/>
      <c r="K154" s="929">
        <f t="shared" si="30"/>
        <v>-4223509.07</v>
      </c>
      <c r="L154" s="26">
        <v>93851.42</v>
      </c>
      <c r="M154" s="26"/>
      <c r="N154" s="26">
        <f t="shared" si="20"/>
        <v>9001266.9399999902</v>
      </c>
      <c r="O154" s="26"/>
      <c r="P154" s="13">
        <f t="shared" si="29"/>
        <v>10189378.406249991</v>
      </c>
      <c r="Q154" s="13">
        <f t="shared" si="36"/>
        <v>14988086.00999999</v>
      </c>
      <c r="R154" s="928">
        <f t="shared" si="37"/>
        <v>-4798707.6037500007</v>
      </c>
    </row>
    <row r="155" spans="1:18" hidden="1" outlineLevel="1">
      <c r="A155" s="11">
        <v>41548</v>
      </c>
      <c r="B155" s="11"/>
      <c r="C155" s="13">
        <f t="shared" si="33"/>
        <v>113632921</v>
      </c>
      <c r="D155" s="3"/>
      <c r="E155" s="13">
        <f t="shared" si="35"/>
        <v>293885</v>
      </c>
      <c r="F155" s="13"/>
      <c r="G155" s="13">
        <f t="shared" si="34"/>
        <v>100702029.99000001</v>
      </c>
      <c r="I155" s="13">
        <f t="shared" si="28"/>
        <v>12930891.00999999</v>
      </c>
      <c r="J155" s="928"/>
      <c r="K155" s="929">
        <f t="shared" si="30"/>
        <v>-4129657.6500000004</v>
      </c>
      <c r="L155" s="26">
        <v>93851.42</v>
      </c>
      <c r="M155" s="26"/>
      <c r="N155" s="26">
        <f t="shared" si="20"/>
        <v>8801233.3599999901</v>
      </c>
      <c r="O155" s="26"/>
      <c r="P155" s="13">
        <f t="shared" si="29"/>
        <v>9995220.4945833236</v>
      </c>
      <c r="Q155" s="13">
        <f t="shared" si="36"/>
        <v>14694201.00999999</v>
      </c>
      <c r="R155" s="928">
        <f t="shared" si="37"/>
        <v>-4698980.5154166659</v>
      </c>
    </row>
    <row r="156" spans="1:18" hidden="1" outlineLevel="1">
      <c r="A156" s="11">
        <v>41579</v>
      </c>
      <c r="B156" s="11"/>
      <c r="C156" s="13">
        <f t="shared" si="33"/>
        <v>113632921</v>
      </c>
      <c r="D156" s="3"/>
      <c r="E156" s="13">
        <f t="shared" si="35"/>
        <v>293885</v>
      </c>
      <c r="F156" s="13"/>
      <c r="G156" s="13">
        <f t="shared" si="34"/>
        <v>100995914.99000001</v>
      </c>
      <c r="I156" s="13">
        <f t="shared" si="28"/>
        <v>12637006.00999999</v>
      </c>
      <c r="J156" s="928"/>
      <c r="K156" s="929">
        <f t="shared" si="30"/>
        <v>-4035806.2300000004</v>
      </c>
      <c r="L156" s="26">
        <v>93851.42</v>
      </c>
      <c r="M156" s="26"/>
      <c r="N156" s="26">
        <f t="shared" si="20"/>
        <v>8601199.77999999</v>
      </c>
      <c r="O156" s="26"/>
      <c r="P156" s="13">
        <f>(N144+N156+SUM(N145:N155)*2)/24</f>
        <v>9799342.3820833247</v>
      </c>
      <c r="Q156" s="13">
        <f t="shared" si="36"/>
        <v>14400316.00999999</v>
      </c>
      <c r="R156" s="928">
        <f t="shared" si="37"/>
        <v>-4600973.6279166667</v>
      </c>
    </row>
    <row r="157" spans="1:18" hidden="1" outlineLevel="1">
      <c r="A157" s="11">
        <v>41609</v>
      </c>
      <c r="B157" s="11"/>
      <c r="C157" s="13">
        <f t="shared" si="33"/>
        <v>113632921</v>
      </c>
      <c r="D157" s="3"/>
      <c r="E157" s="13">
        <f t="shared" si="35"/>
        <v>293885</v>
      </c>
      <c r="F157" s="13"/>
      <c r="G157" s="13">
        <f t="shared" si="34"/>
        <v>101289799.99000001</v>
      </c>
      <c r="I157" s="13">
        <f t="shared" si="28"/>
        <v>12343121.00999999</v>
      </c>
      <c r="J157" s="928"/>
      <c r="K157" s="929">
        <f t="shared" si="30"/>
        <v>-3941954.8100000005</v>
      </c>
      <c r="L157" s="26">
        <v>93851.42</v>
      </c>
      <c r="M157" s="26"/>
      <c r="N157" s="26">
        <f t="shared" si="20"/>
        <v>8401166.1999999899</v>
      </c>
      <c r="O157" s="26"/>
      <c r="P157" s="13">
        <f t="shared" si="29"/>
        <v>9601367.6799999904</v>
      </c>
      <c r="Q157" s="13">
        <f t="shared" si="36"/>
        <v>14106431.00999999</v>
      </c>
      <c r="R157" s="928">
        <f t="shared" si="37"/>
        <v>-4505063.3299999991</v>
      </c>
    </row>
    <row r="158" spans="1:18" hidden="1" outlineLevel="1">
      <c r="A158" s="11">
        <v>41640</v>
      </c>
      <c r="B158" s="11"/>
      <c r="C158" s="13">
        <f t="shared" si="33"/>
        <v>113632921</v>
      </c>
      <c r="D158" s="3"/>
      <c r="E158" s="13">
        <f t="shared" si="35"/>
        <v>293885</v>
      </c>
      <c r="F158" s="13"/>
      <c r="G158" s="13">
        <f t="shared" si="34"/>
        <v>101583684.99000001</v>
      </c>
      <c r="I158" s="13">
        <f t="shared" si="28"/>
        <v>12049236.00999999</v>
      </c>
      <c r="J158" s="928"/>
      <c r="K158" s="929">
        <f>K157+L158</f>
        <v>-3941954.8100000005</v>
      </c>
      <c r="L158" s="929">
        <v>0</v>
      </c>
      <c r="M158" s="26"/>
      <c r="N158" s="26">
        <f t="shared" si="20"/>
        <v>8107281.1999999899</v>
      </c>
      <c r="O158" s="26"/>
      <c r="P158" s="13">
        <f t="shared" si="29"/>
        <v>9397423.6241666563</v>
      </c>
      <c r="Q158" s="13">
        <f t="shared" si="36"/>
        <v>13812546.00999999</v>
      </c>
      <c r="R158" s="928">
        <f t="shared" si="37"/>
        <v>-4415122.3858333332</v>
      </c>
    </row>
    <row r="159" spans="1:18" hidden="1" outlineLevel="1">
      <c r="A159" s="11">
        <v>41671</v>
      </c>
      <c r="B159" s="11"/>
      <c r="C159" s="13">
        <f t="shared" si="33"/>
        <v>113632921</v>
      </c>
      <c r="D159" s="3"/>
      <c r="E159" s="13">
        <f t="shared" si="35"/>
        <v>293885</v>
      </c>
      <c r="F159" s="13"/>
      <c r="G159" s="13">
        <f t="shared" si="34"/>
        <v>101877569.99000001</v>
      </c>
      <c r="I159" s="13">
        <f t="shared" si="28"/>
        <v>11755351.00999999</v>
      </c>
      <c r="J159" s="928"/>
      <c r="K159" s="929">
        <f t="shared" si="30"/>
        <v>-3941954.8100000005</v>
      </c>
      <c r="L159" s="929">
        <v>0</v>
      </c>
      <c r="M159" s="26"/>
      <c r="N159" s="26">
        <f t="shared" si="20"/>
        <v>7813396.1999999899</v>
      </c>
      <c r="O159" s="26"/>
      <c r="P159" s="13">
        <f t="shared" si="29"/>
        <v>9185658.616666656</v>
      </c>
      <c r="Q159" s="13">
        <f t="shared" si="36"/>
        <v>13518661.00999999</v>
      </c>
      <c r="R159" s="928">
        <f t="shared" si="37"/>
        <v>-4333002.3933333335</v>
      </c>
    </row>
    <row r="160" spans="1:18" ht="12.75" hidden="1" customHeight="1" outlineLevel="1">
      <c r="A160" s="11">
        <v>41699</v>
      </c>
      <c r="B160" s="11"/>
      <c r="C160" s="13">
        <f t="shared" si="33"/>
        <v>113632921</v>
      </c>
      <c r="D160" s="3"/>
      <c r="E160" s="13">
        <f t="shared" si="35"/>
        <v>293885</v>
      </c>
      <c r="F160" s="13"/>
      <c r="G160" s="13">
        <f t="shared" si="34"/>
        <v>102171454.99000001</v>
      </c>
      <c r="I160" s="13">
        <f t="shared" si="28"/>
        <v>11461466.00999999</v>
      </c>
      <c r="J160" s="928"/>
      <c r="K160" s="929">
        <f t="shared" si="30"/>
        <v>-3941954.8100000005</v>
      </c>
      <c r="L160" s="929">
        <v>0</v>
      </c>
      <c r="M160" s="26"/>
      <c r="N160" s="26">
        <f t="shared" si="20"/>
        <v>7519511.1999999899</v>
      </c>
      <c r="O160" s="26"/>
      <c r="P160" s="13">
        <f t="shared" si="29"/>
        <v>8966072.6574999895</v>
      </c>
      <c r="Q160" s="13">
        <f t="shared" si="36"/>
        <v>13224776.00999999</v>
      </c>
      <c r="R160" s="928">
        <f t="shared" si="37"/>
        <v>-4258703.3525</v>
      </c>
    </row>
    <row r="161" spans="1:18" ht="12.75" hidden="1" customHeight="1" outlineLevel="1">
      <c r="A161" s="11">
        <v>41730</v>
      </c>
      <c r="B161" s="11"/>
      <c r="C161" s="13">
        <f t="shared" si="33"/>
        <v>113632921</v>
      </c>
      <c r="D161" s="3"/>
      <c r="E161" s="13">
        <f t="shared" si="35"/>
        <v>293885</v>
      </c>
      <c r="F161" s="13"/>
      <c r="G161" s="13">
        <f t="shared" si="34"/>
        <v>102465339.99000001</v>
      </c>
      <c r="I161" s="13">
        <f t="shared" si="28"/>
        <v>11167581.00999999</v>
      </c>
      <c r="J161" s="928"/>
      <c r="K161" s="929">
        <f t="shared" si="30"/>
        <v>-3566549.1400000006</v>
      </c>
      <c r="L161" s="26">
        <v>375405.67</v>
      </c>
      <c r="M161" s="26"/>
      <c r="N161" s="26">
        <f t="shared" si="20"/>
        <v>7601031.8699999899</v>
      </c>
      <c r="O161" s="26"/>
      <c r="P161" s="13">
        <f t="shared" si="29"/>
        <v>8754307.6495833229</v>
      </c>
      <c r="Q161" s="13">
        <f t="shared" si="36"/>
        <v>12930891.00999999</v>
      </c>
      <c r="R161" s="928">
        <f t="shared" si="37"/>
        <v>-4176583.3604166675</v>
      </c>
    </row>
    <row r="162" spans="1:18" hidden="1" outlineLevel="1">
      <c r="A162" s="11">
        <v>41760</v>
      </c>
      <c r="B162" s="11"/>
      <c r="C162" s="13">
        <f t="shared" si="33"/>
        <v>113632921</v>
      </c>
      <c r="D162" s="3"/>
      <c r="E162" s="13">
        <f t="shared" si="35"/>
        <v>293885</v>
      </c>
      <c r="F162" s="13"/>
      <c r="G162" s="13">
        <f t="shared" si="34"/>
        <v>102759224.99000001</v>
      </c>
      <c r="I162" s="13">
        <f t="shared" si="28"/>
        <v>10873696.00999999</v>
      </c>
      <c r="J162" s="928"/>
      <c r="K162" s="929">
        <f t="shared" si="30"/>
        <v>-3472697.7300000004</v>
      </c>
      <c r="L162" s="26">
        <v>93851.41</v>
      </c>
      <c r="M162" s="26"/>
      <c r="N162" s="26">
        <f t="shared" si="20"/>
        <v>7400998.27999999</v>
      </c>
      <c r="O162" s="26"/>
      <c r="P162" s="13">
        <f t="shared" si="29"/>
        <v>8554274.0683333222</v>
      </c>
      <c r="Q162" s="13">
        <f t="shared" si="36"/>
        <v>12637006.00999999</v>
      </c>
      <c r="R162" s="928">
        <f t="shared" si="37"/>
        <v>-4082731.9416666678</v>
      </c>
    </row>
    <row r="163" spans="1:18" hidden="1" outlineLevel="1">
      <c r="A163" s="11">
        <v>41791</v>
      </c>
      <c r="B163" s="11"/>
      <c r="C163" s="13">
        <f t="shared" si="33"/>
        <v>113632921</v>
      </c>
      <c r="D163" s="3"/>
      <c r="E163" s="13">
        <f t="shared" si="35"/>
        <v>293885</v>
      </c>
      <c r="F163" s="13"/>
      <c r="G163" s="13">
        <f t="shared" si="34"/>
        <v>103053109.99000001</v>
      </c>
      <c r="I163" s="13">
        <f t="shared" si="28"/>
        <v>10579811.00999999</v>
      </c>
      <c r="J163" s="928"/>
      <c r="K163" s="929">
        <f t="shared" si="30"/>
        <v>-3378846.3200000003</v>
      </c>
      <c r="L163" s="26">
        <v>93851.41</v>
      </c>
      <c r="M163" s="26"/>
      <c r="N163" s="26">
        <f t="shared" si="20"/>
        <v>7200964.6899999902</v>
      </c>
      <c r="O163" s="26"/>
      <c r="P163" s="13">
        <f t="shared" si="29"/>
        <v>8354240.4862499898</v>
      </c>
      <c r="Q163" s="13">
        <f t="shared" si="36"/>
        <v>12343121.00999999</v>
      </c>
      <c r="R163" s="928">
        <f t="shared" si="37"/>
        <v>-3988880.5237500011</v>
      </c>
    </row>
    <row r="164" spans="1:18" ht="12.75" hidden="1" customHeight="1" outlineLevel="1">
      <c r="A164" s="11">
        <v>41821</v>
      </c>
      <c r="B164" s="11"/>
      <c r="C164" s="13">
        <f t="shared" si="33"/>
        <v>113632921</v>
      </c>
      <c r="D164" s="3"/>
      <c r="E164" s="13">
        <f t="shared" si="35"/>
        <v>293885</v>
      </c>
      <c r="F164" s="13"/>
      <c r="G164" s="13">
        <f t="shared" si="34"/>
        <v>103346994.99000001</v>
      </c>
      <c r="I164" s="13">
        <f t="shared" si="28"/>
        <v>10285926.00999999</v>
      </c>
      <c r="J164" s="928"/>
      <c r="K164" s="929">
        <f t="shared" si="30"/>
        <v>-3284994.91</v>
      </c>
      <c r="L164" s="26">
        <v>93851.41</v>
      </c>
      <c r="M164" s="26"/>
      <c r="N164" s="26">
        <f t="shared" si="20"/>
        <v>7000931.0999999903</v>
      </c>
      <c r="O164" s="26"/>
      <c r="P164" s="13">
        <f t="shared" si="29"/>
        <v>8154206.903333324</v>
      </c>
      <c r="Q164" s="13">
        <f t="shared" si="36"/>
        <v>12049236.00999999</v>
      </c>
      <c r="R164" s="928">
        <f t="shared" si="37"/>
        <v>-3895029.1066666679</v>
      </c>
    </row>
    <row r="165" spans="1:18" hidden="1" outlineLevel="1">
      <c r="A165" s="11">
        <v>41852</v>
      </c>
      <c r="B165" s="11"/>
      <c r="C165" s="13">
        <f t="shared" si="33"/>
        <v>113632921</v>
      </c>
      <c r="D165" s="3"/>
      <c r="E165" s="13">
        <f t="shared" si="35"/>
        <v>293885</v>
      </c>
      <c r="F165" s="13"/>
      <c r="G165" s="13">
        <f t="shared" si="34"/>
        <v>103640879.99000001</v>
      </c>
      <c r="I165" s="13">
        <f t="shared" si="28"/>
        <v>9992041.0099999905</v>
      </c>
      <c r="J165" s="928"/>
      <c r="K165" s="929">
        <f t="shared" si="30"/>
        <v>-3191143.5</v>
      </c>
      <c r="L165" s="26">
        <v>93851.41</v>
      </c>
      <c r="M165" s="26"/>
      <c r="N165" s="26">
        <f t="shared" si="20"/>
        <v>6800897.5099999905</v>
      </c>
      <c r="O165" s="26"/>
      <c r="P165" s="13">
        <f t="shared" si="29"/>
        <v>7954173.3195833238</v>
      </c>
      <c r="Q165" s="13">
        <f t="shared" si="36"/>
        <v>11755351.00999999</v>
      </c>
      <c r="R165" s="928">
        <f t="shared" si="37"/>
        <v>-3801177.6904166671</v>
      </c>
    </row>
    <row r="166" spans="1:18" hidden="1" outlineLevel="1">
      <c r="A166" s="11">
        <v>41883</v>
      </c>
      <c r="B166" s="11"/>
      <c r="C166" s="13">
        <f t="shared" si="33"/>
        <v>113632921</v>
      </c>
      <c r="D166" s="3"/>
      <c r="E166" s="13">
        <f t="shared" si="35"/>
        <v>293885</v>
      </c>
      <c r="F166" s="13"/>
      <c r="G166" s="13">
        <f t="shared" si="34"/>
        <v>103934764.99000001</v>
      </c>
      <c r="I166" s="13">
        <f t="shared" si="28"/>
        <v>9698156.0099999905</v>
      </c>
      <c r="J166" s="928"/>
      <c r="K166" s="929">
        <f t="shared" si="30"/>
        <v>-3097292.09</v>
      </c>
      <c r="L166" s="26">
        <v>93851.41</v>
      </c>
      <c r="M166" s="26"/>
      <c r="N166" s="26">
        <f t="shared" si="20"/>
        <v>6600863.9199999906</v>
      </c>
      <c r="O166" s="26"/>
      <c r="P166" s="13">
        <f t="shared" si="29"/>
        <v>7754139.734999991</v>
      </c>
      <c r="Q166" s="13">
        <f t="shared" si="36"/>
        <v>11461466.00999999</v>
      </c>
      <c r="R166" s="928">
        <f t="shared" si="37"/>
        <v>-3707326.2749999999</v>
      </c>
    </row>
    <row r="167" spans="1:18" hidden="1" outlineLevel="1">
      <c r="A167" s="11">
        <v>41913</v>
      </c>
      <c r="B167" s="11"/>
      <c r="C167" s="13">
        <f t="shared" si="33"/>
        <v>113632921</v>
      </c>
      <c r="D167" s="3"/>
      <c r="E167" s="13">
        <f t="shared" si="35"/>
        <v>293885</v>
      </c>
      <c r="F167" s="13"/>
      <c r="G167" s="13">
        <f t="shared" si="34"/>
        <v>104228649.99000001</v>
      </c>
      <c r="I167" s="13">
        <f t="shared" si="28"/>
        <v>9404271.0099999905</v>
      </c>
      <c r="J167" s="928"/>
      <c r="K167" s="929">
        <f t="shared" si="30"/>
        <v>-3003440.6799999997</v>
      </c>
      <c r="L167" s="26">
        <v>93851.41</v>
      </c>
      <c r="M167" s="26"/>
      <c r="N167" s="26">
        <f t="shared" si="20"/>
        <v>6400830.3299999908</v>
      </c>
      <c r="O167" s="26"/>
      <c r="P167" s="13">
        <f t="shared" si="29"/>
        <v>7554106.149583322</v>
      </c>
      <c r="Q167" s="13">
        <f t="shared" si="36"/>
        <v>11167581.00999999</v>
      </c>
      <c r="R167" s="928">
        <f t="shared" si="37"/>
        <v>-3613474.8604166675</v>
      </c>
    </row>
    <row r="168" spans="1:18" hidden="1" outlineLevel="1">
      <c r="A168" s="11">
        <v>41944</v>
      </c>
      <c r="B168" s="11"/>
      <c r="C168" s="13">
        <f t="shared" si="33"/>
        <v>113632921</v>
      </c>
      <c r="D168" s="3"/>
      <c r="E168" s="13">
        <f t="shared" si="35"/>
        <v>293885</v>
      </c>
      <c r="F168" s="13"/>
      <c r="G168" s="13">
        <f t="shared" si="34"/>
        <v>104522534.99000001</v>
      </c>
      <c r="I168" s="13">
        <f t="shared" si="28"/>
        <v>9110386.0099999905</v>
      </c>
      <c r="J168" s="928"/>
      <c r="K168" s="929">
        <f t="shared" si="30"/>
        <v>-2909589.2699999996</v>
      </c>
      <c r="L168" s="26">
        <v>93851.41</v>
      </c>
      <c r="M168" s="26"/>
      <c r="N168" s="26">
        <f t="shared" si="20"/>
        <v>6200796.7399999909</v>
      </c>
      <c r="O168" s="26"/>
      <c r="P168" s="13">
        <f t="shared" si="29"/>
        <v>7354072.5633333223</v>
      </c>
      <c r="Q168" s="13">
        <f t="shared" si="36"/>
        <v>10873696.00999999</v>
      </c>
      <c r="R168" s="928">
        <f t="shared" si="37"/>
        <v>-3519623.4466666672</v>
      </c>
    </row>
    <row r="169" spans="1:18" hidden="1" outlineLevel="1">
      <c r="A169" s="11">
        <v>41974</v>
      </c>
      <c r="B169" s="11"/>
      <c r="C169" s="13">
        <f t="shared" si="33"/>
        <v>113632921</v>
      </c>
      <c r="D169" s="3"/>
      <c r="E169" s="13">
        <f t="shared" si="35"/>
        <v>293885</v>
      </c>
      <c r="F169" s="13"/>
      <c r="G169" s="13">
        <f t="shared" si="34"/>
        <v>104816419.99000001</v>
      </c>
      <c r="I169" s="13">
        <f t="shared" si="28"/>
        <v>8816501.0099999905</v>
      </c>
      <c r="J169" s="928"/>
      <c r="K169" s="929">
        <f t="shared" si="30"/>
        <v>-2815737.8599999994</v>
      </c>
      <c r="L169" s="26">
        <v>93851.41</v>
      </c>
      <c r="M169" s="26"/>
      <c r="N169" s="26">
        <f t="shared" si="20"/>
        <v>6000763.1499999911</v>
      </c>
      <c r="O169" s="26"/>
      <c r="P169" s="13">
        <f t="shared" si="29"/>
        <v>7154038.9762499901</v>
      </c>
      <c r="Q169" s="13">
        <f t="shared" si="36"/>
        <v>10579811.00999999</v>
      </c>
      <c r="R169" s="928">
        <f t="shared" si="37"/>
        <v>-3425772.0337500009</v>
      </c>
    </row>
    <row r="170" spans="1:18" ht="15" customHeight="1" collapsed="1">
      <c r="A170" s="11">
        <v>42005</v>
      </c>
      <c r="B170" s="11"/>
      <c r="C170" s="13">
        <f t="shared" si="33"/>
        <v>113632921</v>
      </c>
      <c r="D170" s="3"/>
      <c r="E170" s="13">
        <f t="shared" si="35"/>
        <v>293885</v>
      </c>
      <c r="F170" s="13"/>
      <c r="G170" s="13">
        <f t="shared" si="34"/>
        <v>105110304.99000001</v>
      </c>
      <c r="I170" s="13">
        <f t="shared" si="28"/>
        <v>8522616.0099999905</v>
      </c>
      <c r="J170" s="928"/>
      <c r="K170" s="929">
        <f t="shared" si="30"/>
        <v>-2815737.8599999994</v>
      </c>
      <c r="L170" s="929">
        <v>0</v>
      </c>
      <c r="M170" s="26"/>
      <c r="N170" s="26">
        <f t="shared" si="20"/>
        <v>5706878.1499999911</v>
      </c>
      <c r="O170" s="26"/>
      <c r="P170" s="13">
        <f t="shared" si="29"/>
        <v>6954005.3887499906</v>
      </c>
      <c r="Q170" s="13">
        <f t="shared" si="36"/>
        <v>10285926.00999999</v>
      </c>
      <c r="R170" s="928">
        <f t="shared" si="37"/>
        <v>-3331920.6212500003</v>
      </c>
    </row>
    <row r="171" spans="1:18" ht="15" customHeight="1">
      <c r="A171" s="11">
        <v>42036</v>
      </c>
      <c r="B171" s="11"/>
      <c r="C171" s="13">
        <f t="shared" si="33"/>
        <v>113632921</v>
      </c>
      <c r="D171" s="3"/>
      <c r="E171" s="13">
        <f t="shared" si="35"/>
        <v>293885</v>
      </c>
      <c r="F171" s="13"/>
      <c r="G171" s="13">
        <f t="shared" si="34"/>
        <v>105404189.99000001</v>
      </c>
      <c r="I171" s="13">
        <f t="shared" si="28"/>
        <v>8228731.0099999905</v>
      </c>
      <c r="J171" s="928"/>
      <c r="K171" s="929">
        <f t="shared" si="30"/>
        <v>-2815737.8599999994</v>
      </c>
      <c r="L171" s="929">
        <v>0</v>
      </c>
      <c r="M171" s="26"/>
      <c r="N171" s="26">
        <f t="shared" si="20"/>
        <v>5412993.1499999911</v>
      </c>
      <c r="O171" s="26"/>
      <c r="P171" s="13">
        <f t="shared" si="29"/>
        <v>6753971.8012499912</v>
      </c>
      <c r="Q171" s="13">
        <f t="shared" si="36"/>
        <v>9992041.0099999905</v>
      </c>
      <c r="R171" s="928">
        <f t="shared" si="37"/>
        <v>-3238069.2087500002</v>
      </c>
    </row>
    <row r="172" spans="1:18" ht="15" customHeight="1">
      <c r="A172" s="11">
        <v>42064</v>
      </c>
      <c r="B172" s="11"/>
      <c r="C172" s="13">
        <f t="shared" si="33"/>
        <v>113632921</v>
      </c>
      <c r="D172" s="3"/>
      <c r="E172" s="13">
        <f t="shared" si="35"/>
        <v>293885</v>
      </c>
      <c r="F172" s="13"/>
      <c r="G172" s="13">
        <f t="shared" si="34"/>
        <v>105698074.99000001</v>
      </c>
      <c r="I172" s="13">
        <f t="shared" si="28"/>
        <v>7934846.0099999905</v>
      </c>
      <c r="J172" s="928"/>
      <c r="K172" s="929">
        <f t="shared" si="30"/>
        <v>-2534183.6099999994</v>
      </c>
      <c r="L172" s="1132">
        <v>281554.25</v>
      </c>
      <c r="M172" s="26"/>
      <c r="N172" s="26">
        <f t="shared" si="20"/>
        <v>5400662.3999999911</v>
      </c>
      <c r="O172" s="26"/>
      <c r="P172" s="13">
        <f t="shared" si="29"/>
        <v>6565669.6408333248</v>
      </c>
      <c r="Q172" s="13">
        <f t="shared" si="36"/>
        <v>9698156.0099999905</v>
      </c>
      <c r="R172" s="928">
        <f t="shared" si="37"/>
        <v>-3132486.3691666666</v>
      </c>
    </row>
    <row r="173" spans="1:18" ht="15" customHeight="1">
      <c r="A173" s="11">
        <v>42095</v>
      </c>
      <c r="B173" s="11"/>
      <c r="C173" s="13">
        <f t="shared" si="33"/>
        <v>113632921</v>
      </c>
      <c r="D173" s="3"/>
      <c r="E173" s="13">
        <f t="shared" si="35"/>
        <v>293885</v>
      </c>
      <c r="F173" s="13"/>
      <c r="G173" s="13">
        <f t="shared" si="34"/>
        <v>105991959.99000001</v>
      </c>
      <c r="I173" s="13">
        <f t="shared" si="28"/>
        <v>7640961.0099999905</v>
      </c>
      <c r="J173" s="928"/>
      <c r="K173" s="929">
        <f t="shared" si="30"/>
        <v>-2440332.1899999995</v>
      </c>
      <c r="L173" s="1132">
        <v>93851.42</v>
      </c>
      <c r="M173" s="26"/>
      <c r="N173" s="26">
        <f t="shared" si="20"/>
        <v>5200628.819999991</v>
      </c>
      <c r="O173" s="26"/>
      <c r="P173" s="13">
        <f t="shared" si="29"/>
        <v>6377367.4804166565</v>
      </c>
      <c r="Q173" s="13">
        <f t="shared" si="36"/>
        <v>9404271.0099999905</v>
      </c>
      <c r="R173" s="928">
        <f t="shared" si="37"/>
        <v>-3026903.5295833331</v>
      </c>
    </row>
    <row r="174" spans="1:18" ht="15" customHeight="1">
      <c r="A174" s="11">
        <v>42125</v>
      </c>
      <c r="B174" s="11"/>
      <c r="C174" s="13">
        <f t="shared" ref="C174:C199" si="38">+C173</f>
        <v>113632921</v>
      </c>
      <c r="D174" s="3"/>
      <c r="E174" s="13">
        <f t="shared" si="35"/>
        <v>293885</v>
      </c>
      <c r="F174" s="13"/>
      <c r="G174" s="13">
        <f t="shared" ref="G174:G198" si="39">+G173+E174</f>
        <v>106285844.99000001</v>
      </c>
      <c r="I174" s="13">
        <f t="shared" si="28"/>
        <v>7347076.0099999905</v>
      </c>
      <c r="J174" s="928"/>
      <c r="K174" s="929">
        <f t="shared" si="30"/>
        <v>-2346480.7699999996</v>
      </c>
      <c r="L174" s="1132">
        <v>93851.42</v>
      </c>
      <c r="M174" s="26"/>
      <c r="N174" s="26">
        <f t="shared" ref="N174:N211" si="40">I174+K174</f>
        <v>5000595.2399999909</v>
      </c>
      <c r="O174" s="26"/>
      <c r="P174" s="13">
        <f t="shared" si="29"/>
        <v>6177333.8933333242</v>
      </c>
      <c r="Q174" s="13">
        <f t="shared" si="36"/>
        <v>9110386.0099999905</v>
      </c>
      <c r="R174" s="928">
        <f t="shared" si="37"/>
        <v>-2933052.1166666667</v>
      </c>
    </row>
    <row r="175" spans="1:18" ht="15" customHeight="1">
      <c r="A175" s="11">
        <v>42156</v>
      </c>
      <c r="B175" s="11"/>
      <c r="C175" s="13">
        <f t="shared" si="38"/>
        <v>113632921</v>
      </c>
      <c r="D175" s="3"/>
      <c r="E175" s="13">
        <f t="shared" ref="E175:E198" si="41">+E174</f>
        <v>293885</v>
      </c>
      <c r="F175" s="13"/>
      <c r="G175" s="13">
        <f t="shared" si="39"/>
        <v>106579729.99000001</v>
      </c>
      <c r="I175" s="13">
        <f t="shared" si="28"/>
        <v>7053191.0099999905</v>
      </c>
      <c r="J175" s="928"/>
      <c r="K175" s="929">
        <f t="shared" si="30"/>
        <v>-2252629.3499999996</v>
      </c>
      <c r="L175" s="1132">
        <v>93851.42</v>
      </c>
      <c r="M175" s="26"/>
      <c r="N175" s="26">
        <f t="shared" si="40"/>
        <v>4800561.6599999908</v>
      </c>
      <c r="O175" s="26"/>
      <c r="P175" s="13">
        <f t="shared" si="29"/>
        <v>5977300.3070833245</v>
      </c>
      <c r="Q175" s="13">
        <f t="shared" ref="Q175:Q176" si="42">(I163+I175+SUM(I164:I174)*2)/24</f>
        <v>8816501.0099999905</v>
      </c>
      <c r="R175" s="928">
        <f t="shared" ref="R175:R176" si="43">(K163+K175+SUM(K164:K174)*2)/24</f>
        <v>-2839200.7029166664</v>
      </c>
    </row>
    <row r="176" spans="1:18" ht="15" customHeight="1">
      <c r="A176" s="11">
        <v>42186</v>
      </c>
      <c r="B176" s="11"/>
      <c r="C176" s="13">
        <f t="shared" si="38"/>
        <v>113632921</v>
      </c>
      <c r="D176" s="3"/>
      <c r="E176" s="13">
        <f t="shared" si="41"/>
        <v>293885</v>
      </c>
      <c r="F176" s="13"/>
      <c r="G176" s="13">
        <f t="shared" si="39"/>
        <v>106873614.99000001</v>
      </c>
      <c r="I176" s="13">
        <f t="shared" si="28"/>
        <v>6759306.0099999905</v>
      </c>
      <c r="J176" s="928"/>
      <c r="K176" s="929">
        <f t="shared" si="30"/>
        <v>-2158777.9299999997</v>
      </c>
      <c r="L176" s="1132">
        <v>93851.42</v>
      </c>
      <c r="M176" s="26"/>
      <c r="N176" s="26">
        <f t="shared" si="40"/>
        <v>4600528.0799999908</v>
      </c>
      <c r="O176" s="26"/>
      <c r="P176" s="13">
        <f t="shared" si="29"/>
        <v>5777266.7216666574</v>
      </c>
      <c r="Q176" s="13">
        <f t="shared" si="42"/>
        <v>8522616.0099999905</v>
      </c>
      <c r="R176" s="928">
        <f t="shared" si="43"/>
        <v>-2745349.2883333326</v>
      </c>
    </row>
    <row r="177" spans="1:21" ht="15" customHeight="1">
      <c r="A177" s="11">
        <v>42217</v>
      </c>
      <c r="B177" s="11"/>
      <c r="C177" s="13">
        <f t="shared" si="38"/>
        <v>113632921</v>
      </c>
      <c r="D177" s="3"/>
      <c r="E177" s="13">
        <f t="shared" si="41"/>
        <v>293885</v>
      </c>
      <c r="F177" s="13"/>
      <c r="G177" s="13">
        <f t="shared" si="39"/>
        <v>107167499.99000001</v>
      </c>
      <c r="I177" s="13">
        <f t="shared" si="28"/>
        <v>6465421.0099999905</v>
      </c>
      <c r="J177" s="928"/>
      <c r="K177" s="929">
        <f t="shared" si="30"/>
        <v>-2064926.5099999998</v>
      </c>
      <c r="L177" s="1132">
        <v>93851.42</v>
      </c>
      <c r="M177" s="26"/>
      <c r="N177" s="26">
        <f t="shared" si="40"/>
        <v>4400494.4999999907</v>
      </c>
      <c r="O177" s="26"/>
      <c r="P177" s="13">
        <f t="shared" si="29"/>
        <v>5577233.1370833237</v>
      </c>
      <c r="Q177" s="13">
        <f t="shared" ref="Q177:Q178" si="44">(I165+I177+SUM(I166:I176)*2)/24</f>
        <v>8228731.0099999905</v>
      </c>
      <c r="R177" s="928">
        <f t="shared" ref="R177:R179" si="45">(K165+K177+SUM(K166:K176)*2)/24</f>
        <v>-2651497.8729166659</v>
      </c>
    </row>
    <row r="178" spans="1:21" ht="15" customHeight="1">
      <c r="A178" s="11">
        <v>42248</v>
      </c>
      <c r="B178" s="11"/>
      <c r="C178" s="13">
        <f t="shared" si="38"/>
        <v>113632921</v>
      </c>
      <c r="D178" s="3"/>
      <c r="E178" s="13">
        <f t="shared" si="41"/>
        <v>293885</v>
      </c>
      <c r="F178" s="13"/>
      <c r="G178" s="13">
        <f t="shared" si="39"/>
        <v>107461384.99000001</v>
      </c>
      <c r="I178" s="13">
        <f t="shared" si="28"/>
        <v>6171536.0099999905</v>
      </c>
      <c r="J178" s="928"/>
      <c r="K178" s="929">
        <f t="shared" si="30"/>
        <v>-1971075.0899999999</v>
      </c>
      <c r="L178" s="1132">
        <v>93851.42</v>
      </c>
      <c r="M178" s="26"/>
      <c r="N178" s="26">
        <f t="shared" si="40"/>
        <v>4200460.9199999906</v>
      </c>
      <c r="O178" s="26"/>
      <c r="P178" s="13">
        <f t="shared" si="29"/>
        <v>5377199.5533333244</v>
      </c>
      <c r="Q178" s="13">
        <f t="shared" si="44"/>
        <v>7934846.0099999905</v>
      </c>
      <c r="R178" s="928">
        <f t="shared" si="45"/>
        <v>-2557646.4566666661</v>
      </c>
    </row>
    <row r="179" spans="1:21" ht="15" customHeight="1">
      <c r="A179" s="11">
        <v>42278</v>
      </c>
      <c r="B179" s="11"/>
      <c r="C179" s="13">
        <f t="shared" si="38"/>
        <v>113632921</v>
      </c>
      <c r="D179" s="3"/>
      <c r="E179" s="13">
        <f t="shared" si="41"/>
        <v>293885</v>
      </c>
      <c r="F179" s="13"/>
      <c r="G179" s="13">
        <f t="shared" si="39"/>
        <v>107755269.99000001</v>
      </c>
      <c r="I179" s="13">
        <f t="shared" si="28"/>
        <v>5877651.0099999905</v>
      </c>
      <c r="J179" s="928"/>
      <c r="K179" s="929">
        <f t="shared" si="30"/>
        <v>-1877223.67</v>
      </c>
      <c r="L179" s="1132">
        <v>93851.42</v>
      </c>
      <c r="M179" s="26"/>
      <c r="N179" s="26">
        <f t="shared" si="40"/>
        <v>4000427.3399999905</v>
      </c>
      <c r="O179" s="26"/>
      <c r="P179" s="13">
        <f t="shared" si="29"/>
        <v>5177165.9704166576</v>
      </c>
      <c r="Q179" s="13">
        <f>(I167+I179+SUM(I168:I178)*2)/24</f>
        <v>7640961.0099999905</v>
      </c>
      <c r="R179" s="928">
        <f t="shared" si="45"/>
        <v>-2463795.0395833328</v>
      </c>
    </row>
    <row r="180" spans="1:21" ht="15" customHeight="1">
      <c r="A180" s="11">
        <v>42309</v>
      </c>
      <c r="B180" s="11"/>
      <c r="C180" s="13">
        <f t="shared" si="38"/>
        <v>113632921</v>
      </c>
      <c r="D180" s="3"/>
      <c r="E180" s="13">
        <f t="shared" si="41"/>
        <v>293885</v>
      </c>
      <c r="F180" s="13"/>
      <c r="G180" s="13">
        <f t="shared" si="39"/>
        <v>108049154.99000001</v>
      </c>
      <c r="I180" s="13">
        <f t="shared" si="28"/>
        <v>5583766.0099999905</v>
      </c>
      <c r="J180" s="928"/>
      <c r="K180" s="929">
        <f t="shared" si="30"/>
        <v>-1783372.25</v>
      </c>
      <c r="L180" s="1132">
        <v>93851.42</v>
      </c>
      <c r="M180" s="26"/>
      <c r="N180" s="26">
        <f t="shared" si="40"/>
        <v>3800393.7599999905</v>
      </c>
      <c r="O180" s="26"/>
      <c r="P180" s="13">
        <f>(N168+N180+SUM(N169:N179)*2)/24</f>
        <v>4977132.3883333253</v>
      </c>
      <c r="Q180" s="13">
        <f t="shared" ref="Q180:Q183" si="46">(I168+I180+SUM(I169:I179)*2)/24</f>
        <v>7347076.0099999905</v>
      </c>
      <c r="R180" s="928">
        <f t="shared" ref="R180:R183" si="47">(K168+K180+SUM(K169:K179)*2)/24</f>
        <v>-2369943.6216666661</v>
      </c>
    </row>
    <row r="181" spans="1:21" ht="15" customHeight="1">
      <c r="A181" s="11">
        <v>42339</v>
      </c>
      <c r="B181" s="11"/>
      <c r="C181" s="13">
        <f t="shared" si="38"/>
        <v>113632921</v>
      </c>
      <c r="D181" s="3"/>
      <c r="E181" s="13">
        <f t="shared" si="41"/>
        <v>293885</v>
      </c>
      <c r="F181" s="13"/>
      <c r="G181" s="13">
        <f t="shared" si="39"/>
        <v>108343039.99000001</v>
      </c>
      <c r="I181" s="13">
        <f t="shared" si="28"/>
        <v>5289881.0099999905</v>
      </c>
      <c r="J181" s="928"/>
      <c r="K181" s="929">
        <f>K180+L181</f>
        <v>-1689520.83</v>
      </c>
      <c r="L181" s="1132">
        <v>93851.42</v>
      </c>
      <c r="M181" s="26"/>
      <c r="N181" s="26">
        <f t="shared" si="40"/>
        <v>3600360.1799999904</v>
      </c>
      <c r="O181" s="26"/>
      <c r="P181" s="13">
        <f t="shared" si="29"/>
        <v>4777098.8070833245</v>
      </c>
      <c r="Q181" s="13">
        <f t="shared" si="46"/>
        <v>7053191.0099999905</v>
      </c>
      <c r="R181" s="928">
        <f t="shared" si="47"/>
        <v>-2276092.2029166664</v>
      </c>
    </row>
    <row r="182" spans="1:21" ht="15" customHeight="1">
      <c r="A182" s="11">
        <v>42370</v>
      </c>
      <c r="B182" s="11"/>
      <c r="C182" s="13">
        <f t="shared" si="38"/>
        <v>113632921</v>
      </c>
      <c r="D182" s="3"/>
      <c r="E182" s="13">
        <f t="shared" si="41"/>
        <v>293885</v>
      </c>
      <c r="F182" s="13"/>
      <c r="G182" s="13">
        <f t="shared" si="39"/>
        <v>108636924.99000001</v>
      </c>
      <c r="I182" s="13">
        <f t="shared" si="28"/>
        <v>4995996.0099999905</v>
      </c>
      <c r="J182" s="928"/>
      <c r="K182" s="929">
        <f t="shared" si="30"/>
        <v>-1689520.83</v>
      </c>
      <c r="L182" s="1133">
        <v>0</v>
      </c>
      <c r="M182" s="26"/>
      <c r="N182" s="26">
        <f t="shared" si="40"/>
        <v>3306475.1799999904</v>
      </c>
      <c r="O182" s="26"/>
      <c r="P182" s="13">
        <f t="shared" si="29"/>
        <v>4577065.2262499901</v>
      </c>
      <c r="Q182" s="13">
        <f t="shared" si="46"/>
        <v>6759306.0099999905</v>
      </c>
      <c r="R182" s="928">
        <f t="shared" si="47"/>
        <v>-2182240.7837499995</v>
      </c>
    </row>
    <row r="183" spans="1:21" ht="15" customHeight="1">
      <c r="A183" s="11">
        <v>42401</v>
      </c>
      <c r="B183" s="11"/>
      <c r="C183" s="13">
        <f t="shared" si="38"/>
        <v>113632921</v>
      </c>
      <c r="D183" s="3"/>
      <c r="E183" s="13">
        <f t="shared" si="41"/>
        <v>293885</v>
      </c>
      <c r="F183" s="13"/>
      <c r="G183" s="13">
        <f t="shared" si="39"/>
        <v>108930809.99000001</v>
      </c>
      <c r="I183" s="13">
        <f t="shared" si="28"/>
        <v>4702111.0099999905</v>
      </c>
      <c r="J183" s="928"/>
      <c r="K183" s="929">
        <f t="shared" si="30"/>
        <v>-1689520.83</v>
      </c>
      <c r="L183" s="1133">
        <v>0</v>
      </c>
      <c r="M183" s="26"/>
      <c r="N183" s="26">
        <f t="shared" si="40"/>
        <v>3012590.1799999904</v>
      </c>
      <c r="O183" s="26"/>
      <c r="P183" s="13">
        <f t="shared" si="29"/>
        <v>4377031.6454166574</v>
      </c>
      <c r="Q183" s="13">
        <f t="shared" si="46"/>
        <v>6465421.0099999905</v>
      </c>
      <c r="R183" s="928">
        <f t="shared" si="47"/>
        <v>-2088389.3645833328</v>
      </c>
    </row>
    <row r="184" spans="1:21" ht="15" customHeight="1">
      <c r="A184" s="11">
        <v>42430</v>
      </c>
      <c r="B184" s="11"/>
      <c r="C184" s="13">
        <f t="shared" si="38"/>
        <v>113632921</v>
      </c>
      <c r="D184" s="3"/>
      <c r="E184" s="13">
        <f t="shared" si="41"/>
        <v>293885</v>
      </c>
      <c r="F184" s="13"/>
      <c r="G184" s="13">
        <f t="shared" si="39"/>
        <v>109224694.99000001</v>
      </c>
      <c r="I184" s="13">
        <f t="shared" si="28"/>
        <v>4408226.0099999905</v>
      </c>
      <c r="J184" s="928"/>
      <c r="K184" s="929">
        <f t="shared" si="30"/>
        <v>-1689520.83</v>
      </c>
      <c r="L184" s="1133">
        <v>0</v>
      </c>
      <c r="M184" s="26"/>
      <c r="N184" s="26">
        <f t="shared" si="40"/>
        <v>2718705.1799999904</v>
      </c>
      <c r="O184" s="26"/>
      <c r="P184" s="13">
        <f t="shared" si="29"/>
        <v>4165266.6374999913</v>
      </c>
      <c r="Q184" s="13">
        <f t="shared" ref="Q184:Q187" si="48">(I172+I184+SUM(I173:I183)*2)/24</f>
        <v>6171536.0099999905</v>
      </c>
      <c r="R184" s="928">
        <f t="shared" ref="R184:R187" si="49">(K172+K184+SUM(K173:K183)*2)/24</f>
        <v>-2006269.3724999994</v>
      </c>
    </row>
    <row r="185" spans="1:21" ht="15" customHeight="1">
      <c r="A185" s="11">
        <v>42461</v>
      </c>
      <c r="B185" s="11"/>
      <c r="C185" s="13">
        <f t="shared" si="38"/>
        <v>113632921</v>
      </c>
      <c r="D185" s="3"/>
      <c r="E185" s="13">
        <f>+E184</f>
        <v>293885</v>
      </c>
      <c r="F185" s="13"/>
      <c r="G185" s="13">
        <f t="shared" si="39"/>
        <v>109518579.99000001</v>
      </c>
      <c r="I185" s="13">
        <f t="shared" si="28"/>
        <v>4114341.0099999905</v>
      </c>
      <c r="J185" s="928"/>
      <c r="K185" s="929">
        <f>K184+L185</f>
        <v>-1689520.83</v>
      </c>
      <c r="L185" s="1133">
        <v>0</v>
      </c>
      <c r="M185" s="26"/>
      <c r="N185" s="26">
        <f t="shared" si="40"/>
        <v>2424820.1799999904</v>
      </c>
      <c r="O185" s="26"/>
      <c r="P185" s="13">
        <f t="shared" si="29"/>
        <v>3937859.7266666577</v>
      </c>
      <c r="Q185" s="13">
        <f t="shared" si="48"/>
        <v>5877651.0099999905</v>
      </c>
      <c r="R185" s="928">
        <f>(K173+K185+SUM(K174:K184)*2)/24</f>
        <v>-1939791.2833333325</v>
      </c>
    </row>
    <row r="186" spans="1:21" ht="15" customHeight="1">
      <c r="A186" s="11">
        <v>42491</v>
      </c>
      <c r="B186" s="11"/>
      <c r="C186" s="13">
        <f t="shared" si="38"/>
        <v>113632921</v>
      </c>
      <c r="D186" s="3"/>
      <c r="E186" s="13">
        <f t="shared" ref="E186:E187" si="50">+E185</f>
        <v>293885</v>
      </c>
      <c r="F186" s="13"/>
      <c r="G186" s="13">
        <f t="shared" si="39"/>
        <v>109812464.99000001</v>
      </c>
      <c r="I186" s="13">
        <f>+C186-G186</f>
        <v>3820456.0099999905</v>
      </c>
      <c r="J186" s="928"/>
      <c r="K186" s="929">
        <f>K185+L186</f>
        <v>-1175221.83</v>
      </c>
      <c r="L186" s="1132">
        <v>514299</v>
      </c>
      <c r="M186" s="26"/>
      <c r="N186" s="26">
        <f t="shared" si="40"/>
        <v>2645234.1799999904</v>
      </c>
      <c r="O186" s="26"/>
      <c r="P186" s="13">
        <f t="shared" si="29"/>
        <v>3724060.9891666584</v>
      </c>
      <c r="Q186" s="13">
        <f>(I174+I186+SUM(I175:I185)*2)/24</f>
        <v>5583766.0099999905</v>
      </c>
      <c r="R186" s="928">
        <f t="shared" si="49"/>
        <v>-1859705.020833333</v>
      </c>
      <c r="S186" s="13"/>
    </row>
    <row r="187" spans="1:21" ht="15" customHeight="1">
      <c r="A187" s="11">
        <v>42522</v>
      </c>
      <c r="B187" s="11"/>
      <c r="C187" s="13">
        <f t="shared" si="38"/>
        <v>113632921</v>
      </c>
      <c r="D187" s="3"/>
      <c r="E187" s="13">
        <f t="shared" si="50"/>
        <v>293885</v>
      </c>
      <c r="F187" s="13"/>
      <c r="G187" s="13">
        <f t="shared" si="39"/>
        <v>110106349.99000001</v>
      </c>
      <c r="I187" s="13">
        <f t="shared" si="28"/>
        <v>3526571.0099999905</v>
      </c>
      <c r="J187" s="928"/>
      <c r="K187" s="929">
        <f>K186+L187</f>
        <v>-1072362.08</v>
      </c>
      <c r="L187" s="1133">
        <v>102859.75</v>
      </c>
      <c r="M187" s="26"/>
      <c r="N187" s="26">
        <f t="shared" si="40"/>
        <v>2454208.9299999904</v>
      </c>
      <c r="O187" s="26"/>
      <c r="P187" s="13">
        <f t="shared" si="29"/>
        <v>3528156.2479166575</v>
      </c>
      <c r="Q187" s="13">
        <f t="shared" si="48"/>
        <v>5289881.0099999905</v>
      </c>
      <c r="R187" s="928">
        <f t="shared" si="49"/>
        <v>-1761724.7620833332</v>
      </c>
    </row>
    <row r="188" spans="1:21" ht="15" customHeight="1">
      <c r="A188" s="11">
        <v>42552</v>
      </c>
      <c r="B188" s="11"/>
      <c r="C188" s="13">
        <f t="shared" si="38"/>
        <v>113632921</v>
      </c>
      <c r="D188" s="3"/>
      <c r="E188" s="13">
        <f t="shared" si="41"/>
        <v>293885</v>
      </c>
      <c r="F188" s="13"/>
      <c r="G188" s="13">
        <f t="shared" si="39"/>
        <v>110400234.99000001</v>
      </c>
      <c r="I188" s="13">
        <f t="shared" si="28"/>
        <v>3232686.0099999905</v>
      </c>
      <c r="J188" s="928"/>
      <c r="K188" s="929">
        <f>K187+L188</f>
        <v>-1032561.0800000001</v>
      </c>
      <c r="L188" s="1133">
        <v>39801</v>
      </c>
      <c r="M188" s="26"/>
      <c r="N188" s="26">
        <f>I188+K188</f>
        <v>2200124.9299999904</v>
      </c>
      <c r="O188" s="26"/>
      <c r="P188" s="13">
        <f t="shared" si="29"/>
        <v>3330374.7529166578</v>
      </c>
      <c r="Q188" s="13">
        <f t="shared" ref="Q188:Q194" si="51">(I176+I188+SUM(I177:I187)*2)/24</f>
        <v>4995996.0099999905</v>
      </c>
      <c r="R188" s="928">
        <f t="shared" ref="R188:R194" si="52">(K176+K188+SUM(K177:K187)*2)/24</f>
        <v>-1665621.2570833331</v>
      </c>
    </row>
    <row r="189" spans="1:21" ht="15" customHeight="1">
      <c r="A189" s="11">
        <v>42583</v>
      </c>
      <c r="B189" s="11"/>
      <c r="C189" s="13">
        <f t="shared" si="38"/>
        <v>113632921</v>
      </c>
      <c r="D189" s="3"/>
      <c r="E189" s="13">
        <f t="shared" si="41"/>
        <v>293885</v>
      </c>
      <c r="F189" s="13"/>
      <c r="G189" s="13">
        <f t="shared" si="39"/>
        <v>110694119.99000001</v>
      </c>
      <c r="I189" s="13">
        <f>+C189-G189</f>
        <v>2938801.0099999905</v>
      </c>
      <c r="J189" s="928"/>
      <c r="K189" s="929">
        <f>K188+L189</f>
        <v>-938710.08000000007</v>
      </c>
      <c r="L189" s="1133">
        <v>93851</v>
      </c>
      <c r="M189" s="26"/>
      <c r="N189" s="26">
        <f>I189+K189</f>
        <v>2000090.9299999904</v>
      </c>
      <c r="O189" s="26"/>
      <c r="P189" s="13">
        <f t="shared" si="29"/>
        <v>3130341.1395833245</v>
      </c>
      <c r="Q189" s="13">
        <f t="shared" si="51"/>
        <v>4702111.0099999905</v>
      </c>
      <c r="R189" s="928">
        <f t="shared" si="52"/>
        <v>-1571769.8704166666</v>
      </c>
      <c r="U189" s="31"/>
    </row>
    <row r="190" spans="1:21" ht="15" customHeight="1">
      <c r="A190" s="11">
        <v>42614</v>
      </c>
      <c r="B190" s="11"/>
      <c r="C190" s="13">
        <f t="shared" si="38"/>
        <v>113632921</v>
      </c>
      <c r="D190" s="3"/>
      <c r="E190" s="13">
        <f t="shared" si="41"/>
        <v>293885</v>
      </c>
      <c r="F190" s="13"/>
      <c r="G190" s="13">
        <f t="shared" si="39"/>
        <v>110988004.99000001</v>
      </c>
      <c r="I190" s="13">
        <f t="shared" si="28"/>
        <v>2644916.0099999905</v>
      </c>
      <c r="J190" s="928"/>
      <c r="K190" s="929">
        <f t="shared" si="30"/>
        <v>-844858.18</v>
      </c>
      <c r="L190" s="1133">
        <v>93851.9</v>
      </c>
      <c r="M190" s="26"/>
      <c r="N190" s="26">
        <f t="shared" si="40"/>
        <v>1800057.8299999903</v>
      </c>
      <c r="O190" s="26"/>
      <c r="P190" s="13">
        <f t="shared" si="29"/>
        <v>2930307.5287499912</v>
      </c>
      <c r="Q190" s="13">
        <f t="shared" si="51"/>
        <v>4408226.0099999905</v>
      </c>
      <c r="R190" s="928">
        <f t="shared" si="52"/>
        <v>-1477918.4812500002</v>
      </c>
      <c r="U190" s="31"/>
    </row>
    <row r="191" spans="1:21" ht="15" customHeight="1">
      <c r="A191" s="11">
        <v>42644</v>
      </c>
      <c r="B191" s="11"/>
      <c r="C191" s="13">
        <f t="shared" si="38"/>
        <v>113632921</v>
      </c>
      <c r="D191" s="3"/>
      <c r="E191" s="13">
        <f t="shared" si="41"/>
        <v>293885</v>
      </c>
      <c r="F191" s="13"/>
      <c r="G191" s="13">
        <f t="shared" si="39"/>
        <v>111281889.99000001</v>
      </c>
      <c r="I191" s="13">
        <f t="shared" si="28"/>
        <v>2351031.0099999905</v>
      </c>
      <c r="J191" s="928"/>
      <c r="K191" s="929">
        <f t="shared" si="30"/>
        <v>-750985.04888888891</v>
      </c>
      <c r="L191" s="929">
        <f>-($K$8+SUM($L$10:$L$190))/9</f>
        <v>93873.131111111084</v>
      </c>
      <c r="M191" s="26"/>
      <c r="N191" s="26">
        <f t="shared" si="40"/>
        <v>1600045.9611111016</v>
      </c>
      <c r="O191" s="26"/>
      <c r="P191" s="13">
        <f t="shared" si="29"/>
        <v>2730274.8425462875</v>
      </c>
      <c r="Q191" s="13">
        <f t="shared" si="51"/>
        <v>4114341.0099999905</v>
      </c>
      <c r="R191" s="928">
        <f t="shared" si="52"/>
        <v>-1384066.1674537037</v>
      </c>
      <c r="U191" s="31"/>
    </row>
    <row r="192" spans="1:21" ht="15" customHeight="1">
      <c r="A192" s="11">
        <v>42675</v>
      </c>
      <c r="B192" s="11"/>
      <c r="C192" s="13">
        <f t="shared" si="38"/>
        <v>113632921</v>
      </c>
      <c r="D192" s="3"/>
      <c r="E192" s="13">
        <f t="shared" si="41"/>
        <v>293885</v>
      </c>
      <c r="F192" s="13"/>
      <c r="G192" s="13">
        <f t="shared" si="39"/>
        <v>111575774.99000001</v>
      </c>
      <c r="I192" s="13">
        <f t="shared" si="28"/>
        <v>2057146.0099999905</v>
      </c>
      <c r="J192" s="928"/>
      <c r="K192" s="929">
        <f t="shared" si="30"/>
        <v>-657111.91777777788</v>
      </c>
      <c r="L192" s="929">
        <f t="shared" ref="L192:L199" si="53">-($K$8+SUM($L$10:$L$190))/9</f>
        <v>93873.131111111084</v>
      </c>
      <c r="M192" s="26"/>
      <c r="N192" s="26">
        <f t="shared" si="40"/>
        <v>1400034.0922222126</v>
      </c>
      <c r="O192" s="26"/>
      <c r="P192" s="13">
        <f t="shared" si="29"/>
        <v>2530243.9656018424</v>
      </c>
      <c r="Q192" s="13">
        <f t="shared" si="51"/>
        <v>3820456.0099999905</v>
      </c>
      <c r="R192" s="928">
        <f t="shared" si="52"/>
        <v>-1290212.0443981481</v>
      </c>
      <c r="U192" s="31"/>
    </row>
    <row r="193" spans="1:21" ht="15" customHeight="1">
      <c r="A193" s="11">
        <v>42705</v>
      </c>
      <c r="B193" s="11"/>
      <c r="C193" s="13">
        <f t="shared" si="38"/>
        <v>113632921</v>
      </c>
      <c r="D193" s="3"/>
      <c r="E193" s="13">
        <f t="shared" si="41"/>
        <v>293885</v>
      </c>
      <c r="F193" s="13"/>
      <c r="G193" s="13">
        <f t="shared" si="39"/>
        <v>111869659.99000001</v>
      </c>
      <c r="I193" s="13">
        <f>+C193-G193</f>
        <v>1763261.0099999905</v>
      </c>
      <c r="J193" s="928"/>
      <c r="K193" s="929">
        <f t="shared" si="30"/>
        <v>-563238.78666666686</v>
      </c>
      <c r="L193" s="929">
        <f t="shared" si="53"/>
        <v>93873.131111111084</v>
      </c>
      <c r="M193" s="26"/>
      <c r="N193" s="26">
        <f>I193+K193</f>
        <v>1200022.2233333236</v>
      </c>
      <c r="O193" s="26"/>
      <c r="P193" s="13">
        <f t="shared" si="29"/>
        <v>2330214.8979166574</v>
      </c>
      <c r="Q193" s="13">
        <f t="shared" si="51"/>
        <v>3526571.0099999905</v>
      </c>
      <c r="R193" s="928">
        <f t="shared" si="52"/>
        <v>-1196356.1120833333</v>
      </c>
      <c r="U193" s="31"/>
    </row>
    <row r="194" spans="1:21" ht="15" customHeight="1">
      <c r="A194" s="11">
        <v>42736</v>
      </c>
      <c r="B194" s="11"/>
      <c r="C194" s="13">
        <f t="shared" si="38"/>
        <v>113632921</v>
      </c>
      <c r="D194" s="3"/>
      <c r="E194" s="13">
        <f t="shared" si="41"/>
        <v>293885</v>
      </c>
      <c r="F194" s="13"/>
      <c r="G194" s="13">
        <f t="shared" si="39"/>
        <v>112163544.99000001</v>
      </c>
      <c r="I194" s="13">
        <f t="shared" si="28"/>
        <v>1469376.0099999905</v>
      </c>
      <c r="J194" s="928"/>
      <c r="K194" s="929">
        <f t="shared" si="30"/>
        <v>-469365.65555555577</v>
      </c>
      <c r="L194" s="929">
        <f t="shared" si="53"/>
        <v>93873.131111111084</v>
      </c>
      <c r="M194" s="26"/>
      <c r="N194" s="26">
        <f>I194+K194</f>
        <v>1000010.3544444346</v>
      </c>
      <c r="O194" s="26"/>
      <c r="P194" s="13">
        <f t="shared" si="29"/>
        <v>2134098.1153240646</v>
      </c>
      <c r="Q194" s="13">
        <f t="shared" si="51"/>
        <v>3232686.0099999905</v>
      </c>
      <c r="R194" s="928">
        <f t="shared" si="52"/>
        <v>-1098587.8946759261</v>
      </c>
      <c r="U194" s="31"/>
    </row>
    <row r="195" spans="1:21" ht="15" customHeight="1">
      <c r="A195" s="11">
        <v>42767</v>
      </c>
      <c r="B195" s="11"/>
      <c r="C195" s="13">
        <f t="shared" si="38"/>
        <v>113632921</v>
      </c>
      <c r="D195" s="3"/>
      <c r="E195" s="13">
        <f t="shared" si="41"/>
        <v>293885</v>
      </c>
      <c r="F195" s="13"/>
      <c r="G195" s="13">
        <f t="shared" si="39"/>
        <v>112457429.99000001</v>
      </c>
      <c r="I195" s="13">
        <f t="shared" si="28"/>
        <v>1175491.0099999905</v>
      </c>
      <c r="J195" s="928"/>
      <c r="K195" s="929">
        <f t="shared" si="30"/>
        <v>-375492.52444444469</v>
      </c>
      <c r="L195" s="929">
        <f t="shared" si="53"/>
        <v>93873.131111111084</v>
      </c>
      <c r="M195" s="26"/>
      <c r="N195" s="932">
        <f>I195+K195</f>
        <v>799998.48555554578</v>
      </c>
      <c r="O195" s="26"/>
      <c r="P195" s="13">
        <f t="shared" si="29"/>
        <v>1945804.0936573979</v>
      </c>
      <c r="Q195" s="13">
        <f t="shared" ref="Q195:Q199" si="54">(I183+I195+SUM(I184:I194)*2)/24</f>
        <v>2938801.0099999905</v>
      </c>
      <c r="R195" s="928">
        <f t="shared" ref="R195:R199" si="55">(K183+K195+SUM(K184:K194)*2)/24</f>
        <v>-992996.91634259268</v>
      </c>
      <c r="U195" s="31"/>
    </row>
    <row r="196" spans="1:21" ht="15" customHeight="1">
      <c r="A196" s="11">
        <v>42795</v>
      </c>
      <c r="B196" s="11"/>
      <c r="C196" s="13">
        <f t="shared" si="38"/>
        <v>113632921</v>
      </c>
      <c r="D196" s="3"/>
      <c r="E196" s="13">
        <f t="shared" si="41"/>
        <v>293885</v>
      </c>
      <c r="F196" s="13"/>
      <c r="G196" s="13">
        <f t="shared" si="39"/>
        <v>112751314.99000001</v>
      </c>
      <c r="I196" s="13">
        <f t="shared" si="28"/>
        <v>881606.00999999046</v>
      </c>
      <c r="J196" s="928"/>
      <c r="K196" s="929">
        <f t="shared" si="30"/>
        <v>-281619.3933333336</v>
      </c>
      <c r="L196" s="929">
        <f t="shared" si="53"/>
        <v>93873.131111111084</v>
      </c>
      <c r="M196" s="26"/>
      <c r="N196" s="932">
        <f>I196+K196</f>
        <v>599986.61666665692</v>
      </c>
      <c r="O196" s="26"/>
      <c r="P196" s="13">
        <f t="shared" si="29"/>
        <v>1765332.8329166567</v>
      </c>
      <c r="Q196" s="13">
        <f t="shared" si="54"/>
        <v>2644916.0099999905</v>
      </c>
      <c r="R196" s="928">
        <f t="shared" si="55"/>
        <v>-879583.17708333337</v>
      </c>
      <c r="U196" s="31"/>
    </row>
    <row r="197" spans="1:21" ht="15" customHeight="1">
      <c r="A197" s="11">
        <v>42826</v>
      </c>
      <c r="B197" s="11"/>
      <c r="C197" s="13">
        <f t="shared" si="38"/>
        <v>113632921</v>
      </c>
      <c r="D197" s="3"/>
      <c r="E197" s="13">
        <f t="shared" si="41"/>
        <v>293885</v>
      </c>
      <c r="F197" s="13"/>
      <c r="G197" s="13">
        <f t="shared" si="39"/>
        <v>113045199.99000001</v>
      </c>
      <c r="I197" s="13">
        <f t="shared" si="28"/>
        <v>587721.00999999046</v>
      </c>
      <c r="J197" s="928"/>
      <c r="K197" s="929">
        <f>K196+L197</f>
        <v>-187746.26222222252</v>
      </c>
      <c r="L197" s="929">
        <f t="shared" si="53"/>
        <v>93873.131111111084</v>
      </c>
      <c r="M197" s="26"/>
      <c r="N197" s="932">
        <f>I197+K197</f>
        <v>399974.74777776795</v>
      </c>
      <c r="O197" s="26"/>
      <c r="P197" s="13">
        <f t="shared" si="29"/>
        <v>1592684.3331018423</v>
      </c>
      <c r="Q197" s="13">
        <f t="shared" si="54"/>
        <v>2351031.0099999905</v>
      </c>
      <c r="R197" s="928">
        <f t="shared" si="55"/>
        <v>-758346.67689814826</v>
      </c>
      <c r="U197" s="31"/>
    </row>
    <row r="198" spans="1:21" ht="15" customHeight="1">
      <c r="A198" s="11">
        <v>42856</v>
      </c>
      <c r="B198" s="11"/>
      <c r="C198" s="13">
        <f t="shared" si="38"/>
        <v>113632921</v>
      </c>
      <c r="D198" s="3"/>
      <c r="E198" s="13">
        <f t="shared" si="41"/>
        <v>293885</v>
      </c>
      <c r="F198" s="13"/>
      <c r="G198" s="13">
        <f t="shared" si="39"/>
        <v>113339084.99000001</v>
      </c>
      <c r="I198" s="13">
        <f t="shared" si="28"/>
        <v>293836.00999999046</v>
      </c>
      <c r="J198" s="928"/>
      <c r="K198" s="929">
        <f>K197+L198</f>
        <v>-93873.131111111434</v>
      </c>
      <c r="L198" s="929">
        <f t="shared" si="53"/>
        <v>93873.131111111084</v>
      </c>
      <c r="M198" s="26"/>
      <c r="N198" s="929">
        <f t="shared" si="40"/>
        <v>199962.87888887903</v>
      </c>
      <c r="O198" s="26"/>
      <c r="P198" s="13">
        <f t="shared" si="29"/>
        <v>1406429.4692129532</v>
      </c>
      <c r="Q198" s="13">
        <f t="shared" si="54"/>
        <v>2057146.0099999905</v>
      </c>
      <c r="R198" s="928">
        <f t="shared" si="55"/>
        <v>-650716.54078703723</v>
      </c>
    </row>
    <row r="199" spans="1:21" ht="15" customHeight="1" thickBot="1">
      <c r="A199" s="11">
        <v>42887</v>
      </c>
      <c r="B199" s="11"/>
      <c r="C199" s="13">
        <f t="shared" si="38"/>
        <v>113632921</v>
      </c>
      <c r="D199" s="3"/>
      <c r="E199" s="13">
        <f>293836</f>
        <v>293836</v>
      </c>
      <c r="F199" s="13"/>
      <c r="G199" s="13">
        <f>+G198+E199</f>
        <v>113632920.99000001</v>
      </c>
      <c r="I199" s="13">
        <f>+C199-G199</f>
        <v>9.9999904632568359E-3</v>
      </c>
      <c r="J199" s="928">
        <f t="shared" ref="J199:J210" si="56">+D199-H199</f>
        <v>0</v>
      </c>
      <c r="K199" s="929">
        <f t="shared" si="30"/>
        <v>-3.4924596548080444E-10</v>
      </c>
      <c r="L199" s="929">
        <f t="shared" si="53"/>
        <v>93873.131111111084</v>
      </c>
      <c r="M199" s="26"/>
      <c r="N199" s="929">
        <f t="shared" si="40"/>
        <v>9.9999901140108705E-3</v>
      </c>
      <c r="O199" s="26"/>
      <c r="P199" s="13">
        <f t="shared" si="29"/>
        <v>1202284.4599999902</v>
      </c>
      <c r="Q199" s="13">
        <f t="shared" si="54"/>
        <v>1763263.0516666572</v>
      </c>
      <c r="R199" s="928">
        <f t="shared" si="55"/>
        <v>-560978.59166666691</v>
      </c>
    </row>
    <row r="200" spans="1:21" s="1125" customFormat="1" ht="15" customHeight="1">
      <c r="A200" s="1123">
        <v>42917</v>
      </c>
      <c r="B200" s="1123"/>
      <c r="C200" s="1124"/>
      <c r="E200" s="1051"/>
      <c r="F200" s="1124"/>
      <c r="G200" s="1124"/>
      <c r="I200" s="1127">
        <f t="shared" ref="I200:I210" si="57">+C200-G200</f>
        <v>0</v>
      </c>
      <c r="J200" s="1127">
        <f t="shared" si="56"/>
        <v>0</v>
      </c>
      <c r="K200" s="1128">
        <f t="shared" si="30"/>
        <v>-3.4924596548080444E-10</v>
      </c>
      <c r="L200" s="1128">
        <v>0</v>
      </c>
      <c r="M200" s="1129"/>
      <c r="N200" s="1128">
        <f t="shared" si="40"/>
        <v>-3.4924596548080444E-10</v>
      </c>
      <c r="O200" s="1129"/>
      <c r="P200" s="1124">
        <f t="shared" si="29"/>
        <v>1008353.8829166574</v>
      </c>
      <c r="Q200" s="1124">
        <f t="shared" ref="Q200:Q211" si="58">(I188+I200+SUM(I189:I199)*2)/24</f>
        <v>1481627.3429166574</v>
      </c>
      <c r="R200" s="1127">
        <f t="shared" ref="R200:R211" si="59">(K188+K200+SUM(K189:K199)*2)/24</f>
        <v>-473273.4600000002</v>
      </c>
    </row>
    <row r="201" spans="1:21" s="1125" customFormat="1" ht="15" customHeight="1">
      <c r="A201" s="1123">
        <v>42948</v>
      </c>
      <c r="B201" s="1123"/>
      <c r="C201" s="1124"/>
      <c r="E201" s="1052"/>
      <c r="F201" s="1124"/>
      <c r="G201" s="1124"/>
      <c r="I201" s="1127">
        <f t="shared" si="57"/>
        <v>0</v>
      </c>
      <c r="J201" s="1127">
        <f t="shared" si="56"/>
        <v>0</v>
      </c>
      <c r="K201" s="1128">
        <f t="shared" si="30"/>
        <v>-3.4924596548080444E-10</v>
      </c>
      <c r="L201" s="1128">
        <v>0</v>
      </c>
      <c r="M201" s="1129"/>
      <c r="N201" s="1128">
        <f t="shared" si="40"/>
        <v>-3.4924596548080444E-10</v>
      </c>
      <c r="O201" s="1129"/>
      <c r="P201" s="1124">
        <f t="shared" si="29"/>
        <v>833344.88874999143</v>
      </c>
      <c r="Q201" s="1124">
        <f t="shared" si="58"/>
        <v>1224482.0504166584</v>
      </c>
      <c r="R201" s="1127">
        <f t="shared" si="59"/>
        <v>-391137.1616666668</v>
      </c>
    </row>
    <row r="202" spans="1:21" s="1125" customFormat="1" ht="15" customHeight="1">
      <c r="A202" s="1123">
        <v>42979</v>
      </c>
      <c r="B202" s="1123"/>
      <c r="C202" s="1124"/>
      <c r="E202" s="1052"/>
      <c r="F202" s="1124"/>
      <c r="G202" s="1124"/>
      <c r="I202" s="1127">
        <f t="shared" si="57"/>
        <v>0</v>
      </c>
      <c r="J202" s="1127">
        <f t="shared" si="56"/>
        <v>0</v>
      </c>
      <c r="K202" s="1128">
        <f t="shared" si="30"/>
        <v>-3.4924596548080444E-10</v>
      </c>
      <c r="L202" s="1129"/>
      <c r="M202" s="1129"/>
      <c r="N202" s="1128">
        <f t="shared" si="40"/>
        <v>-3.4924596548080444E-10</v>
      </c>
      <c r="O202" s="1129"/>
      <c r="P202" s="1130">
        <f>(N190+N202+SUM(N191:N201)*2)/24</f>
        <v>675005.35708332562</v>
      </c>
      <c r="Q202" s="1124">
        <f t="shared" si="58"/>
        <v>991827.17458332574</v>
      </c>
      <c r="R202" s="1127">
        <f t="shared" si="59"/>
        <v>-316821.8175000003</v>
      </c>
    </row>
    <row r="203" spans="1:21" s="1125" customFormat="1" ht="15" customHeight="1">
      <c r="A203" s="1123">
        <v>43009</v>
      </c>
      <c r="B203" s="1123"/>
      <c r="C203" s="1124"/>
      <c r="E203" s="1052"/>
      <c r="F203" s="1124"/>
      <c r="G203" s="1124"/>
      <c r="I203" s="1127">
        <f t="shared" si="57"/>
        <v>0</v>
      </c>
      <c r="J203" s="1127">
        <f t="shared" si="56"/>
        <v>0</v>
      </c>
      <c r="K203" s="1128">
        <f t="shared" ref="K203:K211" si="60">K202+L203</f>
        <v>-3.4924596548080444E-10</v>
      </c>
      <c r="L203" s="1129"/>
      <c r="M203" s="1129"/>
      <c r="N203" s="1128">
        <f t="shared" si="40"/>
        <v>-3.4924596548080444E-10</v>
      </c>
      <c r="O203" s="1129"/>
      <c r="P203" s="1130">
        <f t="shared" ref="P203:P211" si="61">(N191+N203+SUM(N192:N202)*2)/24</f>
        <v>533334.3657870302</v>
      </c>
      <c r="Q203" s="1124">
        <f t="shared" si="58"/>
        <v>783662.71541665995</v>
      </c>
      <c r="R203" s="1127">
        <f t="shared" si="59"/>
        <v>-250328.34962962996</v>
      </c>
    </row>
    <row r="204" spans="1:21" s="1125" customFormat="1" ht="15" customHeight="1">
      <c r="A204" s="1123">
        <v>43040</v>
      </c>
      <c r="B204" s="1123"/>
      <c r="C204" s="1124"/>
      <c r="E204" s="1126"/>
      <c r="F204" s="1124"/>
      <c r="G204" s="1124"/>
      <c r="I204" s="1127">
        <f t="shared" si="57"/>
        <v>0</v>
      </c>
      <c r="J204" s="1127">
        <f t="shared" si="56"/>
        <v>0</v>
      </c>
      <c r="K204" s="1128">
        <f t="shared" si="60"/>
        <v>-3.4924596548080444E-10</v>
      </c>
      <c r="L204" s="1129"/>
      <c r="M204" s="1129"/>
      <c r="N204" s="1128">
        <f t="shared" si="40"/>
        <v>-3.4924596548080444E-10</v>
      </c>
      <c r="O204" s="1129"/>
      <c r="P204" s="1130">
        <f t="shared" si="61"/>
        <v>408331.03023147536</v>
      </c>
      <c r="Q204" s="1124">
        <f t="shared" si="58"/>
        <v>599988.67291666067</v>
      </c>
      <c r="R204" s="1127">
        <f t="shared" si="59"/>
        <v>-191657.64268518554</v>
      </c>
    </row>
    <row r="205" spans="1:21" s="1125" customFormat="1" ht="15" customHeight="1">
      <c r="A205" s="1123">
        <v>43070</v>
      </c>
      <c r="B205" s="1123"/>
      <c r="C205" s="1124"/>
      <c r="E205" s="1126"/>
      <c r="F205" s="1124"/>
      <c r="G205" s="1124"/>
      <c r="I205" s="1127">
        <f t="shared" si="57"/>
        <v>0</v>
      </c>
      <c r="J205" s="1127">
        <f t="shared" si="56"/>
        <v>0</v>
      </c>
      <c r="K205" s="1128">
        <f t="shared" si="60"/>
        <v>-3.4924596548080444E-10</v>
      </c>
      <c r="L205" s="1129"/>
      <c r="M205" s="1129"/>
      <c r="N205" s="1128">
        <f t="shared" si="40"/>
        <v>-3.4924596548080444E-10</v>
      </c>
      <c r="O205" s="1129"/>
      <c r="P205" s="1127">
        <f t="shared" si="61"/>
        <v>299995.35041666112</v>
      </c>
      <c r="Q205" s="1124">
        <f t="shared" si="58"/>
        <v>440805.04708332819</v>
      </c>
      <c r="R205" s="1127">
        <f t="shared" si="59"/>
        <v>-140809.69666666701</v>
      </c>
    </row>
    <row r="206" spans="1:21" s="1125" customFormat="1" ht="15" customHeight="1">
      <c r="A206" s="1123">
        <v>43101</v>
      </c>
      <c r="B206" s="1123"/>
      <c r="C206" s="1124">
        <v>0</v>
      </c>
      <c r="E206" s="1126">
        <v>0</v>
      </c>
      <c r="F206" s="1124"/>
      <c r="G206" s="1124">
        <v>0</v>
      </c>
      <c r="I206" s="1127">
        <f t="shared" si="57"/>
        <v>0</v>
      </c>
      <c r="J206" s="1127">
        <f t="shared" si="56"/>
        <v>0</v>
      </c>
      <c r="K206" s="1128">
        <f t="shared" si="60"/>
        <v>-3.4924596548080444E-10</v>
      </c>
      <c r="L206" s="1129"/>
      <c r="M206" s="1129"/>
      <c r="N206" s="1128">
        <f t="shared" si="40"/>
        <v>-3.4924596548080444E-10</v>
      </c>
      <c r="O206" s="1129"/>
      <c r="P206" s="1127">
        <f t="shared" si="61"/>
        <v>208327.32634258782</v>
      </c>
      <c r="Q206" s="1124">
        <f t="shared" si="58"/>
        <v>306111.83791666228</v>
      </c>
      <c r="R206" s="1127">
        <f t="shared" si="59"/>
        <v>-97784.511574074408</v>
      </c>
    </row>
    <row r="207" spans="1:21" s="1125" customFormat="1" ht="15" customHeight="1">
      <c r="A207" s="1123">
        <v>43132</v>
      </c>
      <c r="B207" s="1123"/>
      <c r="C207" s="1124">
        <f t="shared" ref="C207:C217" si="62">+C206</f>
        <v>0</v>
      </c>
      <c r="E207" s="1126">
        <v>0</v>
      </c>
      <c r="F207" s="1124"/>
      <c r="G207" s="1124">
        <f t="shared" ref="G207:G211" si="63">+G206+E207</f>
        <v>0</v>
      </c>
      <c r="I207" s="1127">
        <f t="shared" si="57"/>
        <v>0</v>
      </c>
      <c r="J207" s="1127">
        <f t="shared" si="56"/>
        <v>0</v>
      </c>
      <c r="K207" s="1128">
        <f t="shared" si="60"/>
        <v>-3.4924596548080444E-10</v>
      </c>
      <c r="L207" s="1129"/>
      <c r="M207" s="1129"/>
      <c r="N207" s="1128">
        <f t="shared" si="40"/>
        <v>-3.4924596548080444E-10</v>
      </c>
      <c r="O207" s="1129"/>
      <c r="P207" s="1127">
        <f t="shared" si="61"/>
        <v>133326.95800925526</v>
      </c>
      <c r="Q207" s="1124">
        <f t="shared" si="58"/>
        <v>195909.04541666308</v>
      </c>
      <c r="R207" s="1127">
        <f t="shared" si="59"/>
        <v>-62582.087407407736</v>
      </c>
    </row>
    <row r="208" spans="1:21" s="1125" customFormat="1" ht="15" customHeight="1">
      <c r="A208" s="1123">
        <v>43160</v>
      </c>
      <c r="B208" s="1123"/>
      <c r="C208" s="1124">
        <f t="shared" si="62"/>
        <v>0</v>
      </c>
      <c r="E208" s="1126">
        <v>0</v>
      </c>
      <c r="F208" s="1124"/>
      <c r="G208" s="1124">
        <f t="shared" si="63"/>
        <v>0</v>
      </c>
      <c r="I208" s="1127">
        <f t="shared" si="57"/>
        <v>0</v>
      </c>
      <c r="J208" s="1127">
        <f t="shared" si="56"/>
        <v>0</v>
      </c>
      <c r="K208" s="1128">
        <f t="shared" si="60"/>
        <v>-3.4924596548080444E-10</v>
      </c>
      <c r="L208" s="1129"/>
      <c r="M208" s="1129"/>
      <c r="N208" s="1128">
        <f t="shared" si="40"/>
        <v>-3.4924596548080444E-10</v>
      </c>
      <c r="O208" s="1129"/>
      <c r="P208" s="1127">
        <f t="shared" si="61"/>
        <v>74994.245416663543</v>
      </c>
      <c r="Q208" s="1124">
        <f t="shared" si="58"/>
        <v>110196.66958333056</v>
      </c>
      <c r="R208" s="1127">
        <f t="shared" si="59"/>
        <v>-35202.424166667006</v>
      </c>
    </row>
    <row r="209" spans="1:18" s="1125" customFormat="1" ht="15" customHeight="1">
      <c r="A209" s="1123">
        <v>43191</v>
      </c>
      <c r="B209" s="1123"/>
      <c r="C209" s="1124">
        <f t="shared" si="62"/>
        <v>0</v>
      </c>
      <c r="E209" s="1126">
        <v>0</v>
      </c>
      <c r="F209" s="1124"/>
      <c r="G209" s="1124">
        <f t="shared" si="63"/>
        <v>0</v>
      </c>
      <c r="I209" s="1127">
        <f t="shared" si="57"/>
        <v>0</v>
      </c>
      <c r="J209" s="1127">
        <f t="shared" si="56"/>
        <v>0</v>
      </c>
      <c r="K209" s="1128">
        <f t="shared" si="60"/>
        <v>-3.4924596548080444E-10</v>
      </c>
      <c r="L209" s="1129"/>
      <c r="M209" s="1129"/>
      <c r="N209" s="1128">
        <f t="shared" si="40"/>
        <v>-3.4924596548080444E-10</v>
      </c>
      <c r="O209" s="1129"/>
      <c r="P209" s="1127">
        <f t="shared" si="61"/>
        <v>33329.188564812481</v>
      </c>
      <c r="Q209" s="1124">
        <f t="shared" si="58"/>
        <v>48974.710416664682</v>
      </c>
      <c r="R209" s="1127">
        <f t="shared" si="59"/>
        <v>-15645.521851852196</v>
      </c>
    </row>
    <row r="210" spans="1:18" s="1125" customFormat="1" ht="15" customHeight="1">
      <c r="A210" s="1123">
        <v>43221</v>
      </c>
      <c r="B210" s="1123"/>
      <c r="C210" s="1124">
        <f t="shared" si="62"/>
        <v>0</v>
      </c>
      <c r="E210" s="1126">
        <v>0</v>
      </c>
      <c r="F210" s="1124"/>
      <c r="G210" s="1124">
        <f t="shared" si="63"/>
        <v>0</v>
      </c>
      <c r="I210" s="1127">
        <f t="shared" si="57"/>
        <v>0</v>
      </c>
      <c r="J210" s="1127">
        <f t="shared" si="56"/>
        <v>0</v>
      </c>
      <c r="K210" s="1128">
        <f t="shared" si="60"/>
        <v>-3.4924596548080444E-10</v>
      </c>
      <c r="L210" s="1129"/>
      <c r="M210" s="1129"/>
      <c r="N210" s="1128">
        <f t="shared" si="40"/>
        <v>-3.4924596548080444E-10</v>
      </c>
      <c r="O210" s="1129"/>
      <c r="P210" s="1127">
        <f t="shared" si="61"/>
        <v>8331.7874537021635</v>
      </c>
      <c r="Q210" s="1124">
        <f t="shared" si="58"/>
        <v>12243.167916665474</v>
      </c>
      <c r="R210" s="1127">
        <f t="shared" si="59"/>
        <v>-3911.3804629633109</v>
      </c>
    </row>
    <row r="211" spans="1:18" s="1125" customFormat="1" ht="15" customHeight="1" thickBot="1">
      <c r="A211" s="1123">
        <v>43252</v>
      </c>
      <c r="B211" s="1123"/>
      <c r="C211" s="1124">
        <f t="shared" si="62"/>
        <v>0</v>
      </c>
      <c r="E211" s="1131">
        <v>0</v>
      </c>
      <c r="F211" s="1124"/>
      <c r="G211" s="1124">
        <f t="shared" si="63"/>
        <v>0</v>
      </c>
      <c r="I211" s="1127">
        <f t="shared" ref="I211" si="64">+C211-G211</f>
        <v>0</v>
      </c>
      <c r="J211" s="1127"/>
      <c r="K211" s="1128">
        <f t="shared" si="60"/>
        <v>-3.4924596548080444E-10</v>
      </c>
      <c r="L211" s="1129"/>
      <c r="M211" s="1129"/>
      <c r="N211" s="1128">
        <f t="shared" si="40"/>
        <v>-3.4924596548080444E-10</v>
      </c>
      <c r="O211" s="1129"/>
      <c r="P211" s="1127">
        <f t="shared" si="61"/>
        <v>4.1666592005640268E-4</v>
      </c>
      <c r="Q211" s="1124">
        <f t="shared" si="58"/>
        <v>4.1666626930236816E-4</v>
      </c>
      <c r="R211" s="1127">
        <f t="shared" si="59"/>
        <v>-3.4924596548080444E-10</v>
      </c>
    </row>
    <row r="212" spans="1:18" ht="15" customHeight="1">
      <c r="A212" s="11">
        <v>43282</v>
      </c>
      <c r="C212" s="13">
        <f t="shared" si="62"/>
        <v>0</v>
      </c>
      <c r="D212" s="3"/>
      <c r="E212" s="928">
        <v>0</v>
      </c>
      <c r="F212" s="13"/>
      <c r="G212" s="13">
        <f t="shared" ref="G212:G217" si="65">+G211+E212</f>
        <v>0</v>
      </c>
      <c r="I212" s="928">
        <f t="shared" ref="I212:I217" si="66">+C212-G212</f>
        <v>0</v>
      </c>
      <c r="J212" s="928"/>
      <c r="K212" s="929">
        <f t="shared" ref="K212:K217" si="67">K211+L212</f>
        <v>-3.4924596548080444E-10</v>
      </c>
      <c r="L212" s="26"/>
      <c r="M212" s="26"/>
      <c r="N212" s="929">
        <f t="shared" ref="N212:N217" si="68">I212+K212</f>
        <v>-3.4924596548080444E-10</v>
      </c>
      <c r="O212" s="26"/>
      <c r="P212" s="928">
        <f t="shared" ref="P212:P217" si="69">(N200+N212+SUM(N201:N211)*2)/24</f>
        <v>-3.4924596548080444E-10</v>
      </c>
      <c r="Q212" s="13">
        <f t="shared" ref="Q212:Q217" si="70">(I200+I212+SUM(I201:I211)*2)/24</f>
        <v>0</v>
      </c>
      <c r="R212" s="928">
        <f t="shared" ref="R212:R217" si="71">(K200+K212+SUM(K201:K211)*2)/24</f>
        <v>-3.4924596548080444E-10</v>
      </c>
    </row>
    <row r="213" spans="1:18" ht="15" customHeight="1">
      <c r="A213" s="11">
        <v>43313</v>
      </c>
      <c r="C213" s="13">
        <f t="shared" si="62"/>
        <v>0</v>
      </c>
      <c r="D213" s="3"/>
      <c r="E213" s="928">
        <v>0</v>
      </c>
      <c r="F213" s="13"/>
      <c r="G213" s="13">
        <f t="shared" si="65"/>
        <v>0</v>
      </c>
      <c r="I213" s="928">
        <f t="shared" si="66"/>
        <v>0</v>
      </c>
      <c r="J213" s="928"/>
      <c r="K213" s="929">
        <f t="shared" si="67"/>
        <v>-3.4924596548080444E-10</v>
      </c>
      <c r="L213" s="26"/>
      <c r="M213" s="26"/>
      <c r="N213" s="929">
        <f t="shared" si="68"/>
        <v>-3.4924596548080444E-10</v>
      </c>
      <c r="O213" s="26"/>
      <c r="P213" s="928">
        <f t="shared" si="69"/>
        <v>-3.4924596548080444E-10</v>
      </c>
      <c r="Q213" s="13">
        <f t="shared" si="70"/>
        <v>0</v>
      </c>
      <c r="R213" s="928">
        <f t="shared" si="71"/>
        <v>-3.4924596548080444E-10</v>
      </c>
    </row>
    <row r="214" spans="1:18" ht="15" customHeight="1">
      <c r="A214" s="11">
        <v>43344</v>
      </c>
      <c r="C214" s="13">
        <f t="shared" si="62"/>
        <v>0</v>
      </c>
      <c r="D214" s="3"/>
      <c r="E214" s="928">
        <v>0</v>
      </c>
      <c r="F214" s="13"/>
      <c r="G214" s="13">
        <f t="shared" si="65"/>
        <v>0</v>
      </c>
      <c r="I214" s="928">
        <f t="shared" si="66"/>
        <v>0</v>
      </c>
      <c r="J214" s="928"/>
      <c r="K214" s="929">
        <f t="shared" si="67"/>
        <v>-3.4924596548080444E-10</v>
      </c>
      <c r="L214" s="26"/>
      <c r="M214" s="26"/>
      <c r="N214" s="929">
        <f t="shared" si="68"/>
        <v>-3.4924596548080444E-10</v>
      </c>
      <c r="O214" s="26"/>
      <c r="P214" s="928">
        <f t="shared" si="69"/>
        <v>-3.4924596548080444E-10</v>
      </c>
      <c r="Q214" s="13">
        <f t="shared" si="70"/>
        <v>0</v>
      </c>
      <c r="R214" s="928">
        <f t="shared" si="71"/>
        <v>-3.4924596548080444E-10</v>
      </c>
    </row>
    <row r="215" spans="1:18" ht="15" customHeight="1">
      <c r="A215" s="11">
        <v>43374</v>
      </c>
      <c r="C215" s="13">
        <f t="shared" si="62"/>
        <v>0</v>
      </c>
      <c r="D215" s="3"/>
      <c r="E215" s="928">
        <v>0</v>
      </c>
      <c r="F215" s="13"/>
      <c r="G215" s="13">
        <f t="shared" si="65"/>
        <v>0</v>
      </c>
      <c r="I215" s="928">
        <f t="shared" si="66"/>
        <v>0</v>
      </c>
      <c r="J215" s="928"/>
      <c r="K215" s="929">
        <f t="shared" si="67"/>
        <v>-3.4924596548080444E-10</v>
      </c>
      <c r="L215" s="26"/>
      <c r="M215" s="26"/>
      <c r="N215" s="929">
        <f t="shared" si="68"/>
        <v>-3.4924596548080444E-10</v>
      </c>
      <c r="O215" s="26"/>
      <c r="P215" s="928">
        <f t="shared" si="69"/>
        <v>-3.4924596548080444E-10</v>
      </c>
      <c r="Q215" s="13">
        <f t="shared" si="70"/>
        <v>0</v>
      </c>
      <c r="R215" s="928">
        <f t="shared" si="71"/>
        <v>-3.4924596548080444E-10</v>
      </c>
    </row>
    <row r="216" spans="1:18" ht="15" customHeight="1">
      <c r="A216" s="11">
        <v>43405</v>
      </c>
      <c r="C216" s="13">
        <f t="shared" si="62"/>
        <v>0</v>
      </c>
      <c r="D216" s="3"/>
      <c r="E216" s="928">
        <v>0</v>
      </c>
      <c r="F216" s="13"/>
      <c r="G216" s="13">
        <f>+G215+E216</f>
        <v>0</v>
      </c>
      <c r="I216" s="928">
        <f t="shared" si="66"/>
        <v>0</v>
      </c>
      <c r="J216" s="928"/>
      <c r="K216" s="929">
        <f t="shared" si="67"/>
        <v>-3.4924596548080444E-10</v>
      </c>
      <c r="L216" s="26"/>
      <c r="M216" s="26"/>
      <c r="N216" s="929">
        <f t="shared" si="68"/>
        <v>-3.4924596548080444E-10</v>
      </c>
      <c r="O216" s="26"/>
      <c r="P216" s="928">
        <f t="shared" si="69"/>
        <v>-3.4924596548080444E-10</v>
      </c>
      <c r="Q216" s="13">
        <f t="shared" si="70"/>
        <v>0</v>
      </c>
      <c r="R216" s="928">
        <f t="shared" si="71"/>
        <v>-3.4924596548080444E-10</v>
      </c>
    </row>
    <row r="217" spans="1:18" ht="15" customHeight="1">
      <c r="A217" s="11">
        <v>43435</v>
      </c>
      <c r="C217" s="13">
        <f t="shared" si="62"/>
        <v>0</v>
      </c>
      <c r="D217" s="3"/>
      <c r="E217" s="928">
        <v>0</v>
      </c>
      <c r="F217" s="13"/>
      <c r="G217" s="13">
        <f t="shared" si="65"/>
        <v>0</v>
      </c>
      <c r="I217" s="928">
        <f t="shared" si="66"/>
        <v>0</v>
      </c>
      <c r="J217" s="928"/>
      <c r="K217" s="929">
        <f t="shared" si="67"/>
        <v>-3.4924596548080444E-10</v>
      </c>
      <c r="L217" s="26"/>
      <c r="M217" s="26"/>
      <c r="N217" s="929">
        <f t="shared" si="68"/>
        <v>-3.4924596548080444E-10</v>
      </c>
      <c r="O217" s="26"/>
      <c r="P217" s="1017">
        <f t="shared" si="69"/>
        <v>-3.4924596548080444E-10</v>
      </c>
      <c r="Q217" s="13">
        <f t="shared" si="70"/>
        <v>0</v>
      </c>
      <c r="R217" s="928">
        <f t="shared" si="71"/>
        <v>-3.4924596548080444E-10</v>
      </c>
    </row>
    <row r="218" spans="1:18" ht="15" customHeight="1">
      <c r="C218" s="3"/>
      <c r="D218" s="3"/>
      <c r="R218" s="928"/>
    </row>
    <row r="219" spans="1:18">
      <c r="C219" s="3"/>
      <c r="D219" s="3"/>
      <c r="P219" s="13"/>
      <c r="R219" s="928"/>
    </row>
    <row r="220" spans="1:18">
      <c r="C220" s="3"/>
      <c r="D220" s="3"/>
      <c r="R220" s="928"/>
    </row>
    <row r="221" spans="1:18">
      <c r="C221" s="3"/>
      <c r="D221" s="3"/>
      <c r="R221" s="928"/>
    </row>
    <row r="222" spans="1:18">
      <c r="C222" s="3"/>
      <c r="D222" s="3"/>
      <c r="R222" s="928"/>
    </row>
    <row r="223" spans="1:18">
      <c r="C223" s="3"/>
      <c r="D223" s="3"/>
      <c r="R223" s="928"/>
    </row>
    <row r="224" spans="1:18">
      <c r="C224" s="3"/>
      <c r="D224" s="3"/>
      <c r="R224" s="928"/>
    </row>
    <row r="225" spans="3:18">
      <c r="C225" s="3"/>
      <c r="D225" s="3"/>
      <c r="R225" s="928"/>
    </row>
    <row r="226" spans="3:18">
      <c r="C226" s="3"/>
      <c r="D226" s="3"/>
      <c r="R226" s="928"/>
    </row>
    <row r="227" spans="3:18">
      <c r="C227" s="3"/>
      <c r="D227" s="3"/>
    </row>
    <row r="228" spans="3:18">
      <c r="C228" s="3"/>
      <c r="D228" s="3"/>
    </row>
    <row r="229" spans="3:18">
      <c r="C229" s="3"/>
      <c r="D229" s="3"/>
    </row>
    <row r="230" spans="3:18">
      <c r="C230" s="3"/>
      <c r="D230" s="3"/>
    </row>
    <row r="231" spans="3:18">
      <c r="C231" s="3"/>
      <c r="D231" s="3"/>
    </row>
    <row r="232" spans="3:18">
      <c r="C232" s="3"/>
      <c r="D232" s="3"/>
    </row>
  </sheetData>
  <mergeCells count="3">
    <mergeCell ref="E4:G4"/>
    <mergeCell ref="E5:G5"/>
    <mergeCell ref="K4:M4"/>
  </mergeCells>
  <phoneticPr fontId="7" type="noConversion"/>
  <printOptions horizontalCentered="1"/>
  <pageMargins left="0.5" right="0.5" top="0.35" bottom="0.48" header="0.11" footer="0"/>
  <pageSetup scale="62" fitToHeight="4" orientation="portrait" cellComments="asDisplayed" r:id="rId1"/>
  <headerFooter alignWithMargins="0">
    <oddFooter>&amp;RPage 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W146"/>
  <sheetViews>
    <sheetView zoomScale="88" zoomScaleNormal="88" workbookViewId="0">
      <pane xSplit="1" ySplit="11" topLeftCell="E12" activePane="bottomRight" state="frozen"/>
      <selection activeCell="D269" sqref="D269"/>
      <selection pane="topRight" activeCell="D269" sqref="D269"/>
      <selection pane="bottomLeft" activeCell="D269" sqref="D269"/>
      <selection pane="bottomRight" activeCell="Q18" sqref="Q18"/>
    </sheetView>
  </sheetViews>
  <sheetFormatPr defaultRowHeight="12.95" customHeight="1" outlineLevelRow="1" outlineLevelCol="1"/>
  <cols>
    <col min="1" max="1" width="23.42578125" customWidth="1"/>
    <col min="2" max="3" width="15.5703125" bestFit="1" customWidth="1"/>
    <col min="4" max="4" width="1.85546875" customWidth="1"/>
    <col min="5" max="5" width="23.85546875" customWidth="1"/>
    <col min="6" max="6" width="15.85546875" customWidth="1"/>
    <col min="7" max="7" width="1.85546875" customWidth="1"/>
    <col min="8" max="9" width="14.42578125" bestFit="1" customWidth="1"/>
    <col min="10" max="10" width="1.85546875" customWidth="1"/>
    <col min="11" max="11" width="16.28515625" customWidth="1"/>
    <col min="12" max="12" width="15.42578125" bestFit="1" customWidth="1"/>
    <col min="13" max="13" width="1.85546875" customWidth="1"/>
    <col min="14" max="14" width="16" customWidth="1"/>
    <col min="15" max="15" width="15.5703125" bestFit="1" customWidth="1"/>
    <col min="16" max="16" width="16.42578125" bestFit="1" customWidth="1"/>
    <col min="17" max="17" width="15.42578125" bestFit="1" customWidth="1"/>
    <col min="18" max="18" width="15.5703125" bestFit="1" customWidth="1"/>
    <col min="19" max="19" width="14.7109375" customWidth="1" outlineLevel="1"/>
    <col min="20" max="20" width="13.140625" customWidth="1" outlineLevel="1"/>
    <col min="21" max="21" width="9.140625" customWidth="1" outlineLevel="1"/>
    <col min="23" max="23" width="13.7109375" customWidth="1"/>
  </cols>
  <sheetData>
    <row r="1" spans="1:21" ht="12.95" customHeight="1">
      <c r="A1" s="32" t="s">
        <v>197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1" ht="12.95" customHeight="1">
      <c r="A2" s="34" t="s">
        <v>130</v>
      </c>
      <c r="D2" s="33"/>
      <c r="E2" s="35">
        <v>3529527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21" ht="12.95" customHeight="1">
      <c r="A3" s="34" t="s">
        <v>131</v>
      </c>
      <c r="D3" s="33"/>
      <c r="E3" s="1105" t="s">
        <v>644</v>
      </c>
      <c r="F3" s="1094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21" ht="12.95" customHeight="1">
      <c r="A4" s="32" t="s">
        <v>132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21" ht="12.95" customHeight="1">
      <c r="A5" s="32" t="s">
        <v>133</v>
      </c>
      <c r="D5" s="33"/>
      <c r="E5" s="696">
        <v>108</v>
      </c>
      <c r="F5" s="36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21" ht="12.95" customHeight="1">
      <c r="A6" s="32" t="s">
        <v>97</v>
      </c>
      <c r="D6" s="33"/>
      <c r="E6" s="37" t="s">
        <v>98</v>
      </c>
      <c r="F6" s="33"/>
      <c r="G6" s="33"/>
      <c r="H6" s="33"/>
      <c r="I6" s="33"/>
      <c r="J6" s="33"/>
      <c r="K6" s="33"/>
      <c r="L6" s="33"/>
      <c r="M6" s="33"/>
      <c r="N6" s="361"/>
      <c r="O6" s="1091" t="s">
        <v>198</v>
      </c>
      <c r="P6" s="33"/>
    </row>
    <row r="7" spans="1:21" ht="12.95" customHeight="1" thickBo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21" ht="12.95" customHeight="1">
      <c r="A8" s="38" t="s">
        <v>99</v>
      </c>
      <c r="B8" s="39" t="s">
        <v>134</v>
      </c>
      <c r="C8" s="40"/>
      <c r="D8" s="41"/>
      <c r="E8" s="42" t="s">
        <v>3</v>
      </c>
      <c r="F8" s="42"/>
      <c r="G8" s="41"/>
      <c r="H8" s="42" t="s">
        <v>100</v>
      </c>
      <c r="I8" s="42"/>
      <c r="J8" s="41"/>
      <c r="K8" s="42" t="s">
        <v>101</v>
      </c>
      <c r="L8" s="42"/>
      <c r="M8" s="110"/>
      <c r="N8" s="43" t="s">
        <v>102</v>
      </c>
      <c r="O8" s="43" t="s">
        <v>103</v>
      </c>
      <c r="P8" s="38" t="s">
        <v>104</v>
      </c>
      <c r="Q8" s="43" t="s">
        <v>29</v>
      </c>
      <c r="R8" s="43" t="s">
        <v>26</v>
      </c>
    </row>
    <row r="9" spans="1:21" ht="12.95" customHeight="1">
      <c r="A9" s="44"/>
      <c r="B9" s="45" t="s">
        <v>105</v>
      </c>
      <c r="C9" s="46" t="s">
        <v>106</v>
      </c>
      <c r="D9" s="47"/>
      <c r="E9" s="45" t="s">
        <v>105</v>
      </c>
      <c r="F9" s="46" t="s">
        <v>106</v>
      </c>
      <c r="G9" s="47"/>
      <c r="H9" s="45" t="s">
        <v>105</v>
      </c>
      <c r="I9" s="46" t="s">
        <v>106</v>
      </c>
      <c r="J9" s="47"/>
      <c r="K9" s="45" t="s">
        <v>105</v>
      </c>
      <c r="L9" s="46" t="s">
        <v>106</v>
      </c>
      <c r="M9" s="44"/>
      <c r="N9" s="47" t="s">
        <v>107</v>
      </c>
      <c r="O9" s="48">
        <v>0.35</v>
      </c>
      <c r="P9" s="49" t="s">
        <v>135</v>
      </c>
      <c r="Q9" s="48" t="s">
        <v>24</v>
      </c>
      <c r="R9" s="48" t="s">
        <v>27</v>
      </c>
    </row>
    <row r="10" spans="1:21" ht="12.95" customHeight="1">
      <c r="A10" s="44"/>
      <c r="B10" s="45" t="s">
        <v>30</v>
      </c>
      <c r="C10" s="46" t="s">
        <v>31</v>
      </c>
      <c r="D10" s="47"/>
      <c r="E10" s="45" t="s">
        <v>108</v>
      </c>
      <c r="F10" s="46" t="s">
        <v>136</v>
      </c>
      <c r="G10" s="47"/>
      <c r="H10" s="45" t="s">
        <v>137</v>
      </c>
      <c r="I10" s="46" t="s">
        <v>138</v>
      </c>
      <c r="J10" s="47"/>
      <c r="K10" s="45"/>
      <c r="L10" s="46"/>
      <c r="M10" s="44"/>
      <c r="N10" s="47"/>
      <c r="O10" s="48">
        <v>0.21</v>
      </c>
      <c r="P10" s="49" t="s">
        <v>139</v>
      </c>
      <c r="Q10" s="48"/>
      <c r="R10" s="48" t="s">
        <v>140</v>
      </c>
    </row>
    <row r="11" spans="1:21" ht="12.95" customHeight="1" thickBot="1">
      <c r="A11" s="50"/>
      <c r="B11" s="51"/>
      <c r="C11" s="52"/>
      <c r="D11" s="50"/>
      <c r="E11" s="51"/>
      <c r="F11" s="52" t="s">
        <v>96</v>
      </c>
      <c r="G11" s="50"/>
      <c r="H11" s="51" t="s">
        <v>141</v>
      </c>
      <c r="I11" s="52" t="s">
        <v>142</v>
      </c>
      <c r="J11" s="50"/>
      <c r="K11" s="51" t="s">
        <v>109</v>
      </c>
      <c r="L11" s="52" t="s">
        <v>110</v>
      </c>
      <c r="M11" s="61"/>
      <c r="N11" s="50" t="s">
        <v>111</v>
      </c>
      <c r="O11" s="53" t="s">
        <v>112</v>
      </c>
      <c r="P11" s="54" t="s">
        <v>143</v>
      </c>
      <c r="Q11" s="111" t="s">
        <v>144</v>
      </c>
      <c r="R11" s="111" t="s">
        <v>145</v>
      </c>
    </row>
    <row r="12" spans="1:21" ht="12.95" customHeight="1" thickTop="1">
      <c r="A12" s="699"/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</row>
    <row r="13" spans="1:21" ht="12.95" customHeight="1" outlineLevel="1">
      <c r="A13" s="112">
        <v>39752</v>
      </c>
      <c r="B13" s="55">
        <f>-E2</f>
        <v>-3529527</v>
      </c>
      <c r="C13" s="55">
        <f>-E2</f>
        <v>-3529527</v>
      </c>
      <c r="D13" s="56"/>
      <c r="E13" s="55">
        <f>B13</f>
        <v>-3529527</v>
      </c>
      <c r="F13" s="57"/>
      <c r="G13" s="57"/>
      <c r="H13" s="57">
        <f>-E13</f>
        <v>3529527</v>
      </c>
      <c r="I13" s="57"/>
      <c r="J13" s="57"/>
      <c r="K13" s="57">
        <f t="shared" ref="K13:L28" si="0">B13+H13</f>
        <v>0</v>
      </c>
      <c r="L13" s="57">
        <f t="shared" si="0"/>
        <v>-3529527</v>
      </c>
      <c r="M13" s="57"/>
      <c r="N13" s="57">
        <f>L13-K13</f>
        <v>-3529527</v>
      </c>
      <c r="O13" s="57">
        <f>-N13*$O$9-334</f>
        <v>1235000.45</v>
      </c>
      <c r="P13" s="57">
        <f>-O13+O12</f>
        <v>-1235000.45</v>
      </c>
      <c r="Q13" s="57">
        <f t="shared" ref="Q13:Q49" si="1">L13+O13</f>
        <v>-2294526.5499999998</v>
      </c>
      <c r="R13" s="57">
        <f>(0+Q13+SUM(0)*2)/24</f>
        <v>-95605.272916666654</v>
      </c>
      <c r="U13" s="697"/>
    </row>
    <row r="14" spans="1:21" ht="12.95" customHeight="1" outlineLevel="1">
      <c r="A14" s="113">
        <v>39782</v>
      </c>
      <c r="B14" s="59">
        <f t="shared" ref="B14:C25" si="2">B13</f>
        <v>-3529527</v>
      </c>
      <c r="C14" s="59">
        <f t="shared" si="2"/>
        <v>-3529527</v>
      </c>
      <c r="D14" s="58"/>
      <c r="E14" s="59">
        <v>0</v>
      </c>
      <c r="F14" s="59">
        <v>0</v>
      </c>
      <c r="G14" s="58"/>
      <c r="H14" s="59">
        <f t="shared" ref="H14:I29" si="3">H13-E14</f>
        <v>3529527</v>
      </c>
      <c r="I14" s="59"/>
      <c r="J14" s="58"/>
      <c r="K14" s="59">
        <f t="shared" si="0"/>
        <v>0</v>
      </c>
      <c r="L14" s="59">
        <f t="shared" si="0"/>
        <v>-3529527</v>
      </c>
      <c r="M14" s="58"/>
      <c r="N14" s="59">
        <f>L14-K14</f>
        <v>-3529527</v>
      </c>
      <c r="O14" s="59">
        <f t="shared" ref="O14:O29" si="4">-N14*$O$9-334</f>
        <v>1235000.45</v>
      </c>
      <c r="P14" s="59">
        <f>-O14+O13</f>
        <v>0</v>
      </c>
      <c r="Q14" s="59">
        <f t="shared" si="1"/>
        <v>-2294526.5499999998</v>
      </c>
      <c r="R14" s="59">
        <f>(0+Q14+SUM($Q$13:Q13)*2)/24</f>
        <v>-286815.81874999998</v>
      </c>
      <c r="U14" s="697"/>
    </row>
    <row r="15" spans="1:21" ht="12.95" customHeight="1" outlineLevel="1">
      <c r="A15" s="113">
        <v>39813</v>
      </c>
      <c r="B15" s="59">
        <f t="shared" si="2"/>
        <v>-3529527</v>
      </c>
      <c r="C15" s="59">
        <f t="shared" si="2"/>
        <v>-3529527</v>
      </c>
      <c r="D15" s="58"/>
      <c r="E15" s="59">
        <v>0</v>
      </c>
      <c r="F15" s="59">
        <v>0</v>
      </c>
      <c r="G15" s="58"/>
      <c r="H15" s="59">
        <f t="shared" si="3"/>
        <v>3529527</v>
      </c>
      <c r="I15" s="59"/>
      <c r="J15" s="58"/>
      <c r="K15" s="59">
        <f t="shared" si="0"/>
        <v>0</v>
      </c>
      <c r="L15" s="59">
        <f t="shared" si="0"/>
        <v>-3529527</v>
      </c>
      <c r="M15" s="58"/>
      <c r="N15" s="59">
        <f t="shared" ref="N15:N49" si="5">L15-K15</f>
        <v>-3529527</v>
      </c>
      <c r="O15" s="59">
        <f t="shared" si="4"/>
        <v>1235000.45</v>
      </c>
      <c r="P15" s="59">
        <f>-O15+O14</f>
        <v>0</v>
      </c>
      <c r="Q15" s="59">
        <f t="shared" si="1"/>
        <v>-2294526.5499999998</v>
      </c>
      <c r="R15" s="59">
        <f>(0+Q15+SUM($Q$13:Q14)*2)/24</f>
        <v>-478026.36458333331</v>
      </c>
      <c r="U15" s="697"/>
    </row>
    <row r="16" spans="1:21" ht="12.95" customHeight="1" outlineLevel="1">
      <c r="A16" s="113">
        <v>39844</v>
      </c>
      <c r="B16" s="59">
        <f t="shared" si="2"/>
        <v>-3529527</v>
      </c>
      <c r="C16" s="59">
        <f t="shared" si="2"/>
        <v>-3529527</v>
      </c>
      <c r="D16" s="58"/>
      <c r="E16" s="59">
        <v>0</v>
      </c>
      <c r="F16" s="59">
        <v>0</v>
      </c>
      <c r="G16" s="58"/>
      <c r="H16" s="59">
        <f t="shared" si="3"/>
        <v>3529527</v>
      </c>
      <c r="I16" s="59"/>
      <c r="J16" s="58"/>
      <c r="K16" s="59">
        <f t="shared" si="0"/>
        <v>0</v>
      </c>
      <c r="L16" s="59">
        <f t="shared" si="0"/>
        <v>-3529527</v>
      </c>
      <c r="M16" s="58"/>
      <c r="N16" s="59">
        <f t="shared" si="5"/>
        <v>-3529527</v>
      </c>
      <c r="O16" s="59">
        <f t="shared" si="4"/>
        <v>1235000.45</v>
      </c>
      <c r="P16" s="59">
        <f t="shared" ref="P16:P25" si="6">-O16+O15</f>
        <v>0</v>
      </c>
      <c r="Q16" s="59">
        <f t="shared" si="1"/>
        <v>-2294526.5499999998</v>
      </c>
      <c r="R16" s="59">
        <f>(0+Q16+SUM($Q$13:Q15)*2)/24</f>
        <v>-669236.91041666653</v>
      </c>
      <c r="U16" s="697"/>
    </row>
    <row r="17" spans="1:21" ht="12.95" customHeight="1" outlineLevel="1">
      <c r="A17" s="113">
        <v>39872</v>
      </c>
      <c r="B17" s="59">
        <f t="shared" si="2"/>
        <v>-3529527</v>
      </c>
      <c r="C17" s="59">
        <f t="shared" si="2"/>
        <v>-3529527</v>
      </c>
      <c r="D17" s="58"/>
      <c r="E17" s="59">
        <v>0</v>
      </c>
      <c r="F17" s="59">
        <v>0</v>
      </c>
      <c r="G17" s="58"/>
      <c r="H17" s="59">
        <f t="shared" si="3"/>
        <v>3529527</v>
      </c>
      <c r="I17" s="59"/>
      <c r="J17" s="58"/>
      <c r="K17" s="59">
        <f t="shared" si="0"/>
        <v>0</v>
      </c>
      <c r="L17" s="59">
        <f t="shared" si="0"/>
        <v>-3529527</v>
      </c>
      <c r="M17" s="58"/>
      <c r="N17" s="59">
        <f t="shared" si="5"/>
        <v>-3529527</v>
      </c>
      <c r="O17" s="59">
        <f t="shared" si="4"/>
        <v>1235000.45</v>
      </c>
      <c r="P17" s="59">
        <f t="shared" si="6"/>
        <v>0</v>
      </c>
      <c r="Q17" s="59">
        <f t="shared" si="1"/>
        <v>-2294526.5499999998</v>
      </c>
      <c r="R17" s="59">
        <f>(0+Q17+SUM($Q$13:Q16)*2)/24</f>
        <v>-860447.45624999993</v>
      </c>
      <c r="U17" s="697"/>
    </row>
    <row r="18" spans="1:21" ht="12.95" customHeight="1" outlineLevel="1">
      <c r="A18" s="113">
        <v>39903</v>
      </c>
      <c r="B18" s="59">
        <f t="shared" si="2"/>
        <v>-3529527</v>
      </c>
      <c r="C18" s="59">
        <f t="shared" si="2"/>
        <v>-3529527</v>
      </c>
      <c r="D18" s="58"/>
      <c r="E18" s="59">
        <v>0</v>
      </c>
      <c r="F18" s="59">
        <v>0</v>
      </c>
      <c r="G18" s="58"/>
      <c r="H18" s="59">
        <f t="shared" si="3"/>
        <v>3529527</v>
      </c>
      <c r="I18" s="59"/>
      <c r="J18" s="58"/>
      <c r="K18" s="59">
        <f t="shared" si="0"/>
        <v>0</v>
      </c>
      <c r="L18" s="59">
        <f t="shared" si="0"/>
        <v>-3529527</v>
      </c>
      <c r="M18" s="58"/>
      <c r="N18" s="59">
        <f t="shared" si="5"/>
        <v>-3529527</v>
      </c>
      <c r="O18" s="59">
        <f t="shared" si="4"/>
        <v>1235000.45</v>
      </c>
      <c r="P18" s="59">
        <f t="shared" si="6"/>
        <v>0</v>
      </c>
      <c r="Q18" s="59">
        <f>L18+O18</f>
        <v>-2294526.5499999998</v>
      </c>
      <c r="R18" s="59">
        <f>(0+Q18+SUM($Q$13:Q17)*2)/24</f>
        <v>-1051658.0020833334</v>
      </c>
      <c r="U18" s="697"/>
    </row>
    <row r="19" spans="1:21" ht="12.95" customHeight="1" outlineLevel="1">
      <c r="A19" s="113">
        <v>39933</v>
      </c>
      <c r="B19" s="59">
        <f t="shared" si="2"/>
        <v>-3529527</v>
      </c>
      <c r="C19" s="59">
        <f t="shared" si="2"/>
        <v>-3529527</v>
      </c>
      <c r="D19" s="58"/>
      <c r="E19" s="59">
        <v>0</v>
      </c>
      <c r="F19" s="115">
        <v>0</v>
      </c>
      <c r="G19" s="58"/>
      <c r="H19" s="59">
        <f t="shared" si="3"/>
        <v>3529527</v>
      </c>
      <c r="I19" s="59"/>
      <c r="J19" s="58"/>
      <c r="K19" s="59">
        <f t="shared" si="0"/>
        <v>0</v>
      </c>
      <c r="L19" s="59">
        <f t="shared" si="0"/>
        <v>-3529527</v>
      </c>
      <c r="M19" s="58"/>
      <c r="N19" s="59">
        <f t="shared" si="5"/>
        <v>-3529527</v>
      </c>
      <c r="O19" s="59">
        <f t="shared" si="4"/>
        <v>1235000.45</v>
      </c>
      <c r="P19" s="59">
        <f t="shared" si="6"/>
        <v>0</v>
      </c>
      <c r="Q19" s="59">
        <f t="shared" si="1"/>
        <v>-2294526.5499999998</v>
      </c>
      <c r="R19" s="59">
        <f>(0+Q19+SUM($Q$13:Q18)*2)/24</f>
        <v>-1242868.5479166668</v>
      </c>
      <c r="U19" s="697"/>
    </row>
    <row r="20" spans="1:21" ht="12.95" customHeight="1" outlineLevel="1">
      <c r="A20" s="113">
        <v>39964</v>
      </c>
      <c r="B20" s="59">
        <f t="shared" si="2"/>
        <v>-3529527</v>
      </c>
      <c r="C20" s="59">
        <f t="shared" si="2"/>
        <v>-3529527</v>
      </c>
      <c r="D20" s="58"/>
      <c r="E20" s="59">
        <v>0</v>
      </c>
      <c r="F20" s="115">
        <v>0</v>
      </c>
      <c r="G20" s="58"/>
      <c r="H20" s="59">
        <f t="shared" si="3"/>
        <v>3529527</v>
      </c>
      <c r="I20" s="59"/>
      <c r="J20" s="58"/>
      <c r="K20" s="59">
        <f t="shared" si="0"/>
        <v>0</v>
      </c>
      <c r="L20" s="59">
        <f t="shared" si="0"/>
        <v>-3529527</v>
      </c>
      <c r="M20" s="58"/>
      <c r="N20" s="59">
        <f t="shared" si="5"/>
        <v>-3529527</v>
      </c>
      <c r="O20" s="59">
        <f t="shared" si="4"/>
        <v>1235000.45</v>
      </c>
      <c r="P20" s="59">
        <f t="shared" si="6"/>
        <v>0</v>
      </c>
      <c r="Q20" s="59">
        <f t="shared" si="1"/>
        <v>-2294526.5499999998</v>
      </c>
      <c r="R20" s="59">
        <f>(0+Q20+SUM($Q$13:Q19)*2)/24</f>
        <v>-1434079.09375</v>
      </c>
      <c r="U20" s="697"/>
    </row>
    <row r="21" spans="1:21" ht="12.95" customHeight="1" outlineLevel="1">
      <c r="A21" s="113">
        <v>39994</v>
      </c>
      <c r="B21" s="59">
        <f t="shared" si="2"/>
        <v>-3529527</v>
      </c>
      <c r="C21" s="59">
        <f t="shared" si="2"/>
        <v>-3529527</v>
      </c>
      <c r="D21" s="58"/>
      <c r="E21" s="59">
        <v>0</v>
      </c>
      <c r="F21" s="115">
        <v>0</v>
      </c>
      <c r="G21" s="58"/>
      <c r="H21" s="59">
        <f t="shared" si="3"/>
        <v>3529527</v>
      </c>
      <c r="I21" s="59"/>
      <c r="J21" s="58"/>
      <c r="K21" s="59">
        <f t="shared" si="0"/>
        <v>0</v>
      </c>
      <c r="L21" s="59">
        <f t="shared" si="0"/>
        <v>-3529527</v>
      </c>
      <c r="M21" s="58"/>
      <c r="N21" s="59">
        <f t="shared" si="5"/>
        <v>-3529527</v>
      </c>
      <c r="O21" s="59">
        <f t="shared" si="4"/>
        <v>1235000.45</v>
      </c>
      <c r="P21" s="59">
        <f t="shared" si="6"/>
        <v>0</v>
      </c>
      <c r="Q21" s="59">
        <f t="shared" si="1"/>
        <v>-2294526.5499999998</v>
      </c>
      <c r="R21" s="59">
        <f>(0+Q21+SUM($Q$13:Q20)*2)/24</f>
        <v>-1625289.6395833334</v>
      </c>
      <c r="U21" s="697"/>
    </row>
    <row r="22" spans="1:21" ht="12.95" customHeight="1" outlineLevel="1">
      <c r="A22" s="113">
        <v>40025</v>
      </c>
      <c r="B22" s="59">
        <f t="shared" si="2"/>
        <v>-3529527</v>
      </c>
      <c r="C22" s="59">
        <f t="shared" si="2"/>
        <v>-3529527</v>
      </c>
      <c r="D22" s="58"/>
      <c r="E22" s="59">
        <v>0</v>
      </c>
      <c r="F22" s="115">
        <v>0</v>
      </c>
      <c r="G22" s="58"/>
      <c r="H22" s="59">
        <f t="shared" si="3"/>
        <v>3529527</v>
      </c>
      <c r="I22" s="59"/>
      <c r="J22" s="58"/>
      <c r="K22" s="59">
        <f t="shared" si="0"/>
        <v>0</v>
      </c>
      <c r="L22" s="59">
        <f t="shared" si="0"/>
        <v>-3529527</v>
      </c>
      <c r="M22" s="58"/>
      <c r="N22" s="59">
        <f t="shared" si="5"/>
        <v>-3529527</v>
      </c>
      <c r="O22" s="59">
        <f t="shared" si="4"/>
        <v>1235000.45</v>
      </c>
      <c r="P22" s="59">
        <f t="shared" si="6"/>
        <v>0</v>
      </c>
      <c r="Q22" s="59">
        <f t="shared" si="1"/>
        <v>-2294526.5499999998</v>
      </c>
      <c r="R22" s="59">
        <f>(0+Q22+SUM($Q$13:Q21)*2)/24</f>
        <v>-1816500.1854166668</v>
      </c>
      <c r="U22" s="697"/>
    </row>
    <row r="23" spans="1:21" ht="12.95" customHeight="1" outlineLevel="1">
      <c r="A23" s="113">
        <v>40056</v>
      </c>
      <c r="B23" s="59">
        <f t="shared" si="2"/>
        <v>-3529527</v>
      </c>
      <c r="C23" s="59">
        <f t="shared" si="2"/>
        <v>-3529527</v>
      </c>
      <c r="D23" s="58"/>
      <c r="E23" s="59">
        <v>0</v>
      </c>
      <c r="F23" s="115">
        <v>0</v>
      </c>
      <c r="G23" s="58"/>
      <c r="H23" s="59">
        <f t="shared" si="3"/>
        <v>3529527</v>
      </c>
      <c r="I23" s="59"/>
      <c r="J23" s="58"/>
      <c r="K23" s="59">
        <f t="shared" si="0"/>
        <v>0</v>
      </c>
      <c r="L23" s="59">
        <f t="shared" si="0"/>
        <v>-3529527</v>
      </c>
      <c r="M23" s="58"/>
      <c r="N23" s="59">
        <f t="shared" si="5"/>
        <v>-3529527</v>
      </c>
      <c r="O23" s="59">
        <f t="shared" si="4"/>
        <v>1235000.45</v>
      </c>
      <c r="P23" s="59">
        <f t="shared" si="6"/>
        <v>0</v>
      </c>
      <c r="Q23" s="59">
        <f t="shared" si="1"/>
        <v>-2294526.5499999998</v>
      </c>
      <c r="R23" s="59">
        <f>(0+Q23+SUM($Q$13:Q22)*2)/24</f>
        <v>-2007710.7312500002</v>
      </c>
      <c r="U23" s="697"/>
    </row>
    <row r="24" spans="1:21" ht="12.95" customHeight="1" outlineLevel="1">
      <c r="A24" s="113">
        <v>40086</v>
      </c>
      <c r="B24" s="59">
        <f t="shared" si="2"/>
        <v>-3529527</v>
      </c>
      <c r="C24" s="59">
        <f t="shared" si="2"/>
        <v>-3529527</v>
      </c>
      <c r="D24" s="58"/>
      <c r="E24" s="59">
        <v>0</v>
      </c>
      <c r="F24" s="115">
        <v>0</v>
      </c>
      <c r="G24" s="58"/>
      <c r="H24" s="59">
        <f t="shared" si="3"/>
        <v>3529527</v>
      </c>
      <c r="I24" s="59"/>
      <c r="J24" s="58"/>
      <c r="K24" s="59">
        <f t="shared" si="0"/>
        <v>0</v>
      </c>
      <c r="L24" s="59">
        <f t="shared" si="0"/>
        <v>-3529527</v>
      </c>
      <c r="M24" s="58"/>
      <c r="N24" s="59">
        <f t="shared" si="5"/>
        <v>-3529527</v>
      </c>
      <c r="O24" s="59">
        <f t="shared" si="4"/>
        <v>1235000.45</v>
      </c>
      <c r="P24" s="59">
        <f t="shared" si="6"/>
        <v>0</v>
      </c>
      <c r="Q24" s="59">
        <f t="shared" si="1"/>
        <v>-2294526.5499999998</v>
      </c>
      <c r="R24" s="59">
        <f t="shared" ref="R24:R62" si="7">(Q12+Q24+SUM(Q13:Q23)*2)/24</f>
        <v>-2198921.2770833336</v>
      </c>
      <c r="U24" s="697"/>
    </row>
    <row r="25" spans="1:21" ht="12.95" customHeight="1" outlineLevel="1">
      <c r="A25" s="113">
        <v>40117</v>
      </c>
      <c r="B25" s="59">
        <f t="shared" si="2"/>
        <v>-3529527</v>
      </c>
      <c r="C25" s="59">
        <f t="shared" si="2"/>
        <v>-3529527</v>
      </c>
      <c r="D25" s="58"/>
      <c r="E25" s="59">
        <v>0</v>
      </c>
      <c r="F25" s="115">
        <v>0</v>
      </c>
      <c r="G25" s="58"/>
      <c r="H25" s="59">
        <f t="shared" si="3"/>
        <v>3529527</v>
      </c>
      <c r="I25" s="59">
        <v>0</v>
      </c>
      <c r="J25" s="58"/>
      <c r="K25" s="59">
        <f t="shared" si="0"/>
        <v>0</v>
      </c>
      <c r="L25" s="59">
        <f t="shared" si="0"/>
        <v>-3529527</v>
      </c>
      <c r="M25" s="58"/>
      <c r="N25" s="59">
        <f t="shared" si="5"/>
        <v>-3529527</v>
      </c>
      <c r="O25" s="59">
        <f t="shared" si="4"/>
        <v>1235000.45</v>
      </c>
      <c r="P25" s="59">
        <f t="shared" si="6"/>
        <v>0</v>
      </c>
      <c r="Q25" s="59">
        <f t="shared" si="1"/>
        <v>-2294526.5499999998</v>
      </c>
      <c r="R25" s="59">
        <f t="shared" si="7"/>
        <v>-2294526.5500000003</v>
      </c>
      <c r="U25" s="697"/>
    </row>
    <row r="26" spans="1:21" ht="12.95" customHeight="1" outlineLevel="1">
      <c r="A26" s="113">
        <v>40147</v>
      </c>
      <c r="B26" s="59">
        <f>B25</f>
        <v>-3529527</v>
      </c>
      <c r="C26" s="59">
        <f>C25</f>
        <v>-3529527</v>
      </c>
      <c r="D26" s="58"/>
      <c r="E26" s="59">
        <v>0</v>
      </c>
      <c r="F26" s="148"/>
      <c r="G26" s="58"/>
      <c r="H26" s="59">
        <f>H25-E26</f>
        <v>3529527</v>
      </c>
      <c r="I26" s="59">
        <f t="shared" si="3"/>
        <v>0</v>
      </c>
      <c r="J26" s="58"/>
      <c r="K26" s="59">
        <f t="shared" si="0"/>
        <v>0</v>
      </c>
      <c r="L26" s="59">
        <f t="shared" si="0"/>
        <v>-3529527</v>
      </c>
      <c r="M26" s="58"/>
      <c r="N26" s="59">
        <f t="shared" si="5"/>
        <v>-3529527</v>
      </c>
      <c r="O26" s="59">
        <f t="shared" si="4"/>
        <v>1235000.45</v>
      </c>
      <c r="P26" s="59">
        <f>-O26+O25</f>
        <v>0</v>
      </c>
      <c r="Q26" s="59">
        <f>L26+O26</f>
        <v>-2294526.5499999998</v>
      </c>
      <c r="R26" s="59">
        <f t="shared" si="7"/>
        <v>-2294526.5500000003</v>
      </c>
      <c r="U26" s="697"/>
    </row>
    <row r="27" spans="1:21" ht="12.95" customHeight="1" outlineLevel="1">
      <c r="A27" s="113">
        <v>40178</v>
      </c>
      <c r="B27" s="59">
        <f>B26</f>
        <v>-3529527</v>
      </c>
      <c r="C27" s="59">
        <f t="shared" ref="C27:C67" si="8">C26</f>
        <v>-3529527</v>
      </c>
      <c r="D27" s="58"/>
      <c r="E27" s="59">
        <v>0</v>
      </c>
      <c r="F27" s="115"/>
      <c r="G27" s="58"/>
      <c r="H27" s="59">
        <f t="shared" si="3"/>
        <v>3529527</v>
      </c>
      <c r="I27" s="59">
        <f t="shared" si="3"/>
        <v>0</v>
      </c>
      <c r="J27" s="58"/>
      <c r="K27" s="59">
        <f t="shared" si="0"/>
        <v>0</v>
      </c>
      <c r="L27" s="59">
        <f>C27+I27</f>
        <v>-3529527</v>
      </c>
      <c r="M27" s="58"/>
      <c r="N27" s="59">
        <f t="shared" si="5"/>
        <v>-3529527</v>
      </c>
      <c r="O27" s="59">
        <f t="shared" si="4"/>
        <v>1235000.45</v>
      </c>
      <c r="P27" s="59">
        <f>-O27+O26</f>
        <v>0</v>
      </c>
      <c r="Q27" s="59">
        <f>L27+O27</f>
        <v>-2294526.5499999998</v>
      </c>
      <c r="R27" s="59">
        <f t="shared" si="7"/>
        <v>-2294526.5500000003</v>
      </c>
      <c r="U27" s="697"/>
    </row>
    <row r="28" spans="1:21" ht="12.95" customHeight="1" outlineLevel="1">
      <c r="A28" s="113">
        <v>40209</v>
      </c>
      <c r="B28" s="59">
        <f t="shared" ref="B28:B67" si="9">B27</f>
        <v>-3529527</v>
      </c>
      <c r="C28" s="59">
        <f t="shared" si="8"/>
        <v>-3529527</v>
      </c>
      <c r="D28" s="58"/>
      <c r="E28" s="59">
        <v>0</v>
      </c>
      <c r="F28" s="115"/>
      <c r="G28" s="58"/>
      <c r="H28" s="59">
        <f t="shared" si="3"/>
        <v>3529527</v>
      </c>
      <c r="I28" s="59">
        <f t="shared" si="3"/>
        <v>0</v>
      </c>
      <c r="J28" s="58"/>
      <c r="K28" s="59">
        <f t="shared" si="0"/>
        <v>0</v>
      </c>
      <c r="L28" s="59">
        <f t="shared" si="0"/>
        <v>-3529527</v>
      </c>
      <c r="M28" s="58"/>
      <c r="N28" s="59">
        <f t="shared" si="5"/>
        <v>-3529527</v>
      </c>
      <c r="O28" s="59">
        <f t="shared" si="4"/>
        <v>1235000.45</v>
      </c>
      <c r="P28" s="59">
        <f t="shared" ref="P28:P49" si="10">-O28+O27</f>
        <v>0</v>
      </c>
      <c r="Q28" s="59">
        <f t="shared" si="1"/>
        <v>-2294526.5499999998</v>
      </c>
      <c r="R28" s="59">
        <f t="shared" si="7"/>
        <v>-2294526.5500000003</v>
      </c>
      <c r="U28" s="697"/>
    </row>
    <row r="29" spans="1:21" ht="12.95" customHeight="1" outlineLevel="1">
      <c r="A29" s="113">
        <v>40237</v>
      </c>
      <c r="B29" s="59">
        <f t="shared" si="9"/>
        <v>-3529527</v>
      </c>
      <c r="C29" s="59">
        <f t="shared" si="8"/>
        <v>-3529527</v>
      </c>
      <c r="D29" s="58"/>
      <c r="E29" s="59">
        <v>0</v>
      </c>
      <c r="F29" s="115"/>
      <c r="G29" s="58"/>
      <c r="H29" s="59">
        <f t="shared" si="3"/>
        <v>3529527</v>
      </c>
      <c r="I29" s="59">
        <f t="shared" si="3"/>
        <v>0</v>
      </c>
      <c r="J29" s="58"/>
      <c r="K29" s="59">
        <f t="shared" ref="K29:L44" si="11">B29+H29</f>
        <v>0</v>
      </c>
      <c r="L29" s="59">
        <f t="shared" si="11"/>
        <v>-3529527</v>
      </c>
      <c r="M29" s="58"/>
      <c r="N29" s="59">
        <f t="shared" si="5"/>
        <v>-3529527</v>
      </c>
      <c r="O29" s="59">
        <f t="shared" si="4"/>
        <v>1235000.45</v>
      </c>
      <c r="P29" s="59">
        <f t="shared" si="10"/>
        <v>0</v>
      </c>
      <c r="Q29" s="59">
        <f t="shared" si="1"/>
        <v>-2294526.5499999998</v>
      </c>
      <c r="R29" s="59">
        <f t="shared" si="7"/>
        <v>-2294526.5500000003</v>
      </c>
      <c r="U29" s="697"/>
    </row>
    <row r="30" spans="1:21" s="109" customFormat="1" ht="12.95" customHeight="1" outlineLevel="1">
      <c r="A30" s="114">
        <v>40268</v>
      </c>
      <c r="B30" s="115">
        <f t="shared" si="9"/>
        <v>-3529527</v>
      </c>
      <c r="C30" s="115">
        <f t="shared" si="8"/>
        <v>-3529527</v>
      </c>
      <c r="D30" s="116"/>
      <c r="E30" s="115">
        <v>0</v>
      </c>
      <c r="F30" s="115"/>
      <c r="G30" s="116"/>
      <c r="H30" s="115">
        <f t="shared" ref="H30:I45" si="12">H29-E30</f>
        <v>3529527</v>
      </c>
      <c r="I30" s="115">
        <f>I29-F30</f>
        <v>0</v>
      </c>
      <c r="J30" s="116"/>
      <c r="K30" s="115">
        <f t="shared" si="11"/>
        <v>0</v>
      </c>
      <c r="L30" s="115">
        <f t="shared" si="11"/>
        <v>-3529527</v>
      </c>
      <c r="M30" s="116"/>
      <c r="N30" s="115">
        <f t="shared" si="5"/>
        <v>-3529527</v>
      </c>
      <c r="O30" s="59">
        <f>-N30*$O$9-334</f>
        <v>1235000.45</v>
      </c>
      <c r="P30" s="115">
        <f t="shared" si="10"/>
        <v>0</v>
      </c>
      <c r="Q30" s="115">
        <f t="shared" si="1"/>
        <v>-2294526.5499999998</v>
      </c>
      <c r="R30" s="115">
        <f t="shared" si="7"/>
        <v>-2294526.5500000003</v>
      </c>
      <c r="U30" s="697"/>
    </row>
    <row r="31" spans="1:21" ht="12.95" customHeight="1" outlineLevel="1">
      <c r="A31" s="113">
        <v>40298</v>
      </c>
      <c r="B31" s="59">
        <f t="shared" si="9"/>
        <v>-3529527</v>
      </c>
      <c r="C31" s="59">
        <f t="shared" si="8"/>
        <v>-3529527</v>
      </c>
      <c r="D31" s="58"/>
      <c r="E31" s="59">
        <v>0</v>
      </c>
      <c r="F31" s="59">
        <v>-196084.86</v>
      </c>
      <c r="G31" s="58"/>
      <c r="H31" s="59">
        <f t="shared" si="12"/>
        <v>3529527</v>
      </c>
      <c r="I31" s="59">
        <f>I30-F31</f>
        <v>196084.86</v>
      </c>
      <c r="J31" s="58"/>
      <c r="K31" s="59">
        <f t="shared" si="11"/>
        <v>0</v>
      </c>
      <c r="L31" s="59">
        <f>C31+I31</f>
        <v>-3333442.14</v>
      </c>
      <c r="M31" s="58"/>
      <c r="N31" s="59">
        <f>L31-K31</f>
        <v>-3333442.14</v>
      </c>
      <c r="O31" s="59">
        <f>O30</f>
        <v>1235000.45</v>
      </c>
      <c r="P31" s="59">
        <f t="shared" si="10"/>
        <v>0</v>
      </c>
      <c r="Q31" s="59">
        <f t="shared" si="1"/>
        <v>-2098441.6900000004</v>
      </c>
      <c r="R31" s="59">
        <f t="shared" si="7"/>
        <v>-2286356.3475000006</v>
      </c>
      <c r="U31" s="697"/>
    </row>
    <row r="32" spans="1:21" ht="12.95" customHeight="1" outlineLevel="1">
      <c r="A32" s="113">
        <v>40329</v>
      </c>
      <c r="B32" s="59">
        <f t="shared" si="9"/>
        <v>-3529527</v>
      </c>
      <c r="C32" s="59">
        <f t="shared" si="8"/>
        <v>-3529527</v>
      </c>
      <c r="D32" s="58"/>
      <c r="E32" s="59">
        <v>0</v>
      </c>
      <c r="F32" s="59">
        <f>$C$27/$E$5</f>
        <v>-32680.805555555555</v>
      </c>
      <c r="G32" s="58"/>
      <c r="H32" s="59">
        <f t="shared" si="12"/>
        <v>3529527</v>
      </c>
      <c r="I32" s="59">
        <f>I31-F32</f>
        <v>228765.66555555555</v>
      </c>
      <c r="J32" s="58"/>
      <c r="K32" s="59">
        <f t="shared" si="11"/>
        <v>0</v>
      </c>
      <c r="L32" s="59">
        <f t="shared" si="11"/>
        <v>-3300761.3344444446</v>
      </c>
      <c r="M32" s="58"/>
      <c r="N32" s="59">
        <f t="shared" si="5"/>
        <v>-3300761.3344444446</v>
      </c>
      <c r="O32" s="115">
        <f>O31</f>
        <v>1235000.45</v>
      </c>
      <c r="P32" s="115">
        <f>-O32+O31</f>
        <v>0</v>
      </c>
      <c r="Q32" s="59">
        <f t="shared" si="1"/>
        <v>-2065760.8844444447</v>
      </c>
      <c r="R32" s="59">
        <f t="shared" si="7"/>
        <v>-2268654.242268519</v>
      </c>
      <c r="U32" s="697"/>
    </row>
    <row r="33" spans="1:21" ht="12.95" customHeight="1" outlineLevel="1">
      <c r="A33" s="113">
        <v>40359</v>
      </c>
      <c r="B33" s="59">
        <f t="shared" si="9"/>
        <v>-3529527</v>
      </c>
      <c r="C33" s="59">
        <f t="shared" si="8"/>
        <v>-3529527</v>
      </c>
      <c r="D33" s="58"/>
      <c r="E33" s="59">
        <v>0</v>
      </c>
      <c r="F33" s="59">
        <f t="shared" ref="F33:F67" si="13">$C$27/$E$5</f>
        <v>-32680.805555555555</v>
      </c>
      <c r="G33" s="58"/>
      <c r="H33" s="59">
        <f>H32-E33</f>
        <v>3529527</v>
      </c>
      <c r="I33" s="59">
        <f>I32-F33</f>
        <v>261446.47111111111</v>
      </c>
      <c r="J33" s="58"/>
      <c r="K33" s="59">
        <f t="shared" si="11"/>
        <v>0</v>
      </c>
      <c r="L33" s="59">
        <f>C33+I33</f>
        <v>-3268080.5288888887</v>
      </c>
      <c r="M33" s="58"/>
      <c r="N33" s="59">
        <f t="shared" si="5"/>
        <v>-3268080.5288888887</v>
      </c>
      <c r="O33" s="115">
        <v>1143000</v>
      </c>
      <c r="P33" s="115">
        <f>-O33+O32</f>
        <v>92000.449999999953</v>
      </c>
      <c r="Q33" s="59">
        <f t="shared" si="1"/>
        <v>-2125080.5288888887</v>
      </c>
      <c r="R33" s="59">
        <f t="shared" si="7"/>
        <v>-2252062.0886574076</v>
      </c>
      <c r="S33" s="59">
        <f t="shared" ref="S33:T36" si="14">(N21+N33+SUM(N22:N32)*2)/24</f>
        <v>-3483229.186574074</v>
      </c>
      <c r="T33" s="59">
        <f t="shared" si="14"/>
        <v>1231167.0979166664</v>
      </c>
      <c r="U33" s="697"/>
    </row>
    <row r="34" spans="1:21" ht="12.95" customHeight="1" outlineLevel="1">
      <c r="A34" s="113">
        <v>40390</v>
      </c>
      <c r="B34" s="59">
        <f t="shared" si="9"/>
        <v>-3529527</v>
      </c>
      <c r="C34" s="59">
        <f t="shared" si="8"/>
        <v>-3529527</v>
      </c>
      <c r="D34" s="58"/>
      <c r="E34" s="59">
        <v>0</v>
      </c>
      <c r="F34" s="59">
        <f t="shared" si="13"/>
        <v>-32680.805555555555</v>
      </c>
      <c r="G34" s="58"/>
      <c r="H34" s="59">
        <f t="shared" si="12"/>
        <v>3529527</v>
      </c>
      <c r="I34" s="59">
        <f t="shared" si="12"/>
        <v>294127.27666666667</v>
      </c>
      <c r="J34" s="58"/>
      <c r="K34" s="59">
        <f t="shared" si="11"/>
        <v>0</v>
      </c>
      <c r="L34" s="59">
        <f t="shared" si="11"/>
        <v>-3235399.7233333332</v>
      </c>
      <c r="M34" s="58"/>
      <c r="N34" s="59">
        <f t="shared" si="5"/>
        <v>-3235399.7233333332</v>
      </c>
      <c r="O34" s="115">
        <v>1132000</v>
      </c>
      <c r="P34" s="115">
        <f t="shared" si="10"/>
        <v>11000</v>
      </c>
      <c r="Q34" s="59">
        <f t="shared" si="1"/>
        <v>-2103399.7233333332</v>
      </c>
      <c r="R34" s="59">
        <f t="shared" si="7"/>
        <v>-2237038.2200000002</v>
      </c>
      <c r="S34" s="59">
        <f t="shared" si="14"/>
        <v>-3460080.280416667</v>
      </c>
      <c r="T34" s="59">
        <f t="shared" si="14"/>
        <v>1223042.0604166666</v>
      </c>
      <c r="U34" s="697"/>
    </row>
    <row r="35" spans="1:21" ht="12.95" customHeight="1" outlineLevel="1">
      <c r="A35" s="113">
        <v>40421</v>
      </c>
      <c r="B35" s="59">
        <f t="shared" si="9"/>
        <v>-3529527</v>
      </c>
      <c r="C35" s="59">
        <f t="shared" si="8"/>
        <v>-3529527</v>
      </c>
      <c r="D35" s="58"/>
      <c r="E35" s="59">
        <v>0</v>
      </c>
      <c r="F35" s="59">
        <f t="shared" si="13"/>
        <v>-32680.805555555555</v>
      </c>
      <c r="G35" s="58"/>
      <c r="H35" s="59">
        <f t="shared" si="12"/>
        <v>3529527</v>
      </c>
      <c r="I35" s="59">
        <f t="shared" si="12"/>
        <v>326808.08222222223</v>
      </c>
      <c r="J35" s="58"/>
      <c r="K35" s="59">
        <f t="shared" si="11"/>
        <v>0</v>
      </c>
      <c r="L35" s="59">
        <f t="shared" si="11"/>
        <v>-3202718.9177777776</v>
      </c>
      <c r="M35" s="58"/>
      <c r="N35" s="59">
        <f t="shared" si="5"/>
        <v>-3202718.9177777776</v>
      </c>
      <c r="O35" s="115">
        <v>1121000</v>
      </c>
      <c r="P35" s="115">
        <f t="shared" si="10"/>
        <v>11000</v>
      </c>
      <c r="Q35" s="59">
        <f t="shared" si="1"/>
        <v>-2081718.9177777776</v>
      </c>
      <c r="R35" s="59">
        <f t="shared" si="7"/>
        <v>-2220207.6175462962</v>
      </c>
      <c r="S35" s="59">
        <f t="shared" si="14"/>
        <v>-3434207.9737962964</v>
      </c>
      <c r="T35" s="59">
        <f t="shared" si="14"/>
        <v>1214000.35625</v>
      </c>
      <c r="U35" s="697"/>
    </row>
    <row r="36" spans="1:21" s="109" customFormat="1" ht="12.95" customHeight="1" outlineLevel="1">
      <c r="A36" s="114">
        <v>40451</v>
      </c>
      <c r="B36" s="115">
        <f t="shared" si="9"/>
        <v>-3529527</v>
      </c>
      <c r="C36" s="115">
        <f t="shared" si="8"/>
        <v>-3529527</v>
      </c>
      <c r="D36" s="116"/>
      <c r="E36" s="115">
        <v>0</v>
      </c>
      <c r="F36" s="115">
        <f t="shared" si="13"/>
        <v>-32680.805555555555</v>
      </c>
      <c r="G36" s="116"/>
      <c r="H36" s="115">
        <f t="shared" si="12"/>
        <v>3529527</v>
      </c>
      <c r="I36" s="115">
        <f>I35-F36</f>
        <v>359488.8877777778</v>
      </c>
      <c r="J36" s="116"/>
      <c r="K36" s="115">
        <f t="shared" si="11"/>
        <v>0</v>
      </c>
      <c r="L36" s="115">
        <f t="shared" si="11"/>
        <v>-3170038.1122222221</v>
      </c>
      <c r="M36" s="116"/>
      <c r="N36" s="115">
        <f t="shared" si="5"/>
        <v>-3170038.1122222221</v>
      </c>
      <c r="O36" s="115">
        <v>1109179</v>
      </c>
      <c r="P36" s="115">
        <f t="shared" si="10"/>
        <v>11821</v>
      </c>
      <c r="Q36" s="115">
        <f>L36+O36</f>
        <v>-2060859.1122222221</v>
      </c>
      <c r="R36" s="115">
        <f t="shared" si="7"/>
        <v>-2201604.4896296295</v>
      </c>
      <c r="S36" s="115">
        <f t="shared" si="14"/>
        <v>-3405612.2667129631</v>
      </c>
      <c r="T36" s="115">
        <f t="shared" si="14"/>
        <v>1204007.7770833333</v>
      </c>
      <c r="U36" s="697"/>
    </row>
    <row r="37" spans="1:21" ht="12.95" customHeight="1" outlineLevel="1">
      <c r="A37" s="113">
        <v>40482</v>
      </c>
      <c r="B37" s="59">
        <f t="shared" si="9"/>
        <v>-3529527</v>
      </c>
      <c r="C37" s="59">
        <f t="shared" si="8"/>
        <v>-3529527</v>
      </c>
      <c r="D37" s="58"/>
      <c r="E37" s="59">
        <v>0</v>
      </c>
      <c r="F37" s="59">
        <f t="shared" si="13"/>
        <v>-32680.805555555555</v>
      </c>
      <c r="G37" s="58"/>
      <c r="H37" s="59">
        <f t="shared" si="12"/>
        <v>3529527</v>
      </c>
      <c r="I37" s="59">
        <f t="shared" si="12"/>
        <v>392169.69333333336</v>
      </c>
      <c r="J37" s="58"/>
      <c r="K37" s="59">
        <f t="shared" si="11"/>
        <v>0</v>
      </c>
      <c r="L37" s="59">
        <f t="shared" si="11"/>
        <v>-3137357.3066666666</v>
      </c>
      <c r="M37" s="58"/>
      <c r="N37" s="59">
        <f t="shared" si="5"/>
        <v>-3137357.3066666666</v>
      </c>
      <c r="O37" s="115">
        <v>1097741</v>
      </c>
      <c r="P37" s="115">
        <f t="shared" si="10"/>
        <v>11438</v>
      </c>
      <c r="Q37" s="59">
        <f t="shared" si="1"/>
        <v>-2039616.3066666666</v>
      </c>
      <c r="R37" s="59">
        <f t="shared" si="7"/>
        <v>-2181247.0862500002</v>
      </c>
      <c r="S37" s="115">
        <f t="shared" ref="S37:S43" si="15">(N25+N37+SUM(N26:N36)*2)/24</f>
        <v>-3374293.1591666671</v>
      </c>
      <c r="T37" s="115">
        <f t="shared" ref="T37:T43" si="16">(O25+O37+SUM(O26:O36)*2)/24</f>
        <v>1193046.0729166667</v>
      </c>
      <c r="U37" s="697"/>
    </row>
    <row r="38" spans="1:21" s="109" customFormat="1" ht="12.95" customHeight="1" outlineLevel="1">
      <c r="A38" s="114">
        <v>40512</v>
      </c>
      <c r="B38" s="115">
        <f t="shared" si="9"/>
        <v>-3529527</v>
      </c>
      <c r="C38" s="115">
        <f t="shared" si="8"/>
        <v>-3529527</v>
      </c>
      <c r="D38" s="116"/>
      <c r="E38" s="115">
        <v>0</v>
      </c>
      <c r="F38" s="115">
        <f t="shared" si="13"/>
        <v>-32680.805555555555</v>
      </c>
      <c r="G38" s="116"/>
      <c r="H38" s="115">
        <f t="shared" si="12"/>
        <v>3529527</v>
      </c>
      <c r="I38" s="115">
        <f t="shared" si="12"/>
        <v>424850.49888888892</v>
      </c>
      <c r="J38" s="116"/>
      <c r="K38" s="115">
        <f t="shared" si="11"/>
        <v>0</v>
      </c>
      <c r="L38" s="115">
        <f t="shared" si="11"/>
        <v>-3104676.5011111111</v>
      </c>
      <c r="M38" s="116"/>
      <c r="N38" s="115">
        <f t="shared" si="5"/>
        <v>-3104676.5011111111</v>
      </c>
      <c r="O38" s="115">
        <v>1086303</v>
      </c>
      <c r="P38" s="115">
        <f>-O38+O37</f>
        <v>11438</v>
      </c>
      <c r="Q38" s="115">
        <f t="shared" si="1"/>
        <v>-2018373.5011111111</v>
      </c>
      <c r="R38" s="115">
        <f t="shared" si="7"/>
        <v>-2159119.4490740737</v>
      </c>
      <c r="S38" s="115">
        <f t="shared" si="15"/>
        <v>-3340250.6511574071</v>
      </c>
      <c r="T38" s="115">
        <f t="shared" si="16"/>
        <v>1181131.2020833332</v>
      </c>
      <c r="U38" s="697"/>
    </row>
    <row r="39" spans="1:21" ht="12.95" customHeight="1" outlineLevel="1">
      <c r="A39" s="114">
        <v>40543</v>
      </c>
      <c r="B39" s="115">
        <f t="shared" si="9"/>
        <v>-3529527</v>
      </c>
      <c r="C39" s="115">
        <f t="shared" si="8"/>
        <v>-3529527</v>
      </c>
      <c r="D39" s="116"/>
      <c r="E39" s="115">
        <v>0</v>
      </c>
      <c r="F39" s="115">
        <f t="shared" si="13"/>
        <v>-32680.805555555555</v>
      </c>
      <c r="G39" s="116"/>
      <c r="H39" s="115">
        <f t="shared" si="12"/>
        <v>3529527</v>
      </c>
      <c r="I39" s="115">
        <f>I38-F39</f>
        <v>457531.30444444448</v>
      </c>
      <c r="J39" s="116"/>
      <c r="K39" s="115">
        <f t="shared" si="11"/>
        <v>0</v>
      </c>
      <c r="L39" s="115">
        <f>C39+I39</f>
        <v>-3071995.6955555556</v>
      </c>
      <c r="M39" s="58"/>
      <c r="N39" s="59">
        <f>L39-K39</f>
        <v>-3071995.6955555556</v>
      </c>
      <c r="O39" s="115">
        <v>1074864</v>
      </c>
      <c r="P39" s="115">
        <f>-O39+O38</f>
        <v>11439</v>
      </c>
      <c r="Q39" s="59">
        <f t="shared" si="1"/>
        <v>-1997131.6955555556</v>
      </c>
      <c r="R39" s="59">
        <f t="shared" si="7"/>
        <v>-2135221.6197685185</v>
      </c>
      <c r="S39" s="115">
        <f t="shared" si="15"/>
        <v>-3303484.7426851853</v>
      </c>
      <c r="T39" s="115">
        <f t="shared" si="16"/>
        <v>1168263.1229166666</v>
      </c>
      <c r="U39" s="697"/>
    </row>
    <row r="40" spans="1:21" ht="12.95" customHeight="1" outlineLevel="1">
      <c r="A40" s="114">
        <v>40574</v>
      </c>
      <c r="B40" s="115">
        <f t="shared" si="9"/>
        <v>-3529527</v>
      </c>
      <c r="C40" s="115">
        <f t="shared" si="8"/>
        <v>-3529527</v>
      </c>
      <c r="D40" s="116"/>
      <c r="E40" s="115">
        <v>0</v>
      </c>
      <c r="F40" s="115">
        <f>$C$27/$E$5</f>
        <v>-32680.805555555555</v>
      </c>
      <c r="G40" s="116"/>
      <c r="H40" s="115">
        <f t="shared" si="12"/>
        <v>3529527</v>
      </c>
      <c r="I40" s="115">
        <f t="shared" si="12"/>
        <v>490212.11000000004</v>
      </c>
      <c r="J40" s="116"/>
      <c r="K40" s="115">
        <f t="shared" si="11"/>
        <v>0</v>
      </c>
      <c r="L40" s="115">
        <f t="shared" si="11"/>
        <v>-3039314.89</v>
      </c>
      <c r="M40" s="116"/>
      <c r="N40" s="115">
        <f t="shared" si="5"/>
        <v>-3039314.89</v>
      </c>
      <c r="O40" s="115">
        <v>1063426</v>
      </c>
      <c r="P40" s="115">
        <f t="shared" si="10"/>
        <v>11438</v>
      </c>
      <c r="Q40" s="115">
        <f t="shared" si="1"/>
        <v>-1975888.8900000001</v>
      </c>
      <c r="R40" s="115">
        <f t="shared" si="7"/>
        <v>-2109553.5983333332</v>
      </c>
      <c r="S40" s="115">
        <f t="shared" si="15"/>
        <v>-3263995.4337499999</v>
      </c>
      <c r="T40" s="115">
        <f t="shared" si="16"/>
        <v>1154441.8354166667</v>
      </c>
      <c r="U40" s="697"/>
    </row>
    <row r="41" spans="1:21" ht="12.95" customHeight="1" outlineLevel="1">
      <c r="A41" s="114">
        <v>40602</v>
      </c>
      <c r="B41" s="115">
        <f t="shared" si="9"/>
        <v>-3529527</v>
      </c>
      <c r="C41" s="115">
        <f t="shared" si="8"/>
        <v>-3529527</v>
      </c>
      <c r="D41" s="116"/>
      <c r="E41" s="115">
        <v>0</v>
      </c>
      <c r="F41" s="115">
        <f t="shared" si="13"/>
        <v>-32680.805555555555</v>
      </c>
      <c r="G41" s="116"/>
      <c r="H41" s="115">
        <f t="shared" si="12"/>
        <v>3529527</v>
      </c>
      <c r="I41" s="115">
        <f>I40-F41</f>
        <v>522892.91555555561</v>
      </c>
      <c r="J41" s="116"/>
      <c r="K41" s="115">
        <f t="shared" si="11"/>
        <v>0</v>
      </c>
      <c r="L41" s="115">
        <f>C41+I41</f>
        <v>-3006634.0844444446</v>
      </c>
      <c r="M41" s="116"/>
      <c r="N41" s="115">
        <f>L41-K41</f>
        <v>-3006634.0844444446</v>
      </c>
      <c r="O41" s="115">
        <v>1051988</v>
      </c>
      <c r="P41" s="115">
        <f t="shared" si="10"/>
        <v>11438</v>
      </c>
      <c r="Q41" s="115">
        <f t="shared" si="1"/>
        <v>-1954646.0844444446</v>
      </c>
      <c r="R41" s="115">
        <f t="shared" si="7"/>
        <v>-2082115.3431018519</v>
      </c>
      <c r="S41" s="115">
        <f t="shared" si="15"/>
        <v>-3221782.7243518517</v>
      </c>
      <c r="T41" s="115">
        <f t="shared" si="16"/>
        <v>1139667.3812499999</v>
      </c>
      <c r="U41" s="697"/>
    </row>
    <row r="42" spans="1:21" s="109" customFormat="1" ht="12.95" customHeight="1" outlineLevel="1">
      <c r="A42" s="114">
        <v>40633</v>
      </c>
      <c r="B42" s="115">
        <f t="shared" si="9"/>
        <v>-3529527</v>
      </c>
      <c r="C42" s="115">
        <f t="shared" si="8"/>
        <v>-3529527</v>
      </c>
      <c r="D42" s="116"/>
      <c r="E42" s="115">
        <v>0</v>
      </c>
      <c r="F42" s="115">
        <f t="shared" si="13"/>
        <v>-32680.805555555555</v>
      </c>
      <c r="G42" s="116"/>
      <c r="H42" s="115">
        <f t="shared" si="12"/>
        <v>3529527</v>
      </c>
      <c r="I42" s="115">
        <f>I41-F42</f>
        <v>555573.72111111111</v>
      </c>
      <c r="J42" s="116"/>
      <c r="K42" s="115">
        <f t="shared" si="11"/>
        <v>0</v>
      </c>
      <c r="L42" s="115">
        <f t="shared" si="11"/>
        <v>-2973953.2788888887</v>
      </c>
      <c r="M42" s="116"/>
      <c r="N42" s="115">
        <f t="shared" si="5"/>
        <v>-2973953.2788888887</v>
      </c>
      <c r="O42" s="115">
        <f>-N42*$O$9</f>
        <v>1040883.6476111109</v>
      </c>
      <c r="P42" s="115">
        <f t="shared" si="10"/>
        <v>11104.352388889063</v>
      </c>
      <c r="Q42" s="115">
        <f t="shared" si="1"/>
        <v>-1933069.6312777777</v>
      </c>
      <c r="R42" s="115">
        <f t="shared" si="7"/>
        <v>-2052892.9520902776</v>
      </c>
      <c r="S42" s="115">
        <f t="shared" si="15"/>
        <v>-3176846.6144907414</v>
      </c>
      <c r="T42" s="115">
        <f t="shared" si="16"/>
        <v>1123953.6624004629</v>
      </c>
      <c r="U42" s="697"/>
    </row>
    <row r="43" spans="1:21" s="109" customFormat="1" ht="12.95" customHeight="1" outlineLevel="1">
      <c r="A43" s="114">
        <v>40663</v>
      </c>
      <c r="B43" s="115">
        <f t="shared" si="9"/>
        <v>-3529527</v>
      </c>
      <c r="C43" s="115">
        <f t="shared" si="8"/>
        <v>-3529527</v>
      </c>
      <c r="D43" s="116"/>
      <c r="E43" s="115">
        <v>0</v>
      </c>
      <c r="F43" s="115">
        <f t="shared" si="13"/>
        <v>-32680.805555555555</v>
      </c>
      <c r="G43" s="116"/>
      <c r="H43" s="115">
        <f t="shared" si="12"/>
        <v>3529527</v>
      </c>
      <c r="I43" s="115">
        <f t="shared" si="12"/>
        <v>588254.52666666661</v>
      </c>
      <c r="J43" s="116"/>
      <c r="K43" s="115">
        <f t="shared" si="11"/>
        <v>0</v>
      </c>
      <c r="L43" s="115">
        <f t="shared" si="11"/>
        <v>-2941272.4733333336</v>
      </c>
      <c r="M43" s="116"/>
      <c r="N43" s="115">
        <f t="shared" si="5"/>
        <v>-2941272.4733333336</v>
      </c>
      <c r="O43" s="115">
        <v>1029112</v>
      </c>
      <c r="P43" s="115">
        <f t="shared" si="10"/>
        <v>11771.647611110937</v>
      </c>
      <c r="Q43" s="115">
        <f t="shared" si="1"/>
        <v>-1912160.4733333336</v>
      </c>
      <c r="R43" s="115">
        <f t="shared" si="7"/>
        <v>-2030070.5297824072</v>
      </c>
      <c r="S43" s="115">
        <f t="shared" si="15"/>
        <v>-3137357.3066666666</v>
      </c>
      <c r="T43" s="115">
        <f t="shared" si="16"/>
        <v>1107286.7768842592</v>
      </c>
      <c r="U43" s="697"/>
    </row>
    <row r="44" spans="1:21" ht="12.95" customHeight="1" outlineLevel="1">
      <c r="A44" s="114">
        <v>40694</v>
      </c>
      <c r="B44" s="59">
        <f t="shared" si="9"/>
        <v>-3529527</v>
      </c>
      <c r="C44" s="59">
        <f t="shared" si="8"/>
        <v>-3529527</v>
      </c>
      <c r="D44" s="58"/>
      <c r="E44" s="59">
        <v>0</v>
      </c>
      <c r="F44" s="59">
        <f t="shared" si="13"/>
        <v>-32680.805555555555</v>
      </c>
      <c r="G44" s="58"/>
      <c r="H44" s="59">
        <f t="shared" si="12"/>
        <v>3529527</v>
      </c>
      <c r="I44" s="59">
        <f>I43-F44</f>
        <v>620935.33222222212</v>
      </c>
      <c r="J44" s="58"/>
      <c r="K44" s="59">
        <f t="shared" si="11"/>
        <v>0</v>
      </c>
      <c r="L44" s="59">
        <f t="shared" si="11"/>
        <v>-2908591.6677777776</v>
      </c>
      <c r="M44" s="58"/>
      <c r="N44" s="59">
        <f t="shared" si="5"/>
        <v>-2908591.6677777776</v>
      </c>
      <c r="O44" s="59">
        <v>1017674</v>
      </c>
      <c r="P44" s="59">
        <f t="shared" si="10"/>
        <v>11438</v>
      </c>
      <c r="Q44" s="59">
        <f t="shared" si="1"/>
        <v>-1890917.6677777776</v>
      </c>
      <c r="R44" s="59">
        <f t="shared" si="7"/>
        <v>-2015023.6783935183</v>
      </c>
      <c r="S44" s="115">
        <f t="shared" ref="S44:S49" si="17">(N32+N44+SUM(N33:N43)*2)/24</f>
        <v>-3104676.5011111111</v>
      </c>
      <c r="T44" s="115">
        <f>(O32+O44+SUM(O33:O43)*2)/24</f>
        <v>1089652.8227175926</v>
      </c>
      <c r="U44" s="697"/>
    </row>
    <row r="45" spans="1:21" ht="12.95" customHeight="1" outlineLevel="1">
      <c r="A45" s="113">
        <v>40724</v>
      </c>
      <c r="B45" s="59">
        <f t="shared" si="9"/>
        <v>-3529527</v>
      </c>
      <c r="C45" s="59">
        <f t="shared" si="8"/>
        <v>-3529527</v>
      </c>
      <c r="D45" s="58"/>
      <c r="E45" s="59">
        <v>0</v>
      </c>
      <c r="F45" s="115">
        <f t="shared" si="13"/>
        <v>-32680.805555555555</v>
      </c>
      <c r="G45" s="58"/>
      <c r="H45" s="59">
        <f t="shared" si="12"/>
        <v>3529527</v>
      </c>
      <c r="I45" s="59">
        <f t="shared" si="12"/>
        <v>653616.13777777762</v>
      </c>
      <c r="J45" s="58"/>
      <c r="K45" s="59">
        <f t="shared" ref="K45:L63" si="18">B45+H45</f>
        <v>0</v>
      </c>
      <c r="L45" s="115">
        <f t="shared" si="18"/>
        <v>-2875910.8622222226</v>
      </c>
      <c r="M45" s="116"/>
      <c r="N45" s="115">
        <f>L45-K45</f>
        <v>-2875910.8622222226</v>
      </c>
      <c r="O45" s="115">
        <v>1006236</v>
      </c>
      <c r="P45" s="115">
        <f t="shared" si="10"/>
        <v>11438</v>
      </c>
      <c r="Q45" s="115">
        <f t="shared" si="1"/>
        <v>-1869674.8622222226</v>
      </c>
      <c r="R45" s="115">
        <f t="shared" si="7"/>
        <v>-1997096.6415879631</v>
      </c>
      <c r="S45" s="115">
        <f t="shared" si="17"/>
        <v>-3071995.6955555552</v>
      </c>
      <c r="T45" s="115">
        <f>(O33+O45+SUM(O34:O44)*2)/24</f>
        <v>1074899.0539675925</v>
      </c>
      <c r="U45" s="697"/>
    </row>
    <row r="46" spans="1:21" ht="12.95" customHeight="1" outlineLevel="1">
      <c r="A46" s="113">
        <v>40755</v>
      </c>
      <c r="B46" s="59">
        <f t="shared" si="9"/>
        <v>-3529527</v>
      </c>
      <c r="C46" s="59">
        <f t="shared" si="8"/>
        <v>-3529527</v>
      </c>
      <c r="D46" s="58"/>
      <c r="E46" s="59">
        <v>0</v>
      </c>
      <c r="F46" s="115">
        <f t="shared" si="13"/>
        <v>-32680.805555555555</v>
      </c>
      <c r="G46" s="58"/>
      <c r="H46" s="59">
        <f t="shared" ref="H46:I49" si="19">H45-E46</f>
        <v>3529527</v>
      </c>
      <c r="I46" s="59">
        <f t="shared" si="19"/>
        <v>686296.94333333313</v>
      </c>
      <c r="J46" s="58"/>
      <c r="K46" s="59">
        <f t="shared" si="18"/>
        <v>0</v>
      </c>
      <c r="L46" s="115">
        <f t="shared" si="18"/>
        <v>-2843230.0566666666</v>
      </c>
      <c r="M46" s="116"/>
      <c r="N46" s="115">
        <f>L46-K46</f>
        <v>-2843230.0566666666</v>
      </c>
      <c r="O46" s="115">
        <v>994798</v>
      </c>
      <c r="P46" s="115">
        <f t="shared" si="10"/>
        <v>11438</v>
      </c>
      <c r="Q46" s="115">
        <f t="shared" si="1"/>
        <v>-1848432.0566666666</v>
      </c>
      <c r="R46" s="115">
        <f t="shared" si="7"/>
        <v>-1975831.0860324074</v>
      </c>
      <c r="S46" s="115">
        <f t="shared" si="17"/>
        <v>-3039314.89</v>
      </c>
      <c r="T46" s="115">
        <f>(O34+O46+SUM(O35:O45)*2)/24</f>
        <v>1063483.8039675925</v>
      </c>
      <c r="U46" s="697"/>
    </row>
    <row r="47" spans="1:21" ht="12.95" customHeight="1" outlineLevel="1">
      <c r="A47" s="113">
        <v>40786</v>
      </c>
      <c r="B47" s="59">
        <f t="shared" si="9"/>
        <v>-3529527</v>
      </c>
      <c r="C47" s="59">
        <f t="shared" si="8"/>
        <v>-3529527</v>
      </c>
      <c r="D47" s="58"/>
      <c r="E47" s="59">
        <v>0</v>
      </c>
      <c r="F47" s="115">
        <f t="shared" si="13"/>
        <v>-32680.805555555555</v>
      </c>
      <c r="G47" s="58"/>
      <c r="H47" s="59">
        <f t="shared" si="19"/>
        <v>3529527</v>
      </c>
      <c r="I47" s="59">
        <f t="shared" si="19"/>
        <v>718977.74888888863</v>
      </c>
      <c r="J47" s="58"/>
      <c r="K47" s="59">
        <f t="shared" si="18"/>
        <v>0</v>
      </c>
      <c r="L47" s="115">
        <f t="shared" si="18"/>
        <v>-2810549.2511111116</v>
      </c>
      <c r="M47" s="116"/>
      <c r="N47" s="115">
        <f t="shared" si="5"/>
        <v>-2810549.2511111116</v>
      </c>
      <c r="O47" s="115">
        <v>983360</v>
      </c>
      <c r="P47" s="59">
        <f t="shared" si="10"/>
        <v>11438</v>
      </c>
      <c r="Q47" s="59">
        <f t="shared" si="1"/>
        <v>-1827189.2511111116</v>
      </c>
      <c r="R47" s="59">
        <f t="shared" si="7"/>
        <v>-1954602.0304768516</v>
      </c>
      <c r="S47" s="115">
        <f t="shared" si="17"/>
        <v>-3006634.0844444446</v>
      </c>
      <c r="T47" s="115">
        <f>(O35+O47+SUM(O36:O46)*2)/24</f>
        <v>1052032.0539675925</v>
      </c>
      <c r="U47" s="697"/>
    </row>
    <row r="48" spans="1:21" ht="12.95" customHeight="1" outlineLevel="1">
      <c r="A48" s="113">
        <v>40816</v>
      </c>
      <c r="B48" s="59">
        <f t="shared" si="9"/>
        <v>-3529527</v>
      </c>
      <c r="C48" s="59">
        <f t="shared" si="8"/>
        <v>-3529527</v>
      </c>
      <c r="D48" s="58"/>
      <c r="E48" s="59">
        <v>0</v>
      </c>
      <c r="F48" s="115">
        <f t="shared" si="13"/>
        <v>-32680.805555555555</v>
      </c>
      <c r="G48" s="58"/>
      <c r="H48" s="59">
        <f t="shared" si="19"/>
        <v>3529527</v>
      </c>
      <c r="I48" s="59">
        <f t="shared" si="19"/>
        <v>751658.55444444413</v>
      </c>
      <c r="J48" s="58"/>
      <c r="K48" s="59">
        <f t="shared" si="18"/>
        <v>0</v>
      </c>
      <c r="L48" s="115">
        <f t="shared" si="18"/>
        <v>-2777868.4455555556</v>
      </c>
      <c r="M48" s="116"/>
      <c r="N48" s="115">
        <f t="shared" si="5"/>
        <v>-2777868.4455555556</v>
      </c>
      <c r="O48" s="115">
        <v>971922</v>
      </c>
      <c r="P48" s="115">
        <f t="shared" si="10"/>
        <v>11438</v>
      </c>
      <c r="Q48" s="115">
        <f t="shared" si="1"/>
        <v>-1805946.4455555556</v>
      </c>
      <c r="R48" s="115">
        <f t="shared" si="7"/>
        <v>-1933375.2665879626</v>
      </c>
      <c r="S48" s="115">
        <f t="shared" si="17"/>
        <v>-2973953.2788888887</v>
      </c>
      <c r="T48" s="115">
        <f>(O36+O48+SUM(O37:O47)*2)/24</f>
        <v>1040578.0123009259</v>
      </c>
      <c r="U48" s="697"/>
    </row>
    <row r="49" spans="1:21" ht="12.95" customHeight="1" outlineLevel="1">
      <c r="A49" s="113">
        <v>40847</v>
      </c>
      <c r="B49" s="59">
        <f t="shared" si="9"/>
        <v>-3529527</v>
      </c>
      <c r="C49" s="59">
        <f t="shared" si="8"/>
        <v>-3529527</v>
      </c>
      <c r="D49" s="58"/>
      <c r="E49" s="59">
        <v>0</v>
      </c>
      <c r="F49" s="115">
        <f t="shared" si="13"/>
        <v>-32680.805555555555</v>
      </c>
      <c r="G49" s="58"/>
      <c r="H49" s="59">
        <f t="shared" si="19"/>
        <v>3529527</v>
      </c>
      <c r="I49" s="59">
        <f t="shared" si="19"/>
        <v>784339.35999999964</v>
      </c>
      <c r="J49" s="58"/>
      <c r="K49" s="59">
        <f t="shared" si="18"/>
        <v>0</v>
      </c>
      <c r="L49" s="115">
        <f t="shared" si="18"/>
        <v>-2745187.6400000006</v>
      </c>
      <c r="M49" s="116"/>
      <c r="N49" s="115">
        <f t="shared" si="5"/>
        <v>-2745187.6400000006</v>
      </c>
      <c r="O49" s="115">
        <v>960484</v>
      </c>
      <c r="P49" s="115">
        <f t="shared" si="10"/>
        <v>11438</v>
      </c>
      <c r="Q49" s="115">
        <f t="shared" si="1"/>
        <v>-1784703.6400000006</v>
      </c>
      <c r="R49" s="115">
        <f t="shared" si="7"/>
        <v>-1912132.5443657411</v>
      </c>
      <c r="S49" s="115">
        <f t="shared" si="17"/>
        <v>-2941272.4733333332</v>
      </c>
      <c r="T49" s="115">
        <f t="shared" ref="T49:T54" si="20">(O37+O49+SUM(O38:O48)*2)/24</f>
        <v>1029139.9289675927</v>
      </c>
      <c r="U49" s="697"/>
    </row>
    <row r="50" spans="1:21" s="109" customFormat="1" ht="12.95" customHeight="1" outlineLevel="1">
      <c r="A50" s="114">
        <v>40877</v>
      </c>
      <c r="B50" s="115">
        <f t="shared" si="9"/>
        <v>-3529527</v>
      </c>
      <c r="C50" s="115">
        <f>C49</f>
        <v>-3529527</v>
      </c>
      <c r="D50" s="116"/>
      <c r="E50" s="115">
        <v>0</v>
      </c>
      <c r="F50" s="115">
        <f t="shared" si="13"/>
        <v>-32680.805555555555</v>
      </c>
      <c r="G50" s="116"/>
      <c r="H50" s="115">
        <f>H49-E50</f>
        <v>3529527</v>
      </c>
      <c r="I50" s="115">
        <f>I49-F50</f>
        <v>817020.16555555514</v>
      </c>
      <c r="J50" s="116"/>
      <c r="K50" s="115">
        <f t="shared" si="18"/>
        <v>0</v>
      </c>
      <c r="L50" s="115">
        <f>C50+I50</f>
        <v>-2712506.8344444446</v>
      </c>
      <c r="M50" s="116"/>
      <c r="N50" s="115">
        <f>L50-K50</f>
        <v>-2712506.8344444446</v>
      </c>
      <c r="O50" s="115">
        <v>949046</v>
      </c>
      <c r="P50" s="115">
        <f>-O50+O49</f>
        <v>11438</v>
      </c>
      <c r="Q50" s="115">
        <f>L50+O50</f>
        <v>-1763460.8344444446</v>
      </c>
      <c r="R50" s="115">
        <f t="shared" si="7"/>
        <v>-1890889.8221435186</v>
      </c>
      <c r="S50" s="115">
        <f t="shared" ref="S50:S59" si="21">(N38+N50+SUM(N39:N49)*2)/24</f>
        <v>-2908591.6677777781</v>
      </c>
      <c r="T50" s="115">
        <f t="shared" si="20"/>
        <v>1017701.8456342593</v>
      </c>
      <c r="U50" s="697"/>
    </row>
    <row r="51" spans="1:21" s="109" customFormat="1" ht="12.95" customHeight="1" outlineLevel="1">
      <c r="A51" s="114">
        <v>40908</v>
      </c>
      <c r="B51" s="115">
        <f t="shared" si="9"/>
        <v>-3529527</v>
      </c>
      <c r="C51" s="115">
        <f t="shared" si="8"/>
        <v>-3529527</v>
      </c>
      <c r="D51" s="116"/>
      <c r="E51" s="115">
        <v>0</v>
      </c>
      <c r="F51" s="115">
        <f t="shared" si="13"/>
        <v>-32680.805555555555</v>
      </c>
      <c r="G51" s="116"/>
      <c r="H51" s="115">
        <f t="shared" ref="H51:I63" si="22">H50-E51</f>
        <v>3529527</v>
      </c>
      <c r="I51" s="115">
        <f t="shared" si="22"/>
        <v>849700.97111111064</v>
      </c>
      <c r="J51" s="116"/>
      <c r="K51" s="115">
        <f t="shared" si="18"/>
        <v>0</v>
      </c>
      <c r="L51" s="115">
        <f t="shared" si="18"/>
        <v>-2679826.0288888896</v>
      </c>
      <c r="M51" s="116"/>
      <c r="N51" s="115">
        <f t="shared" ref="N51:N63" si="23">L51-K51</f>
        <v>-2679826.0288888896</v>
      </c>
      <c r="O51" s="115">
        <f t="shared" ref="O51:O63" si="24">-N51*$O$9</f>
        <v>937939.11011111131</v>
      </c>
      <c r="P51" s="115">
        <f t="shared" ref="P51:P62" si="25">-O51+O50</f>
        <v>11106.889888888691</v>
      </c>
      <c r="Q51" s="115">
        <f t="shared" ref="Q51:Q63" si="26">L51+O51</f>
        <v>-1741886.9187777783</v>
      </c>
      <c r="R51" s="115">
        <f t="shared" si="7"/>
        <v>-1869633.2620000001</v>
      </c>
      <c r="S51" s="115">
        <f t="shared" si="21"/>
        <v>-2875910.8622222226</v>
      </c>
      <c r="T51" s="115">
        <f t="shared" si="20"/>
        <v>1006277.6002222222</v>
      </c>
      <c r="U51" s="697"/>
    </row>
    <row r="52" spans="1:21" s="109" customFormat="1" ht="12.95" customHeight="1" outlineLevel="1">
      <c r="A52" s="114">
        <v>40939</v>
      </c>
      <c r="B52" s="115">
        <f t="shared" si="9"/>
        <v>-3529527</v>
      </c>
      <c r="C52" s="115">
        <f t="shared" si="8"/>
        <v>-3529527</v>
      </c>
      <c r="D52" s="164"/>
      <c r="E52" s="115">
        <v>0</v>
      </c>
      <c r="F52" s="115">
        <f t="shared" si="13"/>
        <v>-32680.805555555555</v>
      </c>
      <c r="G52" s="164"/>
      <c r="H52" s="115">
        <f t="shared" si="22"/>
        <v>3529527</v>
      </c>
      <c r="I52" s="115">
        <f t="shared" si="22"/>
        <v>882381.77666666615</v>
      </c>
      <c r="J52" s="164"/>
      <c r="K52" s="115">
        <f t="shared" si="18"/>
        <v>0</v>
      </c>
      <c r="L52" s="115">
        <f t="shared" si="18"/>
        <v>-2647145.2233333336</v>
      </c>
      <c r="M52" s="164"/>
      <c r="N52" s="115">
        <f t="shared" si="23"/>
        <v>-2647145.2233333336</v>
      </c>
      <c r="O52" s="115">
        <f t="shared" si="24"/>
        <v>926500.82816666667</v>
      </c>
      <c r="P52" s="115">
        <f t="shared" si="25"/>
        <v>11438.281944444636</v>
      </c>
      <c r="Q52" s="115">
        <f t="shared" si="26"/>
        <v>-1720644.3951666669</v>
      </c>
      <c r="R52" s="115">
        <f t="shared" si="7"/>
        <v>-1848362.8756828706</v>
      </c>
      <c r="S52" s="115">
        <f t="shared" si="21"/>
        <v>-2843230.0566666666</v>
      </c>
      <c r="T52" s="115">
        <f t="shared" si="20"/>
        <v>994867.18098379637</v>
      </c>
      <c r="U52" s="697"/>
    </row>
    <row r="53" spans="1:21" s="109" customFormat="1" ht="12.95" customHeight="1" outlineLevel="1">
      <c r="A53" s="114">
        <v>40967</v>
      </c>
      <c r="B53" s="115">
        <f t="shared" si="9"/>
        <v>-3529527</v>
      </c>
      <c r="C53" s="115">
        <f t="shared" si="8"/>
        <v>-3529527</v>
      </c>
      <c r="D53" s="164"/>
      <c r="E53" s="115">
        <v>0</v>
      </c>
      <c r="F53" s="115">
        <f t="shared" si="13"/>
        <v>-32680.805555555555</v>
      </c>
      <c r="G53" s="164"/>
      <c r="H53" s="115">
        <f t="shared" si="22"/>
        <v>3529527</v>
      </c>
      <c r="I53" s="115">
        <f t="shared" si="22"/>
        <v>915062.58222222165</v>
      </c>
      <c r="J53" s="164"/>
      <c r="K53" s="115">
        <f t="shared" si="18"/>
        <v>0</v>
      </c>
      <c r="L53" s="115">
        <f t="shared" si="18"/>
        <v>-2614464.4177777786</v>
      </c>
      <c r="M53" s="164"/>
      <c r="N53" s="115">
        <f t="shared" si="23"/>
        <v>-2614464.4177777786</v>
      </c>
      <c r="O53" s="115">
        <f t="shared" si="24"/>
        <v>915062.5462222225</v>
      </c>
      <c r="P53" s="115">
        <f t="shared" si="25"/>
        <v>11438.28194444417</v>
      </c>
      <c r="Q53" s="115">
        <f t="shared" si="26"/>
        <v>-1699401.8715555561</v>
      </c>
      <c r="R53" s="115">
        <f t="shared" si="7"/>
        <v>-1827092.5128611112</v>
      </c>
      <c r="S53" s="115">
        <f t="shared" si="21"/>
        <v>-2810549.2511111111</v>
      </c>
      <c r="T53" s="115">
        <f t="shared" si="20"/>
        <v>983456.73825000005</v>
      </c>
      <c r="U53" s="697"/>
    </row>
    <row r="54" spans="1:21" ht="12.95" customHeight="1" outlineLevel="1">
      <c r="A54" s="113">
        <v>40999</v>
      </c>
      <c r="B54" s="59">
        <f t="shared" si="9"/>
        <v>-3529527</v>
      </c>
      <c r="C54" s="59">
        <f t="shared" si="8"/>
        <v>-3529527</v>
      </c>
      <c r="D54" s="117"/>
      <c r="E54" s="59">
        <v>0</v>
      </c>
      <c r="F54" s="115">
        <f t="shared" si="13"/>
        <v>-32680.805555555555</v>
      </c>
      <c r="G54" s="117"/>
      <c r="H54" s="59">
        <f t="shared" si="22"/>
        <v>3529527</v>
      </c>
      <c r="I54" s="59">
        <f t="shared" si="22"/>
        <v>947743.38777777716</v>
      </c>
      <c r="J54" s="117"/>
      <c r="K54" s="59">
        <f t="shared" si="18"/>
        <v>0</v>
      </c>
      <c r="L54" s="59">
        <f t="shared" si="18"/>
        <v>-2581783.6122222226</v>
      </c>
      <c r="M54" s="117"/>
      <c r="N54" s="59">
        <f t="shared" si="23"/>
        <v>-2581783.6122222226</v>
      </c>
      <c r="O54" s="59">
        <f t="shared" si="24"/>
        <v>903624.26427777787</v>
      </c>
      <c r="P54" s="59">
        <f t="shared" si="25"/>
        <v>11438.281944444636</v>
      </c>
      <c r="Q54" s="59">
        <f t="shared" si="26"/>
        <v>-1678159.3479444447</v>
      </c>
      <c r="R54" s="59">
        <f t="shared" si="7"/>
        <v>-1805836.0755185187</v>
      </c>
      <c r="S54" s="115">
        <f t="shared" si="21"/>
        <v>-2777868.4455555556</v>
      </c>
      <c r="T54" s="115">
        <f t="shared" si="20"/>
        <v>972032.3700370373</v>
      </c>
      <c r="U54" s="697"/>
    </row>
    <row r="55" spans="1:21" s="109" customFormat="1" ht="12.95" customHeight="1" outlineLevel="1">
      <c r="A55" s="114">
        <v>41029</v>
      </c>
      <c r="B55" s="115">
        <f t="shared" si="9"/>
        <v>-3529527</v>
      </c>
      <c r="C55" s="115">
        <f t="shared" si="8"/>
        <v>-3529527</v>
      </c>
      <c r="D55" s="164"/>
      <c r="E55" s="115">
        <v>0</v>
      </c>
      <c r="F55" s="115">
        <f t="shared" si="13"/>
        <v>-32680.805555555555</v>
      </c>
      <c r="G55" s="164"/>
      <c r="H55" s="115">
        <f t="shared" si="22"/>
        <v>3529527</v>
      </c>
      <c r="I55" s="115">
        <f t="shared" si="22"/>
        <v>980424.19333333266</v>
      </c>
      <c r="J55" s="164"/>
      <c r="K55" s="115">
        <f t="shared" si="18"/>
        <v>0</v>
      </c>
      <c r="L55" s="115">
        <f t="shared" si="18"/>
        <v>-2549102.8066666676</v>
      </c>
      <c r="M55" s="164"/>
      <c r="N55" s="115">
        <f t="shared" si="23"/>
        <v>-2549102.8066666676</v>
      </c>
      <c r="O55" s="115">
        <f t="shared" si="24"/>
        <v>892185.98233333358</v>
      </c>
      <c r="P55" s="115">
        <f>-O55+O54</f>
        <v>11438.281944444287</v>
      </c>
      <c r="Q55" s="115">
        <f t="shared" si="26"/>
        <v>-1656916.8243333339</v>
      </c>
      <c r="R55" s="115">
        <f t="shared" si="7"/>
        <v>-1784579.6616712969</v>
      </c>
      <c r="S55" s="115">
        <f t="shared" si="21"/>
        <v>-2745187.6400000006</v>
      </c>
      <c r="T55" s="115">
        <f t="shared" ref="T55:T60" si="27">(O43+O55+SUM(O44:O54)*2)/24</f>
        <v>960607.9783287039</v>
      </c>
      <c r="U55" s="697"/>
    </row>
    <row r="56" spans="1:21" s="109" customFormat="1" ht="12.95" customHeight="1" outlineLevel="1">
      <c r="A56" s="114">
        <v>41060</v>
      </c>
      <c r="B56" s="115">
        <f t="shared" si="9"/>
        <v>-3529527</v>
      </c>
      <c r="C56" s="115">
        <f t="shared" si="8"/>
        <v>-3529527</v>
      </c>
      <c r="D56" s="164"/>
      <c r="E56" s="115">
        <v>0</v>
      </c>
      <c r="F56" s="115">
        <f t="shared" si="13"/>
        <v>-32680.805555555555</v>
      </c>
      <c r="G56" s="164"/>
      <c r="H56" s="115">
        <f t="shared" si="22"/>
        <v>3529527</v>
      </c>
      <c r="I56" s="115">
        <f t="shared" si="22"/>
        <v>1013104.9988888882</v>
      </c>
      <c r="J56" s="164"/>
      <c r="K56" s="115">
        <f t="shared" si="18"/>
        <v>0</v>
      </c>
      <c r="L56" s="115">
        <f t="shared" si="18"/>
        <v>-2516422.0011111116</v>
      </c>
      <c r="M56" s="164"/>
      <c r="N56" s="115">
        <f t="shared" si="23"/>
        <v>-2516422.0011111116</v>
      </c>
      <c r="O56" s="115">
        <f t="shared" si="24"/>
        <v>880747.70038888906</v>
      </c>
      <c r="P56" s="115">
        <f t="shared" si="25"/>
        <v>11438.281944444519</v>
      </c>
      <c r="Q56" s="115">
        <f t="shared" si="26"/>
        <v>-1635674.3007222225</v>
      </c>
      <c r="R56" s="115">
        <f t="shared" si="7"/>
        <v>-1763309.3693356486</v>
      </c>
      <c r="S56" s="115">
        <f t="shared" si="21"/>
        <v>-2712506.8344444451</v>
      </c>
      <c r="T56" s="115">
        <f t="shared" si="27"/>
        <v>949197.46510879649</v>
      </c>
      <c r="U56" s="697"/>
    </row>
    <row r="57" spans="1:21" ht="12.95" customHeight="1" outlineLevel="1">
      <c r="A57" s="113">
        <v>41090</v>
      </c>
      <c r="B57" s="59">
        <f t="shared" si="9"/>
        <v>-3529527</v>
      </c>
      <c r="C57" s="59">
        <f t="shared" si="8"/>
        <v>-3529527</v>
      </c>
      <c r="D57" s="117"/>
      <c r="E57" s="59">
        <v>0</v>
      </c>
      <c r="F57" s="115">
        <f t="shared" si="13"/>
        <v>-32680.805555555555</v>
      </c>
      <c r="G57" s="117"/>
      <c r="H57" s="59">
        <f t="shared" si="22"/>
        <v>3529527</v>
      </c>
      <c r="I57" s="59">
        <f t="shared" si="22"/>
        <v>1045785.8044444437</v>
      </c>
      <c r="J57" s="117"/>
      <c r="K57" s="59">
        <f t="shared" si="18"/>
        <v>0</v>
      </c>
      <c r="L57" s="59">
        <f t="shared" si="18"/>
        <v>-2483741.1955555566</v>
      </c>
      <c r="M57" s="117"/>
      <c r="N57" s="59">
        <f t="shared" si="23"/>
        <v>-2483741.1955555566</v>
      </c>
      <c r="O57" s="59">
        <f t="shared" si="24"/>
        <v>869309.41844444477</v>
      </c>
      <c r="P57" s="59">
        <f t="shared" si="25"/>
        <v>11438.281944444287</v>
      </c>
      <c r="Q57" s="59">
        <f t="shared" si="26"/>
        <v>-1614431.7771111117</v>
      </c>
      <c r="R57" s="59">
        <f t="shared" si="7"/>
        <v>-1742039.1004953708</v>
      </c>
      <c r="S57" s="115">
        <f t="shared" si="21"/>
        <v>-2679826.0288888896</v>
      </c>
      <c r="T57" s="115">
        <f t="shared" si="27"/>
        <v>937786.92839351867</v>
      </c>
      <c r="U57" s="697"/>
    </row>
    <row r="58" spans="1:21" s="109" customFormat="1" ht="12.95" customHeight="1" outlineLevel="1">
      <c r="A58" s="114">
        <v>41121</v>
      </c>
      <c r="B58" s="115">
        <f t="shared" si="9"/>
        <v>-3529527</v>
      </c>
      <c r="C58" s="115">
        <f t="shared" si="8"/>
        <v>-3529527</v>
      </c>
      <c r="D58" s="164"/>
      <c r="E58" s="115">
        <v>0</v>
      </c>
      <c r="F58" s="115">
        <f t="shared" si="13"/>
        <v>-32680.805555555555</v>
      </c>
      <c r="G58" s="164"/>
      <c r="H58" s="115">
        <f t="shared" si="22"/>
        <v>3529527</v>
      </c>
      <c r="I58" s="115">
        <f t="shared" si="22"/>
        <v>1078466.6099999992</v>
      </c>
      <c r="J58" s="164"/>
      <c r="K58" s="115">
        <f t="shared" si="18"/>
        <v>0</v>
      </c>
      <c r="L58" s="115">
        <f t="shared" si="18"/>
        <v>-2451060.3900000006</v>
      </c>
      <c r="M58" s="164"/>
      <c r="N58" s="115">
        <f t="shared" si="23"/>
        <v>-2451060.3900000006</v>
      </c>
      <c r="O58" s="115">
        <f t="shared" si="24"/>
        <v>857871.13650000014</v>
      </c>
      <c r="P58" s="115">
        <f t="shared" si="25"/>
        <v>11438.281944444636</v>
      </c>
      <c r="Q58" s="115">
        <f t="shared" si="26"/>
        <v>-1593189.2535000006</v>
      </c>
      <c r="R58" s="115">
        <f t="shared" si="7"/>
        <v>-1720768.8551504633</v>
      </c>
      <c r="S58" s="115">
        <f t="shared" si="21"/>
        <v>-2647145.2233333341</v>
      </c>
      <c r="T58" s="115">
        <f t="shared" si="27"/>
        <v>926376.36818287056</v>
      </c>
      <c r="U58" s="697"/>
    </row>
    <row r="59" spans="1:21" s="109" customFormat="1" ht="12.95" customHeight="1" outlineLevel="1">
      <c r="A59" s="114">
        <v>41152</v>
      </c>
      <c r="B59" s="115">
        <f t="shared" si="9"/>
        <v>-3529527</v>
      </c>
      <c r="C59" s="115">
        <f t="shared" si="8"/>
        <v>-3529527</v>
      </c>
      <c r="D59" s="164"/>
      <c r="E59" s="115">
        <v>0</v>
      </c>
      <c r="F59" s="115">
        <f t="shared" si="13"/>
        <v>-32680.805555555555</v>
      </c>
      <c r="G59" s="164"/>
      <c r="H59" s="115">
        <f t="shared" si="22"/>
        <v>3529527</v>
      </c>
      <c r="I59" s="115">
        <f t="shared" si="22"/>
        <v>1111147.4155555547</v>
      </c>
      <c r="J59" s="164"/>
      <c r="K59" s="115">
        <f t="shared" si="18"/>
        <v>0</v>
      </c>
      <c r="L59" s="115">
        <f t="shared" si="18"/>
        <v>-2418379.5844444456</v>
      </c>
      <c r="M59" s="164"/>
      <c r="N59" s="115">
        <f t="shared" si="23"/>
        <v>-2418379.5844444456</v>
      </c>
      <c r="O59" s="115">
        <f t="shared" si="24"/>
        <v>846432.85455555585</v>
      </c>
      <c r="P59" s="115">
        <f t="shared" si="25"/>
        <v>11438.281944444287</v>
      </c>
      <c r="Q59" s="115">
        <f t="shared" si="26"/>
        <v>-1571946.7298888897</v>
      </c>
      <c r="R59" s="115">
        <f t="shared" si="7"/>
        <v>-1699498.6333009263</v>
      </c>
      <c r="S59" s="115">
        <f t="shared" si="21"/>
        <v>-2614464.4177777786</v>
      </c>
      <c r="T59" s="115">
        <f t="shared" si="27"/>
        <v>914965.78447685193</v>
      </c>
      <c r="U59" s="697"/>
    </row>
    <row r="60" spans="1:21" s="109" customFormat="1" ht="12.95" customHeight="1" outlineLevel="1">
      <c r="A60" s="114">
        <v>41182</v>
      </c>
      <c r="B60" s="115">
        <f t="shared" si="9"/>
        <v>-3529527</v>
      </c>
      <c r="C60" s="115">
        <f t="shared" si="8"/>
        <v>-3529527</v>
      </c>
      <c r="D60" s="164"/>
      <c r="E60" s="115">
        <v>0</v>
      </c>
      <c r="F60" s="115">
        <f t="shared" si="13"/>
        <v>-32680.805555555555</v>
      </c>
      <c r="G60" s="164"/>
      <c r="H60" s="115">
        <f t="shared" si="22"/>
        <v>3529527</v>
      </c>
      <c r="I60" s="115">
        <f t="shared" si="22"/>
        <v>1143828.2211111102</v>
      </c>
      <c r="J60" s="164"/>
      <c r="K60" s="115">
        <f t="shared" si="18"/>
        <v>0</v>
      </c>
      <c r="L60" s="115">
        <f t="shared" si="18"/>
        <v>-2385698.7788888896</v>
      </c>
      <c r="M60" s="164"/>
      <c r="N60" s="115">
        <f t="shared" si="23"/>
        <v>-2385698.7788888896</v>
      </c>
      <c r="O60" s="115">
        <f t="shared" si="24"/>
        <v>834994.57261111133</v>
      </c>
      <c r="P60" s="115">
        <f t="shared" si="25"/>
        <v>11438.281944444519</v>
      </c>
      <c r="Q60" s="115">
        <f t="shared" si="26"/>
        <v>-1550704.2062777784</v>
      </c>
      <c r="R60" s="115">
        <f t="shared" si="7"/>
        <v>-1678228.4349467596</v>
      </c>
      <c r="S60" s="115">
        <f>(N48+N60+SUM(N49:N59)*2)/24</f>
        <v>-2581783.6122222226</v>
      </c>
      <c r="T60" s="115">
        <f t="shared" si="27"/>
        <v>903555.17727546312</v>
      </c>
      <c r="U60" s="697"/>
    </row>
    <row r="61" spans="1:21" s="109" customFormat="1" ht="12.95" customHeight="1" outlineLevel="1">
      <c r="A61" s="114">
        <v>41213</v>
      </c>
      <c r="B61" s="115">
        <f t="shared" si="9"/>
        <v>-3529527</v>
      </c>
      <c r="C61" s="115">
        <f t="shared" si="8"/>
        <v>-3529527</v>
      </c>
      <c r="D61" s="164"/>
      <c r="E61" s="115">
        <v>0</v>
      </c>
      <c r="F61" s="115">
        <f t="shared" si="13"/>
        <v>-32680.805555555555</v>
      </c>
      <c r="G61" s="164"/>
      <c r="H61" s="115">
        <f t="shared" si="22"/>
        <v>3529527</v>
      </c>
      <c r="I61" s="115">
        <f t="shared" si="22"/>
        <v>1176509.0266666657</v>
      </c>
      <c r="J61" s="164"/>
      <c r="K61" s="115">
        <f t="shared" si="18"/>
        <v>0</v>
      </c>
      <c r="L61" s="115">
        <f t="shared" si="18"/>
        <v>-2353017.9733333346</v>
      </c>
      <c r="M61" s="164"/>
      <c r="N61" s="115">
        <f t="shared" si="23"/>
        <v>-2353017.9733333346</v>
      </c>
      <c r="O61" s="115">
        <f t="shared" si="24"/>
        <v>823556.29066666705</v>
      </c>
      <c r="P61" s="115">
        <f t="shared" si="25"/>
        <v>11438.281944444287</v>
      </c>
      <c r="Q61" s="115">
        <f t="shared" si="26"/>
        <v>-1529461.6826666675</v>
      </c>
      <c r="R61" s="115">
        <f t="shared" si="7"/>
        <v>-1656958.2600879634</v>
      </c>
      <c r="S61" s="115">
        <f t="shared" ref="S61:S70" si="28">(N49+N61+SUM(N50:N60)*2)/24</f>
        <v>-2549102.8066666671</v>
      </c>
      <c r="T61" s="115">
        <f t="shared" ref="T61:T70" si="29">(O49+O61+SUM(O50:O60)*2)/24</f>
        <v>892144.54657870391</v>
      </c>
      <c r="U61" s="697"/>
    </row>
    <row r="62" spans="1:21" s="109" customFormat="1" ht="12.95" customHeight="1" outlineLevel="1">
      <c r="A62" s="114">
        <v>41243</v>
      </c>
      <c r="B62" s="115">
        <f t="shared" si="9"/>
        <v>-3529527</v>
      </c>
      <c r="C62" s="115">
        <f t="shared" si="8"/>
        <v>-3529527</v>
      </c>
      <c r="D62" s="164"/>
      <c r="E62" s="115">
        <v>0</v>
      </c>
      <c r="F62" s="115">
        <f t="shared" si="13"/>
        <v>-32680.805555555555</v>
      </c>
      <c r="G62" s="164"/>
      <c r="H62" s="115">
        <f t="shared" si="22"/>
        <v>3529527</v>
      </c>
      <c r="I62" s="115">
        <f t="shared" si="22"/>
        <v>1209189.8322222212</v>
      </c>
      <c r="J62" s="164"/>
      <c r="K62" s="115">
        <f t="shared" si="18"/>
        <v>0</v>
      </c>
      <c r="L62" s="115">
        <f t="shared" si="18"/>
        <v>-2320337.1677777786</v>
      </c>
      <c r="M62" s="164"/>
      <c r="N62" s="115">
        <f t="shared" si="23"/>
        <v>-2320337.1677777786</v>
      </c>
      <c r="O62" s="115">
        <f t="shared" si="24"/>
        <v>812118.00872222241</v>
      </c>
      <c r="P62" s="115">
        <f t="shared" si="25"/>
        <v>11438.281944444636</v>
      </c>
      <c r="Q62" s="115">
        <f t="shared" si="26"/>
        <v>-1508219.1590555562</v>
      </c>
      <c r="R62" s="115">
        <f t="shared" si="7"/>
        <v>-1635688.1087245375</v>
      </c>
      <c r="S62" s="115">
        <f t="shared" si="28"/>
        <v>-2516422.0011111121</v>
      </c>
      <c r="T62" s="115">
        <f t="shared" si="29"/>
        <v>880733.8923865743</v>
      </c>
      <c r="U62" s="697"/>
    </row>
    <row r="63" spans="1:21" s="109" customFormat="1" ht="12.95" customHeight="1" outlineLevel="1">
      <c r="A63" s="114">
        <v>41274</v>
      </c>
      <c r="B63" s="115">
        <f t="shared" si="9"/>
        <v>-3529527</v>
      </c>
      <c r="C63" s="115">
        <f t="shared" si="8"/>
        <v>-3529527</v>
      </c>
      <c r="D63" s="164"/>
      <c r="E63" s="115">
        <v>0</v>
      </c>
      <c r="F63" s="115">
        <f t="shared" si="13"/>
        <v>-32680.805555555555</v>
      </c>
      <c r="G63" s="164"/>
      <c r="H63" s="115">
        <f t="shared" si="22"/>
        <v>3529527</v>
      </c>
      <c r="I63" s="115">
        <f t="shared" si="22"/>
        <v>1241870.6377777767</v>
      </c>
      <c r="J63" s="164"/>
      <c r="K63" s="115">
        <f t="shared" si="18"/>
        <v>0</v>
      </c>
      <c r="L63" s="115">
        <f t="shared" si="18"/>
        <v>-2287656.3622222235</v>
      </c>
      <c r="M63" s="164"/>
      <c r="N63" s="115">
        <f t="shared" si="23"/>
        <v>-2287656.3622222235</v>
      </c>
      <c r="O63" s="115">
        <f t="shared" si="24"/>
        <v>800679.72677777824</v>
      </c>
      <c r="P63" s="115">
        <f t="shared" ref="P63:P70" si="30">-O63+O62</f>
        <v>11438.28194444417</v>
      </c>
      <c r="Q63" s="115">
        <f t="shared" si="26"/>
        <v>-1486976.6354444453</v>
      </c>
      <c r="R63" s="115">
        <f>(Q51+Q63+SUM(Q52:Q62)*2)/24</f>
        <v>-1614431.7771111114</v>
      </c>
      <c r="S63" s="115">
        <f t="shared" si="28"/>
        <v>-2483741.1955555561</v>
      </c>
      <c r="T63" s="115">
        <f t="shared" si="29"/>
        <v>869309.41844444454</v>
      </c>
      <c r="U63" s="697"/>
    </row>
    <row r="64" spans="1:21" s="109" customFormat="1" ht="12.95" customHeight="1" outlineLevel="1">
      <c r="A64" s="114">
        <v>41305</v>
      </c>
      <c r="B64" s="115">
        <f t="shared" si="9"/>
        <v>-3529527</v>
      </c>
      <c r="C64" s="115">
        <f t="shared" si="8"/>
        <v>-3529527</v>
      </c>
      <c r="D64" s="164"/>
      <c r="E64" s="115">
        <v>0</v>
      </c>
      <c r="F64" s="115">
        <f t="shared" si="13"/>
        <v>-32680.805555555555</v>
      </c>
      <c r="G64" s="164"/>
      <c r="H64" s="115">
        <f t="shared" ref="H64:I67" si="31">H63-E64</f>
        <v>3529527</v>
      </c>
      <c r="I64" s="115">
        <f t="shared" si="31"/>
        <v>1274551.4433333322</v>
      </c>
      <c r="J64" s="164"/>
      <c r="K64" s="115">
        <f t="shared" ref="K64:L67" si="32">B64+H64</f>
        <v>0</v>
      </c>
      <c r="L64" s="115">
        <f t="shared" si="32"/>
        <v>-2254975.5566666676</v>
      </c>
      <c r="M64" s="164"/>
      <c r="N64" s="115">
        <f>L64-K64</f>
        <v>-2254975.5566666676</v>
      </c>
      <c r="O64" s="115">
        <f>-N64*$O$9</f>
        <v>789241.4448333336</v>
      </c>
      <c r="P64" s="115">
        <f t="shared" si="30"/>
        <v>11438.281944444636</v>
      </c>
      <c r="Q64" s="115">
        <f>L64+O64</f>
        <v>-1465734.111833334</v>
      </c>
      <c r="R64" s="115">
        <f>(Q52+Q64+SUM(Q53:Q63)*2)/24</f>
        <v>-1593189.2535000003</v>
      </c>
      <c r="S64" s="115">
        <f t="shared" si="28"/>
        <v>-2451060.3900000006</v>
      </c>
      <c r="T64" s="115">
        <f t="shared" si="29"/>
        <v>857871.13650000014</v>
      </c>
      <c r="U64" s="697"/>
    </row>
    <row r="65" spans="1:21" s="109" customFormat="1" ht="12.95" customHeight="1" outlineLevel="1">
      <c r="A65" s="114">
        <v>41333</v>
      </c>
      <c r="B65" s="115">
        <f t="shared" si="9"/>
        <v>-3529527</v>
      </c>
      <c r="C65" s="115">
        <f t="shared" si="8"/>
        <v>-3529527</v>
      </c>
      <c r="D65" s="164"/>
      <c r="E65" s="115">
        <v>0</v>
      </c>
      <c r="F65" s="115">
        <f t="shared" si="13"/>
        <v>-32680.805555555555</v>
      </c>
      <c r="G65" s="164"/>
      <c r="H65" s="115">
        <f t="shared" si="31"/>
        <v>3529527</v>
      </c>
      <c r="I65" s="115">
        <f t="shared" si="31"/>
        <v>1307232.2488888877</v>
      </c>
      <c r="J65" s="164"/>
      <c r="K65" s="115">
        <f t="shared" si="32"/>
        <v>0</v>
      </c>
      <c r="L65" s="115">
        <f t="shared" si="32"/>
        <v>-2222294.7511111125</v>
      </c>
      <c r="M65" s="164"/>
      <c r="N65" s="115">
        <f>L65-K65</f>
        <v>-2222294.7511111125</v>
      </c>
      <c r="O65" s="115">
        <f>-N65*$O$9</f>
        <v>777803.16288888932</v>
      </c>
      <c r="P65" s="115">
        <f t="shared" si="30"/>
        <v>11438.281944444287</v>
      </c>
      <c r="Q65" s="115">
        <f>L65+O65</f>
        <v>-1444491.5882222233</v>
      </c>
      <c r="R65" s="115">
        <f>(Q53+Q65+SUM(Q54:Q64)*2)/24</f>
        <v>-1571946.7298888897</v>
      </c>
      <c r="S65" s="115">
        <f t="shared" si="28"/>
        <v>-2418379.5844444451</v>
      </c>
      <c r="T65" s="115">
        <f t="shared" si="29"/>
        <v>846432.85455555574</v>
      </c>
      <c r="U65" s="697"/>
    </row>
    <row r="66" spans="1:21" s="109" customFormat="1" ht="12.95" customHeight="1" outlineLevel="1">
      <c r="A66" s="114">
        <v>41364</v>
      </c>
      <c r="B66" s="115">
        <f t="shared" si="9"/>
        <v>-3529527</v>
      </c>
      <c r="C66" s="115">
        <f t="shared" si="8"/>
        <v>-3529527</v>
      </c>
      <c r="D66" s="164"/>
      <c r="E66" s="115">
        <v>0</v>
      </c>
      <c r="F66" s="115">
        <f t="shared" si="13"/>
        <v>-32680.805555555555</v>
      </c>
      <c r="G66" s="164"/>
      <c r="H66" s="115">
        <f t="shared" si="31"/>
        <v>3529527</v>
      </c>
      <c r="I66" s="115">
        <f t="shared" si="31"/>
        <v>1339913.0544444432</v>
      </c>
      <c r="J66" s="164"/>
      <c r="K66" s="115">
        <f t="shared" si="32"/>
        <v>0</v>
      </c>
      <c r="L66" s="115">
        <f t="shared" si="32"/>
        <v>-2189613.9455555566</v>
      </c>
      <c r="M66" s="164"/>
      <c r="N66" s="115">
        <f>L66-K66</f>
        <v>-2189613.9455555566</v>
      </c>
      <c r="O66" s="115">
        <f>-N66*$O$9</f>
        <v>766364.8809444448</v>
      </c>
      <c r="P66" s="115">
        <f t="shared" si="30"/>
        <v>11438.281944444519</v>
      </c>
      <c r="Q66" s="115">
        <f>L66+O66</f>
        <v>-1423249.0646111118</v>
      </c>
      <c r="R66" s="115">
        <f>(Q54+Q66+SUM(Q55:Q65)*2)/24</f>
        <v>-1550704.2062777784</v>
      </c>
      <c r="S66" s="115">
        <f t="shared" si="28"/>
        <v>-2385698.7788888896</v>
      </c>
      <c r="T66" s="115">
        <f t="shared" si="29"/>
        <v>834994.57261111133</v>
      </c>
      <c r="U66" s="697"/>
    </row>
    <row r="67" spans="1:21" s="109" customFormat="1" ht="12.95" customHeight="1" outlineLevel="1">
      <c r="A67" s="114">
        <v>41394</v>
      </c>
      <c r="B67" s="115">
        <f t="shared" si="9"/>
        <v>-3529527</v>
      </c>
      <c r="C67" s="115">
        <f t="shared" si="8"/>
        <v>-3529527</v>
      </c>
      <c r="D67" s="164"/>
      <c r="E67" s="115">
        <v>0</v>
      </c>
      <c r="F67" s="115">
        <f t="shared" si="13"/>
        <v>-32680.805555555555</v>
      </c>
      <c r="G67" s="164"/>
      <c r="H67" s="115">
        <f t="shared" si="31"/>
        <v>3529527</v>
      </c>
      <c r="I67" s="115">
        <f t="shared" si="31"/>
        <v>1372593.8599999987</v>
      </c>
      <c r="J67" s="164"/>
      <c r="K67" s="115">
        <f t="shared" si="32"/>
        <v>0</v>
      </c>
      <c r="L67" s="115">
        <f t="shared" si="32"/>
        <v>-2156933.1400000015</v>
      </c>
      <c r="M67" s="164"/>
      <c r="N67" s="115">
        <f>L67-K67</f>
        <v>-2156933.1400000015</v>
      </c>
      <c r="O67" s="115">
        <f>-N67*$O$9</f>
        <v>754926.59900000051</v>
      </c>
      <c r="P67" s="115">
        <f t="shared" si="30"/>
        <v>11438.281944444287</v>
      </c>
      <c r="Q67" s="115">
        <f>L67+O67</f>
        <v>-1402006.5410000011</v>
      </c>
      <c r="R67" s="115">
        <f>(Q55+Q67+SUM(Q56:Q66)*2)/24</f>
        <v>-1529461.682666667</v>
      </c>
      <c r="S67" s="115">
        <f t="shared" si="28"/>
        <v>-2353017.9733333346</v>
      </c>
      <c r="T67" s="115">
        <f t="shared" si="29"/>
        <v>823556.29066666693</v>
      </c>
      <c r="U67" s="697"/>
    </row>
    <row r="68" spans="1:21" s="109" customFormat="1" ht="12.95" customHeight="1" outlineLevel="1">
      <c r="A68" s="114">
        <v>41425</v>
      </c>
      <c r="B68" s="115">
        <f>B67</f>
        <v>-3529527</v>
      </c>
      <c r="C68" s="115">
        <f>C67</f>
        <v>-3529527</v>
      </c>
      <c r="D68" s="164"/>
      <c r="E68" s="115">
        <v>0</v>
      </c>
      <c r="F68" s="115">
        <f>$C$27/$E$5</f>
        <v>-32680.805555555555</v>
      </c>
      <c r="G68" s="164"/>
      <c r="H68" s="115">
        <f>H67-E68</f>
        <v>3529527</v>
      </c>
      <c r="I68" s="115">
        <f>I67-F68</f>
        <v>1405274.6655555542</v>
      </c>
      <c r="J68" s="164"/>
      <c r="K68" s="115">
        <f t="shared" ref="K68:L81" si="33">B68+H68</f>
        <v>0</v>
      </c>
      <c r="L68" s="115">
        <f>C68+I68</f>
        <v>-2124252.3344444456</v>
      </c>
      <c r="M68" s="164"/>
      <c r="N68" s="115">
        <f>L68-K68</f>
        <v>-2124252.3344444456</v>
      </c>
      <c r="O68" s="115">
        <f>-N68*$O$9</f>
        <v>743488.31705555588</v>
      </c>
      <c r="P68" s="115">
        <f t="shared" si="30"/>
        <v>11438.281944444636</v>
      </c>
      <c r="Q68" s="115">
        <f t="shared" ref="Q68:Q98" si="34">L68+O68</f>
        <v>-1380764.0173888896</v>
      </c>
      <c r="R68" s="115">
        <f>(Q56+Q68+(SUM(Q57:Q67))*2)/24</f>
        <v>-1508219.1590555562</v>
      </c>
      <c r="S68" s="115">
        <f t="shared" si="28"/>
        <v>-2320337.1677777786</v>
      </c>
      <c r="T68" s="115">
        <f t="shared" si="29"/>
        <v>812118.00872222241</v>
      </c>
      <c r="U68" s="697"/>
    </row>
    <row r="69" spans="1:21" ht="12.95" customHeight="1" outlineLevel="1">
      <c r="A69" s="114">
        <v>41455</v>
      </c>
      <c r="B69" s="115">
        <f t="shared" ref="B69:C81" si="35">B68</f>
        <v>-3529527</v>
      </c>
      <c r="C69" s="115">
        <f t="shared" si="35"/>
        <v>-3529527</v>
      </c>
      <c r="D69" s="164"/>
      <c r="E69" s="115">
        <v>0</v>
      </c>
      <c r="F69" s="115">
        <f t="shared" ref="F69:F95" si="36">$C$27/$E$5</f>
        <v>-32680.805555555555</v>
      </c>
      <c r="G69" s="164"/>
      <c r="H69" s="115">
        <f t="shared" ref="H69:I81" si="37">H68-E69</f>
        <v>3529527</v>
      </c>
      <c r="I69" s="115">
        <f t="shared" si="37"/>
        <v>1437955.4711111097</v>
      </c>
      <c r="J69" s="164"/>
      <c r="K69" s="115">
        <f t="shared" si="33"/>
        <v>0</v>
      </c>
      <c r="L69" s="115">
        <f t="shared" si="33"/>
        <v>-2091571.5288888903</v>
      </c>
      <c r="M69" s="164"/>
      <c r="N69" s="115">
        <f t="shared" ref="N69:N98" si="38">L69-K69</f>
        <v>-2091571.5288888903</v>
      </c>
      <c r="O69" s="115">
        <f t="shared" ref="O69:O123" si="39">-N69*$O$9</f>
        <v>732050.03511111159</v>
      </c>
      <c r="P69" s="59">
        <f t="shared" si="30"/>
        <v>11438.281944444287</v>
      </c>
      <c r="Q69" s="59">
        <f t="shared" si="34"/>
        <v>-1359521.4937777787</v>
      </c>
      <c r="R69" s="59">
        <f>(Q57+Q69+(SUM(Q58:Q67)+SUM(Q68:Q68))*2)/24</f>
        <v>-1486976.6354444453</v>
      </c>
      <c r="S69" s="115">
        <f t="shared" si="28"/>
        <v>-2287656.3622222231</v>
      </c>
      <c r="T69" s="115">
        <f t="shared" si="29"/>
        <v>800679.72677777812</v>
      </c>
      <c r="U69" s="697"/>
    </row>
    <row r="70" spans="1:21" s="109" customFormat="1" ht="12.95" customHeight="1" outlineLevel="1">
      <c r="A70" s="114">
        <v>41486</v>
      </c>
      <c r="B70" s="115">
        <f t="shared" si="35"/>
        <v>-3529527</v>
      </c>
      <c r="C70" s="115">
        <f t="shared" si="35"/>
        <v>-3529527</v>
      </c>
      <c r="D70" s="164"/>
      <c r="E70" s="115">
        <v>0</v>
      </c>
      <c r="F70" s="115">
        <f t="shared" si="36"/>
        <v>-32680.805555555555</v>
      </c>
      <c r="G70" s="164"/>
      <c r="H70" s="115">
        <f t="shared" si="37"/>
        <v>3529527</v>
      </c>
      <c r="I70" s="115">
        <f t="shared" si="37"/>
        <v>1470636.2766666652</v>
      </c>
      <c r="J70" s="164"/>
      <c r="K70" s="115">
        <f t="shared" si="33"/>
        <v>0</v>
      </c>
      <c r="L70" s="115">
        <f t="shared" si="33"/>
        <v>-2058890.7233333348</v>
      </c>
      <c r="M70" s="164"/>
      <c r="N70" s="115">
        <f t="shared" si="38"/>
        <v>-2058890.7233333348</v>
      </c>
      <c r="O70" s="115">
        <f t="shared" si="39"/>
        <v>720611.75316666719</v>
      </c>
      <c r="P70" s="115">
        <f t="shared" si="30"/>
        <v>11438.281944444403</v>
      </c>
      <c r="Q70" s="115">
        <f t="shared" si="34"/>
        <v>-1338278.9701666676</v>
      </c>
      <c r="R70" s="115">
        <f>(Q58+Q70+(SUM(Q59:Q67)+SUM(Q68:Q69))*2)/24</f>
        <v>-1465734.1118333342</v>
      </c>
      <c r="S70" s="115">
        <f t="shared" si="28"/>
        <v>-2254975.5566666676</v>
      </c>
      <c r="T70" s="115">
        <f t="shared" si="29"/>
        <v>789241.4448333336</v>
      </c>
      <c r="U70" s="697"/>
    </row>
    <row r="71" spans="1:21" s="109" customFormat="1" ht="12.95" customHeight="1" outlineLevel="1">
      <c r="A71" s="114">
        <v>41517</v>
      </c>
      <c r="B71" s="115">
        <f t="shared" si="35"/>
        <v>-3529527</v>
      </c>
      <c r="C71" s="115">
        <f t="shared" si="35"/>
        <v>-3529527</v>
      </c>
      <c r="D71" s="164"/>
      <c r="E71" s="115">
        <v>0</v>
      </c>
      <c r="F71" s="115">
        <f t="shared" si="36"/>
        <v>-32680.805555555555</v>
      </c>
      <c r="G71" s="164"/>
      <c r="H71" s="115">
        <f t="shared" si="37"/>
        <v>3529527</v>
      </c>
      <c r="I71" s="115">
        <f t="shared" si="37"/>
        <v>1503317.0822222207</v>
      </c>
      <c r="J71" s="164"/>
      <c r="K71" s="115">
        <f t="shared" si="33"/>
        <v>0</v>
      </c>
      <c r="L71" s="115">
        <f t="shared" si="33"/>
        <v>-2026209.9177777793</v>
      </c>
      <c r="M71" s="164"/>
      <c r="N71" s="115">
        <f t="shared" si="38"/>
        <v>-2026209.9177777793</v>
      </c>
      <c r="O71" s="115">
        <f t="shared" si="39"/>
        <v>709173.47122222267</v>
      </c>
      <c r="P71" s="115">
        <f t="shared" ref="P71:P98" si="40">-O71+O70</f>
        <v>11438.281944444519</v>
      </c>
      <c r="Q71" s="115">
        <f t="shared" si="34"/>
        <v>-1317036.4465555567</v>
      </c>
      <c r="R71" s="115">
        <f>(Q59+Q71+(SUM(Q60:Q67)+SUM(Q68:Q70))*2)/24</f>
        <v>-1444491.5882222231</v>
      </c>
      <c r="S71" s="115">
        <f t="shared" ref="S71:S81" si="41">(N59+N71+SUM(N60:N70)*2)/24</f>
        <v>-2222294.7511111121</v>
      </c>
      <c r="T71" s="115">
        <f t="shared" ref="T71:T81" si="42">(O59+O71+SUM(O60:O70)*2)/24</f>
        <v>777803.1628888892</v>
      </c>
      <c r="U71" s="697"/>
    </row>
    <row r="72" spans="1:21" s="109" customFormat="1" ht="12.95" customHeight="1" outlineLevel="1">
      <c r="A72" s="114">
        <v>41547</v>
      </c>
      <c r="B72" s="115">
        <f t="shared" si="35"/>
        <v>-3529527</v>
      </c>
      <c r="C72" s="115">
        <f t="shared" si="35"/>
        <v>-3529527</v>
      </c>
      <c r="D72" s="164"/>
      <c r="E72" s="115">
        <v>0</v>
      </c>
      <c r="F72" s="115">
        <f t="shared" si="36"/>
        <v>-32680.805555555555</v>
      </c>
      <c r="G72" s="164"/>
      <c r="H72" s="115">
        <f t="shared" si="37"/>
        <v>3529527</v>
      </c>
      <c r="I72" s="115">
        <f t="shared" si="37"/>
        <v>1535997.8877777762</v>
      </c>
      <c r="J72" s="164"/>
      <c r="K72" s="115">
        <f t="shared" si="33"/>
        <v>0</v>
      </c>
      <c r="L72" s="115">
        <f t="shared" si="33"/>
        <v>-1993529.1122222238</v>
      </c>
      <c r="M72" s="164"/>
      <c r="N72" s="115">
        <f t="shared" si="38"/>
        <v>-1993529.1122222238</v>
      </c>
      <c r="O72" s="115">
        <f t="shared" si="39"/>
        <v>697735.18927777826</v>
      </c>
      <c r="P72" s="115">
        <f t="shared" si="40"/>
        <v>11438.281944444403</v>
      </c>
      <c r="Q72" s="115">
        <f t="shared" si="34"/>
        <v>-1295793.9229444456</v>
      </c>
      <c r="R72" s="115">
        <f>(Q60+Q72+(SUM(Q61:Q67)+SUM(Q68:Q71))*2)/24</f>
        <v>-1423249.064611112</v>
      </c>
      <c r="S72" s="115">
        <f t="shared" si="41"/>
        <v>-2189613.945555557</v>
      </c>
      <c r="T72" s="115">
        <f t="shared" si="42"/>
        <v>766364.8809444448</v>
      </c>
      <c r="U72" s="697"/>
    </row>
    <row r="73" spans="1:21" s="109" customFormat="1" ht="12.95" customHeight="1" outlineLevel="1">
      <c r="A73" s="114">
        <v>41578</v>
      </c>
      <c r="B73" s="115">
        <f t="shared" si="35"/>
        <v>-3529527</v>
      </c>
      <c r="C73" s="115">
        <f t="shared" si="35"/>
        <v>-3529527</v>
      </c>
      <c r="D73" s="164"/>
      <c r="E73" s="115">
        <v>0</v>
      </c>
      <c r="F73" s="115">
        <f t="shared" si="36"/>
        <v>-32680.805555555555</v>
      </c>
      <c r="G73" s="164"/>
      <c r="H73" s="115">
        <f t="shared" si="37"/>
        <v>3529527</v>
      </c>
      <c r="I73" s="115">
        <f t="shared" si="37"/>
        <v>1568678.6933333317</v>
      </c>
      <c r="J73" s="164"/>
      <c r="K73" s="115">
        <f t="shared" si="33"/>
        <v>0</v>
      </c>
      <c r="L73" s="115">
        <f t="shared" si="33"/>
        <v>-1960848.3066666683</v>
      </c>
      <c r="M73" s="164"/>
      <c r="N73" s="115">
        <f t="shared" si="38"/>
        <v>-1960848.3066666683</v>
      </c>
      <c r="O73" s="115">
        <f t="shared" si="39"/>
        <v>686296.90733333386</v>
      </c>
      <c r="P73" s="115">
        <f t="shared" si="40"/>
        <v>11438.281944444403</v>
      </c>
      <c r="Q73" s="115">
        <f t="shared" si="34"/>
        <v>-1274551.3993333345</v>
      </c>
      <c r="R73" s="115">
        <f>(Q61+Q73+(SUM(Q62:Q67)+SUM(Q68:Q72))*2)/24</f>
        <v>-1402006.5410000009</v>
      </c>
      <c r="S73" s="115">
        <f t="shared" si="41"/>
        <v>-2156933.1400000011</v>
      </c>
      <c r="T73" s="115">
        <f t="shared" si="42"/>
        <v>754926.59900000039</v>
      </c>
      <c r="U73" s="697"/>
    </row>
    <row r="74" spans="1:21" s="109" customFormat="1" ht="12.95" customHeight="1" outlineLevel="1">
      <c r="A74" s="114">
        <v>41608</v>
      </c>
      <c r="B74" s="115">
        <f t="shared" si="35"/>
        <v>-3529527</v>
      </c>
      <c r="C74" s="115">
        <f t="shared" si="35"/>
        <v>-3529527</v>
      </c>
      <c r="D74" s="164"/>
      <c r="E74" s="115">
        <v>0</v>
      </c>
      <c r="F74" s="115">
        <f t="shared" si="36"/>
        <v>-32680.805555555555</v>
      </c>
      <c r="G74" s="164"/>
      <c r="H74" s="115">
        <f t="shared" si="37"/>
        <v>3529527</v>
      </c>
      <c r="I74" s="115">
        <f t="shared" si="37"/>
        <v>1601359.4988888872</v>
      </c>
      <c r="J74" s="164"/>
      <c r="K74" s="115">
        <f t="shared" si="33"/>
        <v>0</v>
      </c>
      <c r="L74" s="115">
        <f t="shared" si="33"/>
        <v>-1928167.5011111128</v>
      </c>
      <c r="M74" s="164"/>
      <c r="N74" s="115">
        <f t="shared" si="38"/>
        <v>-1928167.5011111128</v>
      </c>
      <c r="O74" s="115">
        <f t="shared" si="39"/>
        <v>674858.62538888946</v>
      </c>
      <c r="P74" s="115">
        <f t="shared" si="40"/>
        <v>11438.281944444403</v>
      </c>
      <c r="Q74" s="115">
        <f t="shared" si="34"/>
        <v>-1253308.8757222234</v>
      </c>
      <c r="R74" s="115">
        <f>(Q62+Q74+(SUM(Q63:Q67)+SUM(Q68:Q73))*2)/24</f>
        <v>-1380764.0173888898</v>
      </c>
      <c r="S74" s="115">
        <f t="shared" si="41"/>
        <v>-2124252.334444446</v>
      </c>
      <c r="T74" s="115">
        <f t="shared" si="42"/>
        <v>743488.31705555599</v>
      </c>
      <c r="U74" s="697"/>
    </row>
    <row r="75" spans="1:21" s="109" customFormat="1" ht="12.95" customHeight="1" outlineLevel="1">
      <c r="A75" s="114">
        <v>41639</v>
      </c>
      <c r="B75" s="115">
        <f t="shared" si="35"/>
        <v>-3529527</v>
      </c>
      <c r="C75" s="115">
        <f t="shared" si="35"/>
        <v>-3529527</v>
      </c>
      <c r="D75" s="164"/>
      <c r="E75" s="115">
        <v>0</v>
      </c>
      <c r="F75" s="115">
        <f t="shared" si="36"/>
        <v>-32680.805555555555</v>
      </c>
      <c r="G75" s="164"/>
      <c r="H75" s="115">
        <f t="shared" si="37"/>
        <v>3529527</v>
      </c>
      <c r="I75" s="115">
        <f t="shared" si="37"/>
        <v>1634040.3044444427</v>
      </c>
      <c r="J75" s="164"/>
      <c r="K75" s="115">
        <f t="shared" si="33"/>
        <v>0</v>
      </c>
      <c r="L75" s="115">
        <f t="shared" si="33"/>
        <v>-1895486.6955555573</v>
      </c>
      <c r="M75" s="164"/>
      <c r="N75" s="115">
        <f t="shared" si="38"/>
        <v>-1895486.6955555573</v>
      </c>
      <c r="O75" s="115">
        <f t="shared" si="39"/>
        <v>663420.34344444505</v>
      </c>
      <c r="P75" s="115">
        <f t="shared" si="40"/>
        <v>11438.281944444403</v>
      </c>
      <c r="Q75" s="115">
        <f t="shared" si="34"/>
        <v>-1232066.3521111123</v>
      </c>
      <c r="R75" s="115">
        <f>(Q63+Q75+(SUM(Q64:Q67)+SUM(Q68:Q74))*2)/24</f>
        <v>-1359521.4937777787</v>
      </c>
      <c r="S75" s="115">
        <f t="shared" si="41"/>
        <v>-2091571.5288888905</v>
      </c>
      <c r="T75" s="115">
        <f t="shared" si="42"/>
        <v>732050.03511111159</v>
      </c>
      <c r="U75" s="697"/>
    </row>
    <row r="76" spans="1:21" s="109" customFormat="1" ht="12.95" customHeight="1" outlineLevel="1">
      <c r="A76" s="114">
        <v>41670</v>
      </c>
      <c r="B76" s="115">
        <f t="shared" si="35"/>
        <v>-3529527</v>
      </c>
      <c r="C76" s="115">
        <f t="shared" si="35"/>
        <v>-3529527</v>
      </c>
      <c r="D76" s="164"/>
      <c r="E76" s="115">
        <v>0</v>
      </c>
      <c r="F76" s="115">
        <f t="shared" si="36"/>
        <v>-32680.805555555555</v>
      </c>
      <c r="G76" s="164"/>
      <c r="H76" s="115">
        <f t="shared" si="37"/>
        <v>3529527</v>
      </c>
      <c r="I76" s="115">
        <f t="shared" si="37"/>
        <v>1666721.1099999982</v>
      </c>
      <c r="J76" s="164"/>
      <c r="K76" s="115">
        <f t="shared" si="33"/>
        <v>0</v>
      </c>
      <c r="L76" s="115">
        <f t="shared" si="33"/>
        <v>-1862805.8900000018</v>
      </c>
      <c r="M76" s="164"/>
      <c r="N76" s="115">
        <f t="shared" si="38"/>
        <v>-1862805.8900000018</v>
      </c>
      <c r="O76" s="115">
        <f t="shared" si="39"/>
        <v>651982.06150000053</v>
      </c>
      <c r="P76" s="115">
        <f t="shared" si="40"/>
        <v>11438.281944444519</v>
      </c>
      <c r="Q76" s="115">
        <f t="shared" si="34"/>
        <v>-1210823.8285000012</v>
      </c>
      <c r="R76" s="115">
        <f>(Q64+Q76+(SUM(Q65:Q67)+SUM(Q68:Q75))*2)/24</f>
        <v>-1338278.9701666676</v>
      </c>
      <c r="S76" s="115">
        <f t="shared" si="41"/>
        <v>-2058890.7233333346</v>
      </c>
      <c r="T76" s="115">
        <f t="shared" si="42"/>
        <v>720611.75316666719</v>
      </c>
      <c r="U76" s="697"/>
    </row>
    <row r="77" spans="1:21" s="109" customFormat="1" ht="12.95" customHeight="1" outlineLevel="1">
      <c r="A77" s="114">
        <v>41698</v>
      </c>
      <c r="B77" s="115">
        <f t="shared" si="35"/>
        <v>-3529527</v>
      </c>
      <c r="C77" s="115">
        <f t="shared" si="35"/>
        <v>-3529527</v>
      </c>
      <c r="D77" s="164"/>
      <c r="E77" s="115">
        <v>0</v>
      </c>
      <c r="F77" s="115">
        <f t="shared" si="36"/>
        <v>-32680.805555555555</v>
      </c>
      <c r="G77" s="164"/>
      <c r="H77" s="115">
        <f t="shared" si="37"/>
        <v>3529527</v>
      </c>
      <c r="I77" s="115">
        <f t="shared" si="37"/>
        <v>1699401.9155555537</v>
      </c>
      <c r="J77" s="164"/>
      <c r="K77" s="115">
        <f t="shared" si="33"/>
        <v>0</v>
      </c>
      <c r="L77" s="115">
        <f t="shared" si="33"/>
        <v>-1830125.0844444463</v>
      </c>
      <c r="M77" s="164"/>
      <c r="N77" s="115">
        <f t="shared" si="38"/>
        <v>-1830125.0844444463</v>
      </c>
      <c r="O77" s="115">
        <f t="shared" si="39"/>
        <v>640543.77955555613</v>
      </c>
      <c r="P77" s="115">
        <f t="shared" si="40"/>
        <v>11438.281944444403</v>
      </c>
      <c r="Q77" s="115">
        <f t="shared" si="34"/>
        <v>-1189581.3048888901</v>
      </c>
      <c r="R77" s="115">
        <f>(Q65+Q77+(SUM(Q66:Q67)+SUM(Q68:Q76))*2)/24</f>
        <v>-1317036.4465555565</v>
      </c>
      <c r="S77" s="115">
        <f t="shared" si="41"/>
        <v>-2026209.9177777793</v>
      </c>
      <c r="T77" s="115">
        <f t="shared" si="42"/>
        <v>709173.47122222278</v>
      </c>
      <c r="U77" s="697"/>
    </row>
    <row r="78" spans="1:21" s="109" customFormat="1" ht="12.6" customHeight="1" outlineLevel="1">
      <c r="A78" s="114">
        <v>41729</v>
      </c>
      <c r="B78" s="115">
        <f t="shared" si="35"/>
        <v>-3529527</v>
      </c>
      <c r="C78" s="115">
        <f t="shared" si="35"/>
        <v>-3529527</v>
      </c>
      <c r="D78" s="164"/>
      <c r="E78" s="115">
        <v>0</v>
      </c>
      <c r="F78" s="115">
        <f t="shared" si="36"/>
        <v>-32680.805555555555</v>
      </c>
      <c r="G78" s="164"/>
      <c r="H78" s="115">
        <f t="shared" si="37"/>
        <v>3529527</v>
      </c>
      <c r="I78" s="115">
        <f t="shared" si="37"/>
        <v>1732082.7211111092</v>
      </c>
      <c r="J78" s="164"/>
      <c r="K78" s="115">
        <f t="shared" si="33"/>
        <v>0</v>
      </c>
      <c r="L78" s="115">
        <f t="shared" si="33"/>
        <v>-1797444.2788888908</v>
      </c>
      <c r="M78" s="164"/>
      <c r="N78" s="115">
        <f t="shared" si="38"/>
        <v>-1797444.2788888908</v>
      </c>
      <c r="O78" s="115">
        <f t="shared" si="39"/>
        <v>629105.49761111173</v>
      </c>
      <c r="P78" s="115">
        <f t="shared" si="40"/>
        <v>11438.281944444403</v>
      </c>
      <c r="Q78" s="115">
        <f t="shared" si="34"/>
        <v>-1168338.781277779</v>
      </c>
      <c r="R78" s="115">
        <f>(Q66+Q78+(SUM(Q67:Q67)+SUM(Q68:Q77))*2)/24</f>
        <v>-1295793.9229444454</v>
      </c>
      <c r="S78" s="115">
        <f t="shared" si="41"/>
        <v>-1993529.1122222235</v>
      </c>
      <c r="T78" s="115">
        <f t="shared" si="42"/>
        <v>697735.18927777838</v>
      </c>
      <c r="U78" s="700"/>
    </row>
    <row r="79" spans="1:21" s="109" customFormat="1" ht="12.6" customHeight="1" outlineLevel="1">
      <c r="A79" s="114">
        <v>41759</v>
      </c>
      <c r="B79" s="115">
        <f t="shared" si="35"/>
        <v>-3529527</v>
      </c>
      <c r="C79" s="115">
        <f t="shared" si="35"/>
        <v>-3529527</v>
      </c>
      <c r="D79" s="164"/>
      <c r="E79" s="115">
        <v>0</v>
      </c>
      <c r="F79" s="115">
        <f t="shared" si="36"/>
        <v>-32680.805555555555</v>
      </c>
      <c r="G79" s="164"/>
      <c r="H79" s="115">
        <f t="shared" si="37"/>
        <v>3529527</v>
      </c>
      <c r="I79" s="115">
        <f t="shared" si="37"/>
        <v>1764763.5266666648</v>
      </c>
      <c r="J79" s="164"/>
      <c r="K79" s="115">
        <f t="shared" si="33"/>
        <v>0</v>
      </c>
      <c r="L79" s="115">
        <f t="shared" si="33"/>
        <v>-1764763.4733333352</v>
      </c>
      <c r="M79" s="164"/>
      <c r="N79" s="115">
        <f t="shared" si="38"/>
        <v>-1764763.4733333352</v>
      </c>
      <c r="O79" s="115">
        <f t="shared" si="39"/>
        <v>617667.21566666733</v>
      </c>
      <c r="P79" s="115">
        <f t="shared" si="40"/>
        <v>11438.281944444403</v>
      </c>
      <c r="Q79" s="115">
        <f t="shared" si="34"/>
        <v>-1147096.2576666679</v>
      </c>
      <c r="R79" s="115">
        <f>(Q67+Q79+(SUM(Q68:Q78))*2)/24</f>
        <v>-1274551.3993333345</v>
      </c>
      <c r="S79" s="115">
        <f t="shared" si="41"/>
        <v>-1960848.3066666683</v>
      </c>
      <c r="T79" s="115">
        <f t="shared" si="42"/>
        <v>686296.90733333398</v>
      </c>
      <c r="U79" s="700"/>
    </row>
    <row r="80" spans="1:21" s="109" customFormat="1" ht="12.95" customHeight="1" outlineLevel="1">
      <c r="A80" s="114">
        <v>41790</v>
      </c>
      <c r="B80" s="115">
        <f t="shared" si="35"/>
        <v>-3529527</v>
      </c>
      <c r="C80" s="115">
        <f t="shared" si="35"/>
        <v>-3529527</v>
      </c>
      <c r="D80" s="164"/>
      <c r="E80" s="115">
        <v>0</v>
      </c>
      <c r="F80" s="115">
        <f t="shared" si="36"/>
        <v>-32680.805555555555</v>
      </c>
      <c r="G80" s="164"/>
      <c r="H80" s="115">
        <f t="shared" si="37"/>
        <v>3529527</v>
      </c>
      <c r="I80" s="115">
        <f t="shared" si="37"/>
        <v>1797444.3322222203</v>
      </c>
      <c r="J80" s="164"/>
      <c r="K80" s="115">
        <f t="shared" si="33"/>
        <v>0</v>
      </c>
      <c r="L80" s="115">
        <f t="shared" si="33"/>
        <v>-1732082.6677777797</v>
      </c>
      <c r="M80" s="164"/>
      <c r="N80" s="115">
        <f t="shared" si="38"/>
        <v>-1732082.6677777797</v>
      </c>
      <c r="O80" s="115">
        <f t="shared" si="39"/>
        <v>606228.93372222292</v>
      </c>
      <c r="P80" s="115">
        <f t="shared" si="40"/>
        <v>11438.281944444403</v>
      </c>
      <c r="Q80" s="115">
        <f t="shared" si="34"/>
        <v>-1125853.7340555568</v>
      </c>
      <c r="R80" s="115">
        <f t="shared" ref="R80:R85" si="43">(Q68+Q80+SUM(Q69:Q79)*2)/24</f>
        <v>-1253308.8757222232</v>
      </c>
      <c r="S80" s="115">
        <f t="shared" si="41"/>
        <v>-1928167.5011111128</v>
      </c>
      <c r="T80" s="115">
        <f t="shared" si="42"/>
        <v>674858.62538888957</v>
      </c>
      <c r="U80" s="700"/>
    </row>
    <row r="81" spans="1:21" ht="12.95" customHeight="1" outlineLevel="1">
      <c r="A81" s="113">
        <v>41820</v>
      </c>
      <c r="B81" s="59">
        <f t="shared" si="35"/>
        <v>-3529527</v>
      </c>
      <c r="C81" s="59">
        <f t="shared" si="35"/>
        <v>-3529527</v>
      </c>
      <c r="D81" s="117"/>
      <c r="E81" s="59">
        <v>0</v>
      </c>
      <c r="F81" s="59">
        <f t="shared" si="36"/>
        <v>-32680.805555555555</v>
      </c>
      <c r="G81" s="117"/>
      <c r="H81" s="59">
        <f t="shared" si="37"/>
        <v>3529527</v>
      </c>
      <c r="I81" s="59">
        <f t="shared" si="37"/>
        <v>1830125.1377777758</v>
      </c>
      <c r="J81" s="117"/>
      <c r="K81" s="59">
        <f t="shared" si="33"/>
        <v>0</v>
      </c>
      <c r="L81" s="59">
        <f t="shared" si="33"/>
        <v>-1699401.8622222242</v>
      </c>
      <c r="M81" s="117"/>
      <c r="N81" s="59">
        <f t="shared" si="38"/>
        <v>-1699401.8622222242</v>
      </c>
      <c r="O81" s="59">
        <f t="shared" si="39"/>
        <v>594790.6517777784</v>
      </c>
      <c r="P81" s="59">
        <f t="shared" si="40"/>
        <v>11438.281944444519</v>
      </c>
      <c r="Q81" s="59">
        <f t="shared" si="34"/>
        <v>-1104611.2104444457</v>
      </c>
      <c r="R81" s="59">
        <f t="shared" si="43"/>
        <v>-1232066.3521111121</v>
      </c>
      <c r="S81" s="115">
        <f t="shared" si="41"/>
        <v>-1895486.6955555575</v>
      </c>
      <c r="T81" s="115">
        <f t="shared" si="42"/>
        <v>663420.34344444517</v>
      </c>
      <c r="U81" s="697"/>
    </row>
    <row r="82" spans="1:21" ht="12.95" customHeight="1" outlineLevel="1">
      <c r="A82" s="114">
        <v>41851</v>
      </c>
      <c r="B82" s="115">
        <f t="shared" ref="B82:C97" si="44">B81</f>
        <v>-3529527</v>
      </c>
      <c r="C82" s="115">
        <f t="shared" si="44"/>
        <v>-3529527</v>
      </c>
      <c r="D82" s="164"/>
      <c r="E82" s="115">
        <v>0</v>
      </c>
      <c r="F82" s="115">
        <f t="shared" si="36"/>
        <v>-32680.805555555555</v>
      </c>
      <c r="G82" s="164"/>
      <c r="H82" s="115">
        <f t="shared" ref="H82:I97" si="45">H81-E82</f>
        <v>3529527</v>
      </c>
      <c r="I82" s="115">
        <f t="shared" si="45"/>
        <v>1862805.9433333313</v>
      </c>
      <c r="J82" s="164"/>
      <c r="K82" s="115">
        <f t="shared" ref="K82:L103" si="46">B82+H82</f>
        <v>0</v>
      </c>
      <c r="L82" s="115">
        <f t="shared" si="46"/>
        <v>-1666721.0566666687</v>
      </c>
      <c r="M82" s="164"/>
      <c r="N82" s="115">
        <f t="shared" si="38"/>
        <v>-1666721.0566666687</v>
      </c>
      <c r="O82" s="115">
        <f t="shared" si="39"/>
        <v>583352.369833334</v>
      </c>
      <c r="P82" s="115">
        <f t="shared" si="40"/>
        <v>11438.281944444403</v>
      </c>
      <c r="Q82" s="115">
        <f t="shared" si="34"/>
        <v>-1083368.6868333346</v>
      </c>
      <c r="R82" s="115">
        <f t="shared" si="43"/>
        <v>-1210823.8285000012</v>
      </c>
      <c r="S82" s="115">
        <f t="shared" ref="S82:S88" si="47">(N70+N82+SUM(N71:N81)*2)/24</f>
        <v>-1862805.8900000018</v>
      </c>
      <c r="T82" s="115">
        <f t="shared" ref="T82:T88" si="48">(O70+O82+SUM(O71:O81)*2)/24</f>
        <v>651982.06150000065</v>
      </c>
      <c r="U82" s="697"/>
    </row>
    <row r="83" spans="1:21" ht="12.95" customHeight="1" outlineLevel="1">
      <c r="A83" s="114">
        <v>41882</v>
      </c>
      <c r="B83" s="115">
        <f t="shared" si="44"/>
        <v>-3529527</v>
      </c>
      <c r="C83" s="115">
        <f t="shared" si="44"/>
        <v>-3529527</v>
      </c>
      <c r="D83" s="164"/>
      <c r="E83" s="115">
        <v>0</v>
      </c>
      <c r="F83" s="115">
        <f t="shared" si="36"/>
        <v>-32680.805555555555</v>
      </c>
      <c r="G83" s="164"/>
      <c r="H83" s="115">
        <f t="shared" si="45"/>
        <v>3529527</v>
      </c>
      <c r="I83" s="115">
        <f t="shared" si="45"/>
        <v>1895486.7488888868</v>
      </c>
      <c r="J83" s="164"/>
      <c r="K83" s="115">
        <f t="shared" si="46"/>
        <v>0</v>
      </c>
      <c r="L83" s="115">
        <f t="shared" si="46"/>
        <v>-1634040.2511111132</v>
      </c>
      <c r="M83" s="164"/>
      <c r="N83" s="115">
        <f t="shared" si="38"/>
        <v>-1634040.2511111132</v>
      </c>
      <c r="O83" s="115">
        <f t="shared" si="39"/>
        <v>571914.0878888896</v>
      </c>
      <c r="P83" s="115">
        <f t="shared" si="40"/>
        <v>11438.281944444403</v>
      </c>
      <c r="Q83" s="115">
        <f t="shared" si="34"/>
        <v>-1062126.1632222235</v>
      </c>
      <c r="R83" s="115">
        <f t="shared" si="43"/>
        <v>-1189581.3048888901</v>
      </c>
      <c r="S83" s="115">
        <f t="shared" si="47"/>
        <v>-1830125.0844444463</v>
      </c>
      <c r="T83" s="115">
        <f t="shared" si="48"/>
        <v>640543.77955555625</v>
      </c>
      <c r="U83" s="697"/>
    </row>
    <row r="84" spans="1:21" s="109" customFormat="1" ht="12.95" customHeight="1" outlineLevel="1">
      <c r="A84" s="114">
        <v>41912</v>
      </c>
      <c r="B84" s="115">
        <f t="shared" si="44"/>
        <v>-3529527</v>
      </c>
      <c r="C84" s="115">
        <f t="shared" si="44"/>
        <v>-3529527</v>
      </c>
      <c r="D84" s="164"/>
      <c r="E84" s="115">
        <v>0</v>
      </c>
      <c r="F84" s="115">
        <f t="shared" si="36"/>
        <v>-32680.805555555555</v>
      </c>
      <c r="G84" s="164"/>
      <c r="H84" s="115">
        <f t="shared" si="45"/>
        <v>3529527</v>
      </c>
      <c r="I84" s="115">
        <f t="shared" si="45"/>
        <v>1928167.5544444423</v>
      </c>
      <c r="J84" s="164"/>
      <c r="K84" s="115">
        <f t="shared" si="46"/>
        <v>0</v>
      </c>
      <c r="L84" s="115">
        <f t="shared" si="46"/>
        <v>-1601359.4455555577</v>
      </c>
      <c r="M84" s="164"/>
      <c r="N84" s="115">
        <f t="shared" si="38"/>
        <v>-1601359.4455555577</v>
      </c>
      <c r="O84" s="115">
        <f t="shared" si="39"/>
        <v>560475.80594444519</v>
      </c>
      <c r="P84" s="115">
        <f t="shared" si="40"/>
        <v>11438.281944444403</v>
      </c>
      <c r="Q84" s="115">
        <f t="shared" si="34"/>
        <v>-1040883.6396111125</v>
      </c>
      <c r="R84" s="115">
        <f t="shared" si="43"/>
        <v>-1168338.781277779</v>
      </c>
      <c r="S84" s="115">
        <f t="shared" si="47"/>
        <v>-1797444.2788888908</v>
      </c>
      <c r="T84" s="115">
        <f t="shared" si="48"/>
        <v>629105.49761111184</v>
      </c>
      <c r="U84" s="700"/>
    </row>
    <row r="85" spans="1:21" ht="12.95" customHeight="1" outlineLevel="1">
      <c r="A85" s="114">
        <v>41943</v>
      </c>
      <c r="B85" s="59">
        <f t="shared" si="44"/>
        <v>-3529527</v>
      </c>
      <c r="C85" s="59">
        <f t="shared" si="44"/>
        <v>-3529527</v>
      </c>
      <c r="D85" s="117"/>
      <c r="E85" s="59">
        <v>0</v>
      </c>
      <c r="F85" s="59">
        <f t="shared" si="36"/>
        <v>-32680.805555555555</v>
      </c>
      <c r="G85" s="117"/>
      <c r="H85" s="59">
        <f t="shared" si="45"/>
        <v>3529527</v>
      </c>
      <c r="I85" s="59">
        <f t="shared" si="45"/>
        <v>1960848.3599999978</v>
      </c>
      <c r="J85" s="117"/>
      <c r="K85" s="59">
        <f t="shared" si="46"/>
        <v>0</v>
      </c>
      <c r="L85" s="115">
        <f t="shared" si="46"/>
        <v>-1568678.6400000022</v>
      </c>
      <c r="M85" s="117"/>
      <c r="N85" s="59">
        <f t="shared" si="38"/>
        <v>-1568678.6400000022</v>
      </c>
      <c r="O85" s="59">
        <f t="shared" si="39"/>
        <v>549037.52400000079</v>
      </c>
      <c r="P85" s="59">
        <f t="shared" si="40"/>
        <v>11438.281944444403</v>
      </c>
      <c r="Q85" s="59">
        <f t="shared" si="34"/>
        <v>-1019641.1160000014</v>
      </c>
      <c r="R85" s="59">
        <f t="shared" si="43"/>
        <v>-1147096.2576666677</v>
      </c>
      <c r="S85" s="115">
        <f t="shared" si="47"/>
        <v>-1764763.4733333352</v>
      </c>
      <c r="T85" s="115">
        <f t="shared" si="48"/>
        <v>617667.21566666744</v>
      </c>
      <c r="U85" s="697"/>
    </row>
    <row r="86" spans="1:21" s="109" customFormat="1" ht="12.95" customHeight="1" outlineLevel="1">
      <c r="A86" s="114">
        <v>41973</v>
      </c>
      <c r="B86" s="115">
        <f t="shared" si="44"/>
        <v>-3529527</v>
      </c>
      <c r="C86" s="115">
        <f t="shared" si="44"/>
        <v>-3529527</v>
      </c>
      <c r="D86" s="164"/>
      <c r="E86" s="115">
        <v>0</v>
      </c>
      <c r="F86" s="115">
        <f t="shared" si="36"/>
        <v>-32680.805555555555</v>
      </c>
      <c r="G86" s="164"/>
      <c r="H86" s="115">
        <f t="shared" si="45"/>
        <v>3529527</v>
      </c>
      <c r="I86" s="115">
        <f t="shared" si="45"/>
        <v>1993529.1655555533</v>
      </c>
      <c r="J86" s="164"/>
      <c r="K86" s="115">
        <f t="shared" si="46"/>
        <v>0</v>
      </c>
      <c r="L86" s="115">
        <f t="shared" si="46"/>
        <v>-1535997.8344444467</v>
      </c>
      <c r="M86" s="164"/>
      <c r="N86" s="115">
        <f t="shared" si="38"/>
        <v>-1535997.8344444467</v>
      </c>
      <c r="O86" s="115">
        <f t="shared" si="39"/>
        <v>537599.24205555627</v>
      </c>
      <c r="P86" s="115">
        <f t="shared" si="40"/>
        <v>11438.281944444519</v>
      </c>
      <c r="Q86" s="115">
        <f t="shared" si="34"/>
        <v>-998398.59238889045</v>
      </c>
      <c r="R86" s="115">
        <f t="shared" ref="R86:R146" si="49">(Q74+Q86+SUM(Q75:Q85)*2)/24</f>
        <v>-1125853.7340555568</v>
      </c>
      <c r="S86" s="115">
        <f t="shared" si="47"/>
        <v>-1732082.6677777795</v>
      </c>
      <c r="T86" s="115">
        <f t="shared" si="48"/>
        <v>606228.93372222304</v>
      </c>
      <c r="U86" s="700"/>
    </row>
    <row r="87" spans="1:21" s="109" customFormat="1" ht="12.95" customHeight="1" outlineLevel="1">
      <c r="A87" s="114">
        <v>42004</v>
      </c>
      <c r="B87" s="115">
        <f t="shared" si="44"/>
        <v>-3529527</v>
      </c>
      <c r="C87" s="115">
        <f t="shared" si="44"/>
        <v>-3529527</v>
      </c>
      <c r="D87" s="164"/>
      <c r="E87" s="115">
        <v>0</v>
      </c>
      <c r="F87" s="115">
        <f t="shared" si="36"/>
        <v>-32680.805555555555</v>
      </c>
      <c r="G87" s="164"/>
      <c r="H87" s="115">
        <f t="shared" si="45"/>
        <v>3529527</v>
      </c>
      <c r="I87" s="115">
        <f t="shared" si="45"/>
        <v>2026209.9711111088</v>
      </c>
      <c r="J87" s="164"/>
      <c r="K87" s="115">
        <f t="shared" si="46"/>
        <v>0</v>
      </c>
      <c r="L87" s="115">
        <f t="shared" si="46"/>
        <v>-1503317.0288888912</v>
      </c>
      <c r="M87" s="164"/>
      <c r="N87" s="115">
        <f t="shared" si="38"/>
        <v>-1503317.0288888912</v>
      </c>
      <c r="O87" s="115">
        <f t="shared" si="39"/>
        <v>526160.96011111187</v>
      </c>
      <c r="P87" s="115">
        <f t="shared" si="40"/>
        <v>11438.281944444403</v>
      </c>
      <c r="Q87" s="115">
        <f t="shared" si="34"/>
        <v>-977156.06877777935</v>
      </c>
      <c r="R87" s="115">
        <f t="shared" si="49"/>
        <v>-1104611.2104444457</v>
      </c>
      <c r="S87" s="115">
        <f t="shared" si="47"/>
        <v>-1699401.8622222245</v>
      </c>
      <c r="T87" s="115">
        <f t="shared" si="48"/>
        <v>594790.65177777852</v>
      </c>
      <c r="U87" s="700"/>
    </row>
    <row r="88" spans="1:21" ht="12.95" customHeight="1" outlineLevel="1">
      <c r="A88" s="113">
        <v>42035</v>
      </c>
      <c r="B88" s="59">
        <f t="shared" si="44"/>
        <v>-3529527</v>
      </c>
      <c r="C88" s="59">
        <f t="shared" si="44"/>
        <v>-3529527</v>
      </c>
      <c r="D88" s="117"/>
      <c r="E88" s="59">
        <v>0</v>
      </c>
      <c r="F88" s="59">
        <f t="shared" si="36"/>
        <v>-32680.805555555555</v>
      </c>
      <c r="G88" s="117"/>
      <c r="H88" s="59">
        <f t="shared" si="45"/>
        <v>3529527</v>
      </c>
      <c r="I88" s="59">
        <f t="shared" si="45"/>
        <v>2058890.7766666643</v>
      </c>
      <c r="J88" s="117"/>
      <c r="K88" s="59">
        <f t="shared" si="46"/>
        <v>0</v>
      </c>
      <c r="L88" s="59">
        <f t="shared" si="46"/>
        <v>-1470636.2233333357</v>
      </c>
      <c r="M88" s="117"/>
      <c r="N88" s="59">
        <f t="shared" si="38"/>
        <v>-1470636.2233333357</v>
      </c>
      <c r="O88" s="59">
        <f t="shared" si="39"/>
        <v>514722.67816666747</v>
      </c>
      <c r="P88" s="59">
        <f t="shared" si="40"/>
        <v>11438.281944444403</v>
      </c>
      <c r="Q88" s="59">
        <f t="shared" si="34"/>
        <v>-955913.54516666825</v>
      </c>
      <c r="R88" s="59">
        <f t="shared" si="49"/>
        <v>-1083368.6868333349</v>
      </c>
      <c r="S88" s="115">
        <f t="shared" si="47"/>
        <v>-1666721.0566666687</v>
      </c>
      <c r="T88" s="115">
        <f t="shared" si="48"/>
        <v>583352.36983333412</v>
      </c>
      <c r="U88" s="697"/>
    </row>
    <row r="89" spans="1:21" s="109" customFormat="1" ht="12.95" customHeight="1" outlineLevel="1">
      <c r="A89" s="114">
        <v>42063</v>
      </c>
      <c r="B89" s="115">
        <f t="shared" si="44"/>
        <v>-3529527</v>
      </c>
      <c r="C89" s="115">
        <f t="shared" si="44"/>
        <v>-3529527</v>
      </c>
      <c r="D89" s="164"/>
      <c r="E89" s="115">
        <v>0</v>
      </c>
      <c r="F89" s="115">
        <f t="shared" si="36"/>
        <v>-32680.805555555555</v>
      </c>
      <c r="G89" s="164"/>
      <c r="H89" s="115">
        <f t="shared" si="45"/>
        <v>3529527</v>
      </c>
      <c r="I89" s="115">
        <f t="shared" si="45"/>
        <v>2091571.5822222198</v>
      </c>
      <c r="J89" s="164"/>
      <c r="K89" s="115">
        <f t="shared" si="46"/>
        <v>0</v>
      </c>
      <c r="L89" s="115">
        <f t="shared" si="46"/>
        <v>-1437955.4177777802</v>
      </c>
      <c r="M89" s="164"/>
      <c r="N89" s="115">
        <f t="shared" si="38"/>
        <v>-1437955.4177777802</v>
      </c>
      <c r="O89" s="115">
        <f t="shared" si="39"/>
        <v>503284.39622222306</v>
      </c>
      <c r="P89" s="115">
        <f t="shared" si="40"/>
        <v>11438.281944444403</v>
      </c>
      <c r="Q89" s="115">
        <f t="shared" si="34"/>
        <v>-934671.02155555715</v>
      </c>
      <c r="R89" s="115">
        <f t="shared" si="49"/>
        <v>-1062126.1632222235</v>
      </c>
      <c r="S89" s="115">
        <f t="shared" ref="S89:S137" si="50">(N77+N89+SUM(N78:N88)*2)/24</f>
        <v>-1634040.2511111132</v>
      </c>
      <c r="T89" s="115">
        <f t="shared" ref="T89:T137" si="51">(O77+O89+SUM(O78:O88)*2)/24</f>
        <v>571914.0878888896</v>
      </c>
      <c r="U89" s="700"/>
    </row>
    <row r="90" spans="1:21" ht="12.95" customHeight="1" outlineLevel="1">
      <c r="A90" s="113">
        <v>42094</v>
      </c>
      <c r="B90" s="59">
        <f t="shared" si="44"/>
        <v>-3529527</v>
      </c>
      <c r="C90" s="59">
        <f t="shared" si="44"/>
        <v>-3529527</v>
      </c>
      <c r="D90" s="117"/>
      <c r="E90" s="59">
        <v>0</v>
      </c>
      <c r="F90" s="59">
        <f t="shared" si="36"/>
        <v>-32680.805555555555</v>
      </c>
      <c r="G90" s="117"/>
      <c r="H90" s="59">
        <f t="shared" si="45"/>
        <v>3529527</v>
      </c>
      <c r="I90" s="59">
        <f t="shared" si="45"/>
        <v>2124252.3877777755</v>
      </c>
      <c r="J90" s="117"/>
      <c r="K90" s="59">
        <f t="shared" si="46"/>
        <v>0</v>
      </c>
      <c r="L90" s="59">
        <f t="shared" si="46"/>
        <v>-1405274.6122222245</v>
      </c>
      <c r="M90" s="117"/>
      <c r="N90" s="59">
        <f t="shared" si="38"/>
        <v>-1405274.6122222245</v>
      </c>
      <c r="O90" s="59">
        <f t="shared" si="39"/>
        <v>491846.11427777854</v>
      </c>
      <c r="P90" s="59">
        <f t="shared" si="40"/>
        <v>11438.281944444519</v>
      </c>
      <c r="Q90" s="59">
        <f t="shared" si="34"/>
        <v>-913428.49794444593</v>
      </c>
      <c r="R90" s="59">
        <f t="shared" si="49"/>
        <v>-1040883.6396111124</v>
      </c>
      <c r="S90" s="115">
        <f t="shared" si="50"/>
        <v>-1601359.4455555575</v>
      </c>
      <c r="T90" s="115">
        <f t="shared" si="51"/>
        <v>560475.80594444496</v>
      </c>
      <c r="U90" s="697"/>
    </row>
    <row r="91" spans="1:21" s="109" customFormat="1" ht="12.95" customHeight="1" outlineLevel="1">
      <c r="A91" s="114">
        <v>42124</v>
      </c>
      <c r="B91" s="115">
        <f t="shared" si="44"/>
        <v>-3529527</v>
      </c>
      <c r="C91" s="115">
        <f t="shared" si="44"/>
        <v>-3529527</v>
      </c>
      <c r="D91" s="164"/>
      <c r="E91" s="115">
        <v>0</v>
      </c>
      <c r="F91" s="115">
        <f t="shared" si="36"/>
        <v>-32680.805555555555</v>
      </c>
      <c r="G91" s="164"/>
      <c r="H91" s="115">
        <f t="shared" si="45"/>
        <v>3529527</v>
      </c>
      <c r="I91" s="115">
        <f t="shared" si="45"/>
        <v>2156933.193333331</v>
      </c>
      <c r="J91" s="164"/>
      <c r="K91" s="115">
        <f t="shared" si="46"/>
        <v>0</v>
      </c>
      <c r="L91" s="115">
        <f>C91+I91</f>
        <v>-1372593.806666669</v>
      </c>
      <c r="M91" s="164"/>
      <c r="N91" s="115">
        <f t="shared" si="38"/>
        <v>-1372593.806666669</v>
      </c>
      <c r="O91" s="115">
        <f t="shared" si="39"/>
        <v>480407.83233333408</v>
      </c>
      <c r="P91" s="115">
        <f t="shared" si="40"/>
        <v>11438.281944444461</v>
      </c>
      <c r="Q91" s="115">
        <f t="shared" si="34"/>
        <v>-892185.97433333495</v>
      </c>
      <c r="R91" s="115">
        <f t="shared" si="49"/>
        <v>-1019641.1160000017</v>
      </c>
      <c r="S91" s="115">
        <f t="shared" si="50"/>
        <v>-1568678.6400000018</v>
      </c>
      <c r="T91" s="115">
        <f t="shared" si="51"/>
        <v>549037.52400000056</v>
      </c>
      <c r="U91" s="700"/>
    </row>
    <row r="92" spans="1:21" s="109" customFormat="1" ht="12.95" customHeight="1" outlineLevel="1">
      <c r="A92" s="114">
        <v>42155</v>
      </c>
      <c r="B92" s="115">
        <f t="shared" si="44"/>
        <v>-3529527</v>
      </c>
      <c r="C92" s="115">
        <f t="shared" si="44"/>
        <v>-3529527</v>
      </c>
      <c r="D92" s="164"/>
      <c r="E92" s="115">
        <v>0</v>
      </c>
      <c r="F92" s="115">
        <f t="shared" si="36"/>
        <v>-32680.805555555555</v>
      </c>
      <c r="G92" s="164"/>
      <c r="H92" s="115">
        <f t="shared" si="45"/>
        <v>3529527</v>
      </c>
      <c r="I92" s="115">
        <f t="shared" si="45"/>
        <v>2189613.9988888865</v>
      </c>
      <c r="J92" s="164"/>
      <c r="K92" s="115">
        <f t="shared" si="46"/>
        <v>0</v>
      </c>
      <c r="L92" s="115">
        <f t="shared" si="46"/>
        <v>-1339913.0011111135</v>
      </c>
      <c r="M92" s="164"/>
      <c r="N92" s="115">
        <f t="shared" si="38"/>
        <v>-1339913.0011111135</v>
      </c>
      <c r="O92" s="115">
        <f t="shared" si="39"/>
        <v>468969.55038888968</v>
      </c>
      <c r="P92" s="115">
        <f t="shared" si="40"/>
        <v>11438.281944444403</v>
      </c>
      <c r="Q92" s="115">
        <f t="shared" si="34"/>
        <v>-870943.45072222385</v>
      </c>
      <c r="R92" s="115">
        <f t="shared" si="49"/>
        <v>-998398.59238889033</v>
      </c>
      <c r="S92" s="115">
        <f t="shared" si="50"/>
        <v>-1535997.8344444465</v>
      </c>
      <c r="T92" s="115">
        <f t="shared" si="51"/>
        <v>537599.24205555615</v>
      </c>
      <c r="U92" s="700"/>
    </row>
    <row r="93" spans="1:21" ht="12.95" customHeight="1" outlineLevel="1">
      <c r="A93" s="114">
        <v>42185</v>
      </c>
      <c r="B93" s="115">
        <f t="shared" si="44"/>
        <v>-3529527</v>
      </c>
      <c r="C93" s="115">
        <f t="shared" si="44"/>
        <v>-3529527</v>
      </c>
      <c r="D93" s="164"/>
      <c r="E93" s="115">
        <v>0</v>
      </c>
      <c r="F93" s="115">
        <f t="shared" si="36"/>
        <v>-32680.805555555555</v>
      </c>
      <c r="G93" s="164"/>
      <c r="H93" s="115">
        <f t="shared" si="45"/>
        <v>3529527</v>
      </c>
      <c r="I93" s="115">
        <f t="shared" si="45"/>
        <v>2222294.804444442</v>
      </c>
      <c r="J93" s="164"/>
      <c r="K93" s="115">
        <f t="shared" si="46"/>
        <v>0</v>
      </c>
      <c r="L93" s="115">
        <f t="shared" si="46"/>
        <v>-1307232.195555558</v>
      </c>
      <c r="M93" s="164"/>
      <c r="N93" s="115">
        <f t="shared" si="38"/>
        <v>-1307232.195555558</v>
      </c>
      <c r="O93" s="115">
        <f t="shared" si="39"/>
        <v>457531.26844444528</v>
      </c>
      <c r="P93" s="115">
        <f t="shared" si="40"/>
        <v>11438.281944444403</v>
      </c>
      <c r="Q93" s="115">
        <f t="shared" si="34"/>
        <v>-849700.92711111275</v>
      </c>
      <c r="R93" s="115">
        <f t="shared" si="49"/>
        <v>-977156.06877777912</v>
      </c>
      <c r="S93" s="115">
        <f t="shared" si="50"/>
        <v>-1503317.0288888912</v>
      </c>
      <c r="T93" s="115">
        <f t="shared" si="51"/>
        <v>526160.96011111175</v>
      </c>
      <c r="U93" s="700"/>
    </row>
    <row r="94" spans="1:21" s="109" customFormat="1" ht="12.95" customHeight="1" outlineLevel="1">
      <c r="A94" s="114">
        <v>42216</v>
      </c>
      <c r="B94" s="115">
        <f t="shared" si="44"/>
        <v>-3529527</v>
      </c>
      <c r="C94" s="115">
        <f t="shared" si="44"/>
        <v>-3529527</v>
      </c>
      <c r="D94" s="164"/>
      <c r="E94" s="115">
        <v>0</v>
      </c>
      <c r="F94" s="115">
        <f t="shared" si="36"/>
        <v>-32680.805555555555</v>
      </c>
      <c r="G94" s="164"/>
      <c r="H94" s="115">
        <f t="shared" si="45"/>
        <v>3529527</v>
      </c>
      <c r="I94" s="115">
        <f t="shared" si="45"/>
        <v>2254975.6099999975</v>
      </c>
      <c r="J94" s="164"/>
      <c r="K94" s="115">
        <f t="shared" si="46"/>
        <v>0</v>
      </c>
      <c r="L94" s="115">
        <f t="shared" si="46"/>
        <v>-1274551.3900000025</v>
      </c>
      <c r="M94" s="164"/>
      <c r="N94" s="115">
        <f t="shared" si="38"/>
        <v>-1274551.3900000025</v>
      </c>
      <c r="O94" s="115">
        <f t="shared" si="39"/>
        <v>446092.98650000081</v>
      </c>
      <c r="P94" s="115">
        <f t="shared" si="40"/>
        <v>11438.281944444461</v>
      </c>
      <c r="Q94" s="115">
        <f t="shared" si="34"/>
        <v>-828458.40350000164</v>
      </c>
      <c r="R94" s="115">
        <f t="shared" si="49"/>
        <v>-955913.54516666813</v>
      </c>
      <c r="S94" s="115">
        <f t="shared" si="50"/>
        <v>-1470636.2233333355</v>
      </c>
      <c r="T94" s="115">
        <f t="shared" si="51"/>
        <v>514722.67816666729</v>
      </c>
      <c r="U94" s="700"/>
    </row>
    <row r="95" spans="1:21" s="109" customFormat="1" ht="12.95" customHeight="1" outlineLevel="1">
      <c r="A95" s="114">
        <v>42247</v>
      </c>
      <c r="B95" s="115">
        <f t="shared" si="44"/>
        <v>-3529527</v>
      </c>
      <c r="C95" s="115">
        <f t="shared" si="44"/>
        <v>-3529527</v>
      </c>
      <c r="D95" s="164"/>
      <c r="E95" s="115">
        <v>0</v>
      </c>
      <c r="F95" s="115">
        <f t="shared" si="36"/>
        <v>-32680.805555555555</v>
      </c>
      <c r="G95" s="164"/>
      <c r="H95" s="115">
        <f t="shared" si="45"/>
        <v>3529527</v>
      </c>
      <c r="I95" s="115">
        <f t="shared" si="45"/>
        <v>2287656.415555553</v>
      </c>
      <c r="J95" s="164"/>
      <c r="K95" s="115">
        <f t="shared" si="46"/>
        <v>0</v>
      </c>
      <c r="L95" s="115">
        <f t="shared" si="46"/>
        <v>-1241870.584444447</v>
      </c>
      <c r="M95" s="164"/>
      <c r="N95" s="115">
        <f t="shared" si="38"/>
        <v>-1241870.584444447</v>
      </c>
      <c r="O95" s="115">
        <f t="shared" si="39"/>
        <v>434654.70455555641</v>
      </c>
      <c r="P95" s="115">
        <f t="shared" si="40"/>
        <v>11438.281944444403</v>
      </c>
      <c r="Q95" s="115">
        <f t="shared" si="34"/>
        <v>-807215.87988889054</v>
      </c>
      <c r="R95" s="115">
        <f t="shared" si="49"/>
        <v>-934671.02155555726</v>
      </c>
      <c r="S95" s="115">
        <f t="shared" si="50"/>
        <v>-1437955.4177777802</v>
      </c>
      <c r="T95" s="115">
        <f t="shared" si="51"/>
        <v>503284.39622222289</v>
      </c>
      <c r="U95" s="700"/>
    </row>
    <row r="96" spans="1:21" s="109" customFormat="1" ht="12.95" customHeight="1" outlineLevel="1">
      <c r="A96" s="114">
        <v>42277</v>
      </c>
      <c r="B96" s="115">
        <f t="shared" si="44"/>
        <v>-3529527</v>
      </c>
      <c r="C96" s="115">
        <f t="shared" si="44"/>
        <v>-3529527</v>
      </c>
      <c r="D96" s="164"/>
      <c r="E96" s="115">
        <v>0</v>
      </c>
      <c r="F96" s="115">
        <f t="shared" ref="F96:F127" si="52">$C$27/$E$5</f>
        <v>-32680.805555555555</v>
      </c>
      <c r="G96" s="164"/>
      <c r="H96" s="115">
        <f t="shared" si="45"/>
        <v>3529527</v>
      </c>
      <c r="I96" s="115">
        <f t="shared" si="45"/>
        <v>2320337.2211111085</v>
      </c>
      <c r="J96" s="164"/>
      <c r="K96" s="115">
        <f t="shared" si="46"/>
        <v>0</v>
      </c>
      <c r="L96" s="115">
        <f t="shared" si="46"/>
        <v>-1209189.7788888915</v>
      </c>
      <c r="M96" s="164"/>
      <c r="N96" s="115">
        <f t="shared" si="38"/>
        <v>-1209189.7788888915</v>
      </c>
      <c r="O96" s="115">
        <f t="shared" si="39"/>
        <v>423216.42261111201</v>
      </c>
      <c r="P96" s="115">
        <f t="shared" si="40"/>
        <v>11438.281944444403</v>
      </c>
      <c r="Q96" s="115">
        <f t="shared" si="34"/>
        <v>-785973.35627777944</v>
      </c>
      <c r="R96" s="115">
        <f t="shared" si="49"/>
        <v>-913428.49794444616</v>
      </c>
      <c r="S96" s="115">
        <f t="shared" si="50"/>
        <v>-1405274.6122222245</v>
      </c>
      <c r="T96" s="115">
        <f t="shared" si="51"/>
        <v>491846.11427777848</v>
      </c>
      <c r="U96" s="700"/>
    </row>
    <row r="97" spans="1:21" ht="12.95" customHeight="1" outlineLevel="1">
      <c r="A97" s="114">
        <v>42308</v>
      </c>
      <c r="B97" s="115">
        <f t="shared" si="44"/>
        <v>-3529527</v>
      </c>
      <c r="C97" s="115">
        <f t="shared" si="44"/>
        <v>-3529527</v>
      </c>
      <c r="D97" s="164"/>
      <c r="E97" s="115">
        <v>0</v>
      </c>
      <c r="F97" s="115">
        <f t="shared" si="52"/>
        <v>-32680.805555555555</v>
      </c>
      <c r="G97" s="164"/>
      <c r="H97" s="115">
        <f t="shared" si="45"/>
        <v>3529527</v>
      </c>
      <c r="I97" s="115">
        <f t="shared" si="45"/>
        <v>2353018.0266666641</v>
      </c>
      <c r="J97" s="164"/>
      <c r="K97" s="115">
        <f t="shared" si="46"/>
        <v>0</v>
      </c>
      <c r="L97" s="115">
        <f t="shared" si="46"/>
        <v>-1176508.9733333359</v>
      </c>
      <c r="M97" s="164"/>
      <c r="N97" s="115">
        <f t="shared" si="38"/>
        <v>-1176508.9733333359</v>
      </c>
      <c r="O97" s="115">
        <f t="shared" si="39"/>
        <v>411778.14066666755</v>
      </c>
      <c r="P97" s="115">
        <f t="shared" si="40"/>
        <v>11438.281944444461</v>
      </c>
      <c r="Q97" s="115">
        <f t="shared" si="34"/>
        <v>-764730.83266666834</v>
      </c>
      <c r="R97" s="115">
        <f t="shared" si="49"/>
        <v>-892185.97433333483</v>
      </c>
      <c r="S97" s="115">
        <f t="shared" si="50"/>
        <v>-1372593.8066666687</v>
      </c>
      <c r="T97" s="115">
        <f t="shared" si="51"/>
        <v>480407.83233333408</v>
      </c>
      <c r="U97" s="700"/>
    </row>
    <row r="98" spans="1:21" s="109" customFormat="1" ht="12.95" customHeight="1" outlineLevel="1">
      <c r="A98" s="114">
        <v>42338</v>
      </c>
      <c r="B98" s="115">
        <f t="shared" ref="B98:C113" si="53">B97</f>
        <v>-3529527</v>
      </c>
      <c r="C98" s="115">
        <f t="shared" si="53"/>
        <v>-3529527</v>
      </c>
      <c r="D98" s="164"/>
      <c r="E98" s="115">
        <v>0</v>
      </c>
      <c r="F98" s="115">
        <f t="shared" si="52"/>
        <v>-32680.805555555555</v>
      </c>
      <c r="G98" s="164"/>
      <c r="H98" s="115">
        <f t="shared" ref="H98:I113" si="54">H97-E98</f>
        <v>3529527</v>
      </c>
      <c r="I98" s="115">
        <f t="shared" si="54"/>
        <v>2385698.8322222196</v>
      </c>
      <c r="J98" s="164"/>
      <c r="K98" s="115">
        <f t="shared" si="46"/>
        <v>0</v>
      </c>
      <c r="L98" s="115">
        <f t="shared" si="46"/>
        <v>-1143828.1677777804</v>
      </c>
      <c r="M98" s="164"/>
      <c r="N98" s="115">
        <f t="shared" si="38"/>
        <v>-1143828.1677777804</v>
      </c>
      <c r="O98" s="115">
        <f t="shared" si="39"/>
        <v>400339.85872222314</v>
      </c>
      <c r="P98" s="115">
        <f t="shared" si="40"/>
        <v>11438.281944444403</v>
      </c>
      <c r="Q98" s="115">
        <f t="shared" si="34"/>
        <v>-743488.30905555724</v>
      </c>
      <c r="R98" s="115">
        <f t="shared" si="49"/>
        <v>-870943.45072222373</v>
      </c>
      <c r="S98" s="115">
        <f t="shared" si="50"/>
        <v>-1339913.0011111135</v>
      </c>
      <c r="T98" s="115">
        <f t="shared" si="51"/>
        <v>468969.55038888968</v>
      </c>
      <c r="U98" s="700"/>
    </row>
    <row r="99" spans="1:21" ht="12.95" customHeight="1" outlineLevel="1">
      <c r="A99" s="114">
        <v>42369</v>
      </c>
      <c r="B99" s="115">
        <f t="shared" si="53"/>
        <v>-3529527</v>
      </c>
      <c r="C99" s="115">
        <f t="shared" si="53"/>
        <v>-3529527</v>
      </c>
      <c r="D99" s="164"/>
      <c r="E99" s="115">
        <v>0</v>
      </c>
      <c r="F99" s="115">
        <f t="shared" si="52"/>
        <v>-32680.805555555555</v>
      </c>
      <c r="G99" s="164"/>
      <c r="H99" s="115">
        <f t="shared" si="54"/>
        <v>3529527</v>
      </c>
      <c r="I99" s="115">
        <f t="shared" si="54"/>
        <v>2418379.6377777751</v>
      </c>
      <c r="J99" s="164"/>
      <c r="K99" s="115">
        <f t="shared" si="46"/>
        <v>0</v>
      </c>
      <c r="L99" s="115">
        <f t="shared" si="46"/>
        <v>-1111147.3622222249</v>
      </c>
      <c r="M99" s="164"/>
      <c r="N99" s="115">
        <f>L99-K99</f>
        <v>-1111147.3622222249</v>
      </c>
      <c r="O99" s="115">
        <f t="shared" si="39"/>
        <v>388901.57677777868</v>
      </c>
      <c r="P99" s="115">
        <f>-O99+O98</f>
        <v>11438.281944444461</v>
      </c>
      <c r="Q99" s="115">
        <f>L99+O99</f>
        <v>-722245.78544444626</v>
      </c>
      <c r="R99" s="115">
        <f t="shared" si="49"/>
        <v>-849700.92711111286</v>
      </c>
      <c r="S99" s="115">
        <f t="shared" si="50"/>
        <v>-1307232.195555558</v>
      </c>
      <c r="T99" s="115">
        <f t="shared" si="51"/>
        <v>457531.26844444522</v>
      </c>
      <c r="U99" s="700"/>
    </row>
    <row r="100" spans="1:21" s="109" customFormat="1" ht="12.95" customHeight="1" outlineLevel="1">
      <c r="A100" s="114">
        <v>42400</v>
      </c>
      <c r="B100" s="115">
        <f t="shared" si="53"/>
        <v>-3529527</v>
      </c>
      <c r="C100" s="115">
        <f t="shared" si="53"/>
        <v>-3529527</v>
      </c>
      <c r="D100" s="164"/>
      <c r="E100" s="115">
        <v>0</v>
      </c>
      <c r="F100" s="115">
        <f t="shared" si="52"/>
        <v>-32680.805555555555</v>
      </c>
      <c r="G100" s="164"/>
      <c r="H100" s="115">
        <f t="shared" si="54"/>
        <v>3529527</v>
      </c>
      <c r="I100" s="115">
        <f t="shared" si="54"/>
        <v>2451060.4433333306</v>
      </c>
      <c r="J100" s="164"/>
      <c r="K100" s="115">
        <f t="shared" si="46"/>
        <v>0</v>
      </c>
      <c r="L100" s="115">
        <f t="shared" si="46"/>
        <v>-1078466.5566666694</v>
      </c>
      <c r="M100" s="164"/>
      <c r="N100" s="115">
        <f>L100-K100</f>
        <v>-1078466.5566666694</v>
      </c>
      <c r="O100" s="115">
        <f t="shared" si="39"/>
        <v>377463.29483333428</v>
      </c>
      <c r="P100" s="115">
        <f>-O100+O99</f>
        <v>11438.281944444403</v>
      </c>
      <c r="Q100" s="115">
        <f>L100+O100</f>
        <v>-701003.26183333516</v>
      </c>
      <c r="R100" s="115">
        <f t="shared" si="49"/>
        <v>-828458.40350000153</v>
      </c>
      <c r="S100" s="115">
        <f t="shared" si="50"/>
        <v>-1274551.3900000022</v>
      </c>
      <c r="T100" s="115">
        <f t="shared" si="51"/>
        <v>446092.98650000076</v>
      </c>
      <c r="U100" s="700"/>
    </row>
    <row r="101" spans="1:21" s="109" customFormat="1" ht="12.95" customHeight="1" outlineLevel="1">
      <c r="A101" s="114">
        <v>42429</v>
      </c>
      <c r="B101" s="115">
        <f t="shared" si="53"/>
        <v>-3529527</v>
      </c>
      <c r="C101" s="115">
        <f t="shared" si="53"/>
        <v>-3529527</v>
      </c>
      <c r="D101" s="164"/>
      <c r="E101" s="115">
        <v>0</v>
      </c>
      <c r="F101" s="115">
        <f t="shared" si="52"/>
        <v>-32680.805555555555</v>
      </c>
      <c r="G101" s="164"/>
      <c r="H101" s="115">
        <f t="shared" si="54"/>
        <v>3529527</v>
      </c>
      <c r="I101" s="115">
        <f t="shared" si="54"/>
        <v>2483741.2488888861</v>
      </c>
      <c r="J101" s="164"/>
      <c r="K101" s="115">
        <f t="shared" si="46"/>
        <v>0</v>
      </c>
      <c r="L101" s="115">
        <f t="shared" si="46"/>
        <v>-1045785.7511111139</v>
      </c>
      <c r="M101" s="164"/>
      <c r="N101" s="115">
        <f>L101-K101</f>
        <v>-1045785.7511111139</v>
      </c>
      <c r="O101" s="115">
        <f t="shared" si="39"/>
        <v>366025.01288888988</v>
      </c>
      <c r="P101" s="115">
        <f>-O101+O100</f>
        <v>11438.281944444403</v>
      </c>
      <c r="Q101" s="115">
        <f>L101+O101</f>
        <v>-679760.73822222406</v>
      </c>
      <c r="R101" s="115">
        <f t="shared" si="49"/>
        <v>-807215.87988889043</v>
      </c>
      <c r="S101" s="115">
        <f t="shared" si="50"/>
        <v>-1241870.584444447</v>
      </c>
      <c r="T101" s="115">
        <f t="shared" si="51"/>
        <v>434654.70455555635</v>
      </c>
      <c r="U101" s="700"/>
    </row>
    <row r="102" spans="1:21" s="109" customFormat="1" ht="12.95" customHeight="1" outlineLevel="1">
      <c r="A102" s="114">
        <v>42460</v>
      </c>
      <c r="B102" s="115">
        <f t="shared" si="53"/>
        <v>-3529527</v>
      </c>
      <c r="C102" s="115">
        <f t="shared" si="53"/>
        <v>-3529527</v>
      </c>
      <c r="D102" s="164"/>
      <c r="E102" s="115">
        <v>0</v>
      </c>
      <c r="F102" s="115">
        <f t="shared" si="52"/>
        <v>-32680.805555555555</v>
      </c>
      <c r="G102" s="164"/>
      <c r="H102" s="115">
        <f t="shared" si="54"/>
        <v>3529527</v>
      </c>
      <c r="I102" s="115">
        <f t="shared" si="54"/>
        <v>2516422.0544444416</v>
      </c>
      <c r="J102" s="164"/>
      <c r="K102" s="115">
        <f t="shared" si="46"/>
        <v>0</v>
      </c>
      <c r="L102" s="115">
        <f t="shared" si="46"/>
        <v>-1013104.9455555584</v>
      </c>
      <c r="M102" s="164"/>
      <c r="N102" s="115">
        <f t="shared" ref="N102:N129" si="55">L102-K102</f>
        <v>-1013104.9455555584</v>
      </c>
      <c r="O102" s="115">
        <f t="shared" si="39"/>
        <v>354586.73094444541</v>
      </c>
      <c r="P102" s="115">
        <f t="shared" ref="P102:P129" si="56">-O102+O101</f>
        <v>11438.281944444461</v>
      </c>
      <c r="Q102" s="115">
        <f t="shared" ref="Q102:Q129" si="57">L102+O102</f>
        <v>-658518.21461111307</v>
      </c>
      <c r="R102" s="115">
        <f t="shared" si="49"/>
        <v>-785973.35627777933</v>
      </c>
      <c r="S102" s="115">
        <f t="shared" si="50"/>
        <v>-1209189.7788888915</v>
      </c>
      <c r="T102" s="115">
        <f t="shared" si="51"/>
        <v>423216.42261111195</v>
      </c>
      <c r="U102" s="700"/>
    </row>
    <row r="103" spans="1:21" ht="12.95" customHeight="1" outlineLevel="1">
      <c r="A103" s="114">
        <v>42490</v>
      </c>
      <c r="B103" s="115">
        <f t="shared" si="53"/>
        <v>-3529527</v>
      </c>
      <c r="C103" s="115">
        <f t="shared" si="53"/>
        <v>-3529527</v>
      </c>
      <c r="D103" s="164"/>
      <c r="E103" s="115">
        <v>0</v>
      </c>
      <c r="F103" s="115">
        <f t="shared" si="52"/>
        <v>-32680.805555555555</v>
      </c>
      <c r="G103" s="164"/>
      <c r="H103" s="115">
        <f t="shared" si="54"/>
        <v>3529527</v>
      </c>
      <c r="I103" s="115">
        <f t="shared" si="54"/>
        <v>2549102.8599999971</v>
      </c>
      <c r="J103" s="164"/>
      <c r="K103" s="115">
        <f t="shared" si="46"/>
        <v>0</v>
      </c>
      <c r="L103" s="115">
        <f t="shared" si="46"/>
        <v>-980424.14000000292</v>
      </c>
      <c r="M103" s="164"/>
      <c r="N103" s="115">
        <f t="shared" si="55"/>
        <v>-980424.14000000292</v>
      </c>
      <c r="O103" s="115">
        <f t="shared" si="39"/>
        <v>343148.44900000101</v>
      </c>
      <c r="P103" s="115">
        <f t="shared" si="56"/>
        <v>11438.281944444403</v>
      </c>
      <c r="Q103" s="115">
        <f t="shared" si="57"/>
        <v>-637275.69100000197</v>
      </c>
      <c r="R103" s="115">
        <f t="shared" si="49"/>
        <v>-764730.83266666846</v>
      </c>
      <c r="S103" s="115">
        <f t="shared" si="50"/>
        <v>-1176508.9733333362</v>
      </c>
      <c r="T103" s="115">
        <f t="shared" si="51"/>
        <v>411778.14066666755</v>
      </c>
      <c r="U103" s="697"/>
    </row>
    <row r="104" spans="1:21" s="109" customFormat="1" ht="12.95" customHeight="1" outlineLevel="1">
      <c r="A104" s="114">
        <v>42521</v>
      </c>
      <c r="B104" s="115">
        <f t="shared" si="53"/>
        <v>-3529527</v>
      </c>
      <c r="C104" s="115">
        <f t="shared" si="53"/>
        <v>-3529527</v>
      </c>
      <c r="D104" s="164"/>
      <c r="E104" s="115">
        <v>0</v>
      </c>
      <c r="F104" s="115">
        <f t="shared" si="52"/>
        <v>-32680.805555555555</v>
      </c>
      <c r="G104" s="164"/>
      <c r="H104" s="115">
        <f t="shared" si="54"/>
        <v>3529527</v>
      </c>
      <c r="I104" s="115">
        <f t="shared" si="54"/>
        <v>2581783.6655555526</v>
      </c>
      <c r="J104" s="164"/>
      <c r="K104" s="115">
        <f t="shared" ref="K104:L131" si="58">B104+H104</f>
        <v>0</v>
      </c>
      <c r="L104" s="115">
        <f t="shared" si="58"/>
        <v>-947743.33444444742</v>
      </c>
      <c r="M104" s="164"/>
      <c r="N104" s="115">
        <f t="shared" si="55"/>
        <v>-947743.33444444742</v>
      </c>
      <c r="O104" s="115">
        <f t="shared" si="39"/>
        <v>331710.16705555655</v>
      </c>
      <c r="P104" s="115">
        <f t="shared" si="56"/>
        <v>11438.281944444461</v>
      </c>
      <c r="Q104" s="115">
        <f t="shared" si="57"/>
        <v>-616033.16738889087</v>
      </c>
      <c r="R104" s="115">
        <f t="shared" si="49"/>
        <v>-743488.30905555736</v>
      </c>
      <c r="S104" s="115">
        <f t="shared" si="50"/>
        <v>-1143828.1677777802</v>
      </c>
      <c r="T104" s="115">
        <f t="shared" si="51"/>
        <v>400339.85872222303</v>
      </c>
      <c r="U104" s="700"/>
    </row>
    <row r="105" spans="1:21" s="109" customFormat="1" ht="12.95" customHeight="1" outlineLevel="1">
      <c r="A105" s="114">
        <v>42551</v>
      </c>
      <c r="B105" s="115">
        <f t="shared" si="53"/>
        <v>-3529527</v>
      </c>
      <c r="C105" s="115">
        <f t="shared" si="53"/>
        <v>-3529527</v>
      </c>
      <c r="D105" s="164"/>
      <c r="E105" s="115">
        <v>0</v>
      </c>
      <c r="F105" s="115">
        <f t="shared" si="52"/>
        <v>-32680.805555555555</v>
      </c>
      <c r="G105" s="164"/>
      <c r="H105" s="115">
        <f t="shared" si="54"/>
        <v>3529527</v>
      </c>
      <c r="I105" s="115">
        <f t="shared" si="54"/>
        <v>2614464.4711111081</v>
      </c>
      <c r="J105" s="164"/>
      <c r="K105" s="115">
        <f t="shared" si="58"/>
        <v>0</v>
      </c>
      <c r="L105" s="115">
        <f t="shared" si="58"/>
        <v>-915062.52888889192</v>
      </c>
      <c r="M105" s="164"/>
      <c r="N105" s="115">
        <f t="shared" si="55"/>
        <v>-915062.52888889192</v>
      </c>
      <c r="O105" s="115">
        <f t="shared" si="39"/>
        <v>320271.88511111215</v>
      </c>
      <c r="P105" s="115">
        <f t="shared" si="56"/>
        <v>11438.281944444403</v>
      </c>
      <c r="Q105" s="115">
        <f t="shared" si="57"/>
        <v>-594790.64377777977</v>
      </c>
      <c r="R105" s="115">
        <f t="shared" si="49"/>
        <v>-722245.78544444626</v>
      </c>
      <c r="S105" s="115">
        <f t="shared" si="50"/>
        <v>-1111147.3622222247</v>
      </c>
      <c r="T105" s="115">
        <f t="shared" si="51"/>
        <v>388901.57677777862</v>
      </c>
      <c r="U105" s="700"/>
    </row>
    <row r="106" spans="1:21" s="109" customFormat="1" ht="12.95" customHeight="1" outlineLevel="1">
      <c r="A106" s="114">
        <v>42582</v>
      </c>
      <c r="B106" s="115">
        <f t="shared" si="53"/>
        <v>-3529527</v>
      </c>
      <c r="C106" s="115">
        <f t="shared" si="53"/>
        <v>-3529527</v>
      </c>
      <c r="D106" s="164"/>
      <c r="E106" s="115">
        <v>0</v>
      </c>
      <c r="F106" s="115">
        <f t="shared" si="52"/>
        <v>-32680.805555555555</v>
      </c>
      <c r="G106" s="164"/>
      <c r="H106" s="115">
        <f t="shared" si="54"/>
        <v>3529527</v>
      </c>
      <c r="I106" s="115">
        <f t="shared" si="54"/>
        <v>2647145.2766666636</v>
      </c>
      <c r="J106" s="164"/>
      <c r="K106" s="115">
        <f t="shared" si="58"/>
        <v>0</v>
      </c>
      <c r="L106" s="115">
        <f t="shared" si="58"/>
        <v>-882381.72333333641</v>
      </c>
      <c r="M106" s="164"/>
      <c r="N106" s="115">
        <f t="shared" si="55"/>
        <v>-882381.72333333641</v>
      </c>
      <c r="O106" s="115">
        <f t="shared" si="39"/>
        <v>308833.60316666774</v>
      </c>
      <c r="P106" s="115">
        <f t="shared" si="56"/>
        <v>11438.281944444403</v>
      </c>
      <c r="Q106" s="115">
        <f t="shared" si="57"/>
        <v>-573548.12016666867</v>
      </c>
      <c r="R106" s="115">
        <f t="shared" si="49"/>
        <v>-701003.26183333492</v>
      </c>
      <c r="S106" s="115">
        <f t="shared" si="50"/>
        <v>-1078466.5566666694</v>
      </c>
      <c r="T106" s="115">
        <f t="shared" si="51"/>
        <v>377463.29483333422</v>
      </c>
      <c r="U106" s="700"/>
    </row>
    <row r="107" spans="1:21" s="109" customFormat="1" ht="12.95" customHeight="1" outlineLevel="1">
      <c r="A107" s="114">
        <v>42613</v>
      </c>
      <c r="B107" s="115">
        <f t="shared" si="53"/>
        <v>-3529527</v>
      </c>
      <c r="C107" s="115">
        <f t="shared" si="53"/>
        <v>-3529527</v>
      </c>
      <c r="D107" s="164"/>
      <c r="E107" s="115">
        <v>0</v>
      </c>
      <c r="F107" s="115">
        <f t="shared" si="52"/>
        <v>-32680.805555555555</v>
      </c>
      <c r="G107" s="164"/>
      <c r="H107" s="115">
        <f t="shared" si="54"/>
        <v>3529527</v>
      </c>
      <c r="I107" s="115">
        <f t="shared" si="54"/>
        <v>2679826.0822222191</v>
      </c>
      <c r="J107" s="164"/>
      <c r="K107" s="115">
        <f t="shared" si="58"/>
        <v>0</v>
      </c>
      <c r="L107" s="115">
        <f t="shared" si="58"/>
        <v>-849700.91777778091</v>
      </c>
      <c r="M107" s="164"/>
      <c r="N107" s="115">
        <f t="shared" si="55"/>
        <v>-849700.91777778091</v>
      </c>
      <c r="O107" s="115">
        <f t="shared" si="39"/>
        <v>297395.32122222328</v>
      </c>
      <c r="P107" s="115">
        <f t="shared" si="56"/>
        <v>11438.281944444461</v>
      </c>
      <c r="Q107" s="115">
        <f t="shared" si="57"/>
        <v>-552305.59655555757</v>
      </c>
      <c r="R107" s="115">
        <f t="shared" si="49"/>
        <v>-679760.73822222406</v>
      </c>
      <c r="S107" s="115">
        <f t="shared" si="50"/>
        <v>-1045785.7511111139</v>
      </c>
      <c r="T107" s="115">
        <f t="shared" si="51"/>
        <v>366025.01288888982</v>
      </c>
      <c r="U107" s="700"/>
    </row>
    <row r="108" spans="1:21" s="109" customFormat="1" ht="12.95" customHeight="1" outlineLevel="1">
      <c r="A108" s="114">
        <v>42643</v>
      </c>
      <c r="B108" s="115">
        <f t="shared" si="53"/>
        <v>-3529527</v>
      </c>
      <c r="C108" s="115">
        <f t="shared" si="53"/>
        <v>-3529527</v>
      </c>
      <c r="D108" s="164"/>
      <c r="E108" s="115">
        <v>0</v>
      </c>
      <c r="F108" s="115">
        <f t="shared" si="52"/>
        <v>-32680.805555555555</v>
      </c>
      <c r="G108" s="164"/>
      <c r="H108" s="115">
        <f t="shared" si="54"/>
        <v>3529527</v>
      </c>
      <c r="I108" s="115">
        <f t="shared" si="54"/>
        <v>2712506.8877777746</v>
      </c>
      <c r="J108" s="164"/>
      <c r="K108" s="115">
        <f t="shared" si="58"/>
        <v>0</v>
      </c>
      <c r="L108" s="115">
        <f t="shared" si="58"/>
        <v>-817020.11222222541</v>
      </c>
      <c r="M108" s="164"/>
      <c r="N108" s="115">
        <f t="shared" si="55"/>
        <v>-817020.11222222541</v>
      </c>
      <c r="O108" s="115">
        <f t="shared" si="39"/>
        <v>285957.03927777888</v>
      </c>
      <c r="P108" s="115">
        <f t="shared" si="56"/>
        <v>11438.281944444403</v>
      </c>
      <c r="Q108" s="115">
        <f t="shared" si="57"/>
        <v>-531063.07294444647</v>
      </c>
      <c r="R108" s="115">
        <f t="shared" si="49"/>
        <v>-658518.21461111296</v>
      </c>
      <c r="S108" s="115">
        <f t="shared" si="50"/>
        <v>-1013104.9455555583</v>
      </c>
      <c r="T108" s="115">
        <f t="shared" si="51"/>
        <v>354586.73094444541</v>
      </c>
      <c r="U108" s="700"/>
    </row>
    <row r="109" spans="1:21" ht="12.95" customHeight="1" outlineLevel="1">
      <c r="A109" s="113">
        <v>42674</v>
      </c>
      <c r="B109" s="59">
        <f t="shared" si="53"/>
        <v>-3529527</v>
      </c>
      <c r="C109" s="59">
        <f t="shared" si="53"/>
        <v>-3529527</v>
      </c>
      <c r="D109" s="117"/>
      <c r="E109" s="59">
        <v>0</v>
      </c>
      <c r="F109" s="59">
        <f t="shared" si="52"/>
        <v>-32680.805555555555</v>
      </c>
      <c r="G109" s="117"/>
      <c r="H109" s="59">
        <f t="shared" si="54"/>
        <v>3529527</v>
      </c>
      <c r="I109" s="59">
        <f t="shared" si="54"/>
        <v>2745187.6933333301</v>
      </c>
      <c r="J109" s="117"/>
      <c r="K109" s="59">
        <f t="shared" si="58"/>
        <v>0</v>
      </c>
      <c r="L109" s="59">
        <f t="shared" si="58"/>
        <v>-784339.3066666699</v>
      </c>
      <c r="M109" s="117"/>
      <c r="N109" s="59">
        <f t="shared" si="55"/>
        <v>-784339.3066666699</v>
      </c>
      <c r="O109" s="59">
        <f t="shared" si="39"/>
        <v>274518.75733333448</v>
      </c>
      <c r="P109" s="59">
        <f t="shared" si="56"/>
        <v>11438.281944444403</v>
      </c>
      <c r="Q109" s="59">
        <f t="shared" si="57"/>
        <v>-509820.54933333542</v>
      </c>
      <c r="R109" s="59">
        <f t="shared" si="49"/>
        <v>-637275.69100000185</v>
      </c>
      <c r="S109" s="115">
        <f t="shared" si="50"/>
        <v>-980424.14000000292</v>
      </c>
      <c r="T109" s="115">
        <f t="shared" si="51"/>
        <v>343148.44900000101</v>
      </c>
      <c r="U109" s="697"/>
    </row>
    <row r="110" spans="1:21" ht="12.95" customHeight="1" outlineLevel="1">
      <c r="A110" s="113">
        <v>42704</v>
      </c>
      <c r="B110" s="59">
        <f t="shared" si="53"/>
        <v>-3529527</v>
      </c>
      <c r="C110" s="59">
        <f t="shared" si="53"/>
        <v>-3529527</v>
      </c>
      <c r="D110" s="117"/>
      <c r="E110" s="59">
        <v>0</v>
      </c>
      <c r="F110" s="59">
        <f t="shared" si="52"/>
        <v>-32680.805555555555</v>
      </c>
      <c r="G110" s="117"/>
      <c r="H110" s="59">
        <f t="shared" si="54"/>
        <v>3529527</v>
      </c>
      <c r="I110" s="59">
        <f t="shared" si="54"/>
        <v>2777868.4988888856</v>
      </c>
      <c r="J110" s="117"/>
      <c r="K110" s="59">
        <f t="shared" si="58"/>
        <v>0</v>
      </c>
      <c r="L110" s="59">
        <f t="shared" si="58"/>
        <v>-751658.5011111144</v>
      </c>
      <c r="M110" s="117"/>
      <c r="N110" s="59">
        <f t="shared" si="55"/>
        <v>-751658.5011111144</v>
      </c>
      <c r="O110" s="59">
        <f t="shared" si="39"/>
        <v>263080.47538889002</v>
      </c>
      <c r="P110" s="59">
        <f t="shared" si="56"/>
        <v>11438.281944444461</v>
      </c>
      <c r="Q110" s="59">
        <f t="shared" si="57"/>
        <v>-488578.02572222438</v>
      </c>
      <c r="R110" s="59">
        <f t="shared" si="49"/>
        <v>-616033.16738889087</v>
      </c>
      <c r="S110" s="115">
        <f t="shared" si="50"/>
        <v>-947743.33444444742</v>
      </c>
      <c r="T110" s="115">
        <f t="shared" si="51"/>
        <v>331710.16705555661</v>
      </c>
      <c r="U110" s="697"/>
    </row>
    <row r="111" spans="1:21" ht="12.75" customHeight="1" outlineLevel="1">
      <c r="A111" s="113">
        <v>42735</v>
      </c>
      <c r="B111" s="59">
        <f t="shared" si="53"/>
        <v>-3529527</v>
      </c>
      <c r="C111" s="59">
        <f t="shared" si="53"/>
        <v>-3529527</v>
      </c>
      <c r="D111" s="117"/>
      <c r="E111" s="59">
        <v>0</v>
      </c>
      <c r="F111" s="59">
        <f t="shared" si="52"/>
        <v>-32680.805555555555</v>
      </c>
      <c r="G111" s="117"/>
      <c r="H111" s="59">
        <f t="shared" si="54"/>
        <v>3529527</v>
      </c>
      <c r="I111" s="59">
        <f t="shared" si="54"/>
        <v>2810549.3044444411</v>
      </c>
      <c r="J111" s="117"/>
      <c r="K111" s="59">
        <f t="shared" si="58"/>
        <v>0</v>
      </c>
      <c r="L111" s="59">
        <f t="shared" si="58"/>
        <v>-718977.69555555889</v>
      </c>
      <c r="M111" s="117"/>
      <c r="N111" s="59">
        <f t="shared" si="55"/>
        <v>-718977.69555555889</v>
      </c>
      <c r="O111" s="59">
        <f t="shared" si="39"/>
        <v>251642.19344444558</v>
      </c>
      <c r="P111" s="59">
        <f t="shared" si="56"/>
        <v>11438.281944444432</v>
      </c>
      <c r="Q111" s="59">
        <f t="shared" si="57"/>
        <v>-467335.50211111328</v>
      </c>
      <c r="R111" s="59">
        <f t="shared" si="49"/>
        <v>-594790.64377777977</v>
      </c>
      <c r="S111" s="115">
        <f t="shared" si="50"/>
        <v>-915062.52888889203</v>
      </c>
      <c r="T111" s="115">
        <f t="shared" si="51"/>
        <v>320271.88511111215</v>
      </c>
      <c r="U111" s="697"/>
    </row>
    <row r="112" spans="1:21" ht="12.75" customHeight="1">
      <c r="A112" s="113">
        <v>42766</v>
      </c>
      <c r="B112" s="59">
        <f t="shared" si="53"/>
        <v>-3529527</v>
      </c>
      <c r="C112" s="59">
        <f t="shared" si="53"/>
        <v>-3529527</v>
      </c>
      <c r="D112" s="117"/>
      <c r="E112" s="59">
        <v>0</v>
      </c>
      <c r="F112" s="115">
        <f t="shared" si="52"/>
        <v>-32680.805555555555</v>
      </c>
      <c r="G112" s="117"/>
      <c r="H112" s="59">
        <f t="shared" si="54"/>
        <v>3529527</v>
      </c>
      <c r="I112" s="59">
        <f t="shared" si="54"/>
        <v>2843230.1099999966</v>
      </c>
      <c r="J112" s="117"/>
      <c r="K112" s="59">
        <f t="shared" si="58"/>
        <v>0</v>
      </c>
      <c r="L112" s="59">
        <f t="shared" si="58"/>
        <v>-686296.89000000339</v>
      </c>
      <c r="M112" s="117"/>
      <c r="N112" s="59">
        <f t="shared" si="55"/>
        <v>-686296.89000000339</v>
      </c>
      <c r="O112" s="59">
        <f t="shared" si="39"/>
        <v>240203.91150000118</v>
      </c>
      <c r="P112" s="59">
        <f t="shared" si="56"/>
        <v>11438.281944444403</v>
      </c>
      <c r="Q112" s="59">
        <f t="shared" si="57"/>
        <v>-446092.97850000218</v>
      </c>
      <c r="R112" s="59">
        <f t="shared" si="49"/>
        <v>-573548.12016666878</v>
      </c>
      <c r="S112" s="115">
        <f t="shared" si="50"/>
        <v>-882381.7233333363</v>
      </c>
      <c r="T112" s="115">
        <f t="shared" si="51"/>
        <v>308833.60316666774</v>
      </c>
      <c r="U112" s="697"/>
    </row>
    <row r="113" spans="1:21" ht="12.75" customHeight="1" collapsed="1">
      <c r="A113" s="113">
        <v>42794</v>
      </c>
      <c r="B113" s="59">
        <f t="shared" si="53"/>
        <v>-3529527</v>
      </c>
      <c r="C113" s="59">
        <f t="shared" si="53"/>
        <v>-3529527</v>
      </c>
      <c r="D113" s="117"/>
      <c r="E113" s="59">
        <v>0</v>
      </c>
      <c r="F113" s="115">
        <f t="shared" si="52"/>
        <v>-32680.805555555555</v>
      </c>
      <c r="G113" s="117"/>
      <c r="H113" s="59">
        <f t="shared" si="54"/>
        <v>3529527</v>
      </c>
      <c r="I113" s="59">
        <f t="shared" si="54"/>
        <v>2875910.9155555521</v>
      </c>
      <c r="J113" s="117"/>
      <c r="K113" s="59">
        <f t="shared" si="58"/>
        <v>0</v>
      </c>
      <c r="L113" s="59">
        <f t="shared" si="58"/>
        <v>-653616.08444444789</v>
      </c>
      <c r="M113" s="117"/>
      <c r="N113" s="59">
        <f t="shared" si="55"/>
        <v>-653616.08444444789</v>
      </c>
      <c r="O113" s="59">
        <f t="shared" si="39"/>
        <v>228765.62955555675</v>
      </c>
      <c r="P113" s="59">
        <f t="shared" si="56"/>
        <v>11438.281944444432</v>
      </c>
      <c r="Q113" s="59">
        <f t="shared" si="57"/>
        <v>-424850.45488889114</v>
      </c>
      <c r="R113" s="59">
        <f t="shared" si="49"/>
        <v>-552305.59655555757</v>
      </c>
      <c r="S113" s="115">
        <f t="shared" si="50"/>
        <v>-849700.91777778079</v>
      </c>
      <c r="T113" s="115">
        <f t="shared" si="51"/>
        <v>297395.32122222334</v>
      </c>
      <c r="U113" s="697"/>
    </row>
    <row r="114" spans="1:21" ht="12.75" customHeight="1">
      <c r="A114" s="113">
        <v>42825</v>
      </c>
      <c r="B114" s="59">
        <f t="shared" ref="B114:C129" si="59">B113</f>
        <v>-3529527</v>
      </c>
      <c r="C114" s="59">
        <f t="shared" si="59"/>
        <v>-3529527</v>
      </c>
      <c r="D114" s="117"/>
      <c r="E114" s="59">
        <v>0</v>
      </c>
      <c r="F114" s="115">
        <f t="shared" si="52"/>
        <v>-32680.805555555555</v>
      </c>
      <c r="G114" s="117"/>
      <c r="H114" s="59">
        <f t="shared" ref="H114:I129" si="60">H113-E114</f>
        <v>3529527</v>
      </c>
      <c r="I114" s="59">
        <f t="shared" si="60"/>
        <v>2908591.7211111076</v>
      </c>
      <c r="J114" s="117"/>
      <c r="K114" s="59">
        <f t="shared" si="58"/>
        <v>0</v>
      </c>
      <c r="L114" s="59">
        <f t="shared" si="58"/>
        <v>-620935.27888889238</v>
      </c>
      <c r="M114" s="117"/>
      <c r="N114" s="59">
        <f t="shared" si="55"/>
        <v>-620935.27888889238</v>
      </c>
      <c r="O114" s="59">
        <f t="shared" si="39"/>
        <v>217327.34761111232</v>
      </c>
      <c r="P114" s="59">
        <f t="shared" si="56"/>
        <v>11438.281944444432</v>
      </c>
      <c r="Q114" s="59">
        <f t="shared" si="57"/>
        <v>-403607.9312777801</v>
      </c>
      <c r="R114" s="59">
        <f t="shared" si="49"/>
        <v>-531063.07294444658</v>
      </c>
      <c r="S114" s="115">
        <f t="shared" si="50"/>
        <v>-817020.11222222541</v>
      </c>
      <c r="T114" s="115">
        <f t="shared" si="51"/>
        <v>285957.03927777894</v>
      </c>
      <c r="U114" s="697"/>
    </row>
    <row r="115" spans="1:21" ht="12.75" customHeight="1">
      <c r="A115" s="113">
        <v>42855</v>
      </c>
      <c r="B115" s="59">
        <f t="shared" si="59"/>
        <v>-3529527</v>
      </c>
      <c r="C115" s="59">
        <f t="shared" si="59"/>
        <v>-3529527</v>
      </c>
      <c r="D115" s="117"/>
      <c r="E115" s="59">
        <v>0</v>
      </c>
      <c r="F115" s="115">
        <f t="shared" si="52"/>
        <v>-32680.805555555555</v>
      </c>
      <c r="G115" s="117"/>
      <c r="H115" s="59">
        <f t="shared" si="60"/>
        <v>3529527</v>
      </c>
      <c r="I115" s="59">
        <f t="shared" si="60"/>
        <v>2941272.5266666631</v>
      </c>
      <c r="J115" s="117"/>
      <c r="K115" s="59">
        <f t="shared" si="58"/>
        <v>0</v>
      </c>
      <c r="L115" s="59">
        <f t="shared" si="58"/>
        <v>-588254.47333333688</v>
      </c>
      <c r="M115" s="117"/>
      <c r="N115" s="59">
        <f t="shared" si="55"/>
        <v>-588254.47333333688</v>
      </c>
      <c r="O115" s="59">
        <f t="shared" si="39"/>
        <v>205889.06566666788</v>
      </c>
      <c r="P115" s="59">
        <f t="shared" si="56"/>
        <v>11438.281944444432</v>
      </c>
      <c r="Q115" s="59">
        <f t="shared" si="57"/>
        <v>-382365.40766666899</v>
      </c>
      <c r="R115" s="59">
        <f t="shared" si="49"/>
        <v>-509820.54933333542</v>
      </c>
      <c r="S115" s="115">
        <f t="shared" si="50"/>
        <v>-784339.3066666699</v>
      </c>
      <c r="T115" s="115">
        <f t="shared" si="51"/>
        <v>274518.75733333454</v>
      </c>
      <c r="U115" s="697"/>
    </row>
    <row r="116" spans="1:21" ht="12.75" customHeight="1">
      <c r="A116" s="113">
        <v>42886</v>
      </c>
      <c r="B116" s="59">
        <f t="shared" si="59"/>
        <v>-3529527</v>
      </c>
      <c r="C116" s="59">
        <f t="shared" si="59"/>
        <v>-3529527</v>
      </c>
      <c r="D116" s="117"/>
      <c r="E116" s="59">
        <v>0</v>
      </c>
      <c r="F116" s="115">
        <f t="shared" si="52"/>
        <v>-32680.805555555555</v>
      </c>
      <c r="G116" s="117"/>
      <c r="H116" s="59">
        <f t="shared" si="60"/>
        <v>3529527</v>
      </c>
      <c r="I116" s="59">
        <f t="shared" si="60"/>
        <v>2973953.3322222186</v>
      </c>
      <c r="J116" s="117"/>
      <c r="K116" s="59">
        <f t="shared" si="58"/>
        <v>0</v>
      </c>
      <c r="L116" s="59">
        <f t="shared" si="58"/>
        <v>-555573.66777778137</v>
      </c>
      <c r="M116" s="117"/>
      <c r="N116" s="59">
        <f t="shared" si="55"/>
        <v>-555573.66777778137</v>
      </c>
      <c r="O116" s="59">
        <f t="shared" si="39"/>
        <v>194450.78372222348</v>
      </c>
      <c r="P116" s="59">
        <f t="shared" si="56"/>
        <v>11438.281944444403</v>
      </c>
      <c r="Q116" s="59">
        <f t="shared" si="57"/>
        <v>-361122.88405555789</v>
      </c>
      <c r="R116" s="59">
        <f t="shared" si="49"/>
        <v>-488578.02572222432</v>
      </c>
      <c r="S116" s="115">
        <f t="shared" si="50"/>
        <v>-751658.50111111428</v>
      </c>
      <c r="T116" s="115">
        <f t="shared" si="51"/>
        <v>263080.47538889007</v>
      </c>
      <c r="U116" s="697"/>
    </row>
    <row r="117" spans="1:21" ht="12.75" customHeight="1">
      <c r="A117" s="113">
        <v>42916</v>
      </c>
      <c r="B117" s="59">
        <f t="shared" si="59"/>
        <v>-3529527</v>
      </c>
      <c r="C117" s="59">
        <f t="shared" si="59"/>
        <v>-3529527</v>
      </c>
      <c r="D117" s="117"/>
      <c r="E117" s="59">
        <v>0</v>
      </c>
      <c r="F117" s="115">
        <f t="shared" si="52"/>
        <v>-32680.805555555555</v>
      </c>
      <c r="G117" s="117"/>
      <c r="H117" s="59">
        <f t="shared" si="60"/>
        <v>3529527</v>
      </c>
      <c r="I117" s="59">
        <f t="shared" si="60"/>
        <v>3006634.1377777741</v>
      </c>
      <c r="J117" s="117"/>
      <c r="K117" s="59">
        <f t="shared" si="58"/>
        <v>0</v>
      </c>
      <c r="L117" s="59">
        <f t="shared" si="58"/>
        <v>-522892.86222222587</v>
      </c>
      <c r="M117" s="117"/>
      <c r="N117" s="59">
        <f t="shared" si="55"/>
        <v>-522892.86222222587</v>
      </c>
      <c r="O117" s="59">
        <f t="shared" si="39"/>
        <v>183012.50177777905</v>
      </c>
      <c r="P117" s="59">
        <f t="shared" si="56"/>
        <v>11438.281944444432</v>
      </c>
      <c r="Q117" s="59">
        <f t="shared" si="57"/>
        <v>-339880.36044444679</v>
      </c>
      <c r="R117" s="59">
        <f t="shared" si="49"/>
        <v>-467335.50211111322</v>
      </c>
      <c r="S117" s="115">
        <f t="shared" si="50"/>
        <v>-718977.69555555889</v>
      </c>
      <c r="T117" s="115">
        <f t="shared" si="51"/>
        <v>251642.19344444564</v>
      </c>
      <c r="U117" s="697"/>
    </row>
    <row r="118" spans="1:21" ht="12.75" customHeight="1">
      <c r="A118" s="113">
        <v>42947</v>
      </c>
      <c r="B118" s="59">
        <f t="shared" si="59"/>
        <v>-3529527</v>
      </c>
      <c r="C118" s="59">
        <f t="shared" si="59"/>
        <v>-3529527</v>
      </c>
      <c r="D118" s="117"/>
      <c r="E118" s="59">
        <v>0</v>
      </c>
      <c r="F118" s="115">
        <f t="shared" si="52"/>
        <v>-32680.805555555555</v>
      </c>
      <c r="G118" s="117"/>
      <c r="H118" s="59">
        <f t="shared" si="60"/>
        <v>3529527</v>
      </c>
      <c r="I118" s="59">
        <f t="shared" si="60"/>
        <v>3039314.9433333296</v>
      </c>
      <c r="J118" s="117"/>
      <c r="K118" s="59">
        <f t="shared" si="58"/>
        <v>0</v>
      </c>
      <c r="L118" s="59">
        <f t="shared" si="58"/>
        <v>-490212.05666667037</v>
      </c>
      <c r="M118" s="117"/>
      <c r="N118" s="59">
        <f t="shared" si="55"/>
        <v>-490212.05666667037</v>
      </c>
      <c r="O118" s="59">
        <f t="shared" si="39"/>
        <v>171574.21983333462</v>
      </c>
      <c r="P118" s="59">
        <f t="shared" si="56"/>
        <v>11438.281944444432</v>
      </c>
      <c r="Q118" s="59">
        <f t="shared" si="57"/>
        <v>-318637.83683333575</v>
      </c>
      <c r="R118" s="59">
        <f t="shared" si="49"/>
        <v>-446092.97850000212</v>
      </c>
      <c r="S118" s="115">
        <f t="shared" si="50"/>
        <v>-686296.89000000327</v>
      </c>
      <c r="T118" s="115">
        <f t="shared" si="51"/>
        <v>240203.91150000112</v>
      </c>
      <c r="U118" s="697"/>
    </row>
    <row r="119" spans="1:21" ht="12.75" customHeight="1">
      <c r="A119" s="113">
        <v>42978</v>
      </c>
      <c r="B119" s="59">
        <f t="shared" si="59"/>
        <v>-3529527</v>
      </c>
      <c r="C119" s="59">
        <f t="shared" si="59"/>
        <v>-3529527</v>
      </c>
      <c r="D119" s="117"/>
      <c r="E119" s="59">
        <v>0</v>
      </c>
      <c r="F119" s="115">
        <f t="shared" si="52"/>
        <v>-32680.805555555555</v>
      </c>
      <c r="G119" s="117"/>
      <c r="H119" s="59">
        <f t="shared" si="60"/>
        <v>3529527</v>
      </c>
      <c r="I119" s="59">
        <f t="shared" si="60"/>
        <v>3071995.7488888851</v>
      </c>
      <c r="J119" s="117"/>
      <c r="K119" s="59">
        <f t="shared" si="58"/>
        <v>0</v>
      </c>
      <c r="L119" s="59">
        <f t="shared" si="58"/>
        <v>-457531.25111111486</v>
      </c>
      <c r="M119" s="117"/>
      <c r="N119" s="59">
        <f t="shared" si="55"/>
        <v>-457531.25111111486</v>
      </c>
      <c r="O119" s="59">
        <f t="shared" si="39"/>
        <v>160135.93788889018</v>
      </c>
      <c r="P119" s="59">
        <f t="shared" si="56"/>
        <v>11438.281944444432</v>
      </c>
      <c r="Q119" s="59">
        <f t="shared" si="57"/>
        <v>-297395.31322222471</v>
      </c>
      <c r="R119" s="59">
        <f t="shared" si="49"/>
        <v>-424850.45488889114</v>
      </c>
      <c r="S119" s="115">
        <f t="shared" si="50"/>
        <v>-653616.08444444789</v>
      </c>
      <c r="T119" s="115">
        <f t="shared" si="51"/>
        <v>228765.62955555669</v>
      </c>
      <c r="U119" s="697"/>
    </row>
    <row r="120" spans="1:21" ht="12.75" customHeight="1">
      <c r="A120" s="113">
        <v>43008</v>
      </c>
      <c r="B120" s="59">
        <f t="shared" si="59"/>
        <v>-3529527</v>
      </c>
      <c r="C120" s="59">
        <f t="shared" si="59"/>
        <v>-3529527</v>
      </c>
      <c r="D120" s="117"/>
      <c r="E120" s="59">
        <v>0</v>
      </c>
      <c r="F120" s="115">
        <f t="shared" si="52"/>
        <v>-32680.805555555555</v>
      </c>
      <c r="G120" s="117"/>
      <c r="H120" s="59">
        <f t="shared" si="60"/>
        <v>3529527</v>
      </c>
      <c r="I120" s="59">
        <f t="shared" si="60"/>
        <v>3104676.5544444406</v>
      </c>
      <c r="J120" s="117"/>
      <c r="K120" s="59">
        <f t="shared" si="58"/>
        <v>0</v>
      </c>
      <c r="L120" s="59">
        <f t="shared" si="58"/>
        <v>-424850.44555555936</v>
      </c>
      <c r="M120" s="117"/>
      <c r="N120" s="59">
        <f t="shared" si="55"/>
        <v>-424850.44555555936</v>
      </c>
      <c r="O120" s="59">
        <f t="shared" si="39"/>
        <v>148697.65594444575</v>
      </c>
      <c r="P120" s="59">
        <f t="shared" si="56"/>
        <v>11438.281944444432</v>
      </c>
      <c r="Q120" s="59">
        <f t="shared" si="57"/>
        <v>-276152.78961111361</v>
      </c>
      <c r="R120" s="59">
        <f t="shared" si="49"/>
        <v>-403607.93127778004</v>
      </c>
      <c r="S120" s="115">
        <f t="shared" si="50"/>
        <v>-620935.27888889227</v>
      </c>
      <c r="T120" s="115">
        <f t="shared" si="51"/>
        <v>217327.34761111232</v>
      </c>
      <c r="U120" s="697"/>
    </row>
    <row r="121" spans="1:21" ht="12.75" customHeight="1">
      <c r="A121" s="113">
        <v>43039</v>
      </c>
      <c r="B121" s="59">
        <f t="shared" si="59"/>
        <v>-3529527</v>
      </c>
      <c r="C121" s="59">
        <f t="shared" si="59"/>
        <v>-3529527</v>
      </c>
      <c r="D121" s="117"/>
      <c r="E121" s="59">
        <v>0</v>
      </c>
      <c r="F121" s="115">
        <f t="shared" si="52"/>
        <v>-32680.805555555555</v>
      </c>
      <c r="G121" s="117"/>
      <c r="H121" s="59">
        <f t="shared" si="60"/>
        <v>3529527</v>
      </c>
      <c r="I121" s="59">
        <f t="shared" si="60"/>
        <v>3137357.3599999961</v>
      </c>
      <c r="J121" s="117"/>
      <c r="K121" s="59">
        <f t="shared" si="58"/>
        <v>0</v>
      </c>
      <c r="L121" s="59">
        <f t="shared" si="58"/>
        <v>-392169.64000000386</v>
      </c>
      <c r="M121" s="117"/>
      <c r="N121" s="59">
        <f t="shared" si="55"/>
        <v>-392169.64000000386</v>
      </c>
      <c r="O121" s="59">
        <f t="shared" si="39"/>
        <v>137259.37400000135</v>
      </c>
      <c r="P121" s="59">
        <f t="shared" si="56"/>
        <v>11438.281944444403</v>
      </c>
      <c r="Q121" s="59">
        <f>L121+O121</f>
        <v>-254910.26600000251</v>
      </c>
      <c r="R121" s="59">
        <f t="shared" si="49"/>
        <v>-382365.40766666905</v>
      </c>
      <c r="S121" s="115">
        <f t="shared" si="50"/>
        <v>-588254.47333333688</v>
      </c>
      <c r="T121" s="115">
        <f t="shared" si="51"/>
        <v>205889.06566666791</v>
      </c>
      <c r="U121" s="697"/>
    </row>
    <row r="122" spans="1:21" ht="12.75" customHeight="1">
      <c r="A122" s="113">
        <v>43069</v>
      </c>
      <c r="B122" s="59">
        <f t="shared" si="59"/>
        <v>-3529527</v>
      </c>
      <c r="C122" s="59">
        <f t="shared" si="59"/>
        <v>-3529527</v>
      </c>
      <c r="D122" s="117"/>
      <c r="E122" s="59">
        <v>0</v>
      </c>
      <c r="F122" s="115">
        <f t="shared" si="52"/>
        <v>-32680.805555555555</v>
      </c>
      <c r="G122" s="117"/>
      <c r="H122" s="59">
        <f t="shared" si="60"/>
        <v>3529527</v>
      </c>
      <c r="I122" s="59">
        <f t="shared" si="60"/>
        <v>3170038.1655555516</v>
      </c>
      <c r="J122" s="117"/>
      <c r="K122" s="59">
        <f t="shared" si="58"/>
        <v>0</v>
      </c>
      <c r="L122" s="59">
        <f t="shared" si="58"/>
        <v>-359488.83444444835</v>
      </c>
      <c r="M122" s="117"/>
      <c r="N122" s="59">
        <f t="shared" si="55"/>
        <v>-359488.83444444835</v>
      </c>
      <c r="O122" s="59">
        <f t="shared" si="39"/>
        <v>125821.09205555692</v>
      </c>
      <c r="P122" s="59">
        <f t="shared" si="56"/>
        <v>11438.281944444432</v>
      </c>
      <c r="Q122" s="59">
        <f t="shared" si="57"/>
        <v>-233667.74238889143</v>
      </c>
      <c r="R122" s="59">
        <f t="shared" si="49"/>
        <v>-361122.88405555795</v>
      </c>
      <c r="S122" s="115">
        <f t="shared" si="50"/>
        <v>-555573.66777778126</v>
      </c>
      <c r="T122" s="115">
        <f t="shared" si="51"/>
        <v>194450.78372222348</v>
      </c>
      <c r="U122" s="697"/>
    </row>
    <row r="123" spans="1:21" s="1147" customFormat="1" ht="12.75" customHeight="1">
      <c r="A123" s="1143">
        <v>43100</v>
      </c>
      <c r="B123" s="1144">
        <f t="shared" si="59"/>
        <v>-3529527</v>
      </c>
      <c r="C123" s="1144">
        <f t="shared" si="59"/>
        <v>-3529527</v>
      </c>
      <c r="D123" s="1145"/>
      <c r="E123" s="1144">
        <v>0</v>
      </c>
      <c r="F123" s="1144">
        <f t="shared" si="52"/>
        <v>-32680.805555555555</v>
      </c>
      <c r="G123" s="1145"/>
      <c r="H123" s="1144">
        <f t="shared" si="60"/>
        <v>3529527</v>
      </c>
      <c r="I123" s="1144">
        <f t="shared" si="60"/>
        <v>3202718.9711111072</v>
      </c>
      <c r="J123" s="1145"/>
      <c r="K123" s="1144">
        <f t="shared" si="58"/>
        <v>0</v>
      </c>
      <c r="L123" s="1144">
        <f t="shared" si="58"/>
        <v>-326808.02888889285</v>
      </c>
      <c r="M123" s="1145"/>
      <c r="N123" s="1144">
        <f t="shared" si="55"/>
        <v>-326808.02888889285</v>
      </c>
      <c r="O123" s="1144">
        <f t="shared" si="39"/>
        <v>114382.81011111249</v>
      </c>
      <c r="P123" s="1144">
        <f t="shared" si="56"/>
        <v>11438.281944444432</v>
      </c>
      <c r="Q123" s="1144">
        <f t="shared" si="57"/>
        <v>-212425.21877778036</v>
      </c>
      <c r="R123" s="1144">
        <f t="shared" si="49"/>
        <v>-339880.36044444685</v>
      </c>
      <c r="S123" s="1144">
        <f t="shared" si="50"/>
        <v>-522892.86222222587</v>
      </c>
      <c r="T123" s="1144">
        <f t="shared" si="51"/>
        <v>183012.50177777905</v>
      </c>
      <c r="U123" s="1146"/>
    </row>
    <row r="124" spans="1:21" s="1147" customFormat="1" ht="12.75" customHeight="1">
      <c r="A124" s="1143">
        <v>43131</v>
      </c>
      <c r="B124" s="1144">
        <f t="shared" si="59"/>
        <v>-3529527</v>
      </c>
      <c r="C124" s="1144">
        <f t="shared" si="59"/>
        <v>-3529527</v>
      </c>
      <c r="D124" s="1145"/>
      <c r="E124" s="1144">
        <v>0</v>
      </c>
      <c r="F124" s="1144">
        <f t="shared" si="52"/>
        <v>-32680.805555555555</v>
      </c>
      <c r="G124" s="1145"/>
      <c r="H124" s="1144">
        <f t="shared" si="60"/>
        <v>3529527</v>
      </c>
      <c r="I124" s="1144">
        <f t="shared" si="60"/>
        <v>3235399.7766666627</v>
      </c>
      <c r="J124" s="1145"/>
      <c r="K124" s="1144">
        <f t="shared" si="58"/>
        <v>0</v>
      </c>
      <c r="L124" s="1144">
        <f t="shared" si="58"/>
        <v>-294127.22333333734</v>
      </c>
      <c r="M124" s="1145"/>
      <c r="N124" s="1144">
        <f t="shared" si="55"/>
        <v>-294127.22333333734</v>
      </c>
      <c r="O124" s="1144">
        <f>F124*O10+O123</f>
        <v>107519.84094444582</v>
      </c>
      <c r="P124" s="1144">
        <f t="shared" si="56"/>
        <v>6862.9691666666622</v>
      </c>
      <c r="Q124" s="1144">
        <f t="shared" si="57"/>
        <v>-186607.38238889154</v>
      </c>
      <c r="R124" s="1144">
        <f t="shared" si="49"/>
        <v>-318447.19880092837</v>
      </c>
      <c r="S124" s="1144">
        <f t="shared" si="50"/>
        <v>-490212.05666667037</v>
      </c>
      <c r="T124" s="1144">
        <f t="shared" si="51"/>
        <v>171764.85786574203</v>
      </c>
      <c r="U124" s="1146"/>
    </row>
    <row r="125" spans="1:21" ht="12.75" customHeight="1">
      <c r="A125" s="113">
        <v>43159</v>
      </c>
      <c r="B125" s="59">
        <f t="shared" si="59"/>
        <v>-3529527</v>
      </c>
      <c r="C125" s="59">
        <f t="shared" si="59"/>
        <v>-3529527</v>
      </c>
      <c r="D125" s="117"/>
      <c r="E125" s="59">
        <v>0</v>
      </c>
      <c r="F125" s="115">
        <f t="shared" si="52"/>
        <v>-32680.805555555555</v>
      </c>
      <c r="G125" s="117"/>
      <c r="H125" s="59">
        <f t="shared" si="60"/>
        <v>3529527</v>
      </c>
      <c r="I125" s="59">
        <f t="shared" si="60"/>
        <v>3268080.5822222182</v>
      </c>
      <c r="J125" s="117"/>
      <c r="K125" s="59">
        <f t="shared" si="58"/>
        <v>0</v>
      </c>
      <c r="L125" s="59">
        <f t="shared" si="58"/>
        <v>-261446.41777778184</v>
      </c>
      <c r="M125" s="117"/>
      <c r="N125" s="59">
        <f t="shared" si="55"/>
        <v>-261446.41777778184</v>
      </c>
      <c r="O125" s="1144">
        <f t="shared" ref="O125:O135" si="61">F125*$O$10+O124</f>
        <v>100656.87177777916</v>
      </c>
      <c r="P125" s="59">
        <f t="shared" si="56"/>
        <v>6862.9691666666622</v>
      </c>
      <c r="Q125" s="59">
        <f t="shared" si="57"/>
        <v>-160789.54600000268</v>
      </c>
      <c r="R125" s="59">
        <f t="shared" si="49"/>
        <v>-296632.76109259506</v>
      </c>
      <c r="S125" s="115">
        <f t="shared" si="50"/>
        <v>-457531.25111111486</v>
      </c>
      <c r="T125" s="115">
        <f t="shared" si="51"/>
        <v>160898.49001851981</v>
      </c>
      <c r="U125" s="697"/>
    </row>
    <row r="126" spans="1:21" ht="12.75" customHeight="1">
      <c r="A126" s="113">
        <v>43190</v>
      </c>
      <c r="B126" s="59">
        <f t="shared" si="59"/>
        <v>-3529527</v>
      </c>
      <c r="C126" s="59">
        <f t="shared" si="59"/>
        <v>-3529527</v>
      </c>
      <c r="D126" s="117"/>
      <c r="E126" s="59">
        <v>0</v>
      </c>
      <c r="F126" s="115">
        <f t="shared" si="52"/>
        <v>-32680.805555555555</v>
      </c>
      <c r="G126" s="117"/>
      <c r="H126" s="59">
        <f t="shared" si="60"/>
        <v>3529527</v>
      </c>
      <c r="I126" s="59">
        <f t="shared" si="60"/>
        <v>3300761.3877777737</v>
      </c>
      <c r="J126" s="117"/>
      <c r="K126" s="59">
        <f t="shared" si="58"/>
        <v>0</v>
      </c>
      <c r="L126" s="59">
        <f t="shared" si="58"/>
        <v>-228765.61222222634</v>
      </c>
      <c r="M126" s="117"/>
      <c r="N126" s="59">
        <f t="shared" si="55"/>
        <v>-228765.61222222634</v>
      </c>
      <c r="O126" s="1144">
        <f t="shared" si="61"/>
        <v>93793.902611112499</v>
      </c>
      <c r="P126" s="59">
        <f t="shared" si="56"/>
        <v>6862.9691666666622</v>
      </c>
      <c r="Q126" s="59">
        <f t="shared" si="57"/>
        <v>-134971.70961111382</v>
      </c>
      <c r="R126" s="59">
        <f t="shared" si="49"/>
        <v>-274437.04731944698</v>
      </c>
      <c r="S126" s="115">
        <f t="shared" si="50"/>
        <v>-424850.44555555942</v>
      </c>
      <c r="T126" s="115">
        <f t="shared" si="51"/>
        <v>150413.39823611244</v>
      </c>
      <c r="U126" s="697"/>
    </row>
    <row r="127" spans="1:21" ht="12.75" customHeight="1">
      <c r="A127" s="113">
        <v>43220</v>
      </c>
      <c r="B127" s="59">
        <f t="shared" si="59"/>
        <v>-3529527</v>
      </c>
      <c r="C127" s="59">
        <f t="shared" si="59"/>
        <v>-3529527</v>
      </c>
      <c r="D127" s="117"/>
      <c r="E127" s="59">
        <v>0</v>
      </c>
      <c r="F127" s="115">
        <f t="shared" si="52"/>
        <v>-32680.805555555555</v>
      </c>
      <c r="G127" s="117"/>
      <c r="H127" s="59">
        <f t="shared" si="60"/>
        <v>3529527</v>
      </c>
      <c r="I127" s="59">
        <f t="shared" si="60"/>
        <v>3333442.1933333292</v>
      </c>
      <c r="J127" s="117"/>
      <c r="K127" s="59">
        <f t="shared" si="58"/>
        <v>0</v>
      </c>
      <c r="L127" s="59">
        <f t="shared" si="58"/>
        <v>-196084.80666667083</v>
      </c>
      <c r="M127" s="117"/>
      <c r="N127" s="59">
        <f t="shared" si="55"/>
        <v>-196084.80666667083</v>
      </c>
      <c r="O127" s="1144">
        <f t="shared" si="61"/>
        <v>86930.933444445836</v>
      </c>
      <c r="P127" s="59">
        <f t="shared" si="56"/>
        <v>6862.9691666666622</v>
      </c>
      <c r="Q127" s="59">
        <f t="shared" si="57"/>
        <v>-109153.873222225</v>
      </c>
      <c r="R127" s="59">
        <f t="shared" si="49"/>
        <v>-251860.05748148402</v>
      </c>
      <c r="S127" s="115">
        <f t="shared" si="50"/>
        <v>-392169.64000000386</v>
      </c>
      <c r="T127" s="115">
        <f t="shared" si="51"/>
        <v>140309.58251851986</v>
      </c>
      <c r="U127" s="697"/>
    </row>
    <row r="128" spans="1:21" ht="12.75" customHeight="1">
      <c r="A128" s="113">
        <v>43251</v>
      </c>
      <c r="B128" s="59">
        <f t="shared" si="59"/>
        <v>-3529527</v>
      </c>
      <c r="C128" s="59">
        <f t="shared" si="59"/>
        <v>-3529527</v>
      </c>
      <c r="D128" s="117"/>
      <c r="E128" s="59">
        <v>0</v>
      </c>
      <c r="F128" s="115">
        <f t="shared" ref="F128:F133" si="62">$C$27/$E$5</f>
        <v>-32680.805555555555</v>
      </c>
      <c r="G128" s="117"/>
      <c r="H128" s="59">
        <f t="shared" si="60"/>
        <v>3529527</v>
      </c>
      <c r="I128" s="59">
        <f t="shared" si="60"/>
        <v>3366122.9988888847</v>
      </c>
      <c r="J128" s="117"/>
      <c r="K128" s="59">
        <f t="shared" si="58"/>
        <v>0</v>
      </c>
      <c r="L128" s="59">
        <f t="shared" si="58"/>
        <v>-163404.00111111533</v>
      </c>
      <c r="M128" s="117"/>
      <c r="N128" s="59">
        <f t="shared" si="55"/>
        <v>-163404.00111111533</v>
      </c>
      <c r="O128" s="1144">
        <f t="shared" si="61"/>
        <v>80067.964277779174</v>
      </c>
      <c r="P128" s="59">
        <f t="shared" si="56"/>
        <v>6862.9691666666622</v>
      </c>
      <c r="Q128" s="59">
        <f t="shared" si="57"/>
        <v>-83336.036833336155</v>
      </c>
      <c r="R128" s="59">
        <f t="shared" si="49"/>
        <v>-228901.79157870627</v>
      </c>
      <c r="S128" s="115">
        <f t="shared" si="50"/>
        <v>-359488.83444444835</v>
      </c>
      <c r="T128" s="115">
        <f t="shared" si="51"/>
        <v>130587.04286574207</v>
      </c>
      <c r="U128" s="697"/>
    </row>
    <row r="129" spans="1:23" s="1147" customFormat="1" ht="12.75" customHeight="1">
      <c r="A129" s="1143">
        <v>43281</v>
      </c>
      <c r="B129" s="1144">
        <f t="shared" si="59"/>
        <v>-3529527</v>
      </c>
      <c r="C129" s="1144">
        <f t="shared" si="59"/>
        <v>-3529527</v>
      </c>
      <c r="D129" s="1145"/>
      <c r="E129" s="1144">
        <v>0</v>
      </c>
      <c r="F129" s="1144">
        <f t="shared" si="62"/>
        <v>-32680.805555555555</v>
      </c>
      <c r="G129" s="1145"/>
      <c r="H129" s="1144">
        <f t="shared" si="60"/>
        <v>3529527</v>
      </c>
      <c r="I129" s="1144">
        <f t="shared" si="60"/>
        <v>3398803.8044444402</v>
      </c>
      <c r="J129" s="1145"/>
      <c r="K129" s="1144">
        <f t="shared" si="58"/>
        <v>0</v>
      </c>
      <c r="L129" s="1144">
        <f t="shared" si="58"/>
        <v>-130723.19555555983</v>
      </c>
      <c r="M129" s="1145"/>
      <c r="N129" s="1144">
        <f t="shared" si="55"/>
        <v>-130723.19555555983</v>
      </c>
      <c r="O129" s="1144">
        <f t="shared" si="61"/>
        <v>73204.995111112512</v>
      </c>
      <c r="P129" s="1144">
        <f t="shared" si="56"/>
        <v>6862.9691666666622</v>
      </c>
      <c r="Q129" s="1144">
        <f t="shared" si="57"/>
        <v>-57518.200444447313</v>
      </c>
      <c r="R129" s="1144">
        <f t="shared" si="49"/>
        <v>-205562.24961111372</v>
      </c>
      <c r="S129" s="1144">
        <f t="shared" si="50"/>
        <v>-326808.02888889285</v>
      </c>
      <c r="T129" s="1144">
        <f t="shared" si="51"/>
        <v>121245.77927777912</v>
      </c>
      <c r="U129" s="1146"/>
    </row>
    <row r="130" spans="1:23" ht="12.75" customHeight="1">
      <c r="A130" s="113">
        <v>43312</v>
      </c>
      <c r="B130" s="59">
        <f t="shared" ref="B130:C145" si="63">B129</f>
        <v>-3529527</v>
      </c>
      <c r="C130" s="59">
        <f t="shared" si="63"/>
        <v>-3529527</v>
      </c>
      <c r="D130" s="117"/>
      <c r="E130" s="59">
        <v>0</v>
      </c>
      <c r="F130" s="59">
        <f t="shared" si="62"/>
        <v>-32680.805555555555</v>
      </c>
      <c r="G130" s="117"/>
      <c r="H130" s="59">
        <f t="shared" ref="H130:I145" si="64">H129-E130</f>
        <v>3529527</v>
      </c>
      <c r="I130" s="59">
        <f t="shared" si="64"/>
        <v>3431484.6099999957</v>
      </c>
      <c r="J130" s="117"/>
      <c r="K130" s="59">
        <f t="shared" si="58"/>
        <v>0</v>
      </c>
      <c r="L130" s="59">
        <f t="shared" si="58"/>
        <v>-98042.390000004321</v>
      </c>
      <c r="M130" s="117"/>
      <c r="N130" s="59">
        <f>L130-K130</f>
        <v>-98042.390000004321</v>
      </c>
      <c r="O130" s="1144">
        <f t="shared" si="61"/>
        <v>66342.02594444585</v>
      </c>
      <c r="P130" s="59">
        <f>-O130+O129</f>
        <v>6862.9691666666622</v>
      </c>
      <c r="Q130" s="59">
        <f>L130+O130</f>
        <v>-31700.364055558472</v>
      </c>
      <c r="R130" s="59">
        <f t="shared" si="49"/>
        <v>-181841.43157870637</v>
      </c>
      <c r="S130" s="115">
        <f t="shared" si="50"/>
        <v>-294127.22333333734</v>
      </c>
      <c r="T130" s="115">
        <f t="shared" si="51"/>
        <v>112285.79175463099</v>
      </c>
      <c r="U130" s="697"/>
    </row>
    <row r="131" spans="1:23" ht="12.75" customHeight="1">
      <c r="A131" s="113">
        <v>43343</v>
      </c>
      <c r="B131" s="59">
        <f t="shared" si="63"/>
        <v>-3529527</v>
      </c>
      <c r="C131" s="59">
        <f t="shared" si="63"/>
        <v>-3529527</v>
      </c>
      <c r="D131" s="117"/>
      <c r="E131" s="59">
        <v>0</v>
      </c>
      <c r="F131" s="59">
        <f t="shared" si="62"/>
        <v>-32680.805555555555</v>
      </c>
      <c r="G131" s="117"/>
      <c r="H131" s="59">
        <f t="shared" si="64"/>
        <v>3529527</v>
      </c>
      <c r="I131" s="59">
        <f t="shared" si="64"/>
        <v>3464165.4155555512</v>
      </c>
      <c r="J131" s="117"/>
      <c r="K131" s="59">
        <f t="shared" si="58"/>
        <v>0</v>
      </c>
      <c r="L131" s="59">
        <f t="shared" si="58"/>
        <v>-65361.584444448818</v>
      </c>
      <c r="M131" s="117"/>
      <c r="N131" s="59">
        <f>L131-K131</f>
        <v>-65361.584444448818</v>
      </c>
      <c r="O131" s="1144">
        <f t="shared" si="61"/>
        <v>59479.056777779188</v>
      </c>
      <c r="P131" s="59">
        <f>-O131+O130</f>
        <v>6862.9691666666622</v>
      </c>
      <c r="Q131" s="59">
        <f>L131+O131</f>
        <v>-5882.52766666963</v>
      </c>
      <c r="R131" s="59">
        <f t="shared" si="49"/>
        <v>-157739.33748148417</v>
      </c>
      <c r="S131" s="115">
        <f t="shared" si="50"/>
        <v>-261446.41777778184</v>
      </c>
      <c r="T131" s="115">
        <f t="shared" si="51"/>
        <v>103707.08029629767</v>
      </c>
      <c r="U131" s="697"/>
    </row>
    <row r="132" spans="1:23" ht="12.75" customHeight="1">
      <c r="A132" s="113">
        <v>43373</v>
      </c>
      <c r="B132" s="59">
        <f t="shared" si="63"/>
        <v>-3529527</v>
      </c>
      <c r="C132" s="59">
        <f t="shared" si="63"/>
        <v>-3529527</v>
      </c>
      <c r="D132" s="117"/>
      <c r="E132" s="59">
        <v>0</v>
      </c>
      <c r="F132" s="59">
        <f t="shared" si="62"/>
        <v>-32680.805555555555</v>
      </c>
      <c r="G132" s="117"/>
      <c r="H132" s="59">
        <f t="shared" si="64"/>
        <v>3529527</v>
      </c>
      <c r="I132" s="59">
        <f t="shared" si="64"/>
        <v>3496846.2211111067</v>
      </c>
      <c r="J132" s="117"/>
      <c r="K132" s="59">
        <f t="shared" ref="K132:L145" si="65">B132+H132</f>
        <v>0</v>
      </c>
      <c r="L132" s="59">
        <f>C132+I132</f>
        <v>-32680.778888893314</v>
      </c>
      <c r="M132" s="117"/>
      <c r="N132" s="59">
        <f>L132-K132</f>
        <v>-32680.778888893314</v>
      </c>
      <c r="O132" s="1144">
        <f t="shared" si="61"/>
        <v>52616.087611112525</v>
      </c>
      <c r="P132" s="59">
        <f>-O132+O131</f>
        <v>6862.9691666666622</v>
      </c>
      <c r="Q132" s="1150">
        <f>L132+O132</f>
        <v>19935.308722219212</v>
      </c>
      <c r="R132" s="59">
        <f t="shared" si="49"/>
        <v>-133255.96731944717</v>
      </c>
      <c r="S132" s="115">
        <f t="shared" si="50"/>
        <v>-228765.61222222634</v>
      </c>
      <c r="T132" s="115">
        <f t="shared" si="51"/>
        <v>95509.644902779153</v>
      </c>
      <c r="U132" s="697"/>
    </row>
    <row r="133" spans="1:23" ht="12.75" customHeight="1">
      <c r="A133" s="113">
        <v>43404</v>
      </c>
      <c r="B133" s="59">
        <f t="shared" si="63"/>
        <v>-3529527</v>
      </c>
      <c r="C133" s="59">
        <f t="shared" si="63"/>
        <v>-3529527</v>
      </c>
      <c r="D133" s="117"/>
      <c r="E133" s="59">
        <v>0</v>
      </c>
      <c r="F133" s="59">
        <f t="shared" si="62"/>
        <v>-32680.805555555555</v>
      </c>
      <c r="G133" s="117"/>
      <c r="H133" s="59">
        <f t="shared" si="64"/>
        <v>3529527</v>
      </c>
      <c r="I133" s="59">
        <f t="shared" si="64"/>
        <v>3529527.0266666622</v>
      </c>
      <c r="J133" s="117"/>
      <c r="K133" s="59">
        <f t="shared" si="65"/>
        <v>0</v>
      </c>
      <c r="L133" s="59">
        <f t="shared" ref="L133:L134" si="66">C133+I133</f>
        <v>2.6666662190109491E-2</v>
      </c>
      <c r="M133" s="117"/>
      <c r="N133" s="59">
        <f t="shared" ref="N133:N134" si="67">L133-K133</f>
        <v>2.6666662190109491E-2</v>
      </c>
      <c r="O133" s="1144">
        <f t="shared" si="61"/>
        <v>45753.118444445863</v>
      </c>
      <c r="P133" s="59">
        <v>0</v>
      </c>
      <c r="Q133" s="1150">
        <f t="shared" ref="Q133:Q136" si="68">L133+O133</f>
        <v>45753.145111108053</v>
      </c>
      <c r="R133" s="59">
        <f t="shared" si="49"/>
        <v>-108391.32109259539</v>
      </c>
      <c r="S133" s="115">
        <f t="shared" si="50"/>
        <v>-196084.80666667083</v>
      </c>
      <c r="T133" s="115">
        <f t="shared" si="51"/>
        <v>87693.485574075472</v>
      </c>
      <c r="U133" s="697"/>
    </row>
    <row r="134" spans="1:23" ht="12.75" customHeight="1">
      <c r="A134" s="113">
        <v>43434</v>
      </c>
      <c r="B134" s="59">
        <f t="shared" si="63"/>
        <v>-3529527</v>
      </c>
      <c r="C134" s="59">
        <f t="shared" si="63"/>
        <v>-3529527</v>
      </c>
      <c r="D134" s="117"/>
      <c r="E134" s="59">
        <v>0</v>
      </c>
      <c r="F134" s="59">
        <v>0</v>
      </c>
      <c r="G134" s="117"/>
      <c r="H134" s="59">
        <f t="shared" si="64"/>
        <v>3529527</v>
      </c>
      <c r="I134" s="59">
        <f t="shared" si="64"/>
        <v>3529527.0266666622</v>
      </c>
      <c r="J134" s="117"/>
      <c r="K134" s="59">
        <f t="shared" si="65"/>
        <v>0</v>
      </c>
      <c r="L134" s="59">
        <f t="shared" si="66"/>
        <v>2.6666662190109491E-2</v>
      </c>
      <c r="M134" s="117"/>
      <c r="N134" s="59">
        <f t="shared" si="67"/>
        <v>2.6666662190109491E-2</v>
      </c>
      <c r="O134" s="1144">
        <f t="shared" si="61"/>
        <v>45753.118444445863</v>
      </c>
      <c r="P134" s="59">
        <v>0</v>
      </c>
      <c r="Q134" s="1150">
        <f t="shared" si="68"/>
        <v>45753.145111108053</v>
      </c>
      <c r="R134" s="59">
        <f t="shared" si="49"/>
        <v>-84221.141983799098</v>
      </c>
      <c r="S134" s="115">
        <f t="shared" si="50"/>
        <v>-164765.70134259682</v>
      </c>
      <c r="T134" s="115">
        <f t="shared" si="51"/>
        <v>80544.559358797691</v>
      </c>
      <c r="U134" s="697"/>
    </row>
    <row r="135" spans="1:23" s="1147" customFormat="1" ht="12.75" customHeight="1">
      <c r="A135" s="1143">
        <v>43465</v>
      </c>
      <c r="B135" s="1144">
        <f t="shared" si="63"/>
        <v>-3529527</v>
      </c>
      <c r="C135" s="1144">
        <f t="shared" si="63"/>
        <v>-3529527</v>
      </c>
      <c r="D135" s="1145"/>
      <c r="E135" s="1144">
        <v>0</v>
      </c>
      <c r="F135" s="1144">
        <v>0</v>
      </c>
      <c r="G135" s="1145"/>
      <c r="H135" s="1144">
        <f t="shared" si="64"/>
        <v>3529527</v>
      </c>
      <c r="I135" s="1144">
        <f t="shared" si="64"/>
        <v>3529527.0266666622</v>
      </c>
      <c r="J135" s="1145"/>
      <c r="K135" s="1144">
        <f t="shared" si="65"/>
        <v>0</v>
      </c>
      <c r="L135" s="1144">
        <f t="shared" si="65"/>
        <v>2.6666662190109491E-2</v>
      </c>
      <c r="M135" s="1145"/>
      <c r="N135" s="1144">
        <f t="shared" ref="N135:N145" si="69">L135-K135</f>
        <v>2.6666662190109491E-2</v>
      </c>
      <c r="O135" s="1144">
        <f t="shared" si="61"/>
        <v>45753.118444445863</v>
      </c>
      <c r="P135" s="59">
        <v>0</v>
      </c>
      <c r="Q135" s="1150">
        <f t="shared" si="68"/>
        <v>45753.145111108053</v>
      </c>
      <c r="R135" s="1149">
        <f>(Q123+Q135+SUM(Q124:Q134)*2)/24</f>
        <v>-61821.173175928787</v>
      </c>
      <c r="S135" s="1144">
        <f>(N123+N135+SUM(N124:N134)*2)/24</f>
        <v>-136169.99648148575</v>
      </c>
      <c r="T135" s="1144">
        <f>(O123+O135+SUM(O124:O134)*2)/24</f>
        <v>74348.823305556958</v>
      </c>
      <c r="U135" s="1146"/>
      <c r="V135" s="115"/>
      <c r="W135" s="115"/>
    </row>
    <row r="136" spans="1:23" ht="12.75" customHeight="1">
      <c r="A136" s="113">
        <v>43496</v>
      </c>
      <c r="B136" s="59">
        <f t="shared" si="63"/>
        <v>-3529527</v>
      </c>
      <c r="C136" s="59">
        <f t="shared" si="63"/>
        <v>-3529527</v>
      </c>
      <c r="D136" s="117"/>
      <c r="E136" s="59">
        <v>0</v>
      </c>
      <c r="F136" s="59">
        <v>0</v>
      </c>
      <c r="G136" s="117"/>
      <c r="H136" s="59">
        <f t="shared" si="64"/>
        <v>3529527</v>
      </c>
      <c r="I136" s="59">
        <f t="shared" si="64"/>
        <v>3529527.0266666622</v>
      </c>
      <c r="J136" s="117"/>
      <c r="K136" s="59">
        <f t="shared" si="65"/>
        <v>0</v>
      </c>
      <c r="L136" s="59">
        <f t="shared" si="65"/>
        <v>2.6666662190109491E-2</v>
      </c>
      <c r="M136" s="117"/>
      <c r="N136" s="59">
        <f t="shared" si="69"/>
        <v>2.6666662190109491E-2</v>
      </c>
      <c r="O136" s="1144"/>
      <c r="P136" s="59">
        <v>0</v>
      </c>
      <c r="Q136" s="1150">
        <f t="shared" si="68"/>
        <v>2.6666662190109491E-2</v>
      </c>
      <c r="R136" s="59">
        <f t="shared" si="49"/>
        <v>-43288.432636577018</v>
      </c>
      <c r="S136" s="115">
        <f t="shared" si="50"/>
        <v>-110297.69208333764</v>
      </c>
      <c r="T136" s="115">
        <f t="shared" si="51"/>
        <v>67009.259446760625</v>
      </c>
      <c r="U136" s="697"/>
    </row>
    <row r="137" spans="1:23" ht="12.75" customHeight="1">
      <c r="A137" s="113">
        <v>43524</v>
      </c>
      <c r="B137" s="59">
        <f t="shared" si="63"/>
        <v>-3529527</v>
      </c>
      <c r="C137" s="59">
        <f t="shared" si="63"/>
        <v>-3529527</v>
      </c>
      <c r="D137" s="117"/>
      <c r="E137" s="59">
        <v>0</v>
      </c>
      <c r="F137" s="59">
        <v>0</v>
      </c>
      <c r="G137" s="117"/>
      <c r="H137" s="59">
        <f t="shared" si="64"/>
        <v>3529527</v>
      </c>
      <c r="I137" s="59">
        <f t="shared" si="64"/>
        <v>3529527.0266666622</v>
      </c>
      <c r="J137" s="117"/>
      <c r="K137" s="59">
        <f t="shared" si="65"/>
        <v>0</v>
      </c>
      <c r="L137" s="59">
        <f t="shared" si="65"/>
        <v>2.6666662190109491E-2</v>
      </c>
      <c r="M137" s="117"/>
      <c r="N137" s="59">
        <f t="shared" si="69"/>
        <v>2.6666662190109491E-2</v>
      </c>
      <c r="O137" s="1144"/>
      <c r="P137" s="59">
        <f t="shared" ref="P137:P138" si="70">-O137+O136</f>
        <v>0</v>
      </c>
      <c r="Q137" s="59">
        <f t="shared" ref="Q137:Q145" si="71">L137+O137</f>
        <v>2.6666662190109491E-2</v>
      </c>
      <c r="R137" s="59">
        <f t="shared" si="49"/>
        <v>-28813.558398151257</v>
      </c>
      <c r="S137" s="115">
        <f t="shared" si="50"/>
        <v>-87148.788148152482</v>
      </c>
      <c r="T137" s="115">
        <f t="shared" si="51"/>
        <v>58335.229750001228</v>
      </c>
      <c r="U137" s="697"/>
    </row>
    <row r="138" spans="1:23" ht="12.75" customHeight="1">
      <c r="A138" s="113">
        <v>43555</v>
      </c>
      <c r="B138" s="59">
        <f t="shared" si="63"/>
        <v>-3529527</v>
      </c>
      <c r="C138" s="59">
        <f t="shared" si="63"/>
        <v>-3529527</v>
      </c>
      <c r="D138" s="117"/>
      <c r="E138" s="59">
        <v>0</v>
      </c>
      <c r="F138" s="59">
        <v>0</v>
      </c>
      <c r="G138" s="117"/>
      <c r="H138" s="59">
        <f t="shared" si="64"/>
        <v>3529527</v>
      </c>
      <c r="I138" s="59">
        <f t="shared" si="64"/>
        <v>3529527.0266666622</v>
      </c>
      <c r="J138" s="117"/>
      <c r="K138" s="59">
        <f t="shared" si="65"/>
        <v>0</v>
      </c>
      <c r="L138" s="59">
        <f t="shared" si="65"/>
        <v>2.6666662190109491E-2</v>
      </c>
      <c r="M138" s="117"/>
      <c r="N138" s="59">
        <f t="shared" si="69"/>
        <v>2.6666662190109491E-2</v>
      </c>
      <c r="O138" s="1144"/>
      <c r="P138" s="59">
        <f t="shared" si="70"/>
        <v>0</v>
      </c>
      <c r="Q138" s="59">
        <f t="shared" si="71"/>
        <v>2.6666662190109491E-2</v>
      </c>
      <c r="R138" s="59">
        <f t="shared" si="49"/>
        <v>-16490.170525466223</v>
      </c>
      <c r="U138" s="697"/>
    </row>
    <row r="139" spans="1:23" ht="12.75" customHeight="1">
      <c r="A139" s="113">
        <v>43585</v>
      </c>
      <c r="B139" s="59">
        <f t="shared" si="63"/>
        <v>-3529527</v>
      </c>
      <c r="C139" s="59">
        <f t="shared" si="63"/>
        <v>-3529527</v>
      </c>
      <c r="D139" s="117"/>
      <c r="E139" s="59">
        <v>0</v>
      </c>
      <c r="F139" s="59">
        <v>0</v>
      </c>
      <c r="G139" s="117"/>
      <c r="H139" s="59">
        <f t="shared" si="64"/>
        <v>3529527</v>
      </c>
      <c r="I139" s="59">
        <f t="shared" si="64"/>
        <v>3529527.0266666622</v>
      </c>
      <c r="J139" s="117"/>
      <c r="K139" s="59">
        <f t="shared" si="65"/>
        <v>0</v>
      </c>
      <c r="L139" s="59">
        <f t="shared" si="65"/>
        <v>2.6666662190109491E-2</v>
      </c>
      <c r="M139" s="117"/>
      <c r="N139" s="59">
        <f t="shared" si="69"/>
        <v>2.6666662190109491E-2</v>
      </c>
      <c r="O139" s="59">
        <f t="shared" ref="O139:O145" si="72">-N139*$O$10</f>
        <v>-5.5999990599229933E-3</v>
      </c>
      <c r="P139" s="59">
        <f t="shared" ref="P139:P145" si="73">-O139+O138</f>
        <v>5.5999990599229933E-3</v>
      </c>
      <c r="Q139" s="59">
        <f t="shared" si="71"/>
        <v>2.10666631301865E-2</v>
      </c>
      <c r="R139" s="59">
        <f t="shared" si="49"/>
        <v>-6318.2692518552112</v>
      </c>
      <c r="U139" s="697"/>
    </row>
    <row r="140" spans="1:23" ht="12.75" customHeight="1">
      <c r="A140" s="113">
        <v>43616</v>
      </c>
      <c r="B140" s="59">
        <f t="shared" si="63"/>
        <v>-3529527</v>
      </c>
      <c r="C140" s="59">
        <f t="shared" si="63"/>
        <v>-3529527</v>
      </c>
      <c r="D140" s="117"/>
      <c r="E140" s="59">
        <v>0</v>
      </c>
      <c r="F140" s="59">
        <v>0</v>
      </c>
      <c r="G140" s="117"/>
      <c r="H140" s="59">
        <f t="shared" si="64"/>
        <v>3529527</v>
      </c>
      <c r="I140" s="59">
        <f t="shared" si="64"/>
        <v>3529527.0266666622</v>
      </c>
      <c r="J140" s="117"/>
      <c r="K140" s="59">
        <f t="shared" si="65"/>
        <v>0</v>
      </c>
      <c r="L140" s="59">
        <f t="shared" si="65"/>
        <v>2.6666662190109491E-2</v>
      </c>
      <c r="M140" s="117"/>
      <c r="N140" s="59">
        <f t="shared" si="69"/>
        <v>2.6666662190109491E-2</v>
      </c>
      <c r="O140" s="59">
        <f t="shared" si="72"/>
        <v>-5.5999990599229933E-3</v>
      </c>
      <c r="P140" s="59">
        <f t="shared" si="73"/>
        <v>0</v>
      </c>
      <c r="Q140" s="59">
        <f t="shared" si="71"/>
        <v>2.10666631301865E-2</v>
      </c>
      <c r="R140" s="59">
        <f t="shared" si="49"/>
        <v>1702.1454226817623</v>
      </c>
      <c r="U140" s="697"/>
    </row>
    <row r="141" spans="1:23" ht="12.75" customHeight="1">
      <c r="A141" s="113">
        <v>43646</v>
      </c>
      <c r="B141" s="59">
        <f t="shared" si="63"/>
        <v>-3529527</v>
      </c>
      <c r="C141" s="59">
        <f t="shared" si="63"/>
        <v>-3529527</v>
      </c>
      <c r="D141" s="117"/>
      <c r="E141" s="59">
        <v>0</v>
      </c>
      <c r="F141" s="59">
        <v>0</v>
      </c>
      <c r="G141" s="117"/>
      <c r="H141" s="59">
        <f t="shared" si="64"/>
        <v>3529527</v>
      </c>
      <c r="I141" s="59">
        <f t="shared" si="64"/>
        <v>3529527.0266666622</v>
      </c>
      <c r="J141" s="117"/>
      <c r="K141" s="59">
        <f t="shared" si="65"/>
        <v>0</v>
      </c>
      <c r="L141" s="59">
        <f t="shared" si="65"/>
        <v>2.6666662190109491E-2</v>
      </c>
      <c r="M141" s="117"/>
      <c r="N141" s="59">
        <f t="shared" si="69"/>
        <v>2.6666662190109491E-2</v>
      </c>
      <c r="O141" s="59">
        <f t="shared" si="72"/>
        <v>-5.5999990599229933E-3</v>
      </c>
      <c r="P141" s="59">
        <f t="shared" si="73"/>
        <v>0</v>
      </c>
      <c r="Q141" s="59">
        <f t="shared" si="71"/>
        <v>2.10666631301865E-2</v>
      </c>
      <c r="R141" s="59">
        <f t="shared" si="49"/>
        <v>7571.0737314780008</v>
      </c>
      <c r="U141" s="697"/>
    </row>
    <row r="142" spans="1:23" ht="12.75" customHeight="1">
      <c r="A142" s="113">
        <v>43677</v>
      </c>
      <c r="B142" s="59">
        <f t="shared" si="63"/>
        <v>-3529527</v>
      </c>
      <c r="C142" s="59">
        <f t="shared" si="63"/>
        <v>-3529527</v>
      </c>
      <c r="D142" s="117"/>
      <c r="E142" s="59">
        <v>0</v>
      </c>
      <c r="F142" s="59">
        <v>0</v>
      </c>
      <c r="G142" s="117"/>
      <c r="H142" s="59">
        <f t="shared" si="64"/>
        <v>3529527</v>
      </c>
      <c r="I142" s="59">
        <f t="shared" si="64"/>
        <v>3529527.0266666622</v>
      </c>
      <c r="J142" s="117"/>
      <c r="K142" s="59">
        <f t="shared" si="65"/>
        <v>0</v>
      </c>
      <c r="L142" s="59">
        <f t="shared" si="65"/>
        <v>2.6666662190109491E-2</v>
      </c>
      <c r="M142" s="117"/>
      <c r="N142" s="59">
        <f t="shared" si="69"/>
        <v>2.6666662190109491E-2</v>
      </c>
      <c r="O142" s="59">
        <f t="shared" si="72"/>
        <v>-5.5999990599229933E-3</v>
      </c>
      <c r="P142" s="59">
        <f t="shared" si="73"/>
        <v>0</v>
      </c>
      <c r="Q142" s="59">
        <f t="shared" si="71"/>
        <v>2.10666631301865E-2</v>
      </c>
      <c r="R142" s="59"/>
      <c r="U142" s="697"/>
    </row>
    <row r="143" spans="1:23" ht="12.75" customHeight="1">
      <c r="A143" s="113">
        <v>43708</v>
      </c>
      <c r="B143" s="59">
        <f t="shared" si="63"/>
        <v>-3529527</v>
      </c>
      <c r="C143" s="59">
        <f t="shared" si="63"/>
        <v>-3529527</v>
      </c>
      <c r="D143" s="117"/>
      <c r="E143" s="59">
        <v>0</v>
      </c>
      <c r="F143" s="59">
        <v>0</v>
      </c>
      <c r="G143" s="117"/>
      <c r="H143" s="59">
        <f t="shared" si="64"/>
        <v>3529527</v>
      </c>
      <c r="I143" s="59">
        <f t="shared" si="64"/>
        <v>3529527.0266666622</v>
      </c>
      <c r="J143" s="117"/>
      <c r="K143" s="59">
        <f t="shared" si="65"/>
        <v>0</v>
      </c>
      <c r="L143" s="59">
        <f t="shared" si="65"/>
        <v>2.6666662190109491E-2</v>
      </c>
      <c r="M143" s="117"/>
      <c r="N143" s="59">
        <f t="shared" si="69"/>
        <v>2.6666662190109491E-2</v>
      </c>
      <c r="O143" s="59">
        <f t="shared" si="72"/>
        <v>-5.5999990599229933E-3</v>
      </c>
      <c r="P143" s="59">
        <f t="shared" si="73"/>
        <v>0</v>
      </c>
      <c r="Q143" s="59">
        <f t="shared" si="71"/>
        <v>2.10666631301865E-2</v>
      </c>
      <c r="R143" s="59"/>
      <c r="U143" s="697"/>
    </row>
    <row r="144" spans="1:23" ht="12.75" customHeight="1">
      <c r="A144" s="113">
        <v>43738</v>
      </c>
      <c r="B144" s="59">
        <f t="shared" si="63"/>
        <v>-3529527</v>
      </c>
      <c r="C144" s="59">
        <f t="shared" si="63"/>
        <v>-3529527</v>
      </c>
      <c r="D144" s="117"/>
      <c r="E144" s="59">
        <v>0</v>
      </c>
      <c r="F144" s="59">
        <v>0</v>
      </c>
      <c r="G144" s="117"/>
      <c r="H144" s="59">
        <f t="shared" si="64"/>
        <v>3529527</v>
      </c>
      <c r="I144" s="59">
        <f t="shared" si="64"/>
        <v>3529527.0266666622</v>
      </c>
      <c r="J144" s="117"/>
      <c r="K144" s="59">
        <f t="shared" si="65"/>
        <v>0</v>
      </c>
      <c r="L144" s="59">
        <f t="shared" si="65"/>
        <v>2.6666662190109491E-2</v>
      </c>
      <c r="M144" s="117"/>
      <c r="N144" s="59">
        <f t="shared" si="69"/>
        <v>2.6666662190109491E-2</v>
      </c>
      <c r="O144" s="59">
        <f t="shared" si="72"/>
        <v>-5.5999990599229933E-3</v>
      </c>
      <c r="P144" s="59">
        <f t="shared" si="73"/>
        <v>0</v>
      </c>
      <c r="Q144" s="59">
        <f t="shared" si="71"/>
        <v>2.10666631301865E-2</v>
      </c>
      <c r="R144" s="59"/>
      <c r="U144" s="697"/>
    </row>
    <row r="145" spans="1:21" ht="12.75" customHeight="1">
      <c r="A145" s="113">
        <v>43769</v>
      </c>
      <c r="B145" s="59">
        <f t="shared" si="63"/>
        <v>-3529527</v>
      </c>
      <c r="C145" s="59">
        <f t="shared" si="63"/>
        <v>-3529527</v>
      </c>
      <c r="D145" s="117"/>
      <c r="E145" s="59">
        <v>0</v>
      </c>
      <c r="F145" s="59">
        <v>0</v>
      </c>
      <c r="G145" s="117"/>
      <c r="H145" s="59">
        <f t="shared" si="64"/>
        <v>3529527</v>
      </c>
      <c r="I145" s="59">
        <f t="shared" si="64"/>
        <v>3529527.0266666622</v>
      </c>
      <c r="J145" s="117"/>
      <c r="K145" s="59">
        <f t="shared" si="65"/>
        <v>0</v>
      </c>
      <c r="L145" s="59">
        <f t="shared" si="65"/>
        <v>2.6666662190109491E-2</v>
      </c>
      <c r="M145" s="117"/>
      <c r="N145" s="59">
        <f t="shared" si="69"/>
        <v>2.6666662190109491E-2</v>
      </c>
      <c r="O145" s="59">
        <f t="shared" si="72"/>
        <v>-5.5999990599229933E-3</v>
      </c>
      <c r="P145" s="59">
        <f t="shared" si="73"/>
        <v>0</v>
      </c>
      <c r="Q145" s="59">
        <f t="shared" si="71"/>
        <v>2.10666631301865E-2</v>
      </c>
      <c r="R145" s="59"/>
      <c r="U145" s="697"/>
    </row>
    <row r="146" spans="1:21" ht="12.75" customHeight="1">
      <c r="A146" s="118"/>
      <c r="B146" s="60"/>
      <c r="C146" s="60"/>
      <c r="D146" s="119"/>
      <c r="E146" s="60"/>
      <c r="F146" s="60"/>
      <c r="G146" s="119"/>
      <c r="H146" s="60"/>
      <c r="I146" s="60"/>
      <c r="J146" s="119"/>
      <c r="K146" s="60"/>
      <c r="L146" s="60"/>
      <c r="M146" s="119"/>
      <c r="N146" s="60"/>
      <c r="O146" s="60"/>
      <c r="P146" s="60"/>
      <c r="Q146" s="60"/>
      <c r="R146" s="59">
        <f t="shared" si="49"/>
        <v>5719.1620944408814</v>
      </c>
      <c r="U146" s="697"/>
    </row>
  </sheetData>
  <phoneticPr fontId="7" type="noConversion"/>
  <pageMargins left="0.5" right="0.5" top="0.5" bottom="0.5" header="0.5" footer="0"/>
  <pageSetup scale="58" fitToHeight="0" orientation="landscape" r:id="rId1"/>
  <headerFooter alignWithMargins="0">
    <oddFooter>&amp;RPage &amp;P of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E98"/>
  <sheetViews>
    <sheetView topLeftCell="B1" zoomScale="88" zoomScaleNormal="88" workbookViewId="0">
      <pane xSplit="1" ySplit="11" topLeftCell="C12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RowHeight="12.75" outlineLevelRow="1" outlineLevelCol="1"/>
  <cols>
    <col min="1" max="1" width="2.42578125" customWidth="1"/>
    <col min="2" max="2" width="14.140625" customWidth="1"/>
    <col min="3" max="3" width="3.42578125" customWidth="1"/>
    <col min="4" max="4" width="13" hidden="1" customWidth="1" outlineLevel="1"/>
    <col min="5" max="5" width="15" customWidth="1" collapsed="1"/>
    <col min="6" max="6" width="16.7109375" customWidth="1"/>
    <col min="7" max="7" width="15.140625" bestFit="1" customWidth="1"/>
    <col min="8" max="8" width="16.28515625" customWidth="1"/>
    <col min="9" max="9" width="18.42578125" customWidth="1"/>
    <col min="10" max="10" width="16.7109375" customWidth="1"/>
    <col min="11" max="11" width="19.140625" bestFit="1" customWidth="1"/>
    <col min="12" max="12" width="14.85546875" customWidth="1"/>
    <col min="13" max="13" width="15.140625" bestFit="1" customWidth="1"/>
    <col min="14" max="14" width="16.85546875" customWidth="1"/>
    <col min="15" max="15" width="16" hidden="1" customWidth="1" outlineLevel="1"/>
    <col min="16" max="16" width="9.140625" hidden="1" customWidth="1" outlineLevel="1"/>
    <col min="17" max="17" width="9.140625" collapsed="1"/>
    <col min="18" max="18" width="15.42578125" customWidth="1"/>
  </cols>
  <sheetData>
    <row r="1" spans="1:31">
      <c r="A1" s="62"/>
      <c r="B1" s="63" t="s">
        <v>9</v>
      </c>
      <c r="C1" s="62"/>
      <c r="D1" s="62"/>
      <c r="E1" s="62"/>
      <c r="F1" s="62"/>
      <c r="G1" s="62"/>
      <c r="H1" s="64"/>
      <c r="I1" s="64"/>
      <c r="J1" s="64"/>
      <c r="K1" s="65"/>
      <c r="L1" s="65"/>
      <c r="M1" s="65"/>
      <c r="N1" s="65"/>
    </row>
    <row r="2" spans="1:31">
      <c r="A2" s="62"/>
      <c r="B2" s="63" t="s">
        <v>210</v>
      </c>
      <c r="C2" s="62"/>
      <c r="D2" s="62"/>
      <c r="E2" s="62"/>
      <c r="F2" s="62"/>
      <c r="G2" s="62"/>
      <c r="H2" s="64"/>
      <c r="I2" s="64"/>
      <c r="J2" s="64"/>
      <c r="K2" s="65"/>
      <c r="L2" s="65"/>
      <c r="M2" s="65"/>
      <c r="N2" s="65"/>
    </row>
    <row r="3" spans="1:31">
      <c r="A3" s="62"/>
      <c r="B3" s="63" t="s">
        <v>211</v>
      </c>
      <c r="C3" s="62"/>
      <c r="D3" s="62"/>
      <c r="E3" s="62"/>
      <c r="F3" s="62"/>
      <c r="G3" s="62"/>
      <c r="H3" s="64"/>
      <c r="I3" s="64"/>
      <c r="J3" s="64"/>
      <c r="K3" s="65"/>
      <c r="L3" s="65"/>
      <c r="M3" s="65"/>
      <c r="N3" s="65"/>
    </row>
    <row r="4" spans="1:31">
      <c r="A4" s="62"/>
      <c r="B4" s="68"/>
      <c r="C4" s="62"/>
      <c r="D4" s="62"/>
      <c r="E4" s="62"/>
      <c r="F4" s="62"/>
      <c r="G4" s="62"/>
      <c r="H4" s="64"/>
      <c r="I4" s="64"/>
      <c r="J4" s="64"/>
      <c r="K4" s="65"/>
      <c r="L4" s="65"/>
      <c r="M4" s="65"/>
      <c r="N4" s="65"/>
    </row>
    <row r="5" spans="1:31">
      <c r="A5" s="62"/>
      <c r="B5" s="63"/>
      <c r="C5" s="63"/>
      <c r="D5" s="62"/>
      <c r="E5" s="62"/>
      <c r="F5" s="62"/>
      <c r="G5" s="62"/>
      <c r="H5" s="64"/>
      <c r="I5" s="64"/>
      <c r="J5" s="64"/>
      <c r="K5" s="65"/>
      <c r="L5" s="65"/>
      <c r="M5" s="65"/>
      <c r="N5" s="65"/>
    </row>
    <row r="6" spans="1:31">
      <c r="A6" s="62"/>
      <c r="B6" s="62"/>
      <c r="C6" s="62"/>
      <c r="D6" s="69"/>
      <c r="E6" s="69"/>
      <c r="F6" s="70"/>
      <c r="G6" s="71"/>
      <c r="H6" s="72"/>
      <c r="I6" s="72"/>
      <c r="J6" s="72"/>
      <c r="K6" s="73"/>
      <c r="L6" s="73"/>
      <c r="M6" s="73"/>
      <c r="N6" s="73"/>
    </row>
    <row r="7" spans="1:31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>
        <v>28300721</v>
      </c>
      <c r="M7" s="79"/>
      <c r="N7" s="79"/>
    </row>
    <row r="8" spans="1:31">
      <c r="A8" s="62"/>
      <c r="B8" s="62"/>
      <c r="C8" s="62"/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</row>
    <row r="9" spans="1:31">
      <c r="A9" s="65"/>
      <c r="B9" s="15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</row>
    <row r="10" spans="1:3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822</v>
      </c>
      <c r="I10" s="87" t="s">
        <v>33</v>
      </c>
      <c r="J10" s="87" t="s">
        <v>122</v>
      </c>
      <c r="K10" s="87" t="s">
        <v>720</v>
      </c>
      <c r="L10" s="85" t="s">
        <v>823</v>
      </c>
      <c r="M10" s="87" t="s">
        <v>94</v>
      </c>
      <c r="N10" s="87" t="s">
        <v>125</v>
      </c>
    </row>
    <row r="11" spans="1:31">
      <c r="A11" s="75"/>
      <c r="B11" s="88"/>
      <c r="C11" s="88"/>
      <c r="D11" s="79"/>
      <c r="E11" s="1059" t="s">
        <v>639</v>
      </c>
      <c r="F11" s="1055"/>
      <c r="G11" s="1054" t="s">
        <v>212</v>
      </c>
      <c r="H11" s="89" t="s">
        <v>155</v>
      </c>
      <c r="I11" s="79"/>
      <c r="J11" s="79"/>
      <c r="K11" s="79" t="s">
        <v>821</v>
      </c>
      <c r="L11" s="89" t="s">
        <v>724</v>
      </c>
      <c r="M11" s="79"/>
      <c r="N11" s="79"/>
    </row>
    <row r="12" spans="1:31" outlineLevel="1">
      <c r="A12" s="62"/>
      <c r="B12" s="90" t="s">
        <v>5</v>
      </c>
      <c r="C12" s="62"/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</row>
    <row r="13" spans="1:31" outlineLevel="1">
      <c r="A13" s="62"/>
      <c r="B13" s="97">
        <v>40967</v>
      </c>
      <c r="C13" s="97"/>
      <c r="D13" s="91">
        <v>257016.27143314801</v>
      </c>
      <c r="E13" s="93">
        <f t="shared" ref="E13:E75" si="0">E12+D13</f>
        <v>257016.27143314801</v>
      </c>
      <c r="F13" s="98"/>
      <c r="G13" s="91"/>
      <c r="H13" s="99"/>
      <c r="I13" s="93"/>
      <c r="J13" s="93"/>
      <c r="K13" s="100"/>
      <c r="L13" s="100">
        <f t="shared" ref="L13:L75" si="1">L12+K13</f>
        <v>0</v>
      </c>
      <c r="M13" s="100"/>
      <c r="N13" s="94"/>
      <c r="O13" s="165">
        <f>E13+H13+L13</f>
        <v>257016.27143314801</v>
      </c>
      <c r="R13" s="337"/>
    </row>
    <row r="14" spans="1:31" outlineLevel="1">
      <c r="A14" s="62"/>
      <c r="B14" s="97">
        <v>40999</v>
      </c>
      <c r="C14" s="97"/>
      <c r="D14" s="102">
        <v>6623565.6493930537</v>
      </c>
      <c r="E14" s="102">
        <f t="shared" si="0"/>
        <v>6880581.9208262013</v>
      </c>
      <c r="F14" s="98"/>
      <c r="G14" s="91"/>
      <c r="H14" s="99"/>
      <c r="I14" s="93"/>
      <c r="J14" s="93"/>
      <c r="K14" s="100">
        <v>-1170718</v>
      </c>
      <c r="L14" s="100">
        <f t="shared" si="1"/>
        <v>-1170718</v>
      </c>
      <c r="M14" s="98">
        <f>(L12+L14+SUM(L13)*2)/24</f>
        <v>-48779.916666666664</v>
      </c>
      <c r="N14" s="94"/>
      <c r="O14" s="165">
        <f t="shared" ref="O14:O75" si="2">E14+H14+L14</f>
        <v>5709863.9208262013</v>
      </c>
      <c r="R14" s="337"/>
    </row>
    <row r="15" spans="1:31" outlineLevel="1">
      <c r="A15" s="62"/>
      <c r="B15" s="97">
        <v>41029</v>
      </c>
      <c r="C15" s="97"/>
      <c r="D15" s="102">
        <f>7869401.4198088+221642</f>
        <v>8091043.4198088003</v>
      </c>
      <c r="E15" s="102">
        <f t="shared" si="0"/>
        <v>14971625.340635002</v>
      </c>
      <c r="F15" s="98"/>
      <c r="G15" s="91"/>
      <c r="H15" s="99"/>
      <c r="I15" s="93"/>
      <c r="J15" s="93"/>
      <c r="K15" s="100">
        <v>-1918890</v>
      </c>
      <c r="L15" s="100">
        <f t="shared" si="1"/>
        <v>-3089608</v>
      </c>
      <c r="M15" s="98">
        <f>(L12+L15+SUM(L13:L14)*2)/24</f>
        <v>-226293.5</v>
      </c>
      <c r="N15" s="94"/>
      <c r="O15" s="332">
        <f t="shared" si="2"/>
        <v>11882017.340635002</v>
      </c>
      <c r="P15" s="109"/>
      <c r="Q15" s="109"/>
      <c r="R15" s="337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s="109" customFormat="1" outlineLevel="1">
      <c r="A16" s="62"/>
      <c r="B16" s="97">
        <v>41060</v>
      </c>
      <c r="C16" s="97"/>
      <c r="D16" s="102">
        <f>3572380.42618319-584105</f>
        <v>2988275.4261831902</v>
      </c>
      <c r="E16" s="102">
        <f t="shared" si="0"/>
        <v>17959900.766818192</v>
      </c>
      <c r="F16" s="98"/>
      <c r="G16" s="102">
        <f>221642</f>
        <v>221642</v>
      </c>
      <c r="H16" s="100">
        <f t="shared" ref="H16:H75" si="3">H15-G16</f>
        <v>-221642</v>
      </c>
      <c r="I16" s="93"/>
      <c r="J16" s="93"/>
      <c r="K16" s="100">
        <v>-1122148</v>
      </c>
      <c r="L16" s="100">
        <f t="shared" si="1"/>
        <v>-4211756</v>
      </c>
      <c r="M16" s="98">
        <f>(L12+L16+SUM(L13:L15)*2)/24</f>
        <v>-530517</v>
      </c>
      <c r="N16" s="94"/>
      <c r="O16" s="335">
        <f t="shared" si="2"/>
        <v>13526502.766818192</v>
      </c>
      <c r="R16" s="337"/>
    </row>
    <row r="17" spans="1:18" outlineLevel="1">
      <c r="A17" s="62"/>
      <c r="B17" s="97">
        <v>41090</v>
      </c>
      <c r="C17" s="103"/>
      <c r="D17" s="102">
        <v>-428154.65</v>
      </c>
      <c r="E17" s="102">
        <f t="shared" si="0"/>
        <v>17531746.116818193</v>
      </c>
      <c r="F17" s="98"/>
      <c r="G17" s="102">
        <f>809870.65-428154.65</f>
        <v>381716</v>
      </c>
      <c r="H17" s="100">
        <f t="shared" si="3"/>
        <v>-603358</v>
      </c>
      <c r="I17" s="100"/>
      <c r="J17" s="93"/>
      <c r="K17" s="100">
        <v>251846</v>
      </c>
      <c r="L17" s="100">
        <f t="shared" si="1"/>
        <v>-3959910</v>
      </c>
      <c r="M17" s="98">
        <f>(L12+L17+SUM(L13:L16)*2)/24</f>
        <v>-871003.08333333337</v>
      </c>
      <c r="N17" s="94"/>
      <c r="O17" s="332">
        <f t="shared" si="2"/>
        <v>12968478.116818193</v>
      </c>
      <c r="R17" s="337"/>
    </row>
    <row r="18" spans="1:18" outlineLevel="1">
      <c r="A18" s="62"/>
      <c r="B18" s="97">
        <v>41121</v>
      </c>
      <c r="C18" s="97"/>
      <c r="D18" s="102"/>
      <c r="E18" s="102">
        <f t="shared" si="0"/>
        <v>17531746.116818193</v>
      </c>
      <c r="F18" s="98">
        <f>(E12+E18+SUM(E13:E17)*2)/24</f>
        <v>5530561.9562449856</v>
      </c>
      <c r="G18" s="102">
        <v>381716</v>
      </c>
      <c r="H18" s="100">
        <f t="shared" si="3"/>
        <v>-985074</v>
      </c>
      <c r="I18" s="100">
        <f>(H12+H18+SUM(H13:H17)*2)/24</f>
        <v>-109794.75</v>
      </c>
      <c r="J18" s="98">
        <f t="shared" ref="J18:J75" si="4">F18+I18</f>
        <v>5420767.2062449856</v>
      </c>
      <c r="K18" s="100">
        <v>91268</v>
      </c>
      <c r="L18" s="100">
        <f t="shared" si="1"/>
        <v>-3868642</v>
      </c>
      <c r="M18" s="98">
        <f>(L12+L18+SUM(L13:L17)*2)/24</f>
        <v>-1197192.75</v>
      </c>
      <c r="N18" s="95">
        <f t="shared" ref="N18:N75" si="5">M18+J18</f>
        <v>4223574.4562449856</v>
      </c>
      <c r="O18" s="337">
        <f t="shared" si="2"/>
        <v>12678030.116818193</v>
      </c>
      <c r="R18" s="337"/>
    </row>
    <row r="19" spans="1:18" outlineLevel="1">
      <c r="A19" s="62"/>
      <c r="B19" s="97">
        <v>41152</v>
      </c>
      <c r="C19" s="97"/>
      <c r="D19" s="102">
        <v>428154.65</v>
      </c>
      <c r="E19" s="102">
        <f t="shared" si="0"/>
        <v>17959900.766818192</v>
      </c>
      <c r="F19" s="98">
        <f>(E12+E19+SUM(E13:E18)*2)/24</f>
        <v>7009380.5763965016</v>
      </c>
      <c r="G19" s="102">
        <f>-46438.65+428154.65</f>
        <v>381716</v>
      </c>
      <c r="H19" s="100">
        <f t="shared" si="3"/>
        <v>-1366790</v>
      </c>
      <c r="I19" s="100">
        <f>(H12+H19+SUM(H13:H18)*2)/24</f>
        <v>-207789.08333333334</v>
      </c>
      <c r="J19" s="98">
        <f t="shared" si="4"/>
        <v>6801591.4930631686</v>
      </c>
      <c r="K19" s="100">
        <v>91268</v>
      </c>
      <c r="L19" s="100">
        <f t="shared" si="1"/>
        <v>-3777374</v>
      </c>
      <c r="M19" s="98">
        <f>(L12+L19+SUM(L13:L18)*2)/24</f>
        <v>-1515776.75</v>
      </c>
      <c r="N19" s="95">
        <f t="shared" si="5"/>
        <v>5285814.7430631686</v>
      </c>
      <c r="O19" s="165">
        <f t="shared" si="2"/>
        <v>12815736.766818192</v>
      </c>
      <c r="R19" s="337"/>
    </row>
    <row r="20" spans="1:18" s="109" customFormat="1" outlineLevel="1">
      <c r="A20" s="62"/>
      <c r="B20" s="97">
        <v>41182</v>
      </c>
      <c r="C20" s="97"/>
      <c r="D20" s="102"/>
      <c r="E20" s="102">
        <f t="shared" si="0"/>
        <v>17959900.766818192</v>
      </c>
      <c r="F20" s="98">
        <f>(E12+E20+SUM(E13:E19)*2)/24</f>
        <v>8506038.9736313503</v>
      </c>
      <c r="G20" s="102">
        <v>381716</v>
      </c>
      <c r="H20" s="100">
        <f t="shared" si="3"/>
        <v>-1748506</v>
      </c>
      <c r="I20" s="100">
        <f>(H12+H20+SUM(H13:H19)*2)/24</f>
        <v>-337593.08333333331</v>
      </c>
      <c r="J20" s="98">
        <f t="shared" si="4"/>
        <v>8168445.8902980173</v>
      </c>
      <c r="K20" s="100">
        <v>-58585</v>
      </c>
      <c r="L20" s="100">
        <f t="shared" si="1"/>
        <v>-3835959</v>
      </c>
      <c r="M20" s="98">
        <f>(L12+L20+SUM(L13:L19)*2)/24</f>
        <v>-1832998.9583333333</v>
      </c>
      <c r="N20" s="95">
        <f t="shared" si="5"/>
        <v>6335446.9319646843</v>
      </c>
      <c r="O20" s="332">
        <f t="shared" si="2"/>
        <v>12375435.766818192</v>
      </c>
      <c r="R20" s="335"/>
    </row>
    <row r="21" spans="1:18" outlineLevel="1">
      <c r="A21" s="62"/>
      <c r="B21" s="97">
        <v>41213</v>
      </c>
      <c r="C21" s="97"/>
      <c r="D21" s="102"/>
      <c r="E21" s="102">
        <f t="shared" si="0"/>
        <v>17959900.766818192</v>
      </c>
      <c r="F21" s="98">
        <f>(E12+E21+SUM(E13:E20)*2)/24</f>
        <v>10002697.3708662</v>
      </c>
      <c r="G21" s="102">
        <v>381716</v>
      </c>
      <c r="H21" s="100">
        <f t="shared" si="3"/>
        <v>-2130222</v>
      </c>
      <c r="I21" s="100">
        <f>(H12+H21+SUM(H13:H20)*2)/24</f>
        <v>-499206.75</v>
      </c>
      <c r="J21" s="98">
        <f t="shared" si="4"/>
        <v>9503490.6208662</v>
      </c>
      <c r="K21" s="100">
        <f>(-D21*0.35)+(G21*0.35)-1838029</f>
        <v>-1704428.4</v>
      </c>
      <c r="L21" s="100">
        <f t="shared" si="1"/>
        <v>-5540387.4000000004</v>
      </c>
      <c r="M21" s="98">
        <f>(L12+L21+SUM(L13:L20)*2)/24</f>
        <v>-2223680.0583333331</v>
      </c>
      <c r="N21" s="95">
        <f t="shared" si="5"/>
        <v>7279810.5625328664</v>
      </c>
      <c r="O21" s="165">
        <f t="shared" si="2"/>
        <v>10289291.366818191</v>
      </c>
      <c r="R21" s="337"/>
    </row>
    <row r="22" spans="1:18" outlineLevel="1">
      <c r="A22" s="62"/>
      <c r="B22" s="97">
        <v>41243</v>
      </c>
      <c r="C22" s="97"/>
      <c r="D22" s="102"/>
      <c r="E22" s="102">
        <f t="shared" si="0"/>
        <v>17959900.766818192</v>
      </c>
      <c r="F22" s="98">
        <f>(E12+E22+SUM(E13:E21)*2)/24</f>
        <v>11499355.76810105</v>
      </c>
      <c r="G22" s="102">
        <v>381716</v>
      </c>
      <c r="H22" s="100">
        <f t="shared" si="3"/>
        <v>-2511938</v>
      </c>
      <c r="I22" s="100">
        <f>(H12+H22+SUM(H13:H21)*2)/24</f>
        <v>-692630.08333333337</v>
      </c>
      <c r="J22" s="98">
        <f t="shared" si="4"/>
        <v>10806725.684767716</v>
      </c>
      <c r="K22" s="100">
        <f t="shared" ref="K22:K75" si="6">(-D22*0.35)+(G22*0.35)</f>
        <v>133600.6</v>
      </c>
      <c r="L22" s="100">
        <f t="shared" si="1"/>
        <v>-5406786.8000000007</v>
      </c>
      <c r="M22" s="98">
        <f>(L12+L22+SUM(L13:L21)*2)/24</f>
        <v>-2679812.3166666664</v>
      </c>
      <c r="N22" s="95">
        <f t="shared" si="5"/>
        <v>8126913.3681010492</v>
      </c>
      <c r="O22" s="165">
        <f t="shared" si="2"/>
        <v>10041175.966818191</v>
      </c>
      <c r="R22" s="337"/>
    </row>
    <row r="23" spans="1:18" outlineLevel="1">
      <c r="A23" s="62"/>
      <c r="B23" s="97">
        <v>41274</v>
      </c>
      <c r="C23" s="97"/>
      <c r="D23" s="102"/>
      <c r="E23" s="102">
        <f t="shared" si="0"/>
        <v>17959900.766818192</v>
      </c>
      <c r="F23" s="98">
        <f>(E12+E23+SUM(E13:E22)*2)/24</f>
        <v>12996014.165335899</v>
      </c>
      <c r="G23" s="102">
        <v>381716</v>
      </c>
      <c r="H23" s="100">
        <f t="shared" si="3"/>
        <v>-2893654</v>
      </c>
      <c r="I23" s="100">
        <f>(H12+H23+SUM(H13:H22)*2)/24</f>
        <v>-917863.08333333337</v>
      </c>
      <c r="J23" s="98">
        <f>F23+I23</f>
        <v>12078151.082002565</v>
      </c>
      <c r="K23" s="100">
        <f t="shared" si="6"/>
        <v>133600.6</v>
      </c>
      <c r="L23" s="100">
        <f t="shared" si="1"/>
        <v>-5273186.2000000011</v>
      </c>
      <c r="M23" s="98">
        <f>(L12+L23+SUM(L13:L22)*2)/24</f>
        <v>-3124811.1916666669</v>
      </c>
      <c r="N23" s="95">
        <f t="shared" si="5"/>
        <v>8953339.8903358988</v>
      </c>
      <c r="O23" s="337">
        <f t="shared" si="2"/>
        <v>9793060.5668181907</v>
      </c>
      <c r="P23" s="369"/>
      <c r="R23" s="337"/>
    </row>
    <row r="24" spans="1:18" s="109" customFormat="1" outlineLevel="1">
      <c r="A24" s="62"/>
      <c r="B24" s="97">
        <v>41305</v>
      </c>
      <c r="C24" s="97"/>
      <c r="D24" s="102"/>
      <c r="E24" s="102">
        <f t="shared" si="0"/>
        <v>17959900.766818192</v>
      </c>
      <c r="F24" s="98">
        <f t="shared" ref="F24:F61" si="7">(E12+E24+SUM(E13:E23)*2)/24</f>
        <v>14492672.562570749</v>
      </c>
      <c r="G24" s="102">
        <v>381716</v>
      </c>
      <c r="H24" s="100">
        <f t="shared" si="3"/>
        <v>-3275370</v>
      </c>
      <c r="I24" s="100">
        <f t="shared" ref="I24:I75" si="8">(H12+H24+SUM(H13:H23)*2)/24</f>
        <v>-1174905.75</v>
      </c>
      <c r="J24" s="98">
        <f t="shared" si="4"/>
        <v>13317766.812570749</v>
      </c>
      <c r="K24" s="100">
        <f t="shared" si="6"/>
        <v>133600.6</v>
      </c>
      <c r="L24" s="100">
        <f t="shared" si="1"/>
        <v>-5139585.6000000015</v>
      </c>
      <c r="M24" s="98">
        <f t="shared" ref="M24:M75" si="9">(L12+L24+SUM(L13:L23)*2)/24</f>
        <v>-3558676.6833333336</v>
      </c>
      <c r="N24" s="95">
        <f t="shared" si="5"/>
        <v>9759090.1292374153</v>
      </c>
      <c r="O24" s="335">
        <f>E24+H24+L24</f>
        <v>9544945.1668181904</v>
      </c>
      <c r="P24" s="369"/>
      <c r="R24" s="335"/>
    </row>
    <row r="25" spans="1:18" s="109" customFormat="1" outlineLevel="1">
      <c r="A25" s="62"/>
      <c r="B25" s="97">
        <v>41333</v>
      </c>
      <c r="C25" s="97"/>
      <c r="D25" s="102"/>
      <c r="E25" s="102">
        <f t="shared" si="0"/>
        <v>17959900.766818192</v>
      </c>
      <c r="F25" s="98">
        <f t="shared" si="7"/>
        <v>15978621.948495885</v>
      </c>
      <c r="G25" s="102">
        <v>381716</v>
      </c>
      <c r="H25" s="100">
        <f t="shared" si="3"/>
        <v>-3657086</v>
      </c>
      <c r="I25" s="100">
        <f t="shared" si="8"/>
        <v>-1463758.0833333333</v>
      </c>
      <c r="J25" s="98">
        <f t="shared" si="4"/>
        <v>14514863.865162551</v>
      </c>
      <c r="K25" s="100">
        <f t="shared" si="6"/>
        <v>133600.6</v>
      </c>
      <c r="L25" s="100">
        <f t="shared" si="1"/>
        <v>-5005985.0000000019</v>
      </c>
      <c r="M25" s="98">
        <f t="shared" si="9"/>
        <v>-3981408.7916666674</v>
      </c>
      <c r="N25" s="95">
        <f t="shared" si="5"/>
        <v>10533455.073495883</v>
      </c>
      <c r="O25" s="332">
        <f t="shared" si="2"/>
        <v>9296829.76681819</v>
      </c>
      <c r="P25" s="369"/>
      <c r="R25" s="335"/>
    </row>
    <row r="26" spans="1:18" s="109" customFormat="1" outlineLevel="1">
      <c r="A26" s="62"/>
      <c r="B26" s="97">
        <v>41364</v>
      </c>
      <c r="C26" s="97"/>
      <c r="D26" s="102"/>
      <c r="E26" s="102">
        <f t="shared" si="0"/>
        <v>17959900.766818192</v>
      </c>
      <c r="F26" s="98">
        <f t="shared" si="7"/>
        <v>17177880.421053261</v>
      </c>
      <c r="G26" s="102">
        <v>381716</v>
      </c>
      <c r="H26" s="100">
        <f t="shared" si="3"/>
        <v>-4038802</v>
      </c>
      <c r="I26" s="100">
        <f t="shared" si="8"/>
        <v>-1784420.0833333333</v>
      </c>
      <c r="J26" s="98">
        <f t="shared" si="4"/>
        <v>15393460.337719927</v>
      </c>
      <c r="K26" s="100">
        <f t="shared" si="6"/>
        <v>133600.6</v>
      </c>
      <c r="L26" s="100">
        <f t="shared" si="1"/>
        <v>-4872384.4000000022</v>
      </c>
      <c r="M26" s="98">
        <f t="shared" si="9"/>
        <v>-4344227.6000000006</v>
      </c>
      <c r="N26" s="95">
        <f t="shared" si="5"/>
        <v>11049232.737719927</v>
      </c>
      <c r="O26" s="332">
        <f t="shared" si="2"/>
        <v>9048714.3668181896</v>
      </c>
      <c r="P26" s="369"/>
      <c r="R26" s="335"/>
    </row>
    <row r="27" spans="1:18" s="109" customFormat="1" outlineLevel="1">
      <c r="A27" s="62"/>
      <c r="B27" s="106">
        <v>41394</v>
      </c>
      <c r="C27" s="97"/>
      <c r="D27" s="102"/>
      <c r="E27" s="102">
        <f t="shared" si="0"/>
        <v>17959900.766818192</v>
      </c>
      <c r="F27" s="98">
        <f t="shared" si="7"/>
        <v>17764030.182393894</v>
      </c>
      <c r="G27" s="102">
        <v>381716</v>
      </c>
      <c r="H27" s="100">
        <f t="shared" si="3"/>
        <v>-4420518</v>
      </c>
      <c r="I27" s="100">
        <f t="shared" si="8"/>
        <v>-2136891.75</v>
      </c>
      <c r="J27" s="98">
        <f t="shared" si="4"/>
        <v>15627138.432393894</v>
      </c>
      <c r="K27" s="100">
        <f t="shared" si="6"/>
        <v>133600.6</v>
      </c>
      <c r="L27" s="100">
        <f t="shared" si="1"/>
        <v>-4738783.8000000026</v>
      </c>
      <c r="M27" s="98">
        <f t="shared" si="9"/>
        <v>-4567179.3583333334</v>
      </c>
      <c r="N27" s="95">
        <f t="shared" si="5"/>
        <v>11059959.074060559</v>
      </c>
      <c r="O27" s="332">
        <f t="shared" si="2"/>
        <v>8800598.9668181892</v>
      </c>
      <c r="P27" s="369"/>
      <c r="R27" s="335"/>
    </row>
    <row r="28" spans="1:18" s="109" customFormat="1" outlineLevel="1">
      <c r="A28" s="62"/>
      <c r="B28" s="105">
        <v>41425</v>
      </c>
      <c r="C28" s="97"/>
      <c r="D28" s="102"/>
      <c r="E28" s="102">
        <f t="shared" si="0"/>
        <v>17959900.766818192</v>
      </c>
      <c r="F28" s="98">
        <f t="shared" si="7"/>
        <v>17888541.658484861</v>
      </c>
      <c r="G28" s="102">
        <v>381716</v>
      </c>
      <c r="H28" s="100">
        <f t="shared" si="3"/>
        <v>-4802234</v>
      </c>
      <c r="I28" s="98">
        <f t="shared" si="8"/>
        <v>-2511938</v>
      </c>
      <c r="J28" s="98">
        <f t="shared" si="4"/>
        <v>15376603.658484861</v>
      </c>
      <c r="K28" s="100">
        <f t="shared" si="6"/>
        <v>133600.6</v>
      </c>
      <c r="L28" s="100">
        <f t="shared" si="1"/>
        <v>-4605183.200000003</v>
      </c>
      <c r="M28" s="98">
        <f t="shared" si="9"/>
        <v>-4652287.8166666673</v>
      </c>
      <c r="N28" s="95">
        <f t="shared" si="5"/>
        <v>10724315.841818195</v>
      </c>
      <c r="O28" s="332">
        <f t="shared" si="2"/>
        <v>8552483.5668181889</v>
      </c>
      <c r="P28" s="369"/>
      <c r="R28" s="335"/>
    </row>
    <row r="29" spans="1:18" s="109" customFormat="1" outlineLevel="1">
      <c r="A29" s="62"/>
      <c r="B29" s="105">
        <v>41455</v>
      </c>
      <c r="C29" s="97"/>
      <c r="D29" s="102"/>
      <c r="E29" s="102">
        <f t="shared" si="0"/>
        <v>17959900.766818192</v>
      </c>
      <c r="F29" s="98">
        <f t="shared" si="7"/>
        <v>17906381.435568195</v>
      </c>
      <c r="G29" s="102">
        <v>381716</v>
      </c>
      <c r="H29" s="100">
        <f t="shared" si="3"/>
        <v>-5183950</v>
      </c>
      <c r="I29" s="98">
        <f t="shared" si="8"/>
        <v>-2893654</v>
      </c>
      <c r="J29" s="98">
        <f t="shared" si="4"/>
        <v>15012727.435568195</v>
      </c>
      <c r="K29" s="100">
        <f t="shared" si="6"/>
        <v>133600.6</v>
      </c>
      <c r="L29" s="100">
        <f t="shared" si="1"/>
        <v>-4471582.6000000034</v>
      </c>
      <c r="M29" s="98">
        <f t="shared" si="9"/>
        <v>-4690000.3083333345</v>
      </c>
      <c r="N29" s="95">
        <f t="shared" si="5"/>
        <v>10322727.127234861</v>
      </c>
      <c r="O29" s="332">
        <f t="shared" si="2"/>
        <v>8304368.1668181885</v>
      </c>
      <c r="P29" s="369"/>
      <c r="R29" s="335"/>
    </row>
    <row r="30" spans="1:18" s="109" customFormat="1" outlineLevel="1">
      <c r="A30" s="62"/>
      <c r="B30" s="97">
        <v>41486</v>
      </c>
      <c r="C30" s="97"/>
      <c r="D30" s="102"/>
      <c r="E30" s="102">
        <f t="shared" si="0"/>
        <v>17959900.766818192</v>
      </c>
      <c r="F30" s="98">
        <f t="shared" si="7"/>
        <v>17942060.989734858</v>
      </c>
      <c r="G30" s="102">
        <v>381716</v>
      </c>
      <c r="H30" s="100">
        <f t="shared" si="3"/>
        <v>-5565666</v>
      </c>
      <c r="I30" s="98">
        <f t="shared" si="8"/>
        <v>-3275370</v>
      </c>
      <c r="J30" s="98">
        <f t="shared" si="4"/>
        <v>14666690.989734858</v>
      </c>
      <c r="K30" s="100">
        <f t="shared" si="6"/>
        <v>133600.6</v>
      </c>
      <c r="L30" s="100">
        <f t="shared" si="1"/>
        <v>-4337982.0000000037</v>
      </c>
      <c r="M30" s="98">
        <f t="shared" si="9"/>
        <v>-4730875.8333333349</v>
      </c>
      <c r="N30" s="95">
        <f t="shared" si="5"/>
        <v>9935815.1564015225</v>
      </c>
      <c r="O30" s="335">
        <f>E30+H30+L30</f>
        <v>8056252.7668181881</v>
      </c>
      <c r="P30" s="369"/>
      <c r="R30" s="335"/>
    </row>
    <row r="31" spans="1:18" s="109" customFormat="1" outlineLevel="1">
      <c r="A31" s="62"/>
      <c r="B31" s="97">
        <v>41517</v>
      </c>
      <c r="C31" s="97"/>
      <c r="D31" s="102"/>
      <c r="E31" s="102">
        <f t="shared" si="0"/>
        <v>17959900.766818192</v>
      </c>
      <c r="F31" s="98">
        <f t="shared" si="7"/>
        <v>17959900.766818192</v>
      </c>
      <c r="G31" s="102">
        <v>381716</v>
      </c>
      <c r="H31" s="100">
        <f t="shared" si="3"/>
        <v>-5947382</v>
      </c>
      <c r="I31" s="98">
        <f t="shared" si="8"/>
        <v>-3657086</v>
      </c>
      <c r="J31" s="98">
        <f t="shared" si="4"/>
        <v>14302814.766818192</v>
      </c>
      <c r="K31" s="100">
        <f t="shared" si="6"/>
        <v>133600.6</v>
      </c>
      <c r="L31" s="100">
        <f t="shared" si="1"/>
        <v>-4204381.4000000041</v>
      </c>
      <c r="M31" s="98">
        <f t="shared" si="9"/>
        <v>-4768223.6416666685</v>
      </c>
      <c r="N31" s="95">
        <f t="shared" si="5"/>
        <v>9534591.1251515225</v>
      </c>
      <c r="O31" s="332">
        <f t="shared" si="2"/>
        <v>7808137.3668181878</v>
      </c>
      <c r="P31" s="369"/>
      <c r="R31" s="335"/>
    </row>
    <row r="32" spans="1:18" s="109" customFormat="1" outlineLevel="1">
      <c r="A32" s="62"/>
      <c r="B32" s="97">
        <v>41547</v>
      </c>
      <c r="C32" s="97"/>
      <c r="D32" s="102"/>
      <c r="E32" s="102">
        <f t="shared" si="0"/>
        <v>17959900.766818192</v>
      </c>
      <c r="F32" s="98">
        <f t="shared" si="7"/>
        <v>17959900.766818192</v>
      </c>
      <c r="G32" s="102">
        <v>381716</v>
      </c>
      <c r="H32" s="100">
        <f t="shared" si="3"/>
        <v>-6329098</v>
      </c>
      <c r="I32" s="98">
        <f t="shared" si="8"/>
        <v>-4038802</v>
      </c>
      <c r="J32" s="98">
        <f>F32+I32</f>
        <v>13921098.766818192</v>
      </c>
      <c r="K32" s="100">
        <f t="shared" si="6"/>
        <v>133600.6</v>
      </c>
      <c r="L32" s="100">
        <f t="shared" si="1"/>
        <v>-4070780.800000004</v>
      </c>
      <c r="M32" s="98">
        <f t="shared" si="9"/>
        <v>-4795799.8583333353</v>
      </c>
      <c r="N32" s="95">
        <f t="shared" si="5"/>
        <v>9125298.9084848575</v>
      </c>
      <c r="O32" s="332">
        <f t="shared" si="2"/>
        <v>7560021.9668181874</v>
      </c>
      <c r="P32" s="369"/>
      <c r="R32" s="335"/>
    </row>
    <row r="33" spans="1:18" s="109" customFormat="1" outlineLevel="1">
      <c r="A33" s="62"/>
      <c r="B33" s="97">
        <v>41578</v>
      </c>
      <c r="C33" s="97"/>
      <c r="D33" s="102"/>
      <c r="E33" s="102">
        <f t="shared" si="0"/>
        <v>17959900.766818192</v>
      </c>
      <c r="F33" s="98">
        <f t="shared" si="7"/>
        <v>17959900.766818192</v>
      </c>
      <c r="G33" s="102">
        <v>381716</v>
      </c>
      <c r="H33" s="100">
        <f t="shared" si="3"/>
        <v>-6710814</v>
      </c>
      <c r="I33" s="98">
        <f t="shared" si="8"/>
        <v>-4420518</v>
      </c>
      <c r="J33" s="98">
        <f t="shared" si="4"/>
        <v>13539382.766818192</v>
      </c>
      <c r="K33" s="100">
        <v>133600.6</v>
      </c>
      <c r="L33" s="100">
        <f>L32+K33</f>
        <v>-3937180.2000000039</v>
      </c>
      <c r="M33" s="98">
        <f t="shared" si="9"/>
        <v>-4738783.8000000035</v>
      </c>
      <c r="N33" s="95">
        <f t="shared" si="5"/>
        <v>8800598.9668181874</v>
      </c>
      <c r="O33" s="335">
        <f>E33+H33+L33</f>
        <v>7311906.5668181879</v>
      </c>
      <c r="P33" s="369"/>
      <c r="R33" s="335"/>
    </row>
    <row r="34" spans="1:18" s="109" customFormat="1" outlineLevel="1">
      <c r="A34" s="62"/>
      <c r="B34" s="97">
        <v>41608</v>
      </c>
      <c r="C34" s="97"/>
      <c r="D34" s="102"/>
      <c r="E34" s="102">
        <f t="shared" si="0"/>
        <v>17959900.766818192</v>
      </c>
      <c r="F34" s="98">
        <f t="shared" si="7"/>
        <v>17959900.766818192</v>
      </c>
      <c r="G34" s="102">
        <v>381716</v>
      </c>
      <c r="H34" s="100">
        <f t="shared" si="3"/>
        <v>-7092530</v>
      </c>
      <c r="I34" s="98">
        <f t="shared" si="8"/>
        <v>-4802234</v>
      </c>
      <c r="J34" s="98">
        <f>F34+I34</f>
        <v>13157666.766818192</v>
      </c>
      <c r="K34" s="100">
        <v>133600.6</v>
      </c>
      <c r="L34" s="100">
        <f>L33+K34</f>
        <v>-3803579.6000000038</v>
      </c>
      <c r="M34" s="98">
        <f t="shared" si="9"/>
        <v>-4605183.200000002</v>
      </c>
      <c r="N34" s="95">
        <f t="shared" si="5"/>
        <v>8552483.5668181889</v>
      </c>
      <c r="O34" s="332">
        <f t="shared" si="2"/>
        <v>7063791.1668181885</v>
      </c>
      <c r="P34" s="369"/>
      <c r="R34" s="335"/>
    </row>
    <row r="35" spans="1:18" s="109" customFormat="1" outlineLevel="1">
      <c r="A35" s="62"/>
      <c r="B35" s="97">
        <v>41639</v>
      </c>
      <c r="C35" s="97"/>
      <c r="D35" s="102"/>
      <c r="E35" s="102">
        <f t="shared" si="0"/>
        <v>17959900.766818192</v>
      </c>
      <c r="F35" s="98">
        <f t="shared" si="7"/>
        <v>17959900.766818192</v>
      </c>
      <c r="G35" s="102">
        <v>381716</v>
      </c>
      <c r="H35" s="100">
        <f t="shared" si="3"/>
        <v>-7474246</v>
      </c>
      <c r="I35" s="98">
        <f t="shared" si="8"/>
        <v>-5183950</v>
      </c>
      <c r="J35" s="98">
        <f t="shared" si="4"/>
        <v>12775950.766818192</v>
      </c>
      <c r="K35" s="100">
        <f t="shared" si="6"/>
        <v>133600.6</v>
      </c>
      <c r="L35" s="100">
        <f t="shared" si="1"/>
        <v>-3669979.0000000037</v>
      </c>
      <c r="M35" s="98">
        <f t="shared" si="9"/>
        <v>-4471582.6000000024</v>
      </c>
      <c r="N35" s="95">
        <f t="shared" si="5"/>
        <v>8304368.1668181894</v>
      </c>
      <c r="O35" s="332">
        <f t="shared" si="2"/>
        <v>6815675.7668181881</v>
      </c>
      <c r="P35" s="369"/>
      <c r="R35" s="335"/>
    </row>
    <row r="36" spans="1:18" outlineLevel="1">
      <c r="A36" s="62"/>
      <c r="B36" s="97">
        <v>41670</v>
      </c>
      <c r="C36" s="97"/>
      <c r="D36" s="102"/>
      <c r="E36" s="102">
        <f t="shared" si="0"/>
        <v>17959900.766818192</v>
      </c>
      <c r="F36" s="98">
        <f t="shared" si="7"/>
        <v>17959900.766818192</v>
      </c>
      <c r="G36" s="102">
        <v>361478</v>
      </c>
      <c r="H36" s="100">
        <f t="shared" si="3"/>
        <v>-7835724</v>
      </c>
      <c r="I36" s="98">
        <f t="shared" si="8"/>
        <v>-5564822.75</v>
      </c>
      <c r="J36" s="98">
        <f t="shared" si="4"/>
        <v>12395078.016818192</v>
      </c>
      <c r="K36" s="100">
        <f t="shared" si="6"/>
        <v>126517.29999999999</v>
      </c>
      <c r="L36" s="100">
        <f t="shared" si="1"/>
        <v>-3543461.7000000039</v>
      </c>
      <c r="M36" s="98">
        <f t="shared" si="9"/>
        <v>-4338277.137500003</v>
      </c>
      <c r="N36" s="95">
        <f t="shared" si="5"/>
        <v>8056800.8793181889</v>
      </c>
      <c r="O36" s="332">
        <f t="shared" si="2"/>
        <v>6580715.0668181879</v>
      </c>
      <c r="P36" s="369"/>
      <c r="Q36" s="109"/>
      <c r="R36" s="337"/>
    </row>
    <row r="37" spans="1:18" outlineLevel="1">
      <c r="A37" s="62"/>
      <c r="B37" s="97">
        <v>41698</v>
      </c>
      <c r="C37" s="97"/>
      <c r="D37" s="102"/>
      <c r="E37" s="102">
        <f t="shared" si="0"/>
        <v>17959900.766818192</v>
      </c>
      <c r="F37" s="98">
        <f t="shared" si="7"/>
        <v>17959900.766818192</v>
      </c>
      <c r="G37" s="102">
        <v>374970</v>
      </c>
      <c r="H37" s="100">
        <f t="shared" si="3"/>
        <v>-8210694</v>
      </c>
      <c r="I37" s="98">
        <f t="shared" si="8"/>
        <v>-5944571.166666667</v>
      </c>
      <c r="J37" s="98">
        <f t="shared" si="4"/>
        <v>12015329.600151524</v>
      </c>
      <c r="K37" s="100">
        <f t="shared" si="6"/>
        <v>131239.5</v>
      </c>
      <c r="L37" s="100">
        <f t="shared" si="1"/>
        <v>-3412222.2000000039</v>
      </c>
      <c r="M37" s="98">
        <f t="shared" si="9"/>
        <v>-4205365.1916666692</v>
      </c>
      <c r="N37" s="95">
        <f t="shared" si="5"/>
        <v>7809964.4084848547</v>
      </c>
      <c r="O37" s="332">
        <f t="shared" si="2"/>
        <v>6336984.5668181879</v>
      </c>
      <c r="P37" s="369"/>
      <c r="R37" s="337"/>
    </row>
    <row r="38" spans="1:18" s="109" customFormat="1" outlineLevel="1">
      <c r="A38" s="62"/>
      <c r="B38" s="97">
        <v>41729</v>
      </c>
      <c r="C38" s="97"/>
      <c r="D38" s="102"/>
      <c r="E38" s="102">
        <f t="shared" si="0"/>
        <v>17959900.766818192</v>
      </c>
      <c r="F38" s="98">
        <f t="shared" si="7"/>
        <v>17959900.766818192</v>
      </c>
      <c r="G38" s="102">
        <f t="shared" ref="G38:G62" si="10">G37</f>
        <v>374970</v>
      </c>
      <c r="H38" s="100">
        <f t="shared" si="3"/>
        <v>-8585664</v>
      </c>
      <c r="I38" s="98">
        <f t="shared" si="8"/>
        <v>-6323757.416666667</v>
      </c>
      <c r="J38" s="98">
        <f t="shared" si="4"/>
        <v>11636143.350151524</v>
      </c>
      <c r="K38" s="100">
        <f t="shared" si="6"/>
        <v>131239.5</v>
      </c>
      <c r="L38" s="100">
        <f t="shared" si="1"/>
        <v>-3280982.7000000039</v>
      </c>
      <c r="M38" s="98">
        <f t="shared" si="9"/>
        <v>-4072650.0041666697</v>
      </c>
      <c r="N38" s="95">
        <f t="shared" si="5"/>
        <v>7563493.3459848538</v>
      </c>
      <c r="O38" s="332">
        <f t="shared" si="2"/>
        <v>6093254.0668181879</v>
      </c>
      <c r="P38" s="369"/>
      <c r="R38" s="335"/>
    </row>
    <row r="39" spans="1:18" outlineLevel="1">
      <c r="A39" s="64"/>
      <c r="B39" s="97">
        <v>41759</v>
      </c>
      <c r="C39" s="105"/>
      <c r="D39" s="100"/>
      <c r="E39" s="98">
        <f t="shared" si="0"/>
        <v>17959900.766818192</v>
      </c>
      <c r="F39" s="98">
        <f t="shared" si="7"/>
        <v>17959900.766818192</v>
      </c>
      <c r="G39" s="102">
        <f t="shared" si="10"/>
        <v>374970</v>
      </c>
      <c r="H39" s="98">
        <f t="shared" si="3"/>
        <v>-8960634</v>
      </c>
      <c r="I39" s="98">
        <f t="shared" si="8"/>
        <v>-6702381.5</v>
      </c>
      <c r="J39" s="98">
        <f t="shared" si="4"/>
        <v>11257519.266818192</v>
      </c>
      <c r="K39" s="98">
        <f t="shared" si="6"/>
        <v>131239.5</v>
      </c>
      <c r="L39" s="98">
        <f t="shared" si="1"/>
        <v>-3149743.2000000039</v>
      </c>
      <c r="M39" s="98">
        <f t="shared" si="9"/>
        <v>-3940131.5750000034</v>
      </c>
      <c r="N39" s="95">
        <f t="shared" si="5"/>
        <v>7317387.6918181889</v>
      </c>
      <c r="O39" s="165">
        <f t="shared" si="2"/>
        <v>5849523.5668181879</v>
      </c>
      <c r="P39" s="369"/>
      <c r="R39" s="337"/>
    </row>
    <row r="40" spans="1:18" s="109" customFormat="1" outlineLevel="1">
      <c r="A40" s="64"/>
      <c r="B40" s="97">
        <v>41790</v>
      </c>
      <c r="C40" s="105"/>
      <c r="D40" s="100"/>
      <c r="E40" s="98">
        <f t="shared" si="0"/>
        <v>17959900.766818192</v>
      </c>
      <c r="F40" s="98">
        <f t="shared" si="7"/>
        <v>17959900.766818192</v>
      </c>
      <c r="G40" s="102">
        <f t="shared" si="10"/>
        <v>374970</v>
      </c>
      <c r="H40" s="98">
        <f t="shared" si="3"/>
        <v>-9335604</v>
      </c>
      <c r="I40" s="98">
        <f t="shared" si="8"/>
        <v>-7080443.416666667</v>
      </c>
      <c r="J40" s="98">
        <f t="shared" si="4"/>
        <v>10879457.350151524</v>
      </c>
      <c r="K40" s="98">
        <f t="shared" si="6"/>
        <v>131239.5</v>
      </c>
      <c r="L40" s="98">
        <f t="shared" si="1"/>
        <v>-3018503.7000000039</v>
      </c>
      <c r="M40" s="98">
        <f t="shared" si="9"/>
        <v>-3807809.9041666705</v>
      </c>
      <c r="N40" s="95">
        <f t="shared" si="5"/>
        <v>7071647.4459848534</v>
      </c>
      <c r="O40" s="332">
        <f t="shared" si="2"/>
        <v>5605793.0668181879</v>
      </c>
      <c r="P40" s="369"/>
      <c r="R40" s="335"/>
    </row>
    <row r="41" spans="1:18" outlineLevel="1">
      <c r="A41" s="64"/>
      <c r="B41" s="97">
        <v>41820</v>
      </c>
      <c r="C41" s="105"/>
      <c r="D41" s="100"/>
      <c r="E41" s="98">
        <f t="shared" si="0"/>
        <v>17959900.766818192</v>
      </c>
      <c r="F41" s="98">
        <f t="shared" si="7"/>
        <v>17959900.766818192</v>
      </c>
      <c r="G41" s="102">
        <f t="shared" si="10"/>
        <v>374970</v>
      </c>
      <c r="H41" s="98">
        <f t="shared" si="3"/>
        <v>-9710574</v>
      </c>
      <c r="I41" s="98">
        <f t="shared" si="8"/>
        <v>-7457943.166666667</v>
      </c>
      <c r="J41" s="98">
        <f t="shared" si="4"/>
        <v>10501957.600151524</v>
      </c>
      <c r="K41" s="98">
        <f t="shared" si="6"/>
        <v>131239.5</v>
      </c>
      <c r="L41" s="98">
        <f t="shared" si="1"/>
        <v>-2887264.2000000039</v>
      </c>
      <c r="M41" s="98">
        <f t="shared" si="9"/>
        <v>-3675684.9916666709</v>
      </c>
      <c r="N41" s="95">
        <f t="shared" si="5"/>
        <v>6826272.6084848531</v>
      </c>
      <c r="O41" s="165">
        <f t="shared" si="2"/>
        <v>5362062.5668181879</v>
      </c>
      <c r="P41" s="369"/>
      <c r="R41" s="337"/>
    </row>
    <row r="42" spans="1:18" outlineLevel="1">
      <c r="A42" s="64"/>
      <c r="B42" s="97">
        <v>41851</v>
      </c>
      <c r="C42" s="105"/>
      <c r="D42" s="100"/>
      <c r="E42" s="98">
        <f t="shared" si="0"/>
        <v>17959900.766818192</v>
      </c>
      <c r="F42" s="98">
        <f t="shared" si="7"/>
        <v>17959900.766818192</v>
      </c>
      <c r="G42" s="102">
        <f t="shared" si="10"/>
        <v>374970</v>
      </c>
      <c r="H42" s="98">
        <f t="shared" si="3"/>
        <v>-10085544</v>
      </c>
      <c r="I42" s="98">
        <f t="shared" si="8"/>
        <v>-7834880.75</v>
      </c>
      <c r="J42" s="98">
        <f t="shared" si="4"/>
        <v>10125020.016818192</v>
      </c>
      <c r="K42" s="98">
        <f t="shared" si="6"/>
        <v>131239.5</v>
      </c>
      <c r="L42" s="98">
        <f t="shared" si="1"/>
        <v>-2756024.7000000039</v>
      </c>
      <c r="M42" s="98">
        <f t="shared" si="9"/>
        <v>-3543756.8375000036</v>
      </c>
      <c r="N42" s="95">
        <f t="shared" si="5"/>
        <v>6581263.1793181878</v>
      </c>
      <c r="O42" s="165">
        <f t="shared" si="2"/>
        <v>5118332.0668181879</v>
      </c>
      <c r="P42" s="369"/>
      <c r="R42" s="337"/>
    </row>
    <row r="43" spans="1:18" s="109" customFormat="1" outlineLevel="1">
      <c r="A43" s="64"/>
      <c r="B43" s="97">
        <v>41882</v>
      </c>
      <c r="C43" s="105"/>
      <c r="D43" s="100"/>
      <c r="E43" s="98">
        <f t="shared" si="0"/>
        <v>17959900.766818192</v>
      </c>
      <c r="F43" s="98">
        <f t="shared" si="7"/>
        <v>17959900.766818192</v>
      </c>
      <c r="G43" s="102">
        <f t="shared" si="10"/>
        <v>374970</v>
      </c>
      <c r="H43" s="98">
        <f t="shared" si="3"/>
        <v>-10460514</v>
      </c>
      <c r="I43" s="98">
        <f t="shared" si="8"/>
        <v>-8211256.166666667</v>
      </c>
      <c r="J43" s="98">
        <f t="shared" si="4"/>
        <v>9748644.6001515239</v>
      </c>
      <c r="K43" s="98">
        <f t="shared" si="6"/>
        <v>131239.5</v>
      </c>
      <c r="L43" s="98">
        <f t="shared" si="1"/>
        <v>-2624785.2000000039</v>
      </c>
      <c r="M43" s="98">
        <f t="shared" si="9"/>
        <v>-3412025.4416666701</v>
      </c>
      <c r="N43" s="95">
        <f t="shared" si="5"/>
        <v>6336619.1584848538</v>
      </c>
      <c r="O43" s="335">
        <f t="shared" si="2"/>
        <v>4874601.5668181879</v>
      </c>
      <c r="P43" s="369"/>
      <c r="R43" s="335"/>
    </row>
    <row r="44" spans="1:18" outlineLevel="1">
      <c r="A44" s="64"/>
      <c r="B44" s="97">
        <v>41912</v>
      </c>
      <c r="C44" s="105"/>
      <c r="D44" s="100"/>
      <c r="E44" s="98">
        <f t="shared" si="0"/>
        <v>17959900.766818192</v>
      </c>
      <c r="F44" s="98">
        <f t="shared" si="7"/>
        <v>17959900.766818192</v>
      </c>
      <c r="G44" s="102">
        <f t="shared" si="10"/>
        <v>374970</v>
      </c>
      <c r="H44" s="98">
        <f t="shared" si="3"/>
        <v>-10835484</v>
      </c>
      <c r="I44" s="98">
        <f t="shared" si="8"/>
        <v>-8587069.416666666</v>
      </c>
      <c r="J44" s="98">
        <f t="shared" si="4"/>
        <v>9372831.3501515258</v>
      </c>
      <c r="K44" s="98">
        <f t="shared" si="6"/>
        <v>131239.5</v>
      </c>
      <c r="L44" s="98">
        <f t="shared" si="1"/>
        <v>-2493545.7000000039</v>
      </c>
      <c r="M44" s="98">
        <f t="shared" si="9"/>
        <v>-3280490.8041666695</v>
      </c>
      <c r="N44" s="95">
        <f t="shared" si="5"/>
        <v>6092340.5459848568</v>
      </c>
      <c r="O44" s="165">
        <f t="shared" si="2"/>
        <v>4630871.0668181879</v>
      </c>
      <c r="P44" s="369"/>
      <c r="R44" s="337"/>
    </row>
    <row r="45" spans="1:18" outlineLevel="1">
      <c r="A45" s="64"/>
      <c r="B45" s="97">
        <v>41943</v>
      </c>
      <c r="C45" s="105"/>
      <c r="D45" s="100"/>
      <c r="E45" s="98">
        <f t="shared" si="0"/>
        <v>17959900.766818192</v>
      </c>
      <c r="F45" s="98">
        <f t="shared" si="7"/>
        <v>17959900.766818192</v>
      </c>
      <c r="G45" s="102">
        <f t="shared" si="10"/>
        <v>374970</v>
      </c>
      <c r="H45" s="98">
        <f t="shared" si="3"/>
        <v>-11210454</v>
      </c>
      <c r="I45" s="98">
        <f t="shared" si="8"/>
        <v>-8962320.5</v>
      </c>
      <c r="J45" s="98">
        <f t="shared" si="4"/>
        <v>8997580.2668181919</v>
      </c>
      <c r="K45" s="98">
        <f t="shared" si="6"/>
        <v>131239.5</v>
      </c>
      <c r="L45" s="98">
        <f t="shared" si="1"/>
        <v>-2362306.2000000039</v>
      </c>
      <c r="M45" s="98">
        <f t="shared" si="9"/>
        <v>-3149152.9250000031</v>
      </c>
      <c r="N45" s="95">
        <f t="shared" si="5"/>
        <v>5848427.3418181892</v>
      </c>
      <c r="O45" s="165">
        <f t="shared" si="2"/>
        <v>4387140.5668181879</v>
      </c>
      <c r="P45" s="369"/>
      <c r="R45" s="337"/>
    </row>
    <row r="46" spans="1:18" outlineLevel="1">
      <c r="A46" s="64"/>
      <c r="B46" s="97">
        <v>41973</v>
      </c>
      <c r="C46" s="105"/>
      <c r="D46" s="100"/>
      <c r="E46" s="98">
        <f t="shared" si="0"/>
        <v>17959900.766818192</v>
      </c>
      <c r="F46" s="98">
        <f t="shared" si="7"/>
        <v>17959900.766818192</v>
      </c>
      <c r="G46" s="102">
        <f t="shared" si="10"/>
        <v>374970</v>
      </c>
      <c r="H46" s="98">
        <f t="shared" si="3"/>
        <v>-11585424</v>
      </c>
      <c r="I46" s="98">
        <f t="shared" si="8"/>
        <v>-9337009.416666666</v>
      </c>
      <c r="J46" s="98">
        <f t="shared" si="4"/>
        <v>8622891.3501515258</v>
      </c>
      <c r="K46" s="98">
        <f t="shared" si="6"/>
        <v>131239.5</v>
      </c>
      <c r="L46" s="98">
        <f t="shared" si="1"/>
        <v>-2231066.7000000039</v>
      </c>
      <c r="M46" s="98">
        <f t="shared" si="9"/>
        <v>-3018011.8041666704</v>
      </c>
      <c r="N46" s="95">
        <f t="shared" si="5"/>
        <v>5604879.5459848549</v>
      </c>
      <c r="O46" s="165">
        <f t="shared" si="2"/>
        <v>4143410.0668181879</v>
      </c>
      <c r="P46" s="369"/>
      <c r="R46" s="337"/>
    </row>
    <row r="47" spans="1:18" outlineLevel="1">
      <c r="A47" s="64"/>
      <c r="B47" s="97">
        <v>42004</v>
      </c>
      <c r="C47" s="105"/>
      <c r="D47" s="100"/>
      <c r="E47" s="98">
        <f t="shared" si="0"/>
        <v>17959900.766818192</v>
      </c>
      <c r="F47" s="98">
        <f t="shared" si="7"/>
        <v>17959900.766818192</v>
      </c>
      <c r="G47" s="102">
        <f t="shared" si="10"/>
        <v>374970</v>
      </c>
      <c r="H47" s="98">
        <f t="shared" si="3"/>
        <v>-11960394</v>
      </c>
      <c r="I47" s="98">
        <f t="shared" si="8"/>
        <v>-9711136.166666666</v>
      </c>
      <c r="J47" s="98">
        <f t="shared" si="4"/>
        <v>8248764.6001515258</v>
      </c>
      <c r="K47" s="98">
        <f t="shared" si="6"/>
        <v>131239.5</v>
      </c>
      <c r="L47" s="98">
        <f t="shared" si="1"/>
        <v>-2099827.2000000039</v>
      </c>
      <c r="M47" s="98">
        <f t="shared" si="9"/>
        <v>-2887067.4416666701</v>
      </c>
      <c r="N47" s="95">
        <f t="shared" si="5"/>
        <v>5361697.1584848557</v>
      </c>
      <c r="O47" s="165">
        <f t="shared" si="2"/>
        <v>3899679.5668181879</v>
      </c>
      <c r="P47" s="369"/>
      <c r="R47" s="337"/>
    </row>
    <row r="48" spans="1:18">
      <c r="A48" s="64"/>
      <c r="B48" s="97">
        <v>42035</v>
      </c>
      <c r="C48" s="105"/>
      <c r="D48" s="100"/>
      <c r="E48" s="98">
        <f t="shared" si="0"/>
        <v>17959900.766818192</v>
      </c>
      <c r="F48" s="98">
        <f t="shared" si="7"/>
        <v>17959900.766818192</v>
      </c>
      <c r="G48" s="102">
        <f t="shared" si="10"/>
        <v>374970</v>
      </c>
      <c r="H48" s="98">
        <f t="shared" si="3"/>
        <v>-12335364</v>
      </c>
      <c r="I48" s="98">
        <f t="shared" si="8"/>
        <v>-10085544</v>
      </c>
      <c r="J48" s="98">
        <f t="shared" si="4"/>
        <v>7874356.7668181919</v>
      </c>
      <c r="K48" s="98">
        <f t="shared" si="6"/>
        <v>131239.5</v>
      </c>
      <c r="L48" s="98">
        <f t="shared" si="1"/>
        <v>-1968587.7000000039</v>
      </c>
      <c r="M48" s="98">
        <f t="shared" si="9"/>
        <v>-2756024.7000000034</v>
      </c>
      <c r="N48" s="95">
        <f t="shared" si="5"/>
        <v>5118332.0668181889</v>
      </c>
      <c r="O48" s="165">
        <f t="shared" si="2"/>
        <v>3655949.0668181879</v>
      </c>
      <c r="P48" s="369"/>
      <c r="R48" s="337"/>
    </row>
    <row r="49" spans="1:18" s="109" customFormat="1">
      <c r="A49" s="64"/>
      <c r="B49" s="97">
        <v>42063</v>
      </c>
      <c r="C49" s="105"/>
      <c r="D49" s="100"/>
      <c r="E49" s="98">
        <f t="shared" si="0"/>
        <v>17959900.766818192</v>
      </c>
      <c r="F49" s="98">
        <f t="shared" si="7"/>
        <v>17959900.766818192</v>
      </c>
      <c r="G49" s="102">
        <f t="shared" si="10"/>
        <v>374970</v>
      </c>
      <c r="H49" s="98">
        <f t="shared" si="3"/>
        <v>-12710334</v>
      </c>
      <c r="I49" s="98">
        <f t="shared" si="8"/>
        <v>-10460514</v>
      </c>
      <c r="J49" s="98">
        <f t="shared" si="4"/>
        <v>7499386.7668181919</v>
      </c>
      <c r="K49" s="98">
        <f t="shared" si="6"/>
        <v>131239.5</v>
      </c>
      <c r="L49" s="98">
        <f t="shared" si="1"/>
        <v>-1837348.2000000039</v>
      </c>
      <c r="M49" s="98">
        <f t="shared" si="9"/>
        <v>-2624785.2000000034</v>
      </c>
      <c r="N49" s="95">
        <f t="shared" si="5"/>
        <v>4874601.5668181889</v>
      </c>
      <c r="O49" s="332">
        <f t="shared" si="2"/>
        <v>3412218.5668181879</v>
      </c>
      <c r="P49" s="369"/>
      <c r="R49" s="335"/>
    </row>
    <row r="50" spans="1:18">
      <c r="A50" s="64"/>
      <c r="B50" s="97">
        <v>42094</v>
      </c>
      <c r="C50" s="105"/>
      <c r="D50" s="100"/>
      <c r="E50" s="98">
        <f t="shared" si="0"/>
        <v>17959900.766818192</v>
      </c>
      <c r="F50" s="98">
        <f t="shared" si="7"/>
        <v>17959900.766818192</v>
      </c>
      <c r="G50" s="102">
        <f t="shared" si="10"/>
        <v>374970</v>
      </c>
      <c r="H50" s="98">
        <f t="shared" si="3"/>
        <v>-13085304</v>
      </c>
      <c r="I50" s="98">
        <f t="shared" si="8"/>
        <v>-10835484</v>
      </c>
      <c r="J50" s="98">
        <f>F50+I50</f>
        <v>7124416.7668181919</v>
      </c>
      <c r="K50" s="98">
        <f t="shared" si="6"/>
        <v>131239.5</v>
      </c>
      <c r="L50" s="98">
        <f>L49+K50</f>
        <v>-1706108.7000000039</v>
      </c>
      <c r="M50" s="98">
        <f>(L38+L50+SUM(L39:L49)*2)/24</f>
        <v>-2493545.7000000034</v>
      </c>
      <c r="N50" s="95">
        <f t="shared" si="5"/>
        <v>4630871.0668181889</v>
      </c>
      <c r="O50" s="165">
        <f t="shared" si="2"/>
        <v>3168488.0668181879</v>
      </c>
      <c r="P50" s="369"/>
      <c r="R50" s="337"/>
    </row>
    <row r="51" spans="1:18" s="109" customFormat="1">
      <c r="A51" s="64"/>
      <c r="B51" s="97">
        <v>42124</v>
      </c>
      <c r="C51" s="105"/>
      <c r="D51" s="100"/>
      <c r="E51" s="98">
        <f t="shared" si="0"/>
        <v>17959900.766818192</v>
      </c>
      <c r="F51" s="98">
        <f t="shared" si="7"/>
        <v>17959900.766818192</v>
      </c>
      <c r="G51" s="102">
        <f t="shared" si="10"/>
        <v>374970</v>
      </c>
      <c r="H51" s="98">
        <f t="shared" si="3"/>
        <v>-13460274</v>
      </c>
      <c r="I51" s="98">
        <f t="shared" si="8"/>
        <v>-11210454</v>
      </c>
      <c r="J51" s="98">
        <f t="shared" si="4"/>
        <v>6749446.7668181919</v>
      </c>
      <c r="K51" s="98">
        <f t="shared" si="6"/>
        <v>131239.5</v>
      </c>
      <c r="L51" s="98">
        <f t="shared" si="1"/>
        <v>-1574869.2000000039</v>
      </c>
      <c r="M51" s="98">
        <f t="shared" si="9"/>
        <v>-2362306.2000000034</v>
      </c>
      <c r="N51" s="95">
        <f t="shared" si="5"/>
        <v>4387140.5668181889</v>
      </c>
      <c r="O51" s="332">
        <f t="shared" si="2"/>
        <v>2924757.5668181879</v>
      </c>
      <c r="P51" s="369"/>
      <c r="R51" s="335"/>
    </row>
    <row r="52" spans="1:18" s="109" customFormat="1">
      <c r="A52" s="64"/>
      <c r="B52" s="97">
        <v>42155</v>
      </c>
      <c r="C52" s="105"/>
      <c r="D52" s="100"/>
      <c r="E52" s="98">
        <f t="shared" si="0"/>
        <v>17959900.766818192</v>
      </c>
      <c r="F52" s="98">
        <f t="shared" si="7"/>
        <v>17959900.766818192</v>
      </c>
      <c r="G52" s="102">
        <f t="shared" si="10"/>
        <v>374970</v>
      </c>
      <c r="H52" s="98">
        <f t="shared" si="3"/>
        <v>-13835244</v>
      </c>
      <c r="I52" s="98">
        <f t="shared" si="8"/>
        <v>-11585424</v>
      </c>
      <c r="J52" s="98">
        <f t="shared" si="4"/>
        <v>6374476.7668181919</v>
      </c>
      <c r="K52" s="98">
        <f t="shared" si="6"/>
        <v>131239.5</v>
      </c>
      <c r="L52" s="98">
        <f t="shared" si="1"/>
        <v>-1443629.7000000039</v>
      </c>
      <c r="M52" s="98">
        <f t="shared" si="9"/>
        <v>-2231066.7000000034</v>
      </c>
      <c r="N52" s="95">
        <f t="shared" si="5"/>
        <v>4143410.0668181884</v>
      </c>
      <c r="O52" s="332">
        <f t="shared" si="2"/>
        <v>2681027.0668181879</v>
      </c>
      <c r="P52" s="369"/>
      <c r="R52" s="335"/>
    </row>
    <row r="53" spans="1:18">
      <c r="A53" s="64"/>
      <c r="B53" s="97">
        <v>42185</v>
      </c>
      <c r="C53" s="105"/>
      <c r="D53" s="100"/>
      <c r="E53" s="98">
        <f t="shared" si="0"/>
        <v>17959900.766818192</v>
      </c>
      <c r="F53" s="98">
        <f t="shared" si="7"/>
        <v>17959900.766818192</v>
      </c>
      <c r="G53" s="102">
        <f t="shared" si="10"/>
        <v>374970</v>
      </c>
      <c r="H53" s="98">
        <f t="shared" si="3"/>
        <v>-14210214</v>
      </c>
      <c r="I53" s="98">
        <f t="shared" si="8"/>
        <v>-11960394</v>
      </c>
      <c r="J53" s="98">
        <f t="shared" si="4"/>
        <v>5999506.7668181919</v>
      </c>
      <c r="K53" s="98">
        <f t="shared" si="6"/>
        <v>131239.5</v>
      </c>
      <c r="L53" s="98">
        <f t="shared" si="1"/>
        <v>-1312390.2000000039</v>
      </c>
      <c r="M53" s="98">
        <f t="shared" si="9"/>
        <v>-2099827.2000000034</v>
      </c>
      <c r="N53" s="95">
        <f t="shared" si="5"/>
        <v>3899679.5668181884</v>
      </c>
      <c r="O53" s="165">
        <f t="shared" si="2"/>
        <v>2437296.5668181879</v>
      </c>
      <c r="P53" s="369"/>
      <c r="R53" s="337"/>
    </row>
    <row r="54" spans="1:18" s="109" customFormat="1">
      <c r="A54" s="64"/>
      <c r="B54" s="97">
        <v>42216</v>
      </c>
      <c r="C54" s="105"/>
      <c r="D54" s="100"/>
      <c r="E54" s="98">
        <f t="shared" si="0"/>
        <v>17959900.766818192</v>
      </c>
      <c r="F54" s="98">
        <f t="shared" si="7"/>
        <v>17959900.766818192</v>
      </c>
      <c r="G54" s="102">
        <f t="shared" si="10"/>
        <v>374970</v>
      </c>
      <c r="H54" s="98">
        <f t="shared" si="3"/>
        <v>-14585184</v>
      </c>
      <c r="I54" s="98">
        <f t="shared" si="8"/>
        <v>-12335364</v>
      </c>
      <c r="J54" s="98">
        <f t="shared" si="4"/>
        <v>5624536.7668181919</v>
      </c>
      <c r="K54" s="98">
        <f t="shared" si="6"/>
        <v>131239.5</v>
      </c>
      <c r="L54" s="98">
        <f t="shared" si="1"/>
        <v>-1181150.7000000039</v>
      </c>
      <c r="M54" s="98">
        <f t="shared" si="9"/>
        <v>-1968587.7000000032</v>
      </c>
      <c r="N54" s="95">
        <f t="shared" si="5"/>
        <v>3655949.0668181889</v>
      </c>
      <c r="O54" s="332">
        <f t="shared" si="2"/>
        <v>2193566.0668181879</v>
      </c>
      <c r="P54" s="369"/>
      <c r="R54" s="335"/>
    </row>
    <row r="55" spans="1:18" s="109" customFormat="1">
      <c r="A55" s="64"/>
      <c r="B55" s="97">
        <v>42247</v>
      </c>
      <c r="C55" s="105"/>
      <c r="D55" s="100"/>
      <c r="E55" s="98">
        <f t="shared" si="0"/>
        <v>17959900.766818192</v>
      </c>
      <c r="F55" s="98">
        <f t="shared" si="7"/>
        <v>17959900.766818192</v>
      </c>
      <c r="G55" s="102">
        <f t="shared" si="10"/>
        <v>374970</v>
      </c>
      <c r="H55" s="98">
        <f t="shared" si="3"/>
        <v>-14960154</v>
      </c>
      <c r="I55" s="98">
        <f t="shared" si="8"/>
        <v>-12710334</v>
      </c>
      <c r="J55" s="98">
        <f t="shared" si="4"/>
        <v>5249566.7668181919</v>
      </c>
      <c r="K55" s="98">
        <f t="shared" si="6"/>
        <v>131239.5</v>
      </c>
      <c r="L55" s="98">
        <f t="shared" si="1"/>
        <v>-1049911.2000000039</v>
      </c>
      <c r="M55" s="98">
        <f t="shared" si="9"/>
        <v>-1837348.2000000032</v>
      </c>
      <c r="N55" s="95">
        <f t="shared" si="5"/>
        <v>3412218.5668181889</v>
      </c>
      <c r="O55" s="332">
        <f t="shared" si="2"/>
        <v>1949835.5668181879</v>
      </c>
      <c r="P55" s="369"/>
      <c r="R55" s="335"/>
    </row>
    <row r="56" spans="1:18" s="109" customFormat="1">
      <c r="A56" s="64"/>
      <c r="B56" s="97">
        <v>42277</v>
      </c>
      <c r="C56" s="105"/>
      <c r="D56" s="100"/>
      <c r="E56" s="98">
        <f t="shared" si="0"/>
        <v>17959900.766818192</v>
      </c>
      <c r="F56" s="98">
        <f t="shared" si="7"/>
        <v>17959900.766818192</v>
      </c>
      <c r="G56" s="102">
        <f t="shared" si="10"/>
        <v>374970</v>
      </c>
      <c r="H56" s="98">
        <f t="shared" si="3"/>
        <v>-15335124</v>
      </c>
      <c r="I56" s="98">
        <f t="shared" si="8"/>
        <v>-13085304</v>
      </c>
      <c r="J56" s="98">
        <f t="shared" si="4"/>
        <v>4874596.7668181919</v>
      </c>
      <c r="K56" s="98">
        <f t="shared" si="6"/>
        <v>131239.5</v>
      </c>
      <c r="L56" s="98">
        <f t="shared" si="1"/>
        <v>-918671.70000000391</v>
      </c>
      <c r="M56" s="98">
        <f t="shared" si="9"/>
        <v>-1706108.7000000032</v>
      </c>
      <c r="N56" s="95">
        <f t="shared" si="5"/>
        <v>3168488.0668181889</v>
      </c>
      <c r="O56" s="332">
        <f t="shared" si="2"/>
        <v>1706105.0668181879</v>
      </c>
      <c r="P56" s="369"/>
      <c r="R56" s="335"/>
    </row>
    <row r="57" spans="1:18">
      <c r="A57" s="64"/>
      <c r="B57" s="97">
        <v>42308</v>
      </c>
      <c r="C57" s="105"/>
      <c r="D57" s="100"/>
      <c r="E57" s="98">
        <f t="shared" si="0"/>
        <v>17959900.766818192</v>
      </c>
      <c r="F57" s="98">
        <f t="shared" si="7"/>
        <v>17959900.766818192</v>
      </c>
      <c r="G57" s="102">
        <f t="shared" si="10"/>
        <v>374970</v>
      </c>
      <c r="H57" s="98">
        <f t="shared" si="3"/>
        <v>-15710094</v>
      </c>
      <c r="I57" s="98">
        <f t="shared" si="8"/>
        <v>-13460274</v>
      </c>
      <c r="J57" s="98">
        <f t="shared" si="4"/>
        <v>4499626.7668181919</v>
      </c>
      <c r="K57" s="98">
        <f t="shared" si="6"/>
        <v>131239.5</v>
      </c>
      <c r="L57" s="98">
        <f t="shared" si="1"/>
        <v>-787432.20000000391</v>
      </c>
      <c r="M57" s="98">
        <f t="shared" si="9"/>
        <v>-1574869.2000000032</v>
      </c>
      <c r="N57" s="95">
        <f t="shared" si="5"/>
        <v>2924757.5668181889</v>
      </c>
      <c r="O57" s="332">
        <f t="shared" si="2"/>
        <v>1462374.5668181879</v>
      </c>
      <c r="P57" s="369"/>
      <c r="R57" s="337"/>
    </row>
    <row r="58" spans="1:18" s="109" customFormat="1">
      <c r="A58" s="64"/>
      <c r="B58" s="97">
        <v>42338</v>
      </c>
      <c r="C58" s="105"/>
      <c r="D58" s="100"/>
      <c r="E58" s="98">
        <f t="shared" si="0"/>
        <v>17959900.766818192</v>
      </c>
      <c r="F58" s="98">
        <f t="shared" si="7"/>
        <v>17959900.766818192</v>
      </c>
      <c r="G58" s="102">
        <f t="shared" si="10"/>
        <v>374970</v>
      </c>
      <c r="H58" s="98">
        <f t="shared" si="3"/>
        <v>-16085064</v>
      </c>
      <c r="I58" s="98">
        <f t="shared" si="8"/>
        <v>-13835244</v>
      </c>
      <c r="J58" s="98">
        <f t="shared" si="4"/>
        <v>4124656.7668181919</v>
      </c>
      <c r="K58" s="98">
        <f t="shared" si="6"/>
        <v>131239.5</v>
      </c>
      <c r="L58" s="98">
        <f t="shared" si="1"/>
        <v>-656192.70000000391</v>
      </c>
      <c r="M58" s="98">
        <f t="shared" si="9"/>
        <v>-1443629.7000000032</v>
      </c>
      <c r="N58" s="95">
        <f t="shared" si="5"/>
        <v>2681027.0668181889</v>
      </c>
      <c r="O58" s="332">
        <f t="shared" si="2"/>
        <v>1218644.0668181879</v>
      </c>
      <c r="P58" s="369"/>
      <c r="R58" s="335"/>
    </row>
    <row r="59" spans="1:18">
      <c r="A59" s="64"/>
      <c r="B59" s="97">
        <v>42369</v>
      </c>
      <c r="C59" s="105"/>
      <c r="D59" s="100"/>
      <c r="E59" s="98">
        <f t="shared" si="0"/>
        <v>17959900.766818192</v>
      </c>
      <c r="F59" s="98">
        <f t="shared" si="7"/>
        <v>17959900.766818192</v>
      </c>
      <c r="G59" s="102">
        <f t="shared" si="10"/>
        <v>374970</v>
      </c>
      <c r="H59" s="98">
        <f t="shared" si="3"/>
        <v>-16460034</v>
      </c>
      <c r="I59" s="98">
        <f t="shared" si="8"/>
        <v>-14210214</v>
      </c>
      <c r="J59" s="98">
        <f t="shared" si="4"/>
        <v>3749686.7668181919</v>
      </c>
      <c r="K59" s="98">
        <f t="shared" si="6"/>
        <v>131239.5</v>
      </c>
      <c r="L59" s="98">
        <f t="shared" si="1"/>
        <v>-524953.20000000391</v>
      </c>
      <c r="M59" s="98">
        <f t="shared" si="9"/>
        <v>-1312390.2000000032</v>
      </c>
      <c r="N59" s="95">
        <f t="shared" si="5"/>
        <v>2437296.5668181889</v>
      </c>
      <c r="O59" s="332">
        <f t="shared" si="2"/>
        <v>974913.56681818794</v>
      </c>
      <c r="P59" s="369"/>
      <c r="R59" s="337"/>
    </row>
    <row r="60" spans="1:18">
      <c r="A60" s="64"/>
      <c r="B60" s="97">
        <v>42400</v>
      </c>
      <c r="C60" s="105"/>
      <c r="D60" s="100"/>
      <c r="E60" s="98">
        <f t="shared" si="0"/>
        <v>17959900.766818192</v>
      </c>
      <c r="F60" s="98">
        <f t="shared" si="7"/>
        <v>17959900.766818192</v>
      </c>
      <c r="G60" s="102">
        <f t="shared" si="10"/>
        <v>374970</v>
      </c>
      <c r="H60" s="98">
        <f t="shared" si="3"/>
        <v>-16835004</v>
      </c>
      <c r="I60" s="98">
        <f t="shared" si="8"/>
        <v>-14585184</v>
      </c>
      <c r="J60" s="98">
        <f t="shared" si="4"/>
        <v>3374716.7668181919</v>
      </c>
      <c r="K60" s="98">
        <f t="shared" si="6"/>
        <v>131239.5</v>
      </c>
      <c r="L60" s="98">
        <f t="shared" si="1"/>
        <v>-393713.70000000391</v>
      </c>
      <c r="M60" s="98">
        <f t="shared" si="9"/>
        <v>-1181150.7000000037</v>
      </c>
      <c r="N60" s="95">
        <f t="shared" si="5"/>
        <v>2193566.0668181879</v>
      </c>
      <c r="O60" s="332">
        <f t="shared" si="2"/>
        <v>731183.06681818794</v>
      </c>
      <c r="P60" s="369"/>
      <c r="Q60" s="109"/>
      <c r="R60" s="337"/>
    </row>
    <row r="61" spans="1:18">
      <c r="A61" s="64"/>
      <c r="B61" s="97">
        <v>42429</v>
      </c>
      <c r="C61" s="105"/>
      <c r="D61" s="100"/>
      <c r="E61" s="98">
        <f t="shared" si="0"/>
        <v>17959900.766818192</v>
      </c>
      <c r="F61" s="98">
        <f t="shared" si="7"/>
        <v>17959900.766818192</v>
      </c>
      <c r="G61" s="102">
        <f t="shared" si="10"/>
        <v>374970</v>
      </c>
      <c r="H61" s="98">
        <f t="shared" si="3"/>
        <v>-17209974</v>
      </c>
      <c r="I61" s="98">
        <f t="shared" si="8"/>
        <v>-14960154</v>
      </c>
      <c r="J61" s="98">
        <f t="shared" si="4"/>
        <v>2999746.7668181919</v>
      </c>
      <c r="K61" s="98">
        <f t="shared" si="6"/>
        <v>131239.5</v>
      </c>
      <c r="L61" s="98">
        <f t="shared" si="1"/>
        <v>-262474.20000000391</v>
      </c>
      <c r="M61" s="98">
        <f t="shared" si="9"/>
        <v>-1049911.2000000037</v>
      </c>
      <c r="N61" s="95">
        <f t="shared" si="5"/>
        <v>1949835.5668181882</v>
      </c>
      <c r="O61" s="332">
        <f t="shared" si="2"/>
        <v>487452.56681818794</v>
      </c>
      <c r="P61" s="369"/>
      <c r="R61" s="337"/>
    </row>
    <row r="62" spans="1:18" s="109" customFormat="1">
      <c r="A62" s="64"/>
      <c r="B62" s="97">
        <v>42460</v>
      </c>
      <c r="C62" s="105"/>
      <c r="D62" s="100"/>
      <c r="E62" s="98">
        <f t="shared" si="0"/>
        <v>17959900.766818192</v>
      </c>
      <c r="F62" s="98">
        <f>(E47+E62+SUM(E48:E58)*2)/24</f>
        <v>17959900.766818192</v>
      </c>
      <c r="G62" s="102">
        <f t="shared" si="10"/>
        <v>374970</v>
      </c>
      <c r="H62" s="98">
        <f t="shared" si="3"/>
        <v>-17584944</v>
      </c>
      <c r="I62" s="98">
        <f t="shared" si="8"/>
        <v>-15335124</v>
      </c>
      <c r="J62" s="98">
        <f t="shared" si="4"/>
        <v>2624776.7668181919</v>
      </c>
      <c r="K62" s="98">
        <f t="shared" si="6"/>
        <v>131239.5</v>
      </c>
      <c r="L62" s="98">
        <f t="shared" si="1"/>
        <v>-131234.70000000391</v>
      </c>
      <c r="M62" s="98">
        <f t="shared" si="9"/>
        <v>-918671.70000000356</v>
      </c>
      <c r="N62" s="95">
        <f t="shared" si="5"/>
        <v>1706105.0668181884</v>
      </c>
      <c r="O62" s="335">
        <f t="shared" si="2"/>
        <v>243722.06681818794</v>
      </c>
      <c r="P62" s="369"/>
      <c r="R62" s="335"/>
    </row>
    <row r="63" spans="1:18">
      <c r="A63" s="64"/>
      <c r="B63" s="97">
        <v>42490</v>
      </c>
      <c r="C63" s="105"/>
      <c r="D63" s="100"/>
      <c r="E63" s="98">
        <f t="shared" si="0"/>
        <v>17959900.766818192</v>
      </c>
      <c r="F63" s="98">
        <f>(E48+E63+SUM(E49:E59)*2)/24</f>
        <v>17959900.766818192</v>
      </c>
      <c r="G63" s="102">
        <f>F63+H62</f>
        <v>374956.76681819186</v>
      </c>
      <c r="H63" s="98">
        <f t="shared" si="3"/>
        <v>-17959900.766818192</v>
      </c>
      <c r="I63" s="98">
        <f t="shared" si="8"/>
        <v>-15710093.448617423</v>
      </c>
      <c r="J63" s="98">
        <f t="shared" si="4"/>
        <v>2249807.3182007689</v>
      </c>
      <c r="K63" s="98">
        <f t="shared" si="6"/>
        <v>131234.86838636713</v>
      </c>
      <c r="L63" s="556">
        <f t="shared" si="1"/>
        <v>0.16838636322063394</v>
      </c>
      <c r="M63" s="98">
        <f t="shared" si="9"/>
        <v>-787432.39298390539</v>
      </c>
      <c r="N63" s="95">
        <f t="shared" si="5"/>
        <v>1462374.9252168634</v>
      </c>
      <c r="O63" s="934">
        <f t="shared" si="2"/>
        <v>0.16838636322063394</v>
      </c>
      <c r="P63" s="369"/>
      <c r="R63" s="337"/>
    </row>
    <row r="64" spans="1:18" s="109" customFormat="1">
      <c r="A64" s="62"/>
      <c r="B64" s="97">
        <v>42521</v>
      </c>
      <c r="C64" s="97"/>
      <c r="D64" s="102"/>
      <c r="E64" s="98">
        <f t="shared" si="0"/>
        <v>17959900.766818192</v>
      </c>
      <c r="F64" s="98">
        <f t="shared" ref="F64:F75" si="11">(E28+E64+SUM(E29:E39)*2)/24</f>
        <v>17959900.766818192</v>
      </c>
      <c r="G64" s="102"/>
      <c r="H64" s="98">
        <f t="shared" si="3"/>
        <v>-17959900.766818192</v>
      </c>
      <c r="I64" s="98">
        <f t="shared" si="8"/>
        <v>-16069438.595852273</v>
      </c>
      <c r="J64" s="98">
        <f t="shared" si="4"/>
        <v>1890462.1709659193</v>
      </c>
      <c r="K64" s="98">
        <f t="shared" si="6"/>
        <v>0</v>
      </c>
      <c r="L64" s="556">
        <f t="shared" si="1"/>
        <v>0.16838636322063394</v>
      </c>
      <c r="M64" s="98">
        <f t="shared" si="9"/>
        <v>-661661.59145170799</v>
      </c>
      <c r="N64" s="95">
        <f t="shared" si="5"/>
        <v>1228800.5795142113</v>
      </c>
      <c r="O64" s="934">
        <f t="shared" si="2"/>
        <v>0.16838636322063394</v>
      </c>
      <c r="P64" s="369"/>
      <c r="R64" s="335"/>
    </row>
    <row r="65" spans="1:18" s="109" customFormat="1">
      <c r="A65" s="62"/>
      <c r="B65" s="97">
        <v>42551</v>
      </c>
      <c r="C65" s="97"/>
      <c r="D65" s="102"/>
      <c r="E65" s="98">
        <f t="shared" si="0"/>
        <v>17959900.766818192</v>
      </c>
      <c r="F65" s="98">
        <f t="shared" si="11"/>
        <v>17959900.766818192</v>
      </c>
      <c r="G65" s="102"/>
      <c r="H65" s="98">
        <f t="shared" si="3"/>
        <v>-17959900.766818192</v>
      </c>
      <c r="I65" s="98">
        <f t="shared" si="8"/>
        <v>-16397536.243087122</v>
      </c>
      <c r="J65" s="98">
        <f t="shared" si="4"/>
        <v>1562364.5237310696</v>
      </c>
      <c r="K65" s="100">
        <f t="shared" si="6"/>
        <v>0</v>
      </c>
      <c r="L65" s="556">
        <f t="shared" si="1"/>
        <v>0.16838636322063394</v>
      </c>
      <c r="M65" s="98">
        <f t="shared" si="9"/>
        <v>-546827.41491951072</v>
      </c>
      <c r="N65" s="95">
        <f t="shared" si="5"/>
        <v>1015537.1088115589</v>
      </c>
      <c r="O65" s="934">
        <f t="shared" si="2"/>
        <v>0.16838636322063394</v>
      </c>
      <c r="P65" s="369"/>
      <c r="R65" s="335"/>
    </row>
    <row r="66" spans="1:18">
      <c r="A66" s="62"/>
      <c r="B66" s="97">
        <v>42582</v>
      </c>
      <c r="C66" s="97"/>
      <c r="D66" s="102"/>
      <c r="E66" s="98">
        <f t="shared" si="0"/>
        <v>17959900.766818192</v>
      </c>
      <c r="F66" s="98">
        <f t="shared" si="11"/>
        <v>17959900.766818192</v>
      </c>
      <c r="G66" s="102"/>
      <c r="H66" s="98">
        <f t="shared" si="3"/>
        <v>-17959900.766818192</v>
      </c>
      <c r="I66" s="98">
        <f t="shared" si="8"/>
        <v>-16694386.390321972</v>
      </c>
      <c r="J66" s="98">
        <f t="shared" si="4"/>
        <v>1265514.37649622</v>
      </c>
      <c r="K66" s="100">
        <f t="shared" si="6"/>
        <v>0</v>
      </c>
      <c r="L66" s="556">
        <f t="shared" si="1"/>
        <v>0.16838636322063394</v>
      </c>
      <c r="M66" s="98">
        <f t="shared" si="9"/>
        <v>-442929.86338731344</v>
      </c>
      <c r="N66" s="95">
        <f t="shared" si="5"/>
        <v>822584.51310890657</v>
      </c>
      <c r="O66" s="934">
        <f t="shared" si="2"/>
        <v>0.16838636322063394</v>
      </c>
      <c r="P66" s="369"/>
      <c r="R66" s="337"/>
    </row>
    <row r="67" spans="1:18" s="109" customFormat="1">
      <c r="A67" s="62"/>
      <c r="B67" s="97">
        <v>42613</v>
      </c>
      <c r="C67" s="97"/>
      <c r="D67" s="102"/>
      <c r="E67" s="98">
        <f t="shared" si="0"/>
        <v>17959900.766818192</v>
      </c>
      <c r="F67" s="98">
        <f t="shared" si="11"/>
        <v>17959900.766818192</v>
      </c>
      <c r="G67" s="102"/>
      <c r="H67" s="98">
        <f t="shared" si="3"/>
        <v>-17959900.766818192</v>
      </c>
      <c r="I67" s="98">
        <f t="shared" si="8"/>
        <v>-16959989.037556823</v>
      </c>
      <c r="J67" s="98">
        <f t="shared" si="4"/>
        <v>999911.72926136851</v>
      </c>
      <c r="K67" s="100">
        <f t="shared" si="6"/>
        <v>0</v>
      </c>
      <c r="L67" s="556">
        <f t="shared" si="1"/>
        <v>0.16838636322063394</v>
      </c>
      <c r="M67" s="98">
        <f t="shared" si="9"/>
        <v>-349968.93685511616</v>
      </c>
      <c r="N67" s="95">
        <f t="shared" si="5"/>
        <v>649942.79240625235</v>
      </c>
      <c r="O67" s="934">
        <f t="shared" si="2"/>
        <v>0.16838636322063394</v>
      </c>
      <c r="P67" s="369"/>
      <c r="R67" s="335"/>
    </row>
    <row r="68" spans="1:18">
      <c r="A68" s="62"/>
      <c r="B68" s="97">
        <v>42643</v>
      </c>
      <c r="C68" s="97"/>
      <c r="D68" s="102"/>
      <c r="E68" s="98">
        <f t="shared" si="0"/>
        <v>17959900.766818192</v>
      </c>
      <c r="F68" s="98">
        <f t="shared" si="11"/>
        <v>17959900.766818192</v>
      </c>
      <c r="G68" s="102"/>
      <c r="H68" s="98">
        <f t="shared" si="3"/>
        <v>-17959900.766818192</v>
      </c>
      <c r="I68" s="98">
        <f t="shared" si="8"/>
        <v>-17194344.184791673</v>
      </c>
      <c r="J68" s="98">
        <f t="shared" si="4"/>
        <v>765556.58202651888</v>
      </c>
      <c r="K68" s="100">
        <f t="shared" si="6"/>
        <v>0</v>
      </c>
      <c r="L68" s="556">
        <f t="shared" si="1"/>
        <v>0.16838636322063394</v>
      </c>
      <c r="M68" s="98">
        <f t="shared" si="9"/>
        <v>-267944.63532291888</v>
      </c>
      <c r="N68" s="95">
        <f t="shared" si="5"/>
        <v>497611.9467036</v>
      </c>
      <c r="O68" s="934">
        <f t="shared" si="2"/>
        <v>0.16838636322063394</v>
      </c>
      <c r="P68" s="369"/>
    </row>
    <row r="69" spans="1:18">
      <c r="A69" s="62"/>
      <c r="B69" s="97">
        <v>42674</v>
      </c>
      <c r="C69" s="108"/>
      <c r="D69" s="102"/>
      <c r="E69" s="98">
        <f t="shared" si="0"/>
        <v>17959900.766818192</v>
      </c>
      <c r="F69" s="98">
        <f t="shared" si="11"/>
        <v>17959900.766818192</v>
      </c>
      <c r="G69" s="102"/>
      <c r="H69" s="98">
        <f t="shared" si="3"/>
        <v>-17959900.766818192</v>
      </c>
      <c r="I69" s="98">
        <f t="shared" si="8"/>
        <v>-17397451.832026523</v>
      </c>
      <c r="J69" s="98">
        <f t="shared" si="4"/>
        <v>562448.93479166925</v>
      </c>
      <c r="K69" s="100">
        <f t="shared" si="6"/>
        <v>0</v>
      </c>
      <c r="L69" s="556">
        <f t="shared" si="1"/>
        <v>0.16838636322063394</v>
      </c>
      <c r="M69" s="98">
        <f t="shared" si="9"/>
        <v>-196856.95879072172</v>
      </c>
      <c r="N69" s="95">
        <f t="shared" si="5"/>
        <v>365591.97600094753</v>
      </c>
      <c r="O69" s="934">
        <f t="shared" si="2"/>
        <v>0.16838636322063394</v>
      </c>
      <c r="P69" s="369"/>
    </row>
    <row r="70" spans="1:18">
      <c r="A70" s="62"/>
      <c r="B70" s="97">
        <v>42704</v>
      </c>
      <c r="C70" s="108"/>
      <c r="D70" s="102"/>
      <c r="E70" s="98">
        <f t="shared" si="0"/>
        <v>17959900.766818192</v>
      </c>
      <c r="F70" s="98">
        <f t="shared" si="11"/>
        <v>17959900.766818192</v>
      </c>
      <c r="G70" s="102"/>
      <c r="H70" s="98">
        <f t="shared" si="3"/>
        <v>-17959900.766818192</v>
      </c>
      <c r="I70" s="98">
        <f t="shared" si="8"/>
        <v>-17569311.979261372</v>
      </c>
      <c r="J70" s="98">
        <f t="shared" si="4"/>
        <v>390588.78755681962</v>
      </c>
      <c r="K70" s="100">
        <f t="shared" si="6"/>
        <v>0</v>
      </c>
      <c r="L70" s="556">
        <f t="shared" si="1"/>
        <v>0.16838636322063394</v>
      </c>
      <c r="M70" s="98">
        <f t="shared" si="9"/>
        <v>-136705.90725852447</v>
      </c>
      <c r="N70" s="95">
        <f t="shared" si="5"/>
        <v>253882.88029829515</v>
      </c>
      <c r="O70" s="934">
        <f t="shared" si="2"/>
        <v>0.16838636322063394</v>
      </c>
      <c r="P70" s="369"/>
    </row>
    <row r="71" spans="1:18">
      <c r="A71" s="62"/>
      <c r="B71" s="97">
        <v>42735</v>
      </c>
      <c r="C71" s="108"/>
      <c r="D71" s="102"/>
      <c r="E71" s="98">
        <f t="shared" si="0"/>
        <v>17959900.766818192</v>
      </c>
      <c r="F71" s="98">
        <f t="shared" si="11"/>
        <v>17959900.766818192</v>
      </c>
      <c r="G71" s="102"/>
      <c r="H71" s="98">
        <f t="shared" si="3"/>
        <v>-17959900.766818192</v>
      </c>
      <c r="I71" s="98">
        <f t="shared" si="8"/>
        <v>-17709924.626496222</v>
      </c>
      <c r="J71" s="98">
        <f t="shared" si="4"/>
        <v>249976.14032196999</v>
      </c>
      <c r="K71" s="100">
        <f t="shared" si="6"/>
        <v>0</v>
      </c>
      <c r="L71" s="556">
        <f t="shared" si="1"/>
        <v>0.16838636322063394</v>
      </c>
      <c r="M71" s="98">
        <f t="shared" si="9"/>
        <v>-87491.480726327209</v>
      </c>
      <c r="N71" s="95">
        <f>M71+J71</f>
        <v>162484.65959564276</v>
      </c>
      <c r="O71" s="934">
        <f t="shared" si="2"/>
        <v>0.16838636322063394</v>
      </c>
    </row>
    <row r="72" spans="1:18">
      <c r="A72" s="62"/>
      <c r="B72" s="97">
        <v>42766</v>
      </c>
      <c r="C72" s="108"/>
      <c r="D72" s="102"/>
      <c r="E72" s="98">
        <f t="shared" si="0"/>
        <v>17959900.766818192</v>
      </c>
      <c r="F72" s="98">
        <f t="shared" si="11"/>
        <v>17959900.766818192</v>
      </c>
      <c r="G72" s="102"/>
      <c r="H72" s="98">
        <f t="shared" si="3"/>
        <v>-17959900.766818192</v>
      </c>
      <c r="I72" s="98">
        <f t="shared" si="8"/>
        <v>-17819289.773731072</v>
      </c>
      <c r="J72" s="98">
        <f t="shared" si="4"/>
        <v>140610.99308712035</v>
      </c>
      <c r="K72" s="100">
        <f t="shared" si="6"/>
        <v>0</v>
      </c>
      <c r="L72" s="556">
        <f t="shared" si="1"/>
        <v>0.16838636322063394</v>
      </c>
      <c r="M72" s="98">
        <f t="shared" si="9"/>
        <v>-49213.679194129953</v>
      </c>
      <c r="N72" s="95">
        <f t="shared" si="5"/>
        <v>91397.313892990409</v>
      </c>
      <c r="O72" s="934">
        <f t="shared" si="2"/>
        <v>0.16838636322063394</v>
      </c>
    </row>
    <row r="73" spans="1:18">
      <c r="A73" s="62"/>
      <c r="B73" s="97">
        <v>42794</v>
      </c>
      <c r="C73" s="108"/>
      <c r="D73" s="102"/>
      <c r="E73" s="98">
        <f t="shared" si="0"/>
        <v>17959900.766818192</v>
      </c>
      <c r="F73" s="98">
        <f t="shared" si="11"/>
        <v>17959900.766818192</v>
      </c>
      <c r="G73" s="102"/>
      <c r="H73" s="98">
        <f t="shared" si="3"/>
        <v>-17959900.766818192</v>
      </c>
      <c r="I73" s="98">
        <f t="shared" si="8"/>
        <v>-17897407.420965921</v>
      </c>
      <c r="J73" s="98">
        <f t="shared" si="4"/>
        <v>62493.345852270722</v>
      </c>
      <c r="K73" s="100">
        <f t="shared" si="6"/>
        <v>0</v>
      </c>
      <c r="L73" s="556">
        <f t="shared" si="1"/>
        <v>0.16838636322063394</v>
      </c>
      <c r="M73" s="98">
        <f t="shared" si="9"/>
        <v>-21872.502661932671</v>
      </c>
      <c r="N73" s="95">
        <f t="shared" si="5"/>
        <v>40620.843190338055</v>
      </c>
      <c r="O73" s="934">
        <f t="shared" si="2"/>
        <v>0.16838636322063394</v>
      </c>
    </row>
    <row r="74" spans="1:18">
      <c r="A74" s="62"/>
      <c r="B74" s="97">
        <v>42825</v>
      </c>
      <c r="C74" s="108"/>
      <c r="D74" s="102"/>
      <c r="E74" s="98">
        <f t="shared" si="0"/>
        <v>17959900.766818192</v>
      </c>
      <c r="F74" s="98">
        <f t="shared" si="11"/>
        <v>17959900.766818192</v>
      </c>
      <c r="G74" s="102"/>
      <c r="H74" s="98">
        <f t="shared" si="3"/>
        <v>-17959900.766818192</v>
      </c>
      <c r="I74" s="98">
        <f t="shared" si="8"/>
        <v>-17944277.568200767</v>
      </c>
      <c r="J74" s="98">
        <f t="shared" si="4"/>
        <v>15623.198617424816</v>
      </c>
      <c r="K74" s="100">
        <f t="shared" si="6"/>
        <v>0</v>
      </c>
      <c r="L74" s="556">
        <f t="shared" si="1"/>
        <v>0.16838636322063394</v>
      </c>
      <c r="M74" s="98">
        <f t="shared" si="9"/>
        <v>-5467.9511297354102</v>
      </c>
      <c r="N74" s="95">
        <f t="shared" si="5"/>
        <v>10155.247487689405</v>
      </c>
      <c r="O74" s="934">
        <f t="shared" si="2"/>
        <v>0.16838636322063394</v>
      </c>
    </row>
    <row r="75" spans="1:18">
      <c r="A75" s="62"/>
      <c r="B75" s="97">
        <v>42855</v>
      </c>
      <c r="C75" s="108"/>
      <c r="D75" s="102"/>
      <c r="E75" s="98">
        <f t="shared" si="0"/>
        <v>17959900.766818192</v>
      </c>
      <c r="F75" s="98">
        <f t="shared" si="11"/>
        <v>17959900.766818192</v>
      </c>
      <c r="G75" s="102"/>
      <c r="H75" s="98">
        <f t="shared" si="3"/>
        <v>-17959900.766818192</v>
      </c>
      <c r="I75" s="98">
        <f t="shared" si="8"/>
        <v>-17959900.766818192</v>
      </c>
      <c r="J75" s="98">
        <f t="shared" si="4"/>
        <v>0</v>
      </c>
      <c r="K75" s="100">
        <f t="shared" si="6"/>
        <v>0</v>
      </c>
      <c r="L75" s="556">
        <f t="shared" si="1"/>
        <v>0.16838636322063394</v>
      </c>
      <c r="M75" s="556">
        <f t="shared" si="9"/>
        <v>0.16838636322063394</v>
      </c>
      <c r="N75" s="400">
        <f t="shared" si="5"/>
        <v>0.16838636322063394</v>
      </c>
      <c r="O75" s="933">
        <f t="shared" si="2"/>
        <v>0.16838636322063394</v>
      </c>
    </row>
    <row r="76" spans="1:18">
      <c r="A76" s="62"/>
      <c r="B76" s="97">
        <v>42886</v>
      </c>
      <c r="C76" s="108"/>
      <c r="D76" s="102"/>
      <c r="E76" s="98">
        <f t="shared" ref="E76:E95" si="12">E75+D76</f>
        <v>17959900.766818192</v>
      </c>
      <c r="F76" s="98">
        <f t="shared" ref="F76:F95" si="13">(E40+E76+SUM(E41:E51)*2)/24</f>
        <v>17959900.766818192</v>
      </c>
      <c r="G76" s="102"/>
      <c r="H76" s="98">
        <f t="shared" ref="H76:H95" si="14">H75-G76</f>
        <v>-17959900.766818192</v>
      </c>
      <c r="I76" s="98">
        <f t="shared" ref="I76:I95" si="15">(H64+H76+SUM(H65:H75)*2)/24</f>
        <v>-17959900.766818192</v>
      </c>
      <c r="J76" s="98">
        <f t="shared" ref="J76:J95" si="16">F76+I76</f>
        <v>0</v>
      </c>
      <c r="K76" s="100">
        <f t="shared" ref="K76:K95" si="17">(-D76*0.35)+(G76*0.35)</f>
        <v>0</v>
      </c>
      <c r="L76" s="556">
        <f t="shared" ref="L76:L95" si="18">L75+K76</f>
        <v>0.16838636322063394</v>
      </c>
      <c r="M76" s="98">
        <f t="shared" ref="M76:M95" si="19">(L64+L76+SUM(L65:L75)*2)/24</f>
        <v>0.16838636322063394</v>
      </c>
      <c r="N76" s="95">
        <f t="shared" ref="N76:N95" si="20">M76+J76</f>
        <v>0.16838636322063394</v>
      </c>
      <c r="O76" s="163"/>
    </row>
    <row r="77" spans="1:18">
      <c r="A77" s="62"/>
      <c r="B77" s="97">
        <v>42916</v>
      </c>
      <c r="C77" s="108"/>
      <c r="D77" s="102"/>
      <c r="E77" s="98">
        <f t="shared" si="12"/>
        <v>17959900.766818192</v>
      </c>
      <c r="F77" s="98">
        <f t="shared" si="13"/>
        <v>17959900.766818192</v>
      </c>
      <c r="G77" s="102"/>
      <c r="H77" s="98">
        <f t="shared" si="14"/>
        <v>-17959900.766818192</v>
      </c>
      <c r="I77" s="98">
        <f t="shared" si="15"/>
        <v>-17959900.766818192</v>
      </c>
      <c r="J77" s="98">
        <f t="shared" si="16"/>
        <v>0</v>
      </c>
      <c r="K77" s="100">
        <f t="shared" si="17"/>
        <v>0</v>
      </c>
      <c r="L77" s="556">
        <f t="shared" si="18"/>
        <v>0.16838636322063394</v>
      </c>
      <c r="M77" s="556">
        <f t="shared" si="19"/>
        <v>0.16838636322063394</v>
      </c>
      <c r="N77" s="400">
        <f t="shared" si="20"/>
        <v>0.16838636322063394</v>
      </c>
    </row>
    <row r="78" spans="1:18">
      <c r="A78" s="62"/>
      <c r="B78" s="97">
        <v>42947</v>
      </c>
      <c r="C78" s="108"/>
      <c r="D78" s="102"/>
      <c r="E78" s="98">
        <f t="shared" si="12"/>
        <v>17959900.766818192</v>
      </c>
      <c r="F78" s="98">
        <f t="shared" si="13"/>
        <v>17959900.766818192</v>
      </c>
      <c r="G78" s="102"/>
      <c r="H78" s="98">
        <f t="shared" si="14"/>
        <v>-17959900.766818192</v>
      </c>
      <c r="I78" s="98">
        <f t="shared" si="15"/>
        <v>-17959900.766818192</v>
      </c>
      <c r="J78" s="98">
        <f t="shared" si="16"/>
        <v>0</v>
      </c>
      <c r="K78" s="100">
        <f t="shared" si="17"/>
        <v>0</v>
      </c>
      <c r="L78" s="556">
        <f t="shared" si="18"/>
        <v>0.16838636322063394</v>
      </c>
      <c r="M78" s="98">
        <f t="shared" si="19"/>
        <v>0.16838636322063394</v>
      </c>
      <c r="N78" s="95">
        <f t="shared" si="20"/>
        <v>0.16838636322063394</v>
      </c>
    </row>
    <row r="79" spans="1:18">
      <c r="A79" s="62"/>
      <c r="B79" s="97">
        <v>42978</v>
      </c>
      <c r="C79" s="108"/>
      <c r="D79" s="102"/>
      <c r="E79" s="98">
        <f t="shared" si="12"/>
        <v>17959900.766818192</v>
      </c>
      <c r="F79" s="98">
        <f t="shared" si="13"/>
        <v>17959900.766818192</v>
      </c>
      <c r="G79" s="102"/>
      <c r="H79" s="98">
        <f t="shared" si="14"/>
        <v>-17959900.766818192</v>
      </c>
      <c r="I79" s="98">
        <f t="shared" si="15"/>
        <v>-17959900.766818192</v>
      </c>
      <c r="J79" s="98">
        <f t="shared" si="16"/>
        <v>0</v>
      </c>
      <c r="K79" s="100">
        <f t="shared" si="17"/>
        <v>0</v>
      </c>
      <c r="L79" s="556">
        <f t="shared" si="18"/>
        <v>0.16838636322063394</v>
      </c>
      <c r="M79" s="556">
        <f t="shared" si="19"/>
        <v>0.16838636322063394</v>
      </c>
      <c r="N79" s="400">
        <f t="shared" si="20"/>
        <v>0.16838636322063394</v>
      </c>
    </row>
    <row r="80" spans="1:18">
      <c r="A80" s="62"/>
      <c r="B80" s="97">
        <v>43008</v>
      </c>
      <c r="C80" s="108"/>
      <c r="D80" s="102"/>
      <c r="E80" s="98">
        <f t="shared" si="12"/>
        <v>17959900.766818192</v>
      </c>
      <c r="F80" s="98">
        <f t="shared" si="13"/>
        <v>17959900.766818192</v>
      </c>
      <c r="G80" s="102"/>
      <c r="H80" s="98">
        <f t="shared" si="14"/>
        <v>-17959900.766818192</v>
      </c>
      <c r="I80" s="98">
        <f t="shared" si="15"/>
        <v>-17959900.766818192</v>
      </c>
      <c r="J80" s="98">
        <f t="shared" si="16"/>
        <v>0</v>
      </c>
      <c r="K80" s="100">
        <f t="shared" si="17"/>
        <v>0</v>
      </c>
      <c r="L80" s="556">
        <f t="shared" si="18"/>
        <v>0.16838636322063394</v>
      </c>
      <c r="M80" s="98">
        <f t="shared" si="19"/>
        <v>0.16838636322063394</v>
      </c>
      <c r="N80" s="95">
        <f t="shared" si="20"/>
        <v>0.16838636322063394</v>
      </c>
    </row>
    <row r="81" spans="1:14">
      <c r="A81" s="62"/>
      <c r="B81" s="97">
        <v>43039</v>
      </c>
      <c r="C81" s="108"/>
      <c r="D81" s="102"/>
      <c r="E81" s="98">
        <f t="shared" si="12"/>
        <v>17959900.766818192</v>
      </c>
      <c r="F81" s="98">
        <f t="shared" si="13"/>
        <v>17959900.766818192</v>
      </c>
      <c r="G81" s="102"/>
      <c r="H81" s="98">
        <f t="shared" si="14"/>
        <v>-17959900.766818192</v>
      </c>
      <c r="I81" s="98">
        <f t="shared" si="15"/>
        <v>-17959900.766818192</v>
      </c>
      <c r="J81" s="98">
        <f t="shared" si="16"/>
        <v>0</v>
      </c>
      <c r="K81" s="100">
        <f t="shared" si="17"/>
        <v>0</v>
      </c>
      <c r="L81" s="556">
        <f t="shared" si="18"/>
        <v>0.16838636322063394</v>
      </c>
      <c r="M81" s="556">
        <f t="shared" si="19"/>
        <v>0.16838636322063394</v>
      </c>
      <c r="N81" s="400">
        <f t="shared" si="20"/>
        <v>0.16838636322063394</v>
      </c>
    </row>
    <row r="82" spans="1:14">
      <c r="A82" s="62"/>
      <c r="B82" s="97">
        <v>43069</v>
      </c>
      <c r="C82" s="108"/>
      <c r="D82" s="102"/>
      <c r="E82" s="98">
        <f t="shared" si="12"/>
        <v>17959900.766818192</v>
      </c>
      <c r="F82" s="98">
        <f t="shared" si="13"/>
        <v>17959900.766818192</v>
      </c>
      <c r="G82" s="102"/>
      <c r="H82" s="98">
        <f t="shared" si="14"/>
        <v>-17959900.766818192</v>
      </c>
      <c r="I82" s="98">
        <f t="shared" si="15"/>
        <v>-17959900.766818192</v>
      </c>
      <c r="J82" s="98">
        <f t="shared" si="16"/>
        <v>0</v>
      </c>
      <c r="K82" s="100">
        <f t="shared" si="17"/>
        <v>0</v>
      </c>
      <c r="L82" s="556">
        <f t="shared" si="18"/>
        <v>0.16838636322063394</v>
      </c>
      <c r="M82" s="98">
        <f t="shared" si="19"/>
        <v>0.16838636322063394</v>
      </c>
      <c r="N82" s="95">
        <f t="shared" si="20"/>
        <v>0.16838636322063394</v>
      </c>
    </row>
    <row r="83" spans="1:14">
      <c r="A83" s="62"/>
      <c r="B83" s="97">
        <v>43100</v>
      </c>
      <c r="C83" s="108"/>
      <c r="D83" s="102"/>
      <c r="E83" s="98">
        <f t="shared" si="12"/>
        <v>17959900.766818192</v>
      </c>
      <c r="F83" s="98">
        <f t="shared" si="13"/>
        <v>17959900.766818192</v>
      </c>
      <c r="G83" s="102"/>
      <c r="H83" s="98">
        <f t="shared" si="14"/>
        <v>-17959900.766818192</v>
      </c>
      <c r="I83" s="98">
        <f t="shared" si="15"/>
        <v>-17959900.766818192</v>
      </c>
      <c r="J83" s="98">
        <f t="shared" si="16"/>
        <v>0</v>
      </c>
      <c r="K83" s="100">
        <f t="shared" si="17"/>
        <v>0</v>
      </c>
      <c r="L83" s="556">
        <f t="shared" si="18"/>
        <v>0.16838636322063394</v>
      </c>
      <c r="M83" s="556">
        <f t="shared" si="19"/>
        <v>0.16838636322063394</v>
      </c>
      <c r="N83" s="400">
        <f t="shared" si="20"/>
        <v>0.16838636322063394</v>
      </c>
    </row>
    <row r="84" spans="1:14">
      <c r="A84" s="62"/>
      <c r="B84" s="97">
        <v>43131</v>
      </c>
      <c r="C84" s="108"/>
      <c r="D84" s="102"/>
      <c r="E84" s="98">
        <f t="shared" si="12"/>
        <v>17959900.766818192</v>
      </c>
      <c r="F84" s="98">
        <f t="shared" si="13"/>
        <v>17959900.766818192</v>
      </c>
      <c r="G84" s="102"/>
      <c r="H84" s="98">
        <f t="shared" si="14"/>
        <v>-17959900.766818192</v>
      </c>
      <c r="I84" s="98">
        <f t="shared" si="15"/>
        <v>-17959900.766818192</v>
      </c>
      <c r="J84" s="98">
        <f t="shared" si="16"/>
        <v>0</v>
      </c>
      <c r="K84" s="100">
        <f t="shared" si="17"/>
        <v>0</v>
      </c>
      <c r="L84" s="556">
        <f t="shared" si="18"/>
        <v>0.16838636322063394</v>
      </c>
      <c r="M84" s="98">
        <f t="shared" si="19"/>
        <v>0.16838636322063394</v>
      </c>
      <c r="N84" s="95">
        <f t="shared" si="20"/>
        <v>0.16838636322063394</v>
      </c>
    </row>
    <row r="85" spans="1:14">
      <c r="A85" s="62"/>
      <c r="B85" s="97">
        <v>43159</v>
      </c>
      <c r="C85" s="108"/>
      <c r="D85" s="102"/>
      <c r="E85" s="98">
        <f t="shared" si="12"/>
        <v>17959900.766818192</v>
      </c>
      <c r="F85" s="98">
        <f t="shared" si="13"/>
        <v>17959900.766818192</v>
      </c>
      <c r="G85" s="102"/>
      <c r="H85" s="98">
        <f t="shared" si="14"/>
        <v>-17959900.766818192</v>
      </c>
      <c r="I85" s="98">
        <f t="shared" si="15"/>
        <v>-17959900.766818192</v>
      </c>
      <c r="J85" s="98">
        <f t="shared" si="16"/>
        <v>0</v>
      </c>
      <c r="K85" s="100">
        <f t="shared" si="17"/>
        <v>0</v>
      </c>
      <c r="L85" s="556">
        <f t="shared" si="18"/>
        <v>0.16838636322063394</v>
      </c>
      <c r="M85" s="556">
        <f t="shared" si="19"/>
        <v>0.16838636322063394</v>
      </c>
      <c r="N85" s="400">
        <f t="shared" si="20"/>
        <v>0.16838636322063394</v>
      </c>
    </row>
    <row r="86" spans="1:14">
      <c r="A86" s="62"/>
      <c r="B86" s="97">
        <v>43190</v>
      </c>
      <c r="C86" s="108"/>
      <c r="D86" s="102"/>
      <c r="E86" s="98">
        <f t="shared" si="12"/>
        <v>17959900.766818192</v>
      </c>
      <c r="F86" s="98">
        <f t="shared" si="13"/>
        <v>17959900.766818192</v>
      </c>
      <c r="G86" s="102"/>
      <c r="H86" s="98">
        <f t="shared" si="14"/>
        <v>-17959900.766818192</v>
      </c>
      <c r="I86" s="98">
        <f t="shared" si="15"/>
        <v>-17959900.766818192</v>
      </c>
      <c r="J86" s="98">
        <f t="shared" si="16"/>
        <v>0</v>
      </c>
      <c r="K86" s="100">
        <f t="shared" si="17"/>
        <v>0</v>
      </c>
      <c r="L86" s="556">
        <f t="shared" si="18"/>
        <v>0.16838636322063394</v>
      </c>
      <c r="M86" s="98">
        <f t="shared" si="19"/>
        <v>0.16838636322063394</v>
      </c>
      <c r="N86" s="95">
        <f t="shared" si="20"/>
        <v>0.16838636322063394</v>
      </c>
    </row>
    <row r="87" spans="1:14">
      <c r="A87" s="62"/>
      <c r="B87" s="97">
        <v>43220</v>
      </c>
      <c r="C87" s="108"/>
      <c r="D87" s="102"/>
      <c r="E87" s="98">
        <f t="shared" si="12"/>
        <v>17959900.766818192</v>
      </c>
      <c r="F87" s="98">
        <f t="shared" si="13"/>
        <v>17959900.766818192</v>
      </c>
      <c r="G87" s="102"/>
      <c r="H87" s="98">
        <f t="shared" si="14"/>
        <v>-17959900.766818192</v>
      </c>
      <c r="I87" s="98">
        <f t="shared" si="15"/>
        <v>-17959900.766818192</v>
      </c>
      <c r="J87" s="98">
        <f t="shared" si="16"/>
        <v>0</v>
      </c>
      <c r="K87" s="100">
        <f t="shared" si="17"/>
        <v>0</v>
      </c>
      <c r="L87" s="556">
        <f t="shared" si="18"/>
        <v>0.16838636322063394</v>
      </c>
      <c r="M87" s="556">
        <f t="shared" si="19"/>
        <v>0.16838636322063394</v>
      </c>
      <c r="N87" s="400">
        <f t="shared" si="20"/>
        <v>0.16838636322063394</v>
      </c>
    </row>
    <row r="88" spans="1:14">
      <c r="A88" s="62"/>
      <c r="B88" s="97">
        <v>43251</v>
      </c>
      <c r="C88" s="108"/>
      <c r="D88" s="102"/>
      <c r="E88" s="98">
        <f t="shared" si="12"/>
        <v>17959900.766818192</v>
      </c>
      <c r="F88" s="98">
        <f t="shared" si="13"/>
        <v>17959900.766818192</v>
      </c>
      <c r="G88" s="102"/>
      <c r="H88" s="98">
        <f t="shared" si="14"/>
        <v>-17959900.766818192</v>
      </c>
      <c r="I88" s="98">
        <f t="shared" si="15"/>
        <v>-17959900.766818192</v>
      </c>
      <c r="J88" s="98">
        <f t="shared" si="16"/>
        <v>0</v>
      </c>
      <c r="K88" s="100">
        <f t="shared" si="17"/>
        <v>0</v>
      </c>
      <c r="L88" s="556">
        <f t="shared" si="18"/>
        <v>0.16838636322063394</v>
      </c>
      <c r="M88" s="98">
        <f t="shared" si="19"/>
        <v>0.16838636322063394</v>
      </c>
      <c r="N88" s="95">
        <f t="shared" si="20"/>
        <v>0.16838636322063394</v>
      </c>
    </row>
    <row r="89" spans="1:14">
      <c r="A89" s="62"/>
      <c r="B89" s="97">
        <v>43281</v>
      </c>
      <c r="C89" s="108"/>
      <c r="D89" s="102"/>
      <c r="E89" s="98">
        <f t="shared" si="12"/>
        <v>17959900.766818192</v>
      </c>
      <c r="F89" s="98">
        <f t="shared" si="13"/>
        <v>17959900.766818192</v>
      </c>
      <c r="G89" s="102"/>
      <c r="H89" s="98">
        <f t="shared" si="14"/>
        <v>-17959900.766818192</v>
      </c>
      <c r="I89" s="98">
        <f t="shared" si="15"/>
        <v>-17959900.766818192</v>
      </c>
      <c r="J89" s="98">
        <f t="shared" si="16"/>
        <v>0</v>
      </c>
      <c r="K89" s="100">
        <f t="shared" si="17"/>
        <v>0</v>
      </c>
      <c r="L89" s="556">
        <f t="shared" si="18"/>
        <v>0.16838636322063394</v>
      </c>
      <c r="M89" s="556">
        <f t="shared" si="19"/>
        <v>0.16838636322063394</v>
      </c>
      <c r="N89" s="400">
        <f t="shared" si="20"/>
        <v>0.16838636322063394</v>
      </c>
    </row>
    <row r="90" spans="1:14">
      <c r="B90" s="97">
        <v>43312</v>
      </c>
      <c r="C90" s="108"/>
      <c r="D90" s="102"/>
      <c r="E90" s="98">
        <f t="shared" si="12"/>
        <v>17959900.766818192</v>
      </c>
      <c r="F90" s="98">
        <f t="shared" si="13"/>
        <v>17959900.766818192</v>
      </c>
      <c r="G90" s="102"/>
      <c r="H90" s="98">
        <f t="shared" si="14"/>
        <v>-17959900.766818192</v>
      </c>
      <c r="I90" s="98">
        <f t="shared" si="15"/>
        <v>-17959900.766818192</v>
      </c>
      <c r="J90" s="98">
        <f t="shared" si="16"/>
        <v>0</v>
      </c>
      <c r="K90" s="100">
        <f t="shared" si="17"/>
        <v>0</v>
      </c>
      <c r="L90" s="556">
        <f t="shared" si="18"/>
        <v>0.16838636322063394</v>
      </c>
      <c r="M90" s="98">
        <f t="shared" si="19"/>
        <v>0.16838636322063394</v>
      </c>
      <c r="N90" s="95">
        <f t="shared" si="20"/>
        <v>0.16838636322063394</v>
      </c>
    </row>
    <row r="91" spans="1:14">
      <c r="B91" s="97">
        <v>43343</v>
      </c>
      <c r="C91" s="108"/>
      <c r="D91" s="102"/>
      <c r="E91" s="98">
        <f t="shared" si="12"/>
        <v>17959900.766818192</v>
      </c>
      <c r="F91" s="98">
        <f t="shared" si="13"/>
        <v>17959900.766818192</v>
      </c>
      <c r="G91" s="102"/>
      <c r="H91" s="98">
        <f t="shared" si="14"/>
        <v>-17959900.766818192</v>
      </c>
      <c r="I91" s="98">
        <f t="shared" si="15"/>
        <v>-17959900.766818192</v>
      </c>
      <c r="J91" s="98">
        <f t="shared" si="16"/>
        <v>0</v>
      </c>
      <c r="K91" s="100">
        <f t="shared" si="17"/>
        <v>0</v>
      </c>
      <c r="L91" s="556">
        <f t="shared" si="18"/>
        <v>0.16838636322063394</v>
      </c>
      <c r="M91" s="556">
        <f t="shared" si="19"/>
        <v>0.16838636322063394</v>
      </c>
      <c r="N91" s="400">
        <f t="shared" si="20"/>
        <v>0.16838636322063394</v>
      </c>
    </row>
    <row r="92" spans="1:14">
      <c r="B92" s="97">
        <v>43373</v>
      </c>
      <c r="C92" s="108"/>
      <c r="D92" s="102"/>
      <c r="E92" s="98">
        <f t="shared" si="12"/>
        <v>17959900.766818192</v>
      </c>
      <c r="F92" s="98">
        <f t="shared" si="13"/>
        <v>17959900.766818192</v>
      </c>
      <c r="G92" s="102"/>
      <c r="H92" s="98">
        <f t="shared" si="14"/>
        <v>-17959900.766818192</v>
      </c>
      <c r="I92" s="98">
        <f t="shared" si="15"/>
        <v>-17959900.766818192</v>
      </c>
      <c r="J92" s="98">
        <f t="shared" si="16"/>
        <v>0</v>
      </c>
      <c r="K92" s="100">
        <f t="shared" si="17"/>
        <v>0</v>
      </c>
      <c r="L92" s="556">
        <f t="shared" si="18"/>
        <v>0.16838636322063394</v>
      </c>
      <c r="M92" s="98">
        <f t="shared" si="19"/>
        <v>0.16838636322063394</v>
      </c>
      <c r="N92" s="95">
        <f t="shared" si="20"/>
        <v>0.16838636322063394</v>
      </c>
    </row>
    <row r="93" spans="1:14">
      <c r="B93" s="97">
        <v>43404</v>
      </c>
      <c r="C93" s="108"/>
      <c r="D93" s="102"/>
      <c r="E93" s="98">
        <f t="shared" si="12"/>
        <v>17959900.766818192</v>
      </c>
      <c r="F93" s="98">
        <f t="shared" si="13"/>
        <v>17959900.766818192</v>
      </c>
      <c r="G93" s="102"/>
      <c r="H93" s="98">
        <f t="shared" si="14"/>
        <v>-17959900.766818192</v>
      </c>
      <c r="I93" s="98">
        <f t="shared" si="15"/>
        <v>-17959900.766818192</v>
      </c>
      <c r="J93" s="98">
        <f t="shared" si="16"/>
        <v>0</v>
      </c>
      <c r="K93" s="100">
        <f t="shared" si="17"/>
        <v>0</v>
      </c>
      <c r="L93" s="556">
        <f t="shared" si="18"/>
        <v>0.16838636322063394</v>
      </c>
      <c r="M93" s="556">
        <f t="shared" si="19"/>
        <v>0.16838636322063394</v>
      </c>
      <c r="N93" s="400">
        <f t="shared" si="20"/>
        <v>0.16838636322063394</v>
      </c>
    </row>
    <row r="94" spans="1:14">
      <c r="B94" s="97">
        <v>43434</v>
      </c>
      <c r="C94" s="108"/>
      <c r="D94" s="102"/>
      <c r="E94" s="98">
        <f t="shared" si="12"/>
        <v>17959900.766818192</v>
      </c>
      <c r="F94" s="98">
        <f t="shared" si="13"/>
        <v>17959900.766818192</v>
      </c>
      <c r="G94" s="102"/>
      <c r="H94" s="98">
        <f t="shared" si="14"/>
        <v>-17959900.766818192</v>
      </c>
      <c r="I94" s="98">
        <f t="shared" si="15"/>
        <v>-17959900.766818192</v>
      </c>
      <c r="J94" s="98">
        <f t="shared" si="16"/>
        <v>0</v>
      </c>
      <c r="K94" s="100">
        <f t="shared" si="17"/>
        <v>0</v>
      </c>
      <c r="L94" s="556">
        <f t="shared" si="18"/>
        <v>0.16838636322063394</v>
      </c>
      <c r="M94" s="98">
        <f t="shared" si="19"/>
        <v>0.16838636322063394</v>
      </c>
      <c r="N94" s="95">
        <f t="shared" si="20"/>
        <v>0.16838636322063394</v>
      </c>
    </row>
    <row r="95" spans="1:14">
      <c r="B95" s="97">
        <v>43465</v>
      </c>
      <c r="C95" s="108"/>
      <c r="D95" s="102"/>
      <c r="E95" s="98">
        <f t="shared" si="12"/>
        <v>17959900.766818192</v>
      </c>
      <c r="F95" s="98">
        <f t="shared" si="13"/>
        <v>17959900.766818192</v>
      </c>
      <c r="G95" s="102"/>
      <c r="H95" s="98">
        <f t="shared" si="14"/>
        <v>-17959900.766818192</v>
      </c>
      <c r="I95" s="98">
        <f t="shared" si="15"/>
        <v>-17959900.766818192</v>
      </c>
      <c r="J95" s="98">
        <f t="shared" si="16"/>
        <v>0</v>
      </c>
      <c r="K95" s="100">
        <f t="shared" si="17"/>
        <v>0</v>
      </c>
      <c r="L95" s="556">
        <f t="shared" si="18"/>
        <v>0.16838636322063394</v>
      </c>
      <c r="M95" s="556">
        <f t="shared" si="19"/>
        <v>0.16838636322063394</v>
      </c>
      <c r="N95" s="400">
        <f t="shared" si="20"/>
        <v>0.16838636322063394</v>
      </c>
    </row>
    <row r="97" spans="5:7" ht="14.25">
      <c r="E97" s="1303" t="s">
        <v>941</v>
      </c>
      <c r="G97" s="1047">
        <f>SUM(G78:G89)</f>
        <v>0</v>
      </c>
    </row>
    <row r="98" spans="5:7" ht="14.25">
      <c r="E98" s="1303" t="s">
        <v>942</v>
      </c>
      <c r="G98" s="1047">
        <f>SUM(G84:G95)</f>
        <v>0</v>
      </c>
    </row>
  </sheetData>
  <pageMargins left="0.7" right="0.7" top="0.75" bottom="0.75" header="0.3" footer="0.3"/>
  <pageSetup scale="62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P308"/>
  <sheetViews>
    <sheetView zoomScaleNormal="100" workbookViewId="0">
      <pane ySplit="12" topLeftCell="A86" activePane="bottomLeft" state="frozen"/>
      <selection activeCell="D269" sqref="D269"/>
      <selection pane="bottomLeft" activeCell="D269" sqref="D269"/>
    </sheetView>
  </sheetViews>
  <sheetFormatPr defaultColWidth="9.28515625" defaultRowHeight="15"/>
  <cols>
    <col min="1" max="1" width="12.85546875" style="174" bestFit="1" customWidth="1"/>
    <col min="2" max="2" width="11.85546875" style="174" bestFit="1" customWidth="1"/>
    <col min="3" max="3" width="12.85546875" style="174" bestFit="1" customWidth="1"/>
    <col min="4" max="5" width="11.140625" style="174" bestFit="1" customWidth="1"/>
    <col min="6" max="7" width="11.140625" style="174" customWidth="1"/>
    <col min="8" max="11" width="10.85546875" style="174" customWidth="1"/>
    <col min="12" max="12" width="16.140625" style="174" bestFit="1" customWidth="1"/>
    <col min="13" max="13" width="2" style="174" customWidth="1"/>
    <col min="14" max="14" width="14.85546875" style="174" customWidth="1"/>
    <col min="15" max="15" width="13.42578125" style="174" customWidth="1"/>
    <col min="16" max="17" width="15.42578125" style="174" bestFit="1" customWidth="1"/>
    <col min="18" max="18" width="13.42578125" style="174" bestFit="1" customWidth="1"/>
    <col min="19" max="21" width="9.28515625" style="174"/>
    <col min="22" max="22" width="15.42578125" style="176" bestFit="1" customWidth="1"/>
    <col min="23" max="23" width="12.42578125" style="174" bestFit="1" customWidth="1"/>
    <col min="24" max="24" width="9.28515625" style="174"/>
    <col min="25" max="25" width="12.28515625" style="174" bestFit="1" customWidth="1"/>
    <col min="26" max="16384" width="9.28515625" style="174"/>
  </cols>
  <sheetData>
    <row r="1" spans="1:23">
      <c r="A1" s="174" t="s">
        <v>546</v>
      </c>
      <c r="N1" s="175"/>
    </row>
    <row r="2" spans="1:23">
      <c r="A2" s="177" t="s">
        <v>841</v>
      </c>
      <c r="N2" s="175"/>
    </row>
    <row r="3" spans="1:23">
      <c r="A3" s="177"/>
    </row>
    <row r="4" spans="1:23">
      <c r="A4" s="174" t="s">
        <v>547</v>
      </c>
    </row>
    <row r="5" spans="1:23">
      <c r="A5" s="177" t="s">
        <v>548</v>
      </c>
    </row>
    <row r="6" spans="1:23">
      <c r="A6" s="177" t="s">
        <v>549</v>
      </c>
      <c r="N6" s="178" t="s">
        <v>550</v>
      </c>
      <c r="O6" s="179" t="s">
        <v>551</v>
      </c>
    </row>
    <row r="7" spans="1:23">
      <c r="A7" s="177"/>
      <c r="N7" s="1061" t="s">
        <v>552</v>
      </c>
      <c r="O7" s="1064" t="s">
        <v>1</v>
      </c>
    </row>
    <row r="8" spans="1:23">
      <c r="B8" s="181" t="s">
        <v>553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061"/>
      <c r="O8" s="180"/>
    </row>
    <row r="9" spans="1:23">
      <c r="A9" s="182"/>
      <c r="B9" s="1065" t="s">
        <v>554</v>
      </c>
      <c r="C9" s="1066"/>
      <c r="D9" s="1403" t="s">
        <v>555</v>
      </c>
      <c r="E9" s="1404"/>
      <c r="F9" s="1407" t="s">
        <v>641</v>
      </c>
      <c r="G9" s="1408"/>
      <c r="H9" s="1405" t="s">
        <v>556</v>
      </c>
      <c r="I9" s="1406"/>
      <c r="J9" s="1403" t="s">
        <v>557</v>
      </c>
      <c r="K9" s="1404"/>
      <c r="L9" s="184" t="s">
        <v>558</v>
      </c>
      <c r="M9" s="395"/>
      <c r="N9" s="1062" t="s">
        <v>559</v>
      </c>
      <c r="O9" s="184" t="s">
        <v>560</v>
      </c>
    </row>
    <row r="10" spans="1:23">
      <c r="A10" s="185" t="s">
        <v>22</v>
      </c>
      <c r="B10" s="186" t="s">
        <v>561</v>
      </c>
      <c r="C10" s="186" t="s">
        <v>4</v>
      </c>
      <c r="D10" s="186" t="s">
        <v>561</v>
      </c>
      <c r="E10" s="186" t="s">
        <v>4</v>
      </c>
      <c r="F10" s="356" t="s">
        <v>561</v>
      </c>
      <c r="G10" s="356" t="s">
        <v>4</v>
      </c>
      <c r="H10" s="186" t="s">
        <v>561</v>
      </c>
      <c r="I10" s="186" t="s">
        <v>4</v>
      </c>
      <c r="J10" s="186" t="s">
        <v>561</v>
      </c>
      <c r="K10" s="186" t="s">
        <v>4</v>
      </c>
      <c r="L10" s="187" t="s">
        <v>562</v>
      </c>
      <c r="M10" s="395"/>
      <c r="N10" s="1063" t="s">
        <v>563</v>
      </c>
      <c r="O10" s="188"/>
    </row>
    <row r="11" spans="1:23">
      <c r="A11" s="184" t="s">
        <v>564</v>
      </c>
      <c r="B11" s="189" t="s">
        <v>565</v>
      </c>
      <c r="C11" s="189" t="s">
        <v>566</v>
      </c>
      <c r="D11" s="189" t="s">
        <v>567</v>
      </c>
      <c r="E11" s="189" t="s">
        <v>568</v>
      </c>
      <c r="F11" s="357"/>
      <c r="G11" s="357"/>
      <c r="H11" s="189" t="s">
        <v>569</v>
      </c>
      <c r="I11" s="189" t="s">
        <v>570</v>
      </c>
      <c r="J11" s="189" t="s">
        <v>571</v>
      </c>
      <c r="K11" s="189" t="s">
        <v>572</v>
      </c>
      <c r="L11" s="189" t="s">
        <v>573</v>
      </c>
      <c r="M11" s="395"/>
      <c r="N11" s="190"/>
      <c r="O11" s="191"/>
    </row>
    <row r="12" spans="1:23" ht="17.25">
      <c r="A12" s="185"/>
      <c r="B12" s="192" t="s">
        <v>36</v>
      </c>
      <c r="C12" s="187" t="s">
        <v>574</v>
      </c>
      <c r="D12" s="187"/>
      <c r="E12" s="187" t="s">
        <v>575</v>
      </c>
      <c r="F12" s="355"/>
      <c r="G12" s="355"/>
      <c r="H12" s="187"/>
      <c r="I12" s="187" t="s">
        <v>576</v>
      </c>
      <c r="J12" s="193" t="s">
        <v>577</v>
      </c>
      <c r="K12" s="194"/>
      <c r="L12" s="187" t="s">
        <v>578</v>
      </c>
      <c r="M12" s="396"/>
      <c r="N12" s="195"/>
      <c r="O12" s="191"/>
    </row>
    <row r="13" spans="1:23">
      <c r="A13" s="184"/>
      <c r="B13" s="196"/>
      <c r="C13" s="197"/>
      <c r="D13" s="196"/>
      <c r="E13" s="197"/>
      <c r="F13" s="350"/>
      <c r="G13" s="350"/>
      <c r="H13" s="368"/>
      <c r="I13" s="198"/>
      <c r="J13" s="199"/>
      <c r="K13" s="200"/>
      <c r="L13" s="189"/>
      <c r="M13" s="396"/>
      <c r="N13" s="191"/>
      <c r="O13" s="191"/>
    </row>
    <row r="14" spans="1:23">
      <c r="A14" s="322">
        <v>40908</v>
      </c>
      <c r="B14" s="323" t="s">
        <v>579</v>
      </c>
      <c r="C14" s="324">
        <v>1298</v>
      </c>
      <c r="D14" s="323" t="s">
        <v>579</v>
      </c>
      <c r="E14" s="321">
        <v>200</v>
      </c>
      <c r="F14" s="351"/>
      <c r="G14" s="351"/>
      <c r="H14" s="323" t="s">
        <v>579</v>
      </c>
      <c r="I14" s="324">
        <f t="shared" ref="I14:I22" si="0">5*60+(DAY(A14)-5)*46</f>
        <v>1496</v>
      </c>
      <c r="J14" s="325" t="s">
        <v>579</v>
      </c>
      <c r="K14" s="326">
        <v>0</v>
      </c>
      <c r="L14" s="327">
        <f>(E14*C14)+(I14*K14)</f>
        <v>259600</v>
      </c>
      <c r="M14" s="397"/>
      <c r="N14" s="327">
        <v>0</v>
      </c>
      <c r="O14" s="327">
        <f t="shared" ref="O14:O25" si="1">L14-N14</f>
        <v>259600</v>
      </c>
      <c r="R14" s="174" t="s">
        <v>580</v>
      </c>
      <c r="W14" s="201"/>
    </row>
    <row r="15" spans="1:23">
      <c r="A15" s="322">
        <v>40939</v>
      </c>
      <c r="B15" s="323" t="s">
        <v>579</v>
      </c>
      <c r="C15" s="328">
        <f>IF(B15="--",C14,C14*B15)</f>
        <v>1298</v>
      </c>
      <c r="D15" s="323" t="s">
        <v>579</v>
      </c>
      <c r="E15" s="321">
        <f>IF(D15="--",E14,E14+D15)</f>
        <v>200</v>
      </c>
      <c r="F15" s="351"/>
      <c r="G15" s="351"/>
      <c r="H15" s="323" t="s">
        <v>579</v>
      </c>
      <c r="I15" s="324">
        <f t="shared" si="0"/>
        <v>1496</v>
      </c>
      <c r="J15" s="325" t="s">
        <v>579</v>
      </c>
      <c r="K15" s="321">
        <v>140</v>
      </c>
      <c r="L15" s="327">
        <f>(E15*C15)+(I15*K15)</f>
        <v>469040</v>
      </c>
      <c r="M15" s="397"/>
      <c r="N15" s="327"/>
      <c r="O15" s="327">
        <f t="shared" si="1"/>
        <v>469040</v>
      </c>
      <c r="W15" s="201"/>
    </row>
    <row r="16" spans="1:23" s="203" customFormat="1">
      <c r="A16" s="322">
        <v>40968</v>
      </c>
      <c r="B16" s="323" t="s">
        <v>579</v>
      </c>
      <c r="C16" s="328">
        <f>IF(B16="--",C15,C15*B16)</f>
        <v>1298</v>
      </c>
      <c r="D16" s="323" t="s">
        <v>579</v>
      </c>
      <c r="E16" s="321">
        <f>IF(D16="--",E15,E15+D16)</f>
        <v>200</v>
      </c>
      <c r="F16" s="351"/>
      <c r="G16" s="351"/>
      <c r="H16" s="323" t="s">
        <v>579</v>
      </c>
      <c r="I16" s="324">
        <f t="shared" si="0"/>
        <v>1404</v>
      </c>
      <c r="J16" s="325" t="s">
        <v>579</v>
      </c>
      <c r="K16" s="321">
        <v>0</v>
      </c>
      <c r="L16" s="327">
        <f>(E16*C16)+(I16*K16)</f>
        <v>259600</v>
      </c>
      <c r="M16" s="397"/>
      <c r="N16" s="327"/>
      <c r="O16" s="327">
        <f t="shared" si="1"/>
        <v>259600</v>
      </c>
      <c r="P16" s="202"/>
      <c r="V16" s="204"/>
      <c r="W16" s="201"/>
    </row>
    <row r="17" spans="1:23" s="203" customFormat="1">
      <c r="A17" s="322">
        <v>40999</v>
      </c>
      <c r="B17" s="323" t="s">
        <v>579</v>
      </c>
      <c r="C17" s="328">
        <f>IF(B17="--",C16,C16*B17)</f>
        <v>1298</v>
      </c>
      <c r="D17" s="323" t="s">
        <v>579</v>
      </c>
      <c r="E17" s="321">
        <f>IF(D17="--",E16,E16+D17)</f>
        <v>200</v>
      </c>
      <c r="F17" s="351"/>
      <c r="G17" s="351">
        <v>117</v>
      </c>
      <c r="H17" s="323" t="s">
        <v>579</v>
      </c>
      <c r="I17" s="324">
        <f t="shared" si="0"/>
        <v>1496</v>
      </c>
      <c r="J17" s="325" t="s">
        <v>579</v>
      </c>
      <c r="K17" s="321">
        <v>0</v>
      </c>
      <c r="L17" s="358">
        <f t="shared" ref="L17:L24" si="2">(E17*C17)+(I17*K17)+C17*G17</f>
        <v>411466</v>
      </c>
      <c r="M17" s="394"/>
      <c r="N17" s="327">
        <v>259600</v>
      </c>
      <c r="O17" s="327">
        <f t="shared" si="1"/>
        <v>151866</v>
      </c>
      <c r="P17" s="206"/>
      <c r="Q17" s="206"/>
      <c r="R17" s="206"/>
      <c r="V17" s="204"/>
      <c r="W17" s="201"/>
    </row>
    <row r="18" spans="1:23">
      <c r="A18" s="322">
        <v>41029</v>
      </c>
      <c r="B18" s="323" t="s">
        <v>579</v>
      </c>
      <c r="C18" s="328">
        <f t="shared" ref="C18:C81" si="3">IF(B18="--",C17,C17*B18)</f>
        <v>1298</v>
      </c>
      <c r="D18" s="323" t="s">
        <v>579</v>
      </c>
      <c r="E18" s="321">
        <f>IF(D18="--",E17,E17+D18)</f>
        <v>200</v>
      </c>
      <c r="F18" s="351"/>
      <c r="G18" s="351">
        <v>117</v>
      </c>
      <c r="H18" s="323" t="s">
        <v>579</v>
      </c>
      <c r="I18" s="324">
        <f t="shared" si="0"/>
        <v>1450</v>
      </c>
      <c r="J18" s="325" t="s">
        <v>579</v>
      </c>
      <c r="K18" s="321">
        <v>0</v>
      </c>
      <c r="L18" s="358">
        <f t="shared" si="2"/>
        <v>411466</v>
      </c>
      <c r="M18" s="394"/>
      <c r="N18" s="329">
        <v>434632</v>
      </c>
      <c r="O18" s="327">
        <f t="shared" si="1"/>
        <v>-23166</v>
      </c>
      <c r="P18" s="214"/>
      <c r="W18" s="201"/>
    </row>
    <row r="19" spans="1:23">
      <c r="A19" s="322">
        <v>41060</v>
      </c>
      <c r="B19" s="323" t="s">
        <v>579</v>
      </c>
      <c r="C19" s="328">
        <f>IF(B19="--",C18,C18*B19)</f>
        <v>1298</v>
      </c>
      <c r="D19" s="323" t="s">
        <v>579</v>
      </c>
      <c r="E19" s="321">
        <f>IF(D19="--",E18,E18+D19)</f>
        <v>200</v>
      </c>
      <c r="F19" s="351"/>
      <c r="G19" s="351">
        <v>117</v>
      </c>
      <c r="H19" s="323" t="s">
        <v>579</v>
      </c>
      <c r="I19" s="324">
        <f t="shared" si="0"/>
        <v>1496</v>
      </c>
      <c r="J19" s="325" t="s">
        <v>579</v>
      </c>
      <c r="K19" s="321">
        <v>0</v>
      </c>
      <c r="L19" s="358">
        <f t="shared" si="2"/>
        <v>411466</v>
      </c>
      <c r="M19" s="394"/>
      <c r="N19" s="330">
        <v>421127</v>
      </c>
      <c r="O19" s="327">
        <f t="shared" si="1"/>
        <v>-9661</v>
      </c>
      <c r="P19" s="214"/>
      <c r="W19" s="201"/>
    </row>
    <row r="20" spans="1:23">
      <c r="A20" s="322">
        <v>41090</v>
      </c>
      <c r="B20" s="323" t="s">
        <v>579</v>
      </c>
      <c r="C20" s="328">
        <f t="shared" si="3"/>
        <v>1298</v>
      </c>
      <c r="D20" s="339">
        <v>50</v>
      </c>
      <c r="E20" s="321">
        <f t="shared" ref="E20:E59" si="4">IF(D20="--",E19,E19+D20)</f>
        <v>250</v>
      </c>
      <c r="F20" s="351"/>
      <c r="G20" s="351">
        <v>94</v>
      </c>
      <c r="H20" s="323" t="s">
        <v>579</v>
      </c>
      <c r="I20" s="324">
        <f t="shared" si="0"/>
        <v>1450</v>
      </c>
      <c r="J20" s="325" t="s">
        <v>579</v>
      </c>
      <c r="K20" s="321">
        <v>0</v>
      </c>
      <c r="L20" s="358">
        <f t="shared" si="2"/>
        <v>446512</v>
      </c>
      <c r="M20" s="394"/>
      <c r="N20" s="330">
        <v>426723</v>
      </c>
      <c r="O20" s="327">
        <f t="shared" si="1"/>
        <v>19789</v>
      </c>
      <c r="P20" s="214"/>
      <c r="W20" s="201"/>
    </row>
    <row r="21" spans="1:23">
      <c r="A21" s="322">
        <v>41121</v>
      </c>
      <c r="B21" s="323" t="s">
        <v>579</v>
      </c>
      <c r="C21" s="328">
        <f>IF(B21="--",C20,C20*B21)</f>
        <v>1298</v>
      </c>
      <c r="D21" s="323" t="s">
        <v>579</v>
      </c>
      <c r="E21" s="321">
        <f t="shared" si="4"/>
        <v>250</v>
      </c>
      <c r="F21" s="351"/>
      <c r="G21" s="351">
        <v>94</v>
      </c>
      <c r="H21" s="323" t="s">
        <v>579</v>
      </c>
      <c r="I21" s="324">
        <f t="shared" si="0"/>
        <v>1496</v>
      </c>
      <c r="J21" s="325" t="s">
        <v>579</v>
      </c>
      <c r="K21" s="321">
        <v>0</v>
      </c>
      <c r="L21" s="358">
        <f t="shared" si="2"/>
        <v>446512</v>
      </c>
      <c r="M21" s="394"/>
      <c r="N21" s="330">
        <v>462527</v>
      </c>
      <c r="O21" s="327">
        <f t="shared" si="1"/>
        <v>-16015</v>
      </c>
      <c r="P21" s="214"/>
      <c r="W21" s="201"/>
    </row>
    <row r="22" spans="1:23">
      <c r="A22" s="322">
        <v>41152</v>
      </c>
      <c r="B22" s="323" t="s">
        <v>579</v>
      </c>
      <c r="C22" s="328">
        <f t="shared" si="3"/>
        <v>1298</v>
      </c>
      <c r="D22" s="323" t="s">
        <v>579</v>
      </c>
      <c r="E22" s="321">
        <f t="shared" si="4"/>
        <v>250</v>
      </c>
      <c r="F22" s="351"/>
      <c r="G22" s="351">
        <v>94</v>
      </c>
      <c r="H22" s="323" t="s">
        <v>579</v>
      </c>
      <c r="I22" s="324">
        <f t="shared" si="0"/>
        <v>1496</v>
      </c>
      <c r="J22" s="325" t="s">
        <v>579</v>
      </c>
      <c r="K22" s="321">
        <v>0</v>
      </c>
      <c r="L22" s="358">
        <f t="shared" si="2"/>
        <v>446512</v>
      </c>
      <c r="M22" s="394"/>
      <c r="N22" s="398">
        <v>457118</v>
      </c>
      <c r="O22" s="327">
        <f t="shared" si="1"/>
        <v>-10606</v>
      </c>
      <c r="P22" s="201"/>
      <c r="Q22" s="338"/>
      <c r="W22" s="201"/>
    </row>
    <row r="23" spans="1:23">
      <c r="A23" s="322">
        <v>41182</v>
      </c>
      <c r="B23" s="323" t="s">
        <v>579</v>
      </c>
      <c r="C23" s="328">
        <f t="shared" si="3"/>
        <v>1298</v>
      </c>
      <c r="D23" s="323" t="s">
        <v>579</v>
      </c>
      <c r="E23" s="321">
        <f t="shared" si="4"/>
        <v>250</v>
      </c>
      <c r="F23" s="351"/>
      <c r="G23" s="351">
        <v>94</v>
      </c>
      <c r="H23" s="323" t="s">
        <v>579</v>
      </c>
      <c r="I23" s="362">
        <f t="shared" ref="I23:I86" si="5">5*60+(DAY(A23)-5)*46</f>
        <v>1450</v>
      </c>
      <c r="J23" s="325" t="s">
        <v>579</v>
      </c>
      <c r="K23" s="363">
        <v>0</v>
      </c>
      <c r="L23" s="358">
        <f t="shared" si="2"/>
        <v>446512</v>
      </c>
      <c r="M23" s="394"/>
      <c r="N23" s="398">
        <v>457118</v>
      </c>
      <c r="O23" s="327">
        <f t="shared" si="1"/>
        <v>-10606</v>
      </c>
      <c r="P23" s="201"/>
      <c r="W23" s="201"/>
    </row>
    <row r="24" spans="1:23">
      <c r="A24" s="322">
        <v>41213</v>
      </c>
      <c r="B24" s="323" t="s">
        <v>579</v>
      </c>
      <c r="C24" s="328">
        <f t="shared" si="3"/>
        <v>1298</v>
      </c>
      <c r="D24" s="323" t="s">
        <v>579</v>
      </c>
      <c r="E24" s="321">
        <f t="shared" si="4"/>
        <v>250</v>
      </c>
      <c r="F24" s="351"/>
      <c r="G24" s="351">
        <v>94</v>
      </c>
      <c r="H24" s="323" t="s">
        <v>579</v>
      </c>
      <c r="I24" s="324">
        <f t="shared" si="5"/>
        <v>1496</v>
      </c>
      <c r="J24" s="325" t="s">
        <v>579</v>
      </c>
      <c r="K24" s="363">
        <v>0</v>
      </c>
      <c r="L24" s="358">
        <f t="shared" si="2"/>
        <v>446512</v>
      </c>
      <c r="M24" s="394"/>
      <c r="N24" s="366">
        <v>452840</v>
      </c>
      <c r="O24" s="327">
        <f t="shared" si="1"/>
        <v>-6328</v>
      </c>
      <c r="P24" s="201"/>
      <c r="W24" s="201"/>
    </row>
    <row r="25" spans="1:23">
      <c r="A25" s="322">
        <v>41243</v>
      </c>
      <c r="B25" s="323" t="s">
        <v>579</v>
      </c>
      <c r="C25" s="328">
        <f t="shared" si="3"/>
        <v>1298</v>
      </c>
      <c r="D25" s="367">
        <v>93</v>
      </c>
      <c r="E25" s="321">
        <v>250</v>
      </c>
      <c r="F25" s="351"/>
      <c r="G25" s="351"/>
      <c r="H25" s="323" t="s">
        <v>579</v>
      </c>
      <c r="I25" s="324">
        <f t="shared" si="5"/>
        <v>1450</v>
      </c>
      <c r="J25" s="325" t="s">
        <v>579</v>
      </c>
      <c r="K25" s="321">
        <v>0</v>
      </c>
      <c r="L25" s="327">
        <f>(E25*C25)+(I25*K25)</f>
        <v>324500</v>
      </c>
      <c r="M25" s="394"/>
      <c r="N25" s="366">
        <v>457866</v>
      </c>
      <c r="O25" s="327">
        <f t="shared" si="1"/>
        <v>-133366</v>
      </c>
      <c r="P25" s="201"/>
      <c r="W25" s="201"/>
    </row>
    <row r="26" spans="1:23">
      <c r="A26" s="322">
        <v>41274</v>
      </c>
      <c r="B26" s="323" t="s">
        <v>579</v>
      </c>
      <c r="C26" s="328">
        <f t="shared" si="3"/>
        <v>1298</v>
      </c>
      <c r="D26" s="367">
        <v>90</v>
      </c>
      <c r="E26" s="321">
        <f t="shared" si="4"/>
        <v>340</v>
      </c>
      <c r="F26" s="351"/>
      <c r="G26" s="351"/>
      <c r="H26" s="323" t="s">
        <v>579</v>
      </c>
      <c r="I26" s="324">
        <f t="shared" si="5"/>
        <v>1496</v>
      </c>
      <c r="J26" s="325" t="s">
        <v>579</v>
      </c>
      <c r="K26" s="321">
        <v>0</v>
      </c>
      <c r="L26" s="327">
        <f>(E26*C26)+(I26*K26)</f>
        <v>441320</v>
      </c>
      <c r="M26" s="394"/>
      <c r="N26" s="366">
        <v>416358</v>
      </c>
      <c r="O26" s="327">
        <f t="shared" ref="O26:O39" si="6">L26-N26</f>
        <v>24962</v>
      </c>
      <c r="P26" s="201"/>
      <c r="W26" s="201"/>
    </row>
    <row r="27" spans="1:23">
      <c r="A27" s="322">
        <v>41305</v>
      </c>
      <c r="B27" s="323" t="s">
        <v>579</v>
      </c>
      <c r="C27" s="328">
        <f t="shared" si="3"/>
        <v>1298</v>
      </c>
      <c r="D27" s="323" t="s">
        <v>579</v>
      </c>
      <c r="E27" s="321">
        <f t="shared" si="4"/>
        <v>340</v>
      </c>
      <c r="F27" s="351"/>
      <c r="G27" s="351"/>
      <c r="H27" s="323" t="s">
        <v>579</v>
      </c>
      <c r="I27" s="324">
        <f t="shared" si="5"/>
        <v>1496</v>
      </c>
      <c r="J27" s="325" t="s">
        <v>579</v>
      </c>
      <c r="K27" s="321">
        <v>0</v>
      </c>
      <c r="L27" s="327">
        <f>(E27*C27)+(I27*K27)</f>
        <v>441320</v>
      </c>
      <c r="M27" s="394"/>
      <c r="N27" s="366">
        <v>458060</v>
      </c>
      <c r="O27" s="327">
        <f t="shared" si="6"/>
        <v>-16740</v>
      </c>
      <c r="P27" s="201"/>
      <c r="Q27" s="201"/>
      <c r="W27" s="201"/>
    </row>
    <row r="28" spans="1:23">
      <c r="A28" s="322">
        <v>41333</v>
      </c>
      <c r="B28" s="323" t="s">
        <v>579</v>
      </c>
      <c r="C28" s="328">
        <f t="shared" si="3"/>
        <v>1298</v>
      </c>
      <c r="D28" s="323" t="s">
        <v>579</v>
      </c>
      <c r="E28" s="321">
        <f t="shared" si="4"/>
        <v>340</v>
      </c>
      <c r="F28" s="351"/>
      <c r="G28" s="351"/>
      <c r="H28" s="323" t="s">
        <v>579</v>
      </c>
      <c r="I28" s="324">
        <f t="shared" si="5"/>
        <v>1358</v>
      </c>
      <c r="J28" s="325" t="s">
        <v>579</v>
      </c>
      <c r="K28" s="321">
        <v>0</v>
      </c>
      <c r="L28" s="327">
        <f t="shared" ref="L28:L86" si="7">E28*C28</f>
        <v>441320</v>
      </c>
      <c r="M28" s="394"/>
      <c r="N28" s="366">
        <v>441320</v>
      </c>
      <c r="O28" s="327">
        <f t="shared" si="6"/>
        <v>0</v>
      </c>
      <c r="P28" s="201"/>
      <c r="Q28" s="201"/>
      <c r="W28" s="201"/>
    </row>
    <row r="29" spans="1:23">
      <c r="A29" s="322">
        <v>41364</v>
      </c>
      <c r="B29" s="323" t="s">
        <v>579</v>
      </c>
      <c r="C29" s="328">
        <f t="shared" si="3"/>
        <v>1298</v>
      </c>
      <c r="D29" s="323" t="s">
        <v>579</v>
      </c>
      <c r="E29" s="321">
        <f t="shared" si="4"/>
        <v>340</v>
      </c>
      <c r="F29" s="351"/>
      <c r="G29" s="351"/>
      <c r="H29" s="323" t="s">
        <v>579</v>
      </c>
      <c r="I29" s="324">
        <f t="shared" si="5"/>
        <v>1496</v>
      </c>
      <c r="J29" s="325" t="s">
        <v>579</v>
      </c>
      <c r="K29" s="321">
        <v>0</v>
      </c>
      <c r="L29" s="327">
        <f t="shared" si="7"/>
        <v>441320</v>
      </c>
      <c r="M29" s="394"/>
      <c r="N29" s="366">
        <v>441320</v>
      </c>
      <c r="O29" s="327">
        <f t="shared" si="6"/>
        <v>0</v>
      </c>
      <c r="P29" s="201"/>
      <c r="Q29" s="201"/>
      <c r="W29" s="201"/>
    </row>
    <row r="30" spans="1:23">
      <c r="A30" s="322">
        <v>41394</v>
      </c>
      <c r="B30" s="323" t="s">
        <v>579</v>
      </c>
      <c r="C30" s="328">
        <f t="shared" si="3"/>
        <v>1298</v>
      </c>
      <c r="D30" s="323" t="s">
        <v>579</v>
      </c>
      <c r="E30" s="321">
        <f t="shared" si="4"/>
        <v>340</v>
      </c>
      <c r="F30" s="351"/>
      <c r="G30" s="351"/>
      <c r="H30" s="323" t="s">
        <v>579</v>
      </c>
      <c r="I30" s="324">
        <f t="shared" si="5"/>
        <v>1450</v>
      </c>
      <c r="J30" s="325" t="s">
        <v>579</v>
      </c>
      <c r="K30" s="321">
        <v>0</v>
      </c>
      <c r="L30" s="327">
        <f t="shared" si="7"/>
        <v>441320</v>
      </c>
      <c r="M30" s="394"/>
      <c r="N30" s="366">
        <v>441320</v>
      </c>
      <c r="O30" s="327">
        <f t="shared" si="6"/>
        <v>0</v>
      </c>
      <c r="P30" s="214"/>
      <c r="Q30" s="201"/>
      <c r="W30" s="201"/>
    </row>
    <row r="31" spans="1:23">
      <c r="A31" s="322">
        <v>41425</v>
      </c>
      <c r="B31" s="323" t="s">
        <v>579</v>
      </c>
      <c r="C31" s="328">
        <f t="shared" si="3"/>
        <v>1298</v>
      </c>
      <c r="D31" s="323" t="s">
        <v>579</v>
      </c>
      <c r="E31" s="321">
        <f t="shared" si="4"/>
        <v>340</v>
      </c>
      <c r="F31" s="351"/>
      <c r="G31" s="351"/>
      <c r="H31" s="323" t="s">
        <v>579</v>
      </c>
      <c r="I31" s="324">
        <f t="shared" si="5"/>
        <v>1496</v>
      </c>
      <c r="J31" s="325" t="s">
        <v>579</v>
      </c>
      <c r="K31" s="321">
        <v>0</v>
      </c>
      <c r="L31" s="327">
        <f t="shared" si="7"/>
        <v>441320</v>
      </c>
      <c r="M31" s="394"/>
      <c r="N31" s="366">
        <v>441380</v>
      </c>
      <c r="O31" s="327">
        <f t="shared" si="6"/>
        <v>-60</v>
      </c>
      <c r="P31" s="214"/>
      <c r="Q31" s="201"/>
      <c r="W31" s="201"/>
    </row>
    <row r="32" spans="1:23">
      <c r="A32" s="322">
        <v>41455</v>
      </c>
      <c r="B32" s="323" t="s">
        <v>579</v>
      </c>
      <c r="C32" s="328">
        <f t="shared" si="3"/>
        <v>1298</v>
      </c>
      <c r="D32" s="323" t="s">
        <v>579</v>
      </c>
      <c r="E32" s="321">
        <f t="shared" si="4"/>
        <v>340</v>
      </c>
      <c r="F32" s="351"/>
      <c r="G32" s="351"/>
      <c r="H32" s="323" t="s">
        <v>579</v>
      </c>
      <c r="I32" s="324">
        <f t="shared" si="5"/>
        <v>1450</v>
      </c>
      <c r="J32" s="325" t="s">
        <v>579</v>
      </c>
      <c r="K32" s="321">
        <v>0</v>
      </c>
      <c r="L32" s="327">
        <f t="shared" si="7"/>
        <v>441320</v>
      </c>
      <c r="M32" s="205"/>
      <c r="N32" s="366">
        <v>441320</v>
      </c>
      <c r="O32" s="327">
        <f t="shared" si="6"/>
        <v>0</v>
      </c>
      <c r="P32" s="214"/>
      <c r="Q32" s="201"/>
      <c r="W32" s="201"/>
    </row>
    <row r="33" spans="1:42">
      <c r="A33" s="322">
        <v>41486</v>
      </c>
      <c r="B33" s="323" t="s">
        <v>579</v>
      </c>
      <c r="C33" s="328">
        <f t="shared" si="3"/>
        <v>1298</v>
      </c>
      <c r="D33" s="323" t="s">
        <v>579</v>
      </c>
      <c r="E33" s="321">
        <f t="shared" si="4"/>
        <v>340</v>
      </c>
      <c r="F33" s="351"/>
      <c r="G33" s="351"/>
      <c r="H33" s="323" t="s">
        <v>579</v>
      </c>
      <c r="I33" s="324">
        <f t="shared" si="5"/>
        <v>1496</v>
      </c>
      <c r="J33" s="325" t="s">
        <v>579</v>
      </c>
      <c r="K33" s="321">
        <v>0</v>
      </c>
      <c r="L33" s="327">
        <f t="shared" si="7"/>
        <v>441320</v>
      </c>
      <c r="M33" s="205"/>
      <c r="N33" s="366">
        <v>441320</v>
      </c>
      <c r="O33" s="327">
        <f t="shared" si="6"/>
        <v>0</v>
      </c>
      <c r="P33" s="214"/>
      <c r="Q33" s="201"/>
      <c r="W33" s="201"/>
      <c r="AP33"/>
    </row>
    <row r="34" spans="1:42">
      <c r="A34" s="322">
        <v>41517</v>
      </c>
      <c r="B34" s="323" t="s">
        <v>579</v>
      </c>
      <c r="C34" s="328">
        <f t="shared" si="3"/>
        <v>1298</v>
      </c>
      <c r="D34" s="323" t="s">
        <v>579</v>
      </c>
      <c r="E34" s="321">
        <f t="shared" si="4"/>
        <v>340</v>
      </c>
      <c r="F34" s="351"/>
      <c r="G34" s="351"/>
      <c r="H34" s="323" t="s">
        <v>579</v>
      </c>
      <c r="I34" s="324">
        <f t="shared" si="5"/>
        <v>1496</v>
      </c>
      <c r="J34" s="325" t="s">
        <v>579</v>
      </c>
      <c r="K34" s="321">
        <v>0</v>
      </c>
      <c r="L34" s="327">
        <f t="shared" si="7"/>
        <v>441320</v>
      </c>
      <c r="M34" s="205"/>
      <c r="N34" s="366">
        <v>441320</v>
      </c>
      <c r="O34" s="327">
        <f t="shared" si="6"/>
        <v>0</v>
      </c>
      <c r="P34" s="214"/>
      <c r="Q34" s="201"/>
      <c r="W34" s="201"/>
      <c r="AP34"/>
    </row>
    <row r="35" spans="1:42">
      <c r="A35" s="322">
        <v>41547</v>
      </c>
      <c r="B35" s="323" t="s">
        <v>579</v>
      </c>
      <c r="C35" s="328">
        <f>IF(B35="--",C34,C34*B35)</f>
        <v>1298</v>
      </c>
      <c r="D35" s="323" t="s">
        <v>579</v>
      </c>
      <c r="E35" s="321">
        <f t="shared" si="4"/>
        <v>340</v>
      </c>
      <c r="F35" s="351"/>
      <c r="G35" s="351"/>
      <c r="H35" s="323" t="s">
        <v>579</v>
      </c>
      <c r="I35" s="324">
        <f t="shared" si="5"/>
        <v>1450</v>
      </c>
      <c r="J35" s="325" t="s">
        <v>579</v>
      </c>
      <c r="K35" s="321">
        <v>0</v>
      </c>
      <c r="L35" s="327">
        <f t="shared" si="7"/>
        <v>441320</v>
      </c>
      <c r="M35" s="205"/>
      <c r="N35" s="366">
        <v>441320</v>
      </c>
      <c r="O35" s="327">
        <f t="shared" si="6"/>
        <v>0</v>
      </c>
      <c r="P35" s="214"/>
      <c r="Q35" s="201"/>
      <c r="W35" s="201"/>
      <c r="AP35"/>
    </row>
    <row r="36" spans="1:42">
      <c r="A36" s="322">
        <v>41578</v>
      </c>
      <c r="B36" s="323" t="s">
        <v>579</v>
      </c>
      <c r="C36" s="328">
        <f>IF(B36="--",C35,C35*B36)</f>
        <v>1298</v>
      </c>
      <c r="D36" s="323" t="s">
        <v>579</v>
      </c>
      <c r="E36" s="321">
        <f t="shared" si="4"/>
        <v>340</v>
      </c>
      <c r="F36" s="351"/>
      <c r="G36" s="351"/>
      <c r="H36" s="323" t="s">
        <v>579</v>
      </c>
      <c r="I36" s="324">
        <f t="shared" si="5"/>
        <v>1496</v>
      </c>
      <c r="J36" s="325" t="s">
        <v>579</v>
      </c>
      <c r="K36" s="321">
        <v>0</v>
      </c>
      <c r="L36" s="327">
        <f>(E36*C36)+(I36*K36)</f>
        <v>441320</v>
      </c>
      <c r="M36" s="394"/>
      <c r="N36" s="366">
        <v>441320</v>
      </c>
      <c r="O36" s="327">
        <f t="shared" si="6"/>
        <v>0</v>
      </c>
      <c r="P36" s="399"/>
      <c r="Q36" s="201"/>
      <c r="W36" s="201"/>
      <c r="AP36"/>
    </row>
    <row r="37" spans="1:42">
      <c r="A37" s="322">
        <v>41608</v>
      </c>
      <c r="B37" s="323" t="s">
        <v>579</v>
      </c>
      <c r="C37" s="558">
        <v>1479</v>
      </c>
      <c r="D37" s="323" t="s">
        <v>579</v>
      </c>
      <c r="E37" s="321">
        <f t="shared" si="4"/>
        <v>340</v>
      </c>
      <c r="F37" s="351"/>
      <c r="G37" s="351"/>
      <c r="H37" s="323" t="s">
        <v>579</v>
      </c>
      <c r="I37" s="324">
        <f t="shared" si="5"/>
        <v>1450</v>
      </c>
      <c r="J37" s="325" t="s">
        <v>579</v>
      </c>
      <c r="K37" s="321">
        <v>0</v>
      </c>
      <c r="L37" s="327">
        <f>(E37*C37)+(I37*K37)</f>
        <v>502860</v>
      </c>
      <c r="M37" s="394"/>
      <c r="N37" s="330">
        <v>502860</v>
      </c>
      <c r="O37" s="327">
        <f t="shared" si="6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>
      <c r="A38" s="322">
        <v>41639</v>
      </c>
      <c r="B38" s="323" t="s">
        <v>579</v>
      </c>
      <c r="C38" s="328">
        <f t="shared" si="3"/>
        <v>1479</v>
      </c>
      <c r="D38" s="323" t="s">
        <v>579</v>
      </c>
      <c r="E38" s="321">
        <f t="shared" si="4"/>
        <v>340</v>
      </c>
      <c r="F38" s="351"/>
      <c r="G38" s="351"/>
      <c r="H38" s="323" t="s">
        <v>579</v>
      </c>
      <c r="I38" s="324">
        <f t="shared" si="5"/>
        <v>1496</v>
      </c>
      <c r="J38" s="325" t="s">
        <v>579</v>
      </c>
      <c r="K38" s="321">
        <v>0</v>
      </c>
      <c r="L38" s="327">
        <f>(E38*C38)+(I38*K38)</f>
        <v>502860</v>
      </c>
      <c r="M38" s="205"/>
      <c r="N38" s="330">
        <v>502860</v>
      </c>
      <c r="O38" s="327">
        <f t="shared" si="6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>
      <c r="A39" s="322">
        <v>41670</v>
      </c>
      <c r="B39" s="323" t="s">
        <v>579</v>
      </c>
      <c r="C39" s="328">
        <f t="shared" si="3"/>
        <v>1479</v>
      </c>
      <c r="D39" s="323" t="s">
        <v>579</v>
      </c>
      <c r="E39" s="321">
        <f t="shared" si="4"/>
        <v>340</v>
      </c>
      <c r="F39" s="351"/>
      <c r="G39" s="351"/>
      <c r="H39" s="323" t="s">
        <v>579</v>
      </c>
      <c r="I39" s="324">
        <f t="shared" si="5"/>
        <v>1496</v>
      </c>
      <c r="J39" s="325" t="s">
        <v>579</v>
      </c>
      <c r="K39" s="321">
        <v>0</v>
      </c>
      <c r="L39" s="327">
        <f>(E39*C39)+(I39*K39)</f>
        <v>502860</v>
      </c>
      <c r="M39" s="394"/>
      <c r="N39" s="366">
        <f>-'BPA Statement'!K192</f>
        <v>502860</v>
      </c>
      <c r="O39" s="327">
        <f t="shared" si="6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>
      <c r="A40" s="322">
        <v>41698</v>
      </c>
      <c r="B40" s="323" t="s">
        <v>579</v>
      </c>
      <c r="C40" s="328">
        <f t="shared" si="3"/>
        <v>1479</v>
      </c>
      <c r="D40" s="323" t="s">
        <v>579</v>
      </c>
      <c r="E40" s="321">
        <f t="shared" si="4"/>
        <v>340</v>
      </c>
      <c r="F40" s="351"/>
      <c r="G40" s="351"/>
      <c r="H40" s="323" t="s">
        <v>579</v>
      </c>
      <c r="I40" s="324">
        <f t="shared" si="5"/>
        <v>1358</v>
      </c>
      <c r="J40" s="325" t="s">
        <v>579</v>
      </c>
      <c r="K40" s="321">
        <v>0</v>
      </c>
      <c r="L40" s="327">
        <f t="shared" si="7"/>
        <v>502860</v>
      </c>
      <c r="M40" s="205"/>
      <c r="N40" s="366">
        <f>-'BPA Statement'!K194</f>
        <v>502860</v>
      </c>
      <c r="O40" s="327">
        <f t="shared" ref="O40:O63" si="8">L40-N40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>
      <c r="A41" s="322">
        <v>41729</v>
      </c>
      <c r="B41" s="323" t="s">
        <v>579</v>
      </c>
      <c r="C41" s="328">
        <f t="shared" si="3"/>
        <v>1479</v>
      </c>
      <c r="D41" s="323" t="s">
        <v>579</v>
      </c>
      <c r="E41" s="321">
        <f t="shared" si="4"/>
        <v>340</v>
      </c>
      <c r="F41" s="351"/>
      <c r="G41" s="351"/>
      <c r="H41" s="323" t="s">
        <v>579</v>
      </c>
      <c r="I41" s="324">
        <f t="shared" si="5"/>
        <v>1496</v>
      </c>
      <c r="J41" s="325" t="s">
        <v>579</v>
      </c>
      <c r="K41" s="321">
        <v>0</v>
      </c>
      <c r="L41" s="327">
        <f t="shared" si="7"/>
        <v>502860</v>
      </c>
      <c r="M41" s="205"/>
      <c r="N41" s="366">
        <f>-'BPA Statement'!K196</f>
        <v>502860</v>
      </c>
      <c r="O41" s="327">
        <f t="shared" si="8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>
      <c r="A42" s="804">
        <v>41759</v>
      </c>
      <c r="B42" s="805" t="s">
        <v>579</v>
      </c>
      <c r="C42" s="806">
        <f t="shared" si="3"/>
        <v>1479</v>
      </c>
      <c r="D42" s="805" t="s">
        <v>579</v>
      </c>
      <c r="E42" s="807">
        <f t="shared" si="4"/>
        <v>340</v>
      </c>
      <c r="F42" s="808"/>
      <c r="G42" s="808"/>
      <c r="H42" s="805" t="s">
        <v>579</v>
      </c>
      <c r="I42" s="809">
        <f t="shared" si="5"/>
        <v>1450</v>
      </c>
      <c r="J42" s="810" t="s">
        <v>579</v>
      </c>
      <c r="K42" s="807">
        <v>0</v>
      </c>
      <c r="L42" s="811">
        <f t="shared" si="7"/>
        <v>502860</v>
      </c>
      <c r="M42" s="205"/>
      <c r="N42" s="366">
        <f>-'BPA Statement'!K200</f>
        <v>502860</v>
      </c>
      <c r="O42" s="327">
        <f t="shared" si="8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>
      <c r="A43" s="804">
        <v>41790</v>
      </c>
      <c r="B43" s="805" t="s">
        <v>579</v>
      </c>
      <c r="C43" s="806">
        <f t="shared" si="3"/>
        <v>1479</v>
      </c>
      <c r="D43" s="805" t="s">
        <v>579</v>
      </c>
      <c r="E43" s="807">
        <f t="shared" si="4"/>
        <v>340</v>
      </c>
      <c r="F43" s="808"/>
      <c r="G43" s="808"/>
      <c r="H43" s="805" t="s">
        <v>579</v>
      </c>
      <c r="I43" s="809">
        <f t="shared" si="5"/>
        <v>1496</v>
      </c>
      <c r="J43" s="810" t="s">
        <v>579</v>
      </c>
      <c r="K43" s="807">
        <v>0</v>
      </c>
      <c r="L43" s="811">
        <f t="shared" si="7"/>
        <v>502860</v>
      </c>
      <c r="M43" s="205"/>
      <c r="N43" s="366">
        <f>-'BPA Statement'!K202</f>
        <v>502860</v>
      </c>
      <c r="O43" s="327">
        <f t="shared" si="8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>
      <c r="A44" s="804">
        <v>41820</v>
      </c>
      <c r="B44" s="805" t="s">
        <v>579</v>
      </c>
      <c r="C44" s="806">
        <f t="shared" si="3"/>
        <v>1479</v>
      </c>
      <c r="D44" s="805" t="s">
        <v>579</v>
      </c>
      <c r="E44" s="807">
        <f t="shared" si="4"/>
        <v>340</v>
      </c>
      <c r="F44" s="808"/>
      <c r="G44" s="808"/>
      <c r="H44" s="805" t="s">
        <v>579</v>
      </c>
      <c r="I44" s="809">
        <f t="shared" si="5"/>
        <v>1450</v>
      </c>
      <c r="J44" s="810" t="s">
        <v>579</v>
      </c>
      <c r="K44" s="807">
        <v>0</v>
      </c>
      <c r="L44" s="811">
        <f t="shared" si="7"/>
        <v>502860</v>
      </c>
      <c r="M44" s="205"/>
      <c r="N44" s="366">
        <f>-'BPA Statement'!K204</f>
        <v>502860</v>
      </c>
      <c r="O44" s="327">
        <f t="shared" si="8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>
      <c r="A45" s="804">
        <v>41851</v>
      </c>
      <c r="B45" s="805" t="s">
        <v>579</v>
      </c>
      <c r="C45" s="806">
        <f t="shared" si="3"/>
        <v>1479</v>
      </c>
      <c r="D45" s="805" t="s">
        <v>579</v>
      </c>
      <c r="E45" s="807">
        <f t="shared" si="4"/>
        <v>340</v>
      </c>
      <c r="F45" s="808"/>
      <c r="G45" s="808"/>
      <c r="H45" s="805" t="s">
        <v>579</v>
      </c>
      <c r="I45" s="809">
        <f t="shared" si="5"/>
        <v>1496</v>
      </c>
      <c r="J45" s="810" t="s">
        <v>579</v>
      </c>
      <c r="K45" s="807">
        <v>0</v>
      </c>
      <c r="L45" s="811">
        <f t="shared" si="7"/>
        <v>502860</v>
      </c>
      <c r="M45" s="205"/>
      <c r="N45" s="366">
        <f>-'BPA Statement'!K210</f>
        <v>502860</v>
      </c>
      <c r="O45" s="327">
        <f t="shared" si="8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>
      <c r="A46" s="804">
        <v>41882</v>
      </c>
      <c r="B46" s="805" t="s">
        <v>579</v>
      </c>
      <c r="C46" s="806">
        <f t="shared" si="3"/>
        <v>1479</v>
      </c>
      <c r="D46" s="805" t="s">
        <v>579</v>
      </c>
      <c r="E46" s="807">
        <f t="shared" si="4"/>
        <v>340</v>
      </c>
      <c r="F46" s="808"/>
      <c r="G46" s="808"/>
      <c r="H46" s="805" t="s">
        <v>579</v>
      </c>
      <c r="I46" s="809">
        <f t="shared" si="5"/>
        <v>1496</v>
      </c>
      <c r="J46" s="810" t="s">
        <v>579</v>
      </c>
      <c r="K46" s="807">
        <v>0</v>
      </c>
      <c r="L46" s="811">
        <f t="shared" si="7"/>
        <v>502860</v>
      </c>
      <c r="M46" s="205"/>
      <c r="N46" s="366">
        <f>-'BPA Statement'!K212</f>
        <v>502860</v>
      </c>
      <c r="O46" s="327">
        <f t="shared" si="8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>
      <c r="A47" s="804">
        <v>41912</v>
      </c>
      <c r="B47" s="805" t="s">
        <v>579</v>
      </c>
      <c r="C47" s="806">
        <f t="shared" si="3"/>
        <v>1479</v>
      </c>
      <c r="D47" s="805" t="s">
        <v>579</v>
      </c>
      <c r="E47" s="807">
        <f t="shared" si="4"/>
        <v>340</v>
      </c>
      <c r="F47" s="808"/>
      <c r="G47" s="808"/>
      <c r="H47" s="805" t="s">
        <v>579</v>
      </c>
      <c r="I47" s="809">
        <f t="shared" si="5"/>
        <v>1450</v>
      </c>
      <c r="J47" s="810" t="s">
        <v>579</v>
      </c>
      <c r="K47" s="807">
        <v>0</v>
      </c>
      <c r="L47" s="811">
        <f t="shared" si="7"/>
        <v>502860</v>
      </c>
      <c r="M47" s="205"/>
      <c r="N47" s="366">
        <f>-'BPA Statement'!K214</f>
        <v>502860</v>
      </c>
      <c r="O47" s="327">
        <f t="shared" si="8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>
      <c r="A48" s="804">
        <v>41943</v>
      </c>
      <c r="B48" s="805" t="s">
        <v>579</v>
      </c>
      <c r="C48" s="806">
        <f t="shared" si="3"/>
        <v>1479</v>
      </c>
      <c r="D48" s="805" t="s">
        <v>579</v>
      </c>
      <c r="E48" s="807">
        <f t="shared" si="4"/>
        <v>340</v>
      </c>
      <c r="F48" s="808"/>
      <c r="G48" s="808"/>
      <c r="H48" s="805" t="s">
        <v>579</v>
      </c>
      <c r="I48" s="809">
        <f>5*60+(DAY(A48)-5)*46</f>
        <v>1496</v>
      </c>
      <c r="J48" s="810" t="s">
        <v>579</v>
      </c>
      <c r="K48" s="807">
        <v>0</v>
      </c>
      <c r="L48" s="811">
        <f>(E48*C48)+(I48*K48)</f>
        <v>502860</v>
      </c>
      <c r="M48" s="205"/>
      <c r="N48" s="366">
        <f>-'BPA Statement'!K217</f>
        <v>502860</v>
      </c>
      <c r="O48" s="327">
        <f t="shared" si="8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P48"/>
    </row>
    <row r="49" spans="1:42">
      <c r="A49" s="882">
        <v>41973</v>
      </c>
      <c r="B49" s="805" t="s">
        <v>579</v>
      </c>
      <c r="C49" s="806">
        <f t="shared" si="3"/>
        <v>1479</v>
      </c>
      <c r="D49" s="810" t="s">
        <v>579</v>
      </c>
      <c r="E49" s="808">
        <f t="shared" si="4"/>
        <v>340</v>
      </c>
      <c r="F49" s="885"/>
      <c r="G49" s="807"/>
      <c r="H49" s="810" t="s">
        <v>579</v>
      </c>
      <c r="I49" s="883">
        <f t="shared" si="5"/>
        <v>1450</v>
      </c>
      <c r="J49" s="805" t="s">
        <v>579</v>
      </c>
      <c r="K49" s="807">
        <v>0</v>
      </c>
      <c r="L49" s="884">
        <f>(E49*C49)+(I49*K49)</f>
        <v>502860</v>
      </c>
      <c r="M49" s="873"/>
      <c r="N49" s="366">
        <f>-'BPA Statement'!K219</f>
        <v>502860</v>
      </c>
      <c r="O49" s="327">
        <f t="shared" si="8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P49"/>
    </row>
    <row r="50" spans="1:42">
      <c r="A50" s="804">
        <v>42004</v>
      </c>
      <c r="B50" s="805" t="s">
        <v>579</v>
      </c>
      <c r="C50" s="806">
        <f t="shared" si="3"/>
        <v>1479</v>
      </c>
      <c r="D50" s="805" t="s">
        <v>579</v>
      </c>
      <c r="E50" s="807">
        <f t="shared" si="4"/>
        <v>340</v>
      </c>
      <c r="F50" s="808"/>
      <c r="G50" s="808"/>
      <c r="H50" s="805" t="s">
        <v>579</v>
      </c>
      <c r="I50" s="809">
        <f t="shared" si="5"/>
        <v>1496</v>
      </c>
      <c r="J50" s="810" t="s">
        <v>579</v>
      </c>
      <c r="K50" s="807">
        <v>0</v>
      </c>
      <c r="L50" s="811">
        <f>(E50*C50)+(I50*K50)</f>
        <v>502860</v>
      </c>
      <c r="M50" s="205"/>
      <c r="N50" s="366">
        <f>-'BPA Statement'!K221</f>
        <v>502860</v>
      </c>
      <c r="O50" s="327">
        <f t="shared" si="8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P50"/>
    </row>
    <row r="51" spans="1:42">
      <c r="A51" s="804">
        <v>42035</v>
      </c>
      <c r="B51" s="805" t="s">
        <v>579</v>
      </c>
      <c r="C51" s="806">
        <f t="shared" si="3"/>
        <v>1479</v>
      </c>
      <c r="D51" s="805" t="s">
        <v>579</v>
      </c>
      <c r="E51" s="807">
        <f t="shared" si="4"/>
        <v>340</v>
      </c>
      <c r="F51" s="808"/>
      <c r="G51" s="808"/>
      <c r="H51" s="805" t="s">
        <v>579</v>
      </c>
      <c r="I51" s="809">
        <f t="shared" si="5"/>
        <v>1496</v>
      </c>
      <c r="J51" s="810" t="s">
        <v>579</v>
      </c>
      <c r="K51" s="807">
        <v>0</v>
      </c>
      <c r="L51" s="811">
        <f>(E51*C51)+(I51*K51)</f>
        <v>502860</v>
      </c>
      <c r="M51" s="205"/>
      <c r="N51" s="366">
        <f>-'BPA Statement'!K226</f>
        <v>502860</v>
      </c>
      <c r="O51" s="327">
        <f t="shared" si="8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P51"/>
    </row>
    <row r="52" spans="1:42">
      <c r="A52" s="804">
        <v>42063</v>
      </c>
      <c r="B52" s="805" t="s">
        <v>579</v>
      </c>
      <c r="C52" s="806">
        <f t="shared" si="3"/>
        <v>1479</v>
      </c>
      <c r="D52" s="805" t="s">
        <v>579</v>
      </c>
      <c r="E52" s="807">
        <f t="shared" si="4"/>
        <v>340</v>
      </c>
      <c r="F52" s="808"/>
      <c r="G52" s="808"/>
      <c r="H52" s="805" t="s">
        <v>579</v>
      </c>
      <c r="I52" s="809">
        <f t="shared" si="5"/>
        <v>1358</v>
      </c>
      <c r="J52" s="810" t="s">
        <v>579</v>
      </c>
      <c r="K52" s="807">
        <v>0</v>
      </c>
      <c r="L52" s="811">
        <f t="shared" si="7"/>
        <v>502860</v>
      </c>
      <c r="M52" s="205"/>
      <c r="N52" s="366">
        <f>-'BPA Statement'!K228</f>
        <v>502860</v>
      </c>
      <c r="O52" s="327">
        <f t="shared" si="8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2">
      <c r="A53" s="804">
        <v>42094</v>
      </c>
      <c r="B53" s="805" t="s">
        <v>579</v>
      </c>
      <c r="C53" s="806">
        <f t="shared" si="3"/>
        <v>1479</v>
      </c>
      <c r="D53" s="805" t="s">
        <v>579</v>
      </c>
      <c r="E53" s="807">
        <f t="shared" si="4"/>
        <v>340</v>
      </c>
      <c r="F53" s="808"/>
      <c r="G53" s="808"/>
      <c r="H53" s="805" t="s">
        <v>579</v>
      </c>
      <c r="I53" s="809">
        <f t="shared" si="5"/>
        <v>1496</v>
      </c>
      <c r="J53" s="810" t="s">
        <v>579</v>
      </c>
      <c r="K53" s="807">
        <v>0</v>
      </c>
      <c r="L53" s="811">
        <f t="shared" si="7"/>
        <v>502860</v>
      </c>
      <c r="M53" s="222"/>
      <c r="N53" s="366">
        <f>-'BPA Statement'!K230</f>
        <v>502860</v>
      </c>
      <c r="O53" s="327">
        <f t="shared" si="8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2">
      <c r="A54" s="804">
        <v>42124</v>
      </c>
      <c r="B54" s="805" t="s">
        <v>579</v>
      </c>
      <c r="C54" s="806">
        <f t="shared" si="3"/>
        <v>1479</v>
      </c>
      <c r="D54" s="805" t="s">
        <v>579</v>
      </c>
      <c r="E54" s="807">
        <f t="shared" si="4"/>
        <v>340</v>
      </c>
      <c r="F54" s="808"/>
      <c r="G54" s="808"/>
      <c r="H54" s="805" t="s">
        <v>579</v>
      </c>
      <c r="I54" s="809">
        <f t="shared" si="5"/>
        <v>1450</v>
      </c>
      <c r="J54" s="810" t="s">
        <v>579</v>
      </c>
      <c r="K54" s="807">
        <v>0</v>
      </c>
      <c r="L54" s="811">
        <f t="shared" si="7"/>
        <v>502860</v>
      </c>
      <c r="M54" s="222"/>
      <c r="N54" s="366">
        <f>-'BPA Statement'!K234</f>
        <v>502860</v>
      </c>
      <c r="O54" s="327">
        <f t="shared" si="8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2">
      <c r="A55" s="804">
        <v>42155</v>
      </c>
      <c r="B55" s="805" t="s">
        <v>579</v>
      </c>
      <c r="C55" s="806">
        <f t="shared" si="3"/>
        <v>1479</v>
      </c>
      <c r="D55" s="805" t="s">
        <v>579</v>
      </c>
      <c r="E55" s="807">
        <f t="shared" si="4"/>
        <v>340</v>
      </c>
      <c r="F55" s="808"/>
      <c r="G55" s="808"/>
      <c r="H55" s="805" t="s">
        <v>579</v>
      </c>
      <c r="I55" s="809">
        <f t="shared" si="5"/>
        <v>1496</v>
      </c>
      <c r="J55" s="810" t="s">
        <v>579</v>
      </c>
      <c r="K55" s="807">
        <v>0</v>
      </c>
      <c r="L55" s="811">
        <f t="shared" si="7"/>
        <v>502860</v>
      </c>
      <c r="M55" s="898"/>
      <c r="N55" s="897">
        <f>-'BPA Statement'!K236</f>
        <v>502860</v>
      </c>
      <c r="O55" s="327">
        <f t="shared" si="8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2">
      <c r="A56" s="804">
        <v>42185</v>
      </c>
      <c r="B56" s="805" t="s">
        <v>579</v>
      </c>
      <c r="C56" s="806">
        <f t="shared" si="3"/>
        <v>1479</v>
      </c>
      <c r="D56" s="805" t="s">
        <v>579</v>
      </c>
      <c r="E56" s="807">
        <f t="shared" si="4"/>
        <v>340</v>
      </c>
      <c r="F56" s="808"/>
      <c r="G56" s="808"/>
      <c r="H56" s="805" t="s">
        <v>579</v>
      </c>
      <c r="I56" s="809">
        <f t="shared" si="5"/>
        <v>1450</v>
      </c>
      <c r="J56" s="810" t="s">
        <v>579</v>
      </c>
      <c r="K56" s="807">
        <v>0</v>
      </c>
      <c r="L56" s="811">
        <f t="shared" si="7"/>
        <v>502860</v>
      </c>
      <c r="M56" s="898"/>
      <c r="N56" s="897">
        <f>-'BPA Statement'!K238</f>
        <v>502860</v>
      </c>
      <c r="O56" s="327">
        <f t="shared" si="8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2">
      <c r="A57" s="804">
        <v>42216</v>
      </c>
      <c r="B57" s="805" t="s">
        <v>579</v>
      </c>
      <c r="C57" s="806">
        <f t="shared" si="3"/>
        <v>1479</v>
      </c>
      <c r="D57" s="805" t="s">
        <v>579</v>
      </c>
      <c r="E57" s="807">
        <f t="shared" si="4"/>
        <v>340</v>
      </c>
      <c r="F57" s="808"/>
      <c r="G57" s="808"/>
      <c r="H57" s="805" t="s">
        <v>579</v>
      </c>
      <c r="I57" s="809">
        <f t="shared" si="5"/>
        <v>1496</v>
      </c>
      <c r="J57" s="810" t="s">
        <v>579</v>
      </c>
      <c r="K57" s="807">
        <v>0</v>
      </c>
      <c r="L57" s="811">
        <f t="shared" si="7"/>
        <v>502860</v>
      </c>
      <c r="M57" s="222"/>
      <c r="N57" s="897">
        <f>-'BPA Statement'!K242</f>
        <v>502860</v>
      </c>
      <c r="O57" s="327">
        <f t="shared" si="8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2">
      <c r="A58" s="910">
        <v>42247</v>
      </c>
      <c r="B58" s="805" t="s">
        <v>579</v>
      </c>
      <c r="C58" s="806">
        <f t="shared" si="3"/>
        <v>1479</v>
      </c>
      <c r="D58" s="810" t="s">
        <v>579</v>
      </c>
      <c r="E58" s="807">
        <f t="shared" si="4"/>
        <v>340</v>
      </c>
      <c r="F58" s="808"/>
      <c r="G58" s="808"/>
      <c r="H58" s="805" t="s">
        <v>579</v>
      </c>
      <c r="I58" s="809">
        <f t="shared" si="5"/>
        <v>1496</v>
      </c>
      <c r="J58" s="810" t="s">
        <v>579</v>
      </c>
      <c r="K58" s="807">
        <v>0</v>
      </c>
      <c r="L58" s="811">
        <f t="shared" si="7"/>
        <v>502860</v>
      </c>
      <c r="M58" s="222"/>
      <c r="N58" s="897">
        <f>-'BPA Statement'!K244</f>
        <v>502860</v>
      </c>
      <c r="O58" s="327">
        <f t="shared" si="8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2">
      <c r="A59" s="910">
        <v>42277</v>
      </c>
      <c r="B59" s="805" t="s">
        <v>579</v>
      </c>
      <c r="C59" s="806">
        <f>IF(B59="--",C58,C58*B59)</f>
        <v>1479</v>
      </c>
      <c r="D59" s="810" t="s">
        <v>579</v>
      </c>
      <c r="E59" s="807">
        <f t="shared" si="4"/>
        <v>340</v>
      </c>
      <c r="F59" s="808"/>
      <c r="G59" s="808"/>
      <c r="H59" s="805" t="s">
        <v>579</v>
      </c>
      <c r="I59" s="809">
        <f t="shared" si="5"/>
        <v>1450</v>
      </c>
      <c r="J59" s="810" t="s">
        <v>579</v>
      </c>
      <c r="K59" s="807">
        <v>0</v>
      </c>
      <c r="L59" s="811">
        <f t="shared" si="7"/>
        <v>502860</v>
      </c>
      <c r="M59" s="222"/>
      <c r="N59" s="897">
        <f>-'BPA Statement'!K246</f>
        <v>502860</v>
      </c>
      <c r="O59" s="327">
        <f t="shared" si="8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2">
      <c r="A60" s="906">
        <v>42308</v>
      </c>
      <c r="B60" s="901"/>
      <c r="C60" s="806">
        <v>1479</v>
      </c>
      <c r="D60" s="905" t="s">
        <v>579</v>
      </c>
      <c r="E60" s="904">
        <f>IF(D60="--",E59,E59+D60)</f>
        <v>340</v>
      </c>
      <c r="F60" s="911"/>
      <c r="G60" s="903"/>
      <c r="H60" s="905" t="s">
        <v>579</v>
      </c>
      <c r="I60" s="907">
        <f>5*60+(DAY(A60)-5)*46</f>
        <v>1496</v>
      </c>
      <c r="J60" s="902" t="s">
        <v>579</v>
      </c>
      <c r="K60" s="903">
        <v>0</v>
      </c>
      <c r="L60" s="908">
        <f>(E60*C60)+(I60*K60)</f>
        <v>502860</v>
      </c>
      <c r="M60" s="222"/>
      <c r="N60" s="897">
        <f>-'BPA Statement'!K250</f>
        <v>502860</v>
      </c>
      <c r="O60" s="327">
        <f t="shared" si="8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2">
      <c r="A61" s="882">
        <v>42338</v>
      </c>
      <c r="B61" s="805" t="s">
        <v>579</v>
      </c>
      <c r="C61" s="806">
        <v>1489</v>
      </c>
      <c r="D61" s="810" t="s">
        <v>579</v>
      </c>
      <c r="E61" s="808">
        <f>IF(D61="--",E60,E60+D61)</f>
        <v>340</v>
      </c>
      <c r="F61" s="885"/>
      <c r="G61" s="807"/>
      <c r="H61" s="810" t="s">
        <v>579</v>
      </c>
      <c r="I61" s="883">
        <f t="shared" si="5"/>
        <v>1450</v>
      </c>
      <c r="J61" s="805" t="s">
        <v>579</v>
      </c>
      <c r="K61" s="807">
        <v>0</v>
      </c>
      <c r="L61" s="884">
        <f>(E61*C61)+(I61*K61)</f>
        <v>506260</v>
      </c>
      <c r="M61" s="222"/>
      <c r="N61" s="909">
        <f>-'BPA Statement'!K252</f>
        <v>506260</v>
      </c>
      <c r="O61" s="327">
        <f t="shared" si="8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2">
      <c r="A62" s="804">
        <v>42369</v>
      </c>
      <c r="B62" s="805" t="s">
        <v>579</v>
      </c>
      <c r="C62" s="806">
        <f t="shared" si="3"/>
        <v>1489</v>
      </c>
      <c r="D62" s="805" t="s">
        <v>579</v>
      </c>
      <c r="E62" s="807">
        <f>IF(D62="--",E61,E61+D62)</f>
        <v>340</v>
      </c>
      <c r="F62" s="808"/>
      <c r="G62" s="808"/>
      <c r="H62" s="805" t="s">
        <v>579</v>
      </c>
      <c r="I62" s="809">
        <f t="shared" si="5"/>
        <v>1496</v>
      </c>
      <c r="J62" s="810" t="s">
        <v>579</v>
      </c>
      <c r="K62" s="807">
        <v>0</v>
      </c>
      <c r="L62" s="811">
        <f>(E62*C62)+(I62*K62)</f>
        <v>506260</v>
      </c>
      <c r="M62" s="222"/>
      <c r="N62" s="909">
        <f>-'BPA Statement'!K254</f>
        <v>506260</v>
      </c>
      <c r="O62" s="327">
        <f t="shared" si="8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2">
      <c r="A63" s="804">
        <v>42400</v>
      </c>
      <c r="B63" s="805" t="s">
        <v>579</v>
      </c>
      <c r="C63" s="806">
        <f t="shared" si="3"/>
        <v>1489</v>
      </c>
      <c r="D63" s="805" t="s">
        <v>579</v>
      </c>
      <c r="E63" s="807">
        <f>IF(D63="--",E62,E62+D63)</f>
        <v>340</v>
      </c>
      <c r="F63" s="808"/>
      <c r="G63" s="808"/>
      <c r="H63" s="805" t="s">
        <v>579</v>
      </c>
      <c r="I63" s="809">
        <f t="shared" si="5"/>
        <v>1496</v>
      </c>
      <c r="J63" s="810" t="s">
        <v>579</v>
      </c>
      <c r="K63" s="807">
        <v>0</v>
      </c>
      <c r="L63" s="811">
        <f>(E63*C63)+(I63*K63)</f>
        <v>506260</v>
      </c>
      <c r="M63" s="222"/>
      <c r="N63" s="909">
        <f>-'BPA Statement'!K258</f>
        <v>506260</v>
      </c>
      <c r="O63" s="327">
        <f t="shared" si="8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2">
      <c r="A64" s="804">
        <v>42429</v>
      </c>
      <c r="B64" s="805" t="s">
        <v>579</v>
      </c>
      <c r="C64" s="806">
        <f t="shared" si="3"/>
        <v>1489</v>
      </c>
      <c r="D64" s="805" t="s">
        <v>579</v>
      </c>
      <c r="E64" s="807">
        <f t="shared" ref="E64:E83" si="9">IF(D64="--",E63,E63+D64)</f>
        <v>340</v>
      </c>
      <c r="F64" s="808"/>
      <c r="G64" s="808"/>
      <c r="H64" s="805" t="s">
        <v>579</v>
      </c>
      <c r="I64" s="809">
        <f t="shared" si="5"/>
        <v>1404</v>
      </c>
      <c r="J64" s="810" t="s">
        <v>579</v>
      </c>
      <c r="K64" s="807">
        <v>0</v>
      </c>
      <c r="L64" s="811">
        <f t="shared" si="7"/>
        <v>506260</v>
      </c>
      <c r="M64" s="222"/>
      <c r="N64" s="909">
        <f>-'BPA Statement'!K260</f>
        <v>506260</v>
      </c>
      <c r="O64" s="327">
        <f t="shared" ref="O64:O71" si="10">L64-N64</f>
        <v>0</v>
      </c>
      <c r="P64"/>
      <c r="Q64"/>
      <c r="R64"/>
      <c r="S64"/>
      <c r="T64"/>
      <c r="U64"/>
      <c r="V64"/>
      <c r="W64"/>
    </row>
    <row r="65" spans="1:23">
      <c r="A65" s="804">
        <v>42460</v>
      </c>
      <c r="B65" s="805" t="s">
        <v>579</v>
      </c>
      <c r="C65" s="806">
        <f t="shared" si="3"/>
        <v>1489</v>
      </c>
      <c r="D65" s="805" t="s">
        <v>579</v>
      </c>
      <c r="E65" s="807">
        <f t="shared" si="9"/>
        <v>340</v>
      </c>
      <c r="F65" s="808"/>
      <c r="G65" s="808"/>
      <c r="H65" s="805" t="s">
        <v>579</v>
      </c>
      <c r="I65" s="809">
        <f t="shared" si="5"/>
        <v>1496</v>
      </c>
      <c r="J65" s="810" t="s">
        <v>579</v>
      </c>
      <c r="K65" s="807">
        <v>0</v>
      </c>
      <c r="L65" s="811">
        <f t="shared" si="7"/>
        <v>506260</v>
      </c>
      <c r="M65" s="222"/>
      <c r="N65" s="909">
        <f>-'BPA Statement'!K262</f>
        <v>506260</v>
      </c>
      <c r="O65" s="327">
        <f t="shared" si="10"/>
        <v>0</v>
      </c>
      <c r="P65"/>
      <c r="Q65"/>
      <c r="R65"/>
      <c r="S65"/>
      <c r="T65"/>
      <c r="U65"/>
      <c r="V65"/>
      <c r="W65"/>
    </row>
    <row r="66" spans="1:23">
      <c r="A66" s="804">
        <v>42490</v>
      </c>
      <c r="B66" s="805" t="s">
        <v>579</v>
      </c>
      <c r="C66" s="806">
        <f t="shared" si="3"/>
        <v>1489</v>
      </c>
      <c r="D66" s="805" t="s">
        <v>579</v>
      </c>
      <c r="E66" s="807">
        <f t="shared" si="9"/>
        <v>340</v>
      </c>
      <c r="F66" s="808"/>
      <c r="G66" s="808"/>
      <c r="H66" s="805" t="s">
        <v>579</v>
      </c>
      <c r="I66" s="809">
        <f t="shared" si="5"/>
        <v>1450</v>
      </c>
      <c r="J66" s="810" t="s">
        <v>579</v>
      </c>
      <c r="K66" s="807">
        <v>0</v>
      </c>
      <c r="L66" s="811">
        <f t="shared" si="7"/>
        <v>506260</v>
      </c>
      <c r="M66" s="222"/>
      <c r="N66" s="909">
        <f>-'BPA Statement'!K266</f>
        <v>506260</v>
      </c>
      <c r="O66" s="327">
        <f t="shared" si="10"/>
        <v>0</v>
      </c>
    </row>
    <row r="67" spans="1:23">
      <c r="A67" s="804">
        <v>42521</v>
      </c>
      <c r="B67" s="805" t="s">
        <v>579</v>
      </c>
      <c r="C67" s="806">
        <f t="shared" si="3"/>
        <v>1489</v>
      </c>
      <c r="D67" s="805" t="s">
        <v>579</v>
      </c>
      <c r="E67" s="807">
        <f t="shared" si="9"/>
        <v>340</v>
      </c>
      <c r="F67" s="808"/>
      <c r="G67" s="808"/>
      <c r="H67" s="805" t="s">
        <v>579</v>
      </c>
      <c r="I67" s="809">
        <f t="shared" si="5"/>
        <v>1496</v>
      </c>
      <c r="J67" s="810" t="s">
        <v>579</v>
      </c>
      <c r="K67" s="807">
        <v>0</v>
      </c>
      <c r="L67" s="811">
        <f t="shared" si="7"/>
        <v>506260</v>
      </c>
      <c r="M67" s="222"/>
      <c r="N67" s="909">
        <f>-'BPA Statement'!K268</f>
        <v>506260</v>
      </c>
      <c r="O67" s="327">
        <f t="shared" si="10"/>
        <v>0</v>
      </c>
    </row>
    <row r="68" spans="1:23">
      <c r="A68" s="804">
        <v>42551</v>
      </c>
      <c r="B68" s="805" t="s">
        <v>579</v>
      </c>
      <c r="C68" s="806">
        <f t="shared" si="3"/>
        <v>1489</v>
      </c>
      <c r="D68" s="805" t="s">
        <v>579</v>
      </c>
      <c r="E68" s="807">
        <f t="shared" si="9"/>
        <v>340</v>
      </c>
      <c r="F68" s="808"/>
      <c r="G68" s="808"/>
      <c r="H68" s="805" t="s">
        <v>579</v>
      </c>
      <c r="I68" s="809">
        <f t="shared" si="5"/>
        <v>1450</v>
      </c>
      <c r="J68" s="810" t="s">
        <v>579</v>
      </c>
      <c r="K68" s="807">
        <v>0</v>
      </c>
      <c r="L68" s="811">
        <f t="shared" si="7"/>
        <v>506260</v>
      </c>
      <c r="M68" s="222"/>
      <c r="N68" s="909">
        <f>-'BPA Statement'!K270</f>
        <v>506260</v>
      </c>
      <c r="O68" s="327">
        <f t="shared" si="10"/>
        <v>0</v>
      </c>
    </row>
    <row r="69" spans="1:23">
      <c r="A69" s="804">
        <v>42582</v>
      </c>
      <c r="B69" s="805" t="s">
        <v>579</v>
      </c>
      <c r="C69" s="806">
        <f t="shared" si="3"/>
        <v>1489</v>
      </c>
      <c r="D69" s="805" t="s">
        <v>579</v>
      </c>
      <c r="E69" s="807">
        <f t="shared" si="9"/>
        <v>340</v>
      </c>
      <c r="F69" s="808"/>
      <c r="G69" s="808"/>
      <c r="H69" s="805" t="s">
        <v>579</v>
      </c>
      <c r="I69" s="809">
        <f t="shared" si="5"/>
        <v>1496</v>
      </c>
      <c r="J69" s="810" t="s">
        <v>579</v>
      </c>
      <c r="K69" s="807">
        <v>0</v>
      </c>
      <c r="L69" s="811">
        <f t="shared" si="7"/>
        <v>506260</v>
      </c>
      <c r="M69" s="222"/>
      <c r="N69" s="909">
        <f>-'BPA Statement'!K274</f>
        <v>506260</v>
      </c>
      <c r="O69" s="327">
        <f t="shared" si="10"/>
        <v>0</v>
      </c>
    </row>
    <row r="70" spans="1:23">
      <c r="A70" s="804">
        <v>42613</v>
      </c>
      <c r="B70" s="805" t="s">
        <v>579</v>
      </c>
      <c r="C70" s="806">
        <f t="shared" si="3"/>
        <v>1489</v>
      </c>
      <c r="D70" s="805" t="s">
        <v>579</v>
      </c>
      <c r="E70" s="807">
        <f t="shared" si="9"/>
        <v>340</v>
      </c>
      <c r="F70" s="808"/>
      <c r="G70" s="808"/>
      <c r="H70" s="805" t="s">
        <v>579</v>
      </c>
      <c r="I70" s="809">
        <f t="shared" si="5"/>
        <v>1496</v>
      </c>
      <c r="J70" s="810" t="s">
        <v>579</v>
      </c>
      <c r="K70" s="807">
        <v>0</v>
      </c>
      <c r="L70" s="811">
        <f t="shared" si="7"/>
        <v>506260</v>
      </c>
      <c r="M70" s="222"/>
      <c r="N70" s="909">
        <f>-'BPA Statement'!K276</f>
        <v>506260</v>
      </c>
      <c r="O70" s="327">
        <f t="shared" si="10"/>
        <v>0</v>
      </c>
    </row>
    <row r="71" spans="1:23">
      <c r="A71" s="804">
        <v>42643</v>
      </c>
      <c r="B71" s="805" t="s">
        <v>579</v>
      </c>
      <c r="C71" s="806">
        <f t="shared" si="3"/>
        <v>1489</v>
      </c>
      <c r="D71" s="805" t="s">
        <v>579</v>
      </c>
      <c r="E71" s="807">
        <f t="shared" si="9"/>
        <v>340</v>
      </c>
      <c r="F71" s="808"/>
      <c r="G71" s="808"/>
      <c r="H71" s="805" t="s">
        <v>579</v>
      </c>
      <c r="I71" s="809">
        <f t="shared" si="5"/>
        <v>1450</v>
      </c>
      <c r="J71" s="810" t="s">
        <v>579</v>
      </c>
      <c r="K71" s="807">
        <v>0</v>
      </c>
      <c r="L71" s="811">
        <f t="shared" si="7"/>
        <v>506260</v>
      </c>
      <c r="M71" s="222"/>
      <c r="N71" s="909">
        <f>-'BPA Statement'!K278</f>
        <v>506260</v>
      </c>
      <c r="O71" s="327">
        <f t="shared" si="10"/>
        <v>0</v>
      </c>
    </row>
    <row r="72" spans="1:23">
      <c r="A72" s="216">
        <v>42674</v>
      </c>
      <c r="B72" s="217" t="s">
        <v>579</v>
      </c>
      <c r="C72" s="218">
        <f t="shared" si="3"/>
        <v>1489</v>
      </c>
      <c r="D72" s="217" t="s">
        <v>579</v>
      </c>
      <c r="E72" s="219">
        <f t="shared" si="9"/>
        <v>340</v>
      </c>
      <c r="F72" s="352"/>
      <c r="G72" s="352"/>
      <c r="H72" s="207" t="s">
        <v>579</v>
      </c>
      <c r="I72" s="210">
        <f t="shared" si="5"/>
        <v>1496</v>
      </c>
      <c r="J72" s="211" t="s">
        <v>579</v>
      </c>
      <c r="K72" s="209">
        <v>0</v>
      </c>
      <c r="L72" s="212">
        <f>(E72*C72)+(I72*K72)</f>
        <v>506260</v>
      </c>
      <c r="M72" s="222"/>
      <c r="N72" s="191"/>
      <c r="O72" s="220"/>
    </row>
    <row r="73" spans="1:23">
      <c r="A73" s="216">
        <v>42704</v>
      </c>
      <c r="B73" s="217" t="s">
        <v>579</v>
      </c>
      <c r="C73" s="218">
        <f t="shared" si="3"/>
        <v>1489</v>
      </c>
      <c r="D73" s="217" t="s">
        <v>579</v>
      </c>
      <c r="E73" s="219">
        <f t="shared" si="9"/>
        <v>340</v>
      </c>
      <c r="F73" s="352"/>
      <c r="G73" s="352"/>
      <c r="H73" s="207" t="s">
        <v>579</v>
      </c>
      <c r="I73" s="210">
        <f t="shared" si="5"/>
        <v>1450</v>
      </c>
      <c r="J73" s="211" t="s">
        <v>579</v>
      </c>
      <c r="K73" s="209">
        <v>0</v>
      </c>
      <c r="L73" s="212">
        <f>(E73*C73)+(I73*K73)</f>
        <v>506260</v>
      </c>
      <c r="M73" s="222"/>
      <c r="N73" s="191"/>
      <c r="O73" s="220"/>
    </row>
    <row r="74" spans="1:23">
      <c r="A74" s="216">
        <v>42735</v>
      </c>
      <c r="B74" s="217" t="s">
        <v>579</v>
      </c>
      <c r="C74" s="218">
        <f t="shared" si="3"/>
        <v>1489</v>
      </c>
      <c r="D74" s="217" t="s">
        <v>579</v>
      </c>
      <c r="E74" s="219">
        <f t="shared" si="9"/>
        <v>340</v>
      </c>
      <c r="F74" s="352"/>
      <c r="G74" s="352"/>
      <c r="H74" s="207" t="s">
        <v>579</v>
      </c>
      <c r="I74" s="210">
        <f t="shared" si="5"/>
        <v>1496</v>
      </c>
      <c r="J74" s="211" t="s">
        <v>579</v>
      </c>
      <c r="K74" s="209">
        <v>0</v>
      </c>
      <c r="L74" s="212">
        <f>(E74*C74)+(I74*K74)</f>
        <v>506260</v>
      </c>
      <c r="M74" s="222"/>
      <c r="N74" s="191"/>
      <c r="O74" s="220"/>
    </row>
    <row r="75" spans="1:23">
      <c r="A75" s="216">
        <v>42766</v>
      </c>
      <c r="B75" s="217" t="s">
        <v>579</v>
      </c>
      <c r="C75" s="218">
        <f t="shared" si="3"/>
        <v>1489</v>
      </c>
      <c r="D75" s="217" t="s">
        <v>579</v>
      </c>
      <c r="E75" s="219">
        <f t="shared" si="9"/>
        <v>340</v>
      </c>
      <c r="F75" s="352"/>
      <c r="G75" s="352"/>
      <c r="H75" s="207" t="s">
        <v>579</v>
      </c>
      <c r="I75" s="210">
        <f t="shared" si="5"/>
        <v>1496</v>
      </c>
      <c r="J75" s="211" t="s">
        <v>579</v>
      </c>
      <c r="K75" s="209">
        <v>0</v>
      </c>
      <c r="L75" s="212">
        <f>(E75*C75)+(I75*K75)</f>
        <v>506260</v>
      </c>
      <c r="M75" s="222"/>
      <c r="N75" s="191"/>
      <c r="O75" s="220"/>
    </row>
    <row r="76" spans="1:23">
      <c r="A76" s="216">
        <v>42794</v>
      </c>
      <c r="B76" s="217" t="s">
        <v>579</v>
      </c>
      <c r="C76" s="218">
        <f t="shared" si="3"/>
        <v>1489</v>
      </c>
      <c r="D76" s="217" t="s">
        <v>579</v>
      </c>
      <c r="E76" s="219">
        <f t="shared" si="9"/>
        <v>340</v>
      </c>
      <c r="F76" s="352"/>
      <c r="G76" s="352"/>
      <c r="H76" s="207" t="s">
        <v>579</v>
      </c>
      <c r="I76" s="210">
        <f t="shared" si="5"/>
        <v>1358</v>
      </c>
      <c r="J76" s="211" t="s">
        <v>579</v>
      </c>
      <c r="K76" s="209">
        <v>0</v>
      </c>
      <c r="L76" s="213">
        <f t="shared" si="7"/>
        <v>506260</v>
      </c>
      <c r="M76" s="222"/>
      <c r="N76" s="191"/>
      <c r="O76" s="220"/>
      <c r="P76" s="214"/>
      <c r="Q76" s="201"/>
      <c r="W76" s="201"/>
    </row>
    <row r="77" spans="1:23">
      <c r="A77" s="216">
        <v>42825</v>
      </c>
      <c r="B77" s="217" t="s">
        <v>579</v>
      </c>
      <c r="C77" s="218">
        <f t="shared" si="3"/>
        <v>1489</v>
      </c>
      <c r="D77" s="217" t="s">
        <v>579</v>
      </c>
      <c r="E77" s="219">
        <f t="shared" si="9"/>
        <v>340</v>
      </c>
      <c r="F77" s="352"/>
      <c r="G77" s="352"/>
      <c r="H77" s="207" t="s">
        <v>579</v>
      </c>
      <c r="I77" s="210">
        <f t="shared" si="5"/>
        <v>1496</v>
      </c>
      <c r="J77" s="211" t="s">
        <v>579</v>
      </c>
      <c r="K77" s="209">
        <v>0</v>
      </c>
      <c r="L77" s="213">
        <f t="shared" si="7"/>
        <v>506260</v>
      </c>
      <c r="M77" s="222"/>
      <c r="N77" s="191"/>
      <c r="O77" s="220"/>
      <c r="P77" s="214"/>
      <c r="Q77" s="201"/>
      <c r="W77" s="201"/>
    </row>
    <row r="78" spans="1:23">
      <c r="A78" s="216">
        <v>42855</v>
      </c>
      <c r="B78" s="217" t="s">
        <v>579</v>
      </c>
      <c r="C78" s="218">
        <f t="shared" si="3"/>
        <v>1489</v>
      </c>
      <c r="D78" s="217" t="s">
        <v>579</v>
      </c>
      <c r="E78" s="219">
        <f t="shared" si="9"/>
        <v>340</v>
      </c>
      <c r="F78" s="352"/>
      <c r="G78" s="352"/>
      <c r="H78" s="207" t="s">
        <v>579</v>
      </c>
      <c r="I78" s="210">
        <f t="shared" si="5"/>
        <v>1450</v>
      </c>
      <c r="J78" s="211" t="s">
        <v>579</v>
      </c>
      <c r="K78" s="209">
        <v>0</v>
      </c>
      <c r="L78" s="213">
        <f t="shared" si="7"/>
        <v>506260</v>
      </c>
      <c r="M78" s="222"/>
      <c r="N78" s="191"/>
      <c r="O78" s="220"/>
      <c r="P78" s="214"/>
      <c r="Q78" s="201"/>
      <c r="W78" s="201"/>
    </row>
    <row r="79" spans="1:23">
      <c r="A79" s="216">
        <v>42886</v>
      </c>
      <c r="B79" s="217" t="s">
        <v>579</v>
      </c>
      <c r="C79" s="218">
        <f t="shared" si="3"/>
        <v>1489</v>
      </c>
      <c r="D79" s="217" t="s">
        <v>579</v>
      </c>
      <c r="E79" s="219">
        <f t="shared" si="9"/>
        <v>340</v>
      </c>
      <c r="F79" s="352"/>
      <c r="G79" s="352"/>
      <c r="H79" s="207" t="s">
        <v>579</v>
      </c>
      <c r="I79" s="210">
        <f t="shared" si="5"/>
        <v>1496</v>
      </c>
      <c r="J79" s="211" t="s">
        <v>579</v>
      </c>
      <c r="K79" s="209">
        <v>0</v>
      </c>
      <c r="L79" s="213">
        <f t="shared" si="7"/>
        <v>506260</v>
      </c>
      <c r="M79" s="222"/>
      <c r="N79" s="191"/>
      <c r="O79" s="220"/>
      <c r="P79" s="214"/>
      <c r="Q79" s="201"/>
      <c r="W79" s="201"/>
    </row>
    <row r="80" spans="1:23">
      <c r="A80" s="216">
        <v>42916</v>
      </c>
      <c r="B80" s="217" t="s">
        <v>579</v>
      </c>
      <c r="C80" s="218">
        <f t="shared" si="3"/>
        <v>1489</v>
      </c>
      <c r="D80" s="217" t="s">
        <v>579</v>
      </c>
      <c r="E80" s="219">
        <f t="shared" si="9"/>
        <v>340</v>
      </c>
      <c r="F80" s="352"/>
      <c r="G80" s="352"/>
      <c r="H80" s="207" t="s">
        <v>579</v>
      </c>
      <c r="I80" s="210">
        <f t="shared" si="5"/>
        <v>1450</v>
      </c>
      <c r="J80" s="211" t="s">
        <v>579</v>
      </c>
      <c r="K80" s="209">
        <v>0</v>
      </c>
      <c r="L80" s="213">
        <f t="shared" si="7"/>
        <v>506260</v>
      </c>
      <c r="M80" s="222"/>
      <c r="N80" s="191"/>
      <c r="O80" s="220"/>
      <c r="P80" s="214"/>
      <c r="Q80" s="201"/>
      <c r="W80" s="201"/>
    </row>
    <row r="81" spans="1:28">
      <c r="A81" s="216">
        <v>42947</v>
      </c>
      <c r="B81" s="217" t="s">
        <v>579</v>
      </c>
      <c r="C81" s="218">
        <f t="shared" si="3"/>
        <v>1489</v>
      </c>
      <c r="D81" s="217" t="s">
        <v>579</v>
      </c>
      <c r="E81" s="219">
        <f t="shared" si="9"/>
        <v>340</v>
      </c>
      <c r="F81" s="352"/>
      <c r="G81" s="352"/>
      <c r="H81" s="207" t="s">
        <v>579</v>
      </c>
      <c r="I81" s="210">
        <f t="shared" si="5"/>
        <v>1496</v>
      </c>
      <c r="J81" s="211" t="s">
        <v>579</v>
      </c>
      <c r="K81" s="209">
        <v>0</v>
      </c>
      <c r="L81" s="213">
        <f t="shared" si="7"/>
        <v>506260</v>
      </c>
      <c r="M81" s="222"/>
      <c r="N81" s="191"/>
      <c r="O81" s="220"/>
      <c r="P81" s="214"/>
      <c r="Q81" s="201"/>
      <c r="W81" s="201"/>
    </row>
    <row r="82" spans="1:28">
      <c r="A82" s="216">
        <v>42978</v>
      </c>
      <c r="B82" s="217" t="s">
        <v>579</v>
      </c>
      <c r="C82" s="218">
        <f t="shared" ref="C82:C145" si="11">IF(B82="--",C81,C81*B82)</f>
        <v>1489</v>
      </c>
      <c r="D82" s="217" t="s">
        <v>579</v>
      </c>
      <c r="E82" s="219">
        <f t="shared" si="9"/>
        <v>340</v>
      </c>
      <c r="F82" s="352"/>
      <c r="G82" s="352"/>
      <c r="H82" s="207" t="s">
        <v>579</v>
      </c>
      <c r="I82" s="210">
        <f t="shared" si="5"/>
        <v>1496</v>
      </c>
      <c r="J82" s="211" t="s">
        <v>579</v>
      </c>
      <c r="K82" s="209">
        <v>0</v>
      </c>
      <c r="L82" s="213">
        <f t="shared" si="7"/>
        <v>506260</v>
      </c>
      <c r="M82" s="222"/>
      <c r="N82" s="191"/>
      <c r="O82" s="220"/>
      <c r="P82" s="214"/>
      <c r="Q82" s="201"/>
      <c r="W82" s="201"/>
    </row>
    <row r="83" spans="1:28">
      <c r="A83" s="216">
        <v>43008</v>
      </c>
      <c r="B83" s="217" t="s">
        <v>579</v>
      </c>
      <c r="C83" s="218">
        <f t="shared" si="11"/>
        <v>1489</v>
      </c>
      <c r="D83" s="217" t="s">
        <v>579</v>
      </c>
      <c r="E83" s="219">
        <f t="shared" si="9"/>
        <v>340</v>
      </c>
      <c r="F83" s="352"/>
      <c r="G83" s="352"/>
      <c r="H83" s="207" t="s">
        <v>579</v>
      </c>
      <c r="I83" s="210">
        <f t="shared" si="5"/>
        <v>1450</v>
      </c>
      <c r="J83" s="211" t="s">
        <v>579</v>
      </c>
      <c r="K83" s="209">
        <v>0</v>
      </c>
      <c r="L83" s="213">
        <f t="shared" si="7"/>
        <v>506260</v>
      </c>
      <c r="M83" s="222"/>
      <c r="N83" s="191"/>
      <c r="O83" s="220"/>
      <c r="P83" s="214"/>
      <c r="Q83" s="201"/>
      <c r="W83" s="201"/>
    </row>
    <row r="84" spans="1:28" s="1242" customFormat="1">
      <c r="A84" s="1229">
        <v>43039</v>
      </c>
      <c r="B84" s="1230" t="s">
        <v>579</v>
      </c>
      <c r="C84" s="1231">
        <v>1471</v>
      </c>
      <c r="D84" s="1230" t="s">
        <v>579</v>
      </c>
      <c r="E84" s="1232">
        <f>IF(D84="--",E83,E83+D84)</f>
        <v>340</v>
      </c>
      <c r="F84" s="1233"/>
      <c r="G84" s="1233"/>
      <c r="H84" s="1230" t="s">
        <v>579</v>
      </c>
      <c r="I84" s="1234">
        <f t="shared" si="5"/>
        <v>1496</v>
      </c>
      <c r="J84" s="1235" t="s">
        <v>579</v>
      </c>
      <c r="K84" s="1232">
        <v>0</v>
      </c>
      <c r="L84" s="1236">
        <f t="shared" si="7"/>
        <v>500140</v>
      </c>
      <c r="M84" s="1237"/>
      <c r="N84" s="1238"/>
      <c r="O84" s="1239"/>
      <c r="P84" s="1240">
        <v>500140</v>
      </c>
      <c r="Q84" s="1241"/>
      <c r="V84" s="1243"/>
      <c r="W84" s="1241"/>
    </row>
    <row r="85" spans="1:28">
      <c r="A85" s="216">
        <v>43069</v>
      </c>
      <c r="B85" s="217" t="s">
        <v>579</v>
      </c>
      <c r="C85" s="218">
        <f t="shared" si="11"/>
        <v>1471</v>
      </c>
      <c r="D85" s="217" t="s">
        <v>579</v>
      </c>
      <c r="E85" s="219">
        <f>IF(D85="--",E84,E84+D85)</f>
        <v>340</v>
      </c>
      <c r="F85" s="352"/>
      <c r="G85" s="352"/>
      <c r="H85" s="207" t="s">
        <v>579</v>
      </c>
      <c r="I85" s="210">
        <f t="shared" si="5"/>
        <v>1450</v>
      </c>
      <c r="J85" s="211" t="s">
        <v>579</v>
      </c>
      <c r="K85" s="209">
        <v>0</v>
      </c>
      <c r="L85" s="213">
        <f t="shared" si="7"/>
        <v>500140</v>
      </c>
      <c r="M85" s="222"/>
      <c r="N85" s="191"/>
      <c r="O85" s="220"/>
      <c r="P85" s="912"/>
      <c r="Q85" s="913"/>
      <c r="R85" s="352"/>
      <c r="S85" s="352"/>
      <c r="T85" s="352"/>
      <c r="U85" s="211"/>
      <c r="V85" s="914"/>
      <c r="W85" s="211"/>
      <c r="X85" s="353"/>
      <c r="Y85" s="915"/>
      <c r="Z85" s="228"/>
      <c r="AA85" s="228"/>
      <c r="AB85" s="228"/>
    </row>
    <row r="86" spans="1:28">
      <c r="A86" s="216">
        <v>43100</v>
      </c>
      <c r="B86" s="217" t="s">
        <v>579</v>
      </c>
      <c r="C86" s="218">
        <f t="shared" si="11"/>
        <v>1471</v>
      </c>
      <c r="D86" s="217" t="s">
        <v>579</v>
      </c>
      <c r="E86" s="219">
        <f>IF(D86="--",E85,E85+D86)</f>
        <v>340</v>
      </c>
      <c r="F86" s="352"/>
      <c r="G86" s="352"/>
      <c r="H86" s="207" t="s">
        <v>579</v>
      </c>
      <c r="I86" s="210">
        <f t="shared" si="5"/>
        <v>1496</v>
      </c>
      <c r="J86" s="211" t="s">
        <v>579</v>
      </c>
      <c r="K86" s="209">
        <v>0</v>
      </c>
      <c r="L86" s="213">
        <f t="shared" si="7"/>
        <v>500140</v>
      </c>
      <c r="M86" s="222"/>
      <c r="N86" s="191"/>
      <c r="O86" s="220"/>
      <c r="P86" s="214"/>
      <c r="Q86" s="201"/>
      <c r="W86" s="201"/>
    </row>
    <row r="87" spans="1:28">
      <c r="A87" s="216">
        <v>43131</v>
      </c>
      <c r="B87" s="217" t="s">
        <v>579</v>
      </c>
      <c r="C87" s="218">
        <f t="shared" si="11"/>
        <v>1471</v>
      </c>
      <c r="D87" s="217" t="s">
        <v>579</v>
      </c>
      <c r="E87" s="219">
        <f>IF(D87="--",E86,E86+D87)</f>
        <v>340</v>
      </c>
      <c r="F87" s="352"/>
      <c r="G87" s="352"/>
      <c r="H87" s="207" t="s">
        <v>579</v>
      </c>
      <c r="I87" s="210">
        <f t="shared" ref="I87:I150" si="12">5*60+(DAY(A87)-5)*46</f>
        <v>1496</v>
      </c>
      <c r="J87" s="211" t="s">
        <v>579</v>
      </c>
      <c r="K87" s="209">
        <v>0</v>
      </c>
      <c r="L87" s="213">
        <f t="shared" ref="L87:L150" si="13">E87*C87</f>
        <v>500140</v>
      </c>
      <c r="M87" s="222"/>
      <c r="N87" s="191"/>
      <c r="O87" s="220"/>
      <c r="P87" s="214"/>
      <c r="Q87" s="201"/>
      <c r="W87" s="201"/>
    </row>
    <row r="88" spans="1:28">
      <c r="A88" s="216">
        <v>43159</v>
      </c>
      <c r="B88" s="217" t="s">
        <v>579</v>
      </c>
      <c r="C88" s="218">
        <f t="shared" si="11"/>
        <v>1471</v>
      </c>
      <c r="D88" s="217" t="s">
        <v>579</v>
      </c>
      <c r="E88" s="219">
        <f>IF(D88="--",E87,E87+D88)</f>
        <v>340</v>
      </c>
      <c r="F88" s="352"/>
      <c r="G88" s="352"/>
      <c r="H88" s="207" t="s">
        <v>579</v>
      </c>
      <c r="I88" s="210">
        <f t="shared" si="12"/>
        <v>1358</v>
      </c>
      <c r="J88" s="211" t="s">
        <v>579</v>
      </c>
      <c r="K88" s="209">
        <v>0</v>
      </c>
      <c r="L88" s="213">
        <f t="shared" si="13"/>
        <v>500140</v>
      </c>
      <c r="M88" s="222"/>
      <c r="N88" s="191"/>
      <c r="O88" s="220"/>
      <c r="P88" s="214"/>
      <c r="Q88" s="201"/>
      <c r="W88" s="201"/>
    </row>
    <row r="89" spans="1:28">
      <c r="A89" s="216">
        <v>43190</v>
      </c>
      <c r="B89" s="217" t="s">
        <v>579</v>
      </c>
      <c r="C89" s="218">
        <f t="shared" si="11"/>
        <v>1471</v>
      </c>
      <c r="D89" s="217" t="s">
        <v>579</v>
      </c>
      <c r="E89" s="219">
        <f t="shared" ref="E89:E107" si="14">IF(D89="--",E88,E88+D89)</f>
        <v>340</v>
      </c>
      <c r="F89" s="352"/>
      <c r="G89" s="352"/>
      <c r="H89" s="207" t="s">
        <v>579</v>
      </c>
      <c r="I89" s="210">
        <f t="shared" si="12"/>
        <v>1496</v>
      </c>
      <c r="J89" s="211" t="s">
        <v>579</v>
      </c>
      <c r="K89" s="209">
        <v>0</v>
      </c>
      <c r="L89" s="213">
        <f t="shared" si="13"/>
        <v>500140</v>
      </c>
      <c r="M89" s="222"/>
      <c r="N89" s="191"/>
      <c r="O89" s="220"/>
      <c r="P89" s="214"/>
      <c r="Q89" s="201"/>
      <c r="W89" s="201"/>
    </row>
    <row r="90" spans="1:28">
      <c r="A90" s="216">
        <v>43220</v>
      </c>
      <c r="B90" s="217" t="s">
        <v>579</v>
      </c>
      <c r="C90" s="218">
        <f t="shared" si="11"/>
        <v>1471</v>
      </c>
      <c r="D90" s="217" t="s">
        <v>579</v>
      </c>
      <c r="E90" s="219">
        <f t="shared" si="14"/>
        <v>340</v>
      </c>
      <c r="F90" s="352"/>
      <c r="G90" s="352"/>
      <c r="H90" s="207" t="s">
        <v>579</v>
      </c>
      <c r="I90" s="210">
        <f t="shared" si="12"/>
        <v>1450</v>
      </c>
      <c r="J90" s="211" t="s">
        <v>579</v>
      </c>
      <c r="K90" s="209">
        <v>0</v>
      </c>
      <c r="L90" s="213">
        <f t="shared" si="13"/>
        <v>500140</v>
      </c>
      <c r="M90" s="222"/>
      <c r="N90" s="191"/>
      <c r="O90" s="220"/>
      <c r="P90" s="214"/>
      <c r="Q90" s="201"/>
      <c r="W90" s="201"/>
    </row>
    <row r="91" spans="1:28">
      <c r="A91" s="216">
        <v>43251</v>
      </c>
      <c r="B91" s="217" t="s">
        <v>579</v>
      </c>
      <c r="C91" s="218">
        <f t="shared" si="11"/>
        <v>1471</v>
      </c>
      <c r="D91" s="217" t="s">
        <v>579</v>
      </c>
      <c r="E91" s="219">
        <f t="shared" si="14"/>
        <v>340</v>
      </c>
      <c r="F91" s="352"/>
      <c r="G91" s="352"/>
      <c r="H91" s="207" t="s">
        <v>579</v>
      </c>
      <c r="I91" s="210">
        <f t="shared" si="12"/>
        <v>1496</v>
      </c>
      <c r="J91" s="211" t="s">
        <v>579</v>
      </c>
      <c r="K91" s="209">
        <v>0</v>
      </c>
      <c r="L91" s="213">
        <f t="shared" si="13"/>
        <v>500140</v>
      </c>
      <c r="M91" s="222"/>
      <c r="N91" s="191"/>
      <c r="O91" s="220"/>
      <c r="P91" s="214"/>
      <c r="Q91" s="201"/>
      <c r="W91" s="201"/>
    </row>
    <row r="92" spans="1:28" s="1257" customFormat="1">
      <c r="A92" s="1244">
        <v>43281</v>
      </c>
      <c r="B92" s="1245" t="s">
        <v>579</v>
      </c>
      <c r="C92" s="1246">
        <f t="shared" si="11"/>
        <v>1471</v>
      </c>
      <c r="D92" s="1245" t="s">
        <v>579</v>
      </c>
      <c r="E92" s="1247">
        <f t="shared" si="14"/>
        <v>340</v>
      </c>
      <c r="F92" s="1248"/>
      <c r="G92" s="1248"/>
      <c r="H92" s="1245" t="s">
        <v>579</v>
      </c>
      <c r="I92" s="1249">
        <f t="shared" si="12"/>
        <v>1450</v>
      </c>
      <c r="J92" s="1250" t="s">
        <v>579</v>
      </c>
      <c r="K92" s="1247">
        <v>0</v>
      </c>
      <c r="L92" s="1251">
        <f t="shared" si="13"/>
        <v>500140</v>
      </c>
      <c r="M92" s="1252"/>
      <c r="N92" s="1253"/>
      <c r="O92" s="1254"/>
      <c r="P92" s="1255"/>
      <c r="Q92" s="1256"/>
      <c r="V92" s="1258"/>
      <c r="W92" s="1256"/>
    </row>
    <row r="93" spans="1:28">
      <c r="A93" s="216">
        <v>43312</v>
      </c>
      <c r="B93" s="217" t="s">
        <v>579</v>
      </c>
      <c r="C93" s="218">
        <f t="shared" si="11"/>
        <v>1471</v>
      </c>
      <c r="D93" s="217" t="s">
        <v>579</v>
      </c>
      <c r="E93" s="219">
        <f t="shared" si="14"/>
        <v>340</v>
      </c>
      <c r="F93" s="352"/>
      <c r="G93" s="352"/>
      <c r="H93" s="207" t="s">
        <v>579</v>
      </c>
      <c r="I93" s="210">
        <f t="shared" si="12"/>
        <v>1496</v>
      </c>
      <c r="J93" s="211" t="s">
        <v>579</v>
      </c>
      <c r="K93" s="209">
        <v>0</v>
      </c>
      <c r="L93" s="213">
        <f t="shared" si="13"/>
        <v>500140</v>
      </c>
      <c r="M93" s="222"/>
      <c r="N93" s="191"/>
      <c r="O93" s="220"/>
      <c r="P93" s="214"/>
      <c r="Q93" s="201"/>
      <c r="W93" s="201"/>
    </row>
    <row r="94" spans="1:28">
      <c r="A94" s="216">
        <v>43343</v>
      </c>
      <c r="B94" s="217" t="s">
        <v>579</v>
      </c>
      <c r="C94" s="218">
        <f t="shared" si="11"/>
        <v>1471</v>
      </c>
      <c r="D94" s="217" t="s">
        <v>579</v>
      </c>
      <c r="E94" s="219">
        <f t="shared" si="14"/>
        <v>340</v>
      </c>
      <c r="F94" s="352"/>
      <c r="G94" s="352"/>
      <c r="H94" s="207" t="s">
        <v>579</v>
      </c>
      <c r="I94" s="210">
        <f t="shared" si="12"/>
        <v>1496</v>
      </c>
      <c r="J94" s="211" t="s">
        <v>579</v>
      </c>
      <c r="K94" s="209">
        <v>0</v>
      </c>
      <c r="L94" s="213">
        <f t="shared" si="13"/>
        <v>500140</v>
      </c>
      <c r="M94" s="222"/>
      <c r="N94" s="191"/>
      <c r="O94" s="220"/>
      <c r="P94" s="214"/>
      <c r="Q94" s="201"/>
      <c r="W94" s="201"/>
    </row>
    <row r="95" spans="1:28">
      <c r="A95" s="216">
        <v>43373</v>
      </c>
      <c r="B95" s="217" t="s">
        <v>579</v>
      </c>
      <c r="C95" s="218">
        <f t="shared" si="11"/>
        <v>1471</v>
      </c>
      <c r="D95" s="217" t="s">
        <v>579</v>
      </c>
      <c r="E95" s="219">
        <f t="shared" si="14"/>
        <v>340</v>
      </c>
      <c r="F95" s="352"/>
      <c r="G95" s="352"/>
      <c r="H95" s="207" t="s">
        <v>579</v>
      </c>
      <c r="I95" s="210">
        <f t="shared" si="12"/>
        <v>1450</v>
      </c>
      <c r="J95" s="211" t="s">
        <v>579</v>
      </c>
      <c r="K95" s="209">
        <v>0</v>
      </c>
      <c r="L95" s="213">
        <f t="shared" si="13"/>
        <v>500140</v>
      </c>
      <c r="M95" s="222"/>
      <c r="N95" s="191"/>
      <c r="O95" s="220"/>
      <c r="P95" s="214"/>
      <c r="Q95" s="201"/>
      <c r="W95" s="201"/>
    </row>
    <row r="96" spans="1:28">
      <c r="A96" s="216">
        <v>43404</v>
      </c>
      <c r="B96" s="217" t="s">
        <v>579</v>
      </c>
      <c r="C96" s="218">
        <f t="shared" si="11"/>
        <v>1471</v>
      </c>
      <c r="D96" s="217" t="s">
        <v>579</v>
      </c>
      <c r="E96" s="219">
        <f t="shared" si="14"/>
        <v>340</v>
      </c>
      <c r="F96" s="352"/>
      <c r="G96" s="352"/>
      <c r="H96" s="207" t="s">
        <v>579</v>
      </c>
      <c r="I96" s="210">
        <f t="shared" si="12"/>
        <v>1496</v>
      </c>
      <c r="J96" s="211" t="s">
        <v>579</v>
      </c>
      <c r="K96" s="209">
        <v>0</v>
      </c>
      <c r="L96" s="213">
        <f t="shared" si="13"/>
        <v>500140</v>
      </c>
      <c r="M96" s="222"/>
      <c r="N96" s="191"/>
      <c r="O96" s="220"/>
      <c r="P96" s="214"/>
      <c r="Q96" s="201"/>
      <c r="W96" s="201"/>
    </row>
    <row r="97" spans="1:23">
      <c r="A97" s="216">
        <v>43434</v>
      </c>
      <c r="B97" s="217" t="s">
        <v>579</v>
      </c>
      <c r="C97" s="218">
        <f t="shared" si="11"/>
        <v>1471</v>
      </c>
      <c r="D97" s="217" t="s">
        <v>579</v>
      </c>
      <c r="E97" s="219">
        <f t="shared" si="14"/>
        <v>340</v>
      </c>
      <c r="F97" s="352"/>
      <c r="G97" s="352"/>
      <c r="H97" s="207" t="s">
        <v>579</v>
      </c>
      <c r="I97" s="210">
        <f t="shared" si="12"/>
        <v>1450</v>
      </c>
      <c r="J97" s="211" t="s">
        <v>579</v>
      </c>
      <c r="K97" s="209">
        <v>0</v>
      </c>
      <c r="L97" s="213">
        <f t="shared" si="13"/>
        <v>500140</v>
      </c>
      <c r="M97" s="222"/>
      <c r="N97" s="191"/>
      <c r="O97" s="220"/>
      <c r="P97" s="214"/>
      <c r="Q97" s="201"/>
      <c r="W97" s="201"/>
    </row>
    <row r="98" spans="1:23" s="1257" customFormat="1">
      <c r="A98" s="1244">
        <v>43465</v>
      </c>
      <c r="B98" s="1245" t="s">
        <v>579</v>
      </c>
      <c r="C98" s="1246">
        <f t="shared" si="11"/>
        <v>1471</v>
      </c>
      <c r="D98" s="1245" t="s">
        <v>579</v>
      </c>
      <c r="E98" s="1247">
        <f t="shared" si="14"/>
        <v>340</v>
      </c>
      <c r="F98" s="1248"/>
      <c r="G98" s="1248"/>
      <c r="H98" s="1245" t="s">
        <v>579</v>
      </c>
      <c r="I98" s="1249">
        <f t="shared" si="12"/>
        <v>1496</v>
      </c>
      <c r="J98" s="1250" t="s">
        <v>579</v>
      </c>
      <c r="K98" s="1247">
        <v>0</v>
      </c>
      <c r="L98" s="1251">
        <f t="shared" si="13"/>
        <v>500140</v>
      </c>
      <c r="M98" s="1252"/>
      <c r="N98" s="1253"/>
      <c r="O98" s="1254"/>
      <c r="P98" s="1255"/>
      <c r="Q98" s="1256"/>
      <c r="V98" s="1258"/>
      <c r="W98" s="1256"/>
    </row>
    <row r="99" spans="1:23">
      <c r="A99" s="216">
        <v>43496</v>
      </c>
      <c r="B99" s="217" t="s">
        <v>579</v>
      </c>
      <c r="C99" s="218">
        <f t="shared" si="11"/>
        <v>1471</v>
      </c>
      <c r="D99" s="217" t="s">
        <v>579</v>
      </c>
      <c r="E99" s="219">
        <f t="shared" si="14"/>
        <v>340</v>
      </c>
      <c r="F99" s="352"/>
      <c r="G99" s="352"/>
      <c r="H99" s="207" t="s">
        <v>579</v>
      </c>
      <c r="I99" s="210">
        <f t="shared" si="12"/>
        <v>1496</v>
      </c>
      <c r="J99" s="211" t="s">
        <v>579</v>
      </c>
      <c r="K99" s="209">
        <v>0</v>
      </c>
      <c r="L99" s="213">
        <f t="shared" si="13"/>
        <v>500140</v>
      </c>
      <c r="M99" s="222"/>
      <c r="N99" s="191"/>
      <c r="O99" s="220"/>
      <c r="P99" s="214"/>
      <c r="Q99" s="201"/>
      <c r="W99" s="201"/>
    </row>
    <row r="100" spans="1:23">
      <c r="A100" s="216">
        <v>43524</v>
      </c>
      <c r="B100" s="217" t="s">
        <v>579</v>
      </c>
      <c r="C100" s="218">
        <f t="shared" si="11"/>
        <v>1471</v>
      </c>
      <c r="D100" s="217" t="s">
        <v>579</v>
      </c>
      <c r="E100" s="219">
        <f t="shared" si="14"/>
        <v>340</v>
      </c>
      <c r="F100" s="352"/>
      <c r="G100" s="352"/>
      <c r="H100" s="207" t="s">
        <v>579</v>
      </c>
      <c r="I100" s="210">
        <f t="shared" si="12"/>
        <v>1358</v>
      </c>
      <c r="J100" s="211" t="s">
        <v>579</v>
      </c>
      <c r="K100" s="209">
        <v>0</v>
      </c>
      <c r="L100" s="213">
        <f t="shared" si="13"/>
        <v>500140</v>
      </c>
      <c r="M100" s="222"/>
      <c r="N100" s="191"/>
      <c r="O100" s="220"/>
      <c r="P100" s="214"/>
      <c r="Q100" s="201"/>
      <c r="W100" s="201"/>
    </row>
    <row r="101" spans="1:23">
      <c r="A101" s="216">
        <v>43555</v>
      </c>
      <c r="B101" s="217" t="s">
        <v>579</v>
      </c>
      <c r="C101" s="218">
        <f t="shared" si="11"/>
        <v>1471</v>
      </c>
      <c r="D101" s="217" t="s">
        <v>579</v>
      </c>
      <c r="E101" s="219">
        <f t="shared" si="14"/>
        <v>340</v>
      </c>
      <c r="F101" s="352"/>
      <c r="G101" s="352"/>
      <c r="H101" s="207" t="s">
        <v>579</v>
      </c>
      <c r="I101" s="210">
        <f t="shared" si="12"/>
        <v>1496</v>
      </c>
      <c r="J101" s="211" t="s">
        <v>579</v>
      </c>
      <c r="K101" s="209">
        <v>0</v>
      </c>
      <c r="L101" s="213">
        <f t="shared" si="13"/>
        <v>500140</v>
      </c>
      <c r="M101" s="222"/>
      <c r="N101" s="191"/>
      <c r="O101" s="220"/>
      <c r="P101" s="214"/>
      <c r="Q101" s="201"/>
      <c r="W101" s="201"/>
    </row>
    <row r="102" spans="1:23">
      <c r="A102" s="216">
        <v>43585</v>
      </c>
      <c r="B102" s="217" t="s">
        <v>579</v>
      </c>
      <c r="C102" s="218">
        <f t="shared" si="11"/>
        <v>1471</v>
      </c>
      <c r="D102" s="217" t="s">
        <v>579</v>
      </c>
      <c r="E102" s="219">
        <f t="shared" si="14"/>
        <v>340</v>
      </c>
      <c r="F102" s="352"/>
      <c r="G102" s="352"/>
      <c r="H102" s="207" t="s">
        <v>579</v>
      </c>
      <c r="I102" s="210">
        <f t="shared" si="12"/>
        <v>1450</v>
      </c>
      <c r="J102" s="211" t="s">
        <v>579</v>
      </c>
      <c r="K102" s="209">
        <v>0</v>
      </c>
      <c r="L102" s="213">
        <f t="shared" si="13"/>
        <v>500140</v>
      </c>
      <c r="M102" s="222"/>
      <c r="N102" s="191"/>
      <c r="O102" s="220"/>
      <c r="P102" s="214"/>
      <c r="Q102" s="201"/>
      <c r="W102" s="201"/>
    </row>
    <row r="103" spans="1:23">
      <c r="A103" s="216">
        <v>43616</v>
      </c>
      <c r="B103" s="217" t="s">
        <v>579</v>
      </c>
      <c r="C103" s="218">
        <f t="shared" si="11"/>
        <v>1471</v>
      </c>
      <c r="D103" s="217" t="s">
        <v>579</v>
      </c>
      <c r="E103" s="219">
        <f t="shared" si="14"/>
        <v>340</v>
      </c>
      <c r="F103" s="352"/>
      <c r="G103" s="352"/>
      <c r="H103" s="207" t="s">
        <v>579</v>
      </c>
      <c r="I103" s="210">
        <f t="shared" si="12"/>
        <v>1496</v>
      </c>
      <c r="J103" s="211" t="s">
        <v>579</v>
      </c>
      <c r="K103" s="209">
        <v>0</v>
      </c>
      <c r="L103" s="213">
        <f t="shared" si="13"/>
        <v>500140</v>
      </c>
      <c r="M103" s="222"/>
      <c r="N103" s="191"/>
      <c r="O103" s="220"/>
      <c r="P103" s="214"/>
      <c r="Q103" s="201"/>
      <c r="W103" s="201"/>
    </row>
    <row r="104" spans="1:23">
      <c r="A104" s="216">
        <v>43646</v>
      </c>
      <c r="B104" s="217" t="s">
        <v>579</v>
      </c>
      <c r="C104" s="218">
        <f t="shared" si="11"/>
        <v>1471</v>
      </c>
      <c r="D104" s="217" t="s">
        <v>579</v>
      </c>
      <c r="E104" s="219">
        <f t="shared" si="14"/>
        <v>340</v>
      </c>
      <c r="F104" s="352"/>
      <c r="G104" s="352"/>
      <c r="H104" s="207" t="s">
        <v>579</v>
      </c>
      <c r="I104" s="210">
        <f t="shared" si="12"/>
        <v>1450</v>
      </c>
      <c r="J104" s="211" t="s">
        <v>579</v>
      </c>
      <c r="K104" s="209">
        <v>0</v>
      </c>
      <c r="L104" s="213">
        <f t="shared" si="13"/>
        <v>500140</v>
      </c>
      <c r="M104" s="222"/>
      <c r="N104" s="191"/>
      <c r="O104" s="220"/>
      <c r="P104" s="214"/>
      <c r="Q104" s="201"/>
      <c r="W104" s="201"/>
    </row>
    <row r="105" spans="1:23">
      <c r="A105" s="216">
        <v>43677</v>
      </c>
      <c r="B105" s="217" t="s">
        <v>579</v>
      </c>
      <c r="C105" s="218">
        <f t="shared" si="11"/>
        <v>1471</v>
      </c>
      <c r="D105" s="217" t="s">
        <v>579</v>
      </c>
      <c r="E105" s="219">
        <f t="shared" si="14"/>
        <v>340</v>
      </c>
      <c r="F105" s="352"/>
      <c r="G105" s="352"/>
      <c r="H105" s="207" t="s">
        <v>579</v>
      </c>
      <c r="I105" s="210">
        <f t="shared" si="12"/>
        <v>1496</v>
      </c>
      <c r="J105" s="211" t="s">
        <v>579</v>
      </c>
      <c r="K105" s="209">
        <v>0</v>
      </c>
      <c r="L105" s="213">
        <f t="shared" si="13"/>
        <v>500140</v>
      </c>
      <c r="M105" s="222"/>
      <c r="N105" s="191"/>
      <c r="O105" s="220"/>
      <c r="P105" s="214"/>
      <c r="Q105" s="201"/>
      <c r="W105" s="201"/>
    </row>
    <row r="106" spans="1:23">
      <c r="A106" s="216">
        <v>43708</v>
      </c>
      <c r="B106" s="217" t="s">
        <v>579</v>
      </c>
      <c r="C106" s="218">
        <f t="shared" si="11"/>
        <v>1471</v>
      </c>
      <c r="D106" s="217" t="s">
        <v>579</v>
      </c>
      <c r="E106" s="219">
        <f t="shared" si="14"/>
        <v>340</v>
      </c>
      <c r="F106" s="352"/>
      <c r="G106" s="352"/>
      <c r="H106" s="207" t="s">
        <v>579</v>
      </c>
      <c r="I106" s="210">
        <f t="shared" si="12"/>
        <v>1496</v>
      </c>
      <c r="J106" s="211" t="s">
        <v>579</v>
      </c>
      <c r="K106" s="209">
        <v>0</v>
      </c>
      <c r="L106" s="213">
        <f t="shared" si="13"/>
        <v>500140</v>
      </c>
      <c r="M106" s="222"/>
      <c r="N106" s="191"/>
      <c r="O106" s="220"/>
      <c r="P106" s="214"/>
      <c r="Q106" s="201"/>
      <c r="W106" s="201"/>
    </row>
    <row r="107" spans="1:23">
      <c r="A107" s="216">
        <v>43738</v>
      </c>
      <c r="B107" s="217" t="s">
        <v>579</v>
      </c>
      <c r="C107" s="218">
        <f t="shared" si="11"/>
        <v>1471</v>
      </c>
      <c r="D107" s="217" t="s">
        <v>579</v>
      </c>
      <c r="E107" s="219">
        <f t="shared" si="14"/>
        <v>340</v>
      </c>
      <c r="F107" s="352"/>
      <c r="G107" s="352"/>
      <c r="H107" s="207" t="s">
        <v>579</v>
      </c>
      <c r="I107" s="210">
        <f t="shared" si="12"/>
        <v>1450</v>
      </c>
      <c r="J107" s="211" t="s">
        <v>579</v>
      </c>
      <c r="K107" s="209">
        <v>0</v>
      </c>
      <c r="L107" s="213">
        <f t="shared" si="13"/>
        <v>500140</v>
      </c>
      <c r="M107" s="222"/>
      <c r="N107" s="191"/>
      <c r="O107" s="220"/>
      <c r="P107" s="214"/>
      <c r="Q107" s="201"/>
      <c r="W107" s="201"/>
    </row>
    <row r="108" spans="1:23">
      <c r="A108" s="216">
        <v>43769</v>
      </c>
      <c r="B108" s="221">
        <v>1.0618000000000001</v>
      </c>
      <c r="C108" s="218">
        <f>IF(B108="--",C107,C107*B108)</f>
        <v>1561.9078000000002</v>
      </c>
      <c r="D108" s="217" t="s">
        <v>579</v>
      </c>
      <c r="E108" s="219">
        <f>IF(D108="--",E107,E107+D108)</f>
        <v>340</v>
      </c>
      <c r="F108" s="352"/>
      <c r="G108" s="352"/>
      <c r="H108" s="207" t="s">
        <v>579</v>
      </c>
      <c r="I108" s="210">
        <f t="shared" si="12"/>
        <v>1496</v>
      </c>
      <c r="J108" s="211" t="s">
        <v>579</v>
      </c>
      <c r="K108" s="209">
        <v>0</v>
      </c>
      <c r="L108" s="213">
        <f t="shared" si="13"/>
        <v>531048.65200000012</v>
      </c>
      <c r="M108" s="222"/>
      <c r="N108" s="191"/>
      <c r="O108" s="220"/>
      <c r="P108" s="214"/>
      <c r="Q108" s="201"/>
      <c r="W108" s="201"/>
    </row>
    <row r="109" spans="1:23">
      <c r="A109" s="216">
        <v>43799</v>
      </c>
      <c r="B109" s="217" t="s">
        <v>579</v>
      </c>
      <c r="C109" s="218">
        <f t="shared" si="11"/>
        <v>1561.9078000000002</v>
      </c>
      <c r="D109" s="217" t="s">
        <v>579</v>
      </c>
      <c r="E109" s="219">
        <f>IF(D109="--",E108,E108+D109)</f>
        <v>340</v>
      </c>
      <c r="F109" s="352"/>
      <c r="G109" s="352"/>
      <c r="H109" s="207" t="s">
        <v>579</v>
      </c>
      <c r="I109" s="210">
        <f t="shared" si="12"/>
        <v>1450</v>
      </c>
      <c r="J109" s="211" t="s">
        <v>579</v>
      </c>
      <c r="K109" s="209">
        <v>0</v>
      </c>
      <c r="L109" s="213">
        <f t="shared" si="13"/>
        <v>531048.65200000012</v>
      </c>
      <c r="M109" s="222"/>
      <c r="N109" s="191"/>
      <c r="O109" s="220"/>
      <c r="P109" s="214"/>
      <c r="Q109" s="201"/>
      <c r="W109" s="201"/>
    </row>
    <row r="110" spans="1:23">
      <c r="A110" s="216">
        <v>43830</v>
      </c>
      <c r="B110" s="217" t="s">
        <v>579</v>
      </c>
      <c r="C110" s="218">
        <f t="shared" si="11"/>
        <v>1561.9078000000002</v>
      </c>
      <c r="D110" s="217" t="s">
        <v>579</v>
      </c>
      <c r="E110" s="219">
        <f>IF(D110="--",E109,E109+D110)</f>
        <v>340</v>
      </c>
      <c r="F110" s="352"/>
      <c r="G110" s="352"/>
      <c r="H110" s="207" t="s">
        <v>579</v>
      </c>
      <c r="I110" s="210">
        <f t="shared" si="12"/>
        <v>1496</v>
      </c>
      <c r="J110" s="211" t="s">
        <v>579</v>
      </c>
      <c r="K110" s="209">
        <v>0</v>
      </c>
      <c r="L110" s="213">
        <f>E110*C110</f>
        <v>531048.65200000012</v>
      </c>
      <c r="M110" s="222"/>
      <c r="N110" s="191"/>
      <c r="O110" s="220"/>
      <c r="P110" s="214"/>
      <c r="Q110" s="201"/>
      <c r="W110" s="201"/>
    </row>
    <row r="111" spans="1:23">
      <c r="A111" s="216">
        <v>43861</v>
      </c>
      <c r="B111" s="217" t="s">
        <v>579</v>
      </c>
      <c r="C111" s="218">
        <f t="shared" si="11"/>
        <v>1561.9078000000002</v>
      </c>
      <c r="D111" s="217" t="s">
        <v>579</v>
      </c>
      <c r="E111" s="219">
        <f t="shared" ref="E111:E166" si="15">IF(D111="--",E110,E110+D111)</f>
        <v>340</v>
      </c>
      <c r="F111" s="352"/>
      <c r="G111" s="352"/>
      <c r="H111" s="207" t="s">
        <v>579</v>
      </c>
      <c r="I111" s="210">
        <f t="shared" si="12"/>
        <v>1496</v>
      </c>
      <c r="J111" s="211" t="s">
        <v>579</v>
      </c>
      <c r="K111" s="209">
        <v>0</v>
      </c>
      <c r="L111" s="213">
        <f t="shared" si="13"/>
        <v>531048.65200000012</v>
      </c>
      <c r="M111" s="222"/>
      <c r="N111" s="191"/>
      <c r="O111" s="220"/>
      <c r="P111" s="214"/>
      <c r="Q111" s="201"/>
      <c r="W111" s="201"/>
    </row>
    <row r="112" spans="1:23">
      <c r="A112" s="216">
        <v>43890</v>
      </c>
      <c r="B112" s="217" t="s">
        <v>579</v>
      </c>
      <c r="C112" s="218">
        <f t="shared" si="11"/>
        <v>1561.9078000000002</v>
      </c>
      <c r="D112" s="217" t="s">
        <v>579</v>
      </c>
      <c r="E112" s="219">
        <f t="shared" si="15"/>
        <v>340</v>
      </c>
      <c r="F112" s="352"/>
      <c r="G112" s="352"/>
      <c r="H112" s="207" t="s">
        <v>579</v>
      </c>
      <c r="I112" s="210">
        <f t="shared" si="12"/>
        <v>1404</v>
      </c>
      <c r="J112" s="211" t="s">
        <v>579</v>
      </c>
      <c r="K112" s="209">
        <v>0</v>
      </c>
      <c r="L112" s="213">
        <f t="shared" si="13"/>
        <v>531048.65200000012</v>
      </c>
      <c r="M112" s="222"/>
      <c r="N112" s="191"/>
      <c r="O112" s="220"/>
      <c r="P112" s="214"/>
      <c r="Q112" s="201"/>
      <c r="W112" s="201"/>
    </row>
    <row r="113" spans="1:23">
      <c r="A113" s="216">
        <v>43921</v>
      </c>
      <c r="B113" s="217" t="s">
        <v>579</v>
      </c>
      <c r="C113" s="218">
        <f t="shared" si="11"/>
        <v>1561.9078000000002</v>
      </c>
      <c r="D113" s="217" t="s">
        <v>579</v>
      </c>
      <c r="E113" s="219">
        <f t="shared" si="15"/>
        <v>340</v>
      </c>
      <c r="F113" s="352"/>
      <c r="G113" s="352"/>
      <c r="H113" s="207" t="s">
        <v>579</v>
      </c>
      <c r="I113" s="210">
        <f t="shared" si="12"/>
        <v>1496</v>
      </c>
      <c r="J113" s="211" t="s">
        <v>579</v>
      </c>
      <c r="K113" s="209">
        <v>0</v>
      </c>
      <c r="L113" s="213">
        <f t="shared" si="13"/>
        <v>531048.65200000012</v>
      </c>
      <c r="M113" s="222"/>
      <c r="N113" s="191"/>
      <c r="O113" s="220"/>
      <c r="P113" s="214"/>
      <c r="Q113" s="201"/>
      <c r="W113" s="201"/>
    </row>
    <row r="114" spans="1:23">
      <c r="A114" s="216">
        <v>43951</v>
      </c>
      <c r="B114" s="217" t="s">
        <v>579</v>
      </c>
      <c r="C114" s="218">
        <f t="shared" si="11"/>
        <v>1561.9078000000002</v>
      </c>
      <c r="D114" s="217" t="s">
        <v>579</v>
      </c>
      <c r="E114" s="219">
        <f t="shared" si="15"/>
        <v>340</v>
      </c>
      <c r="F114" s="352"/>
      <c r="G114" s="352"/>
      <c r="H114" s="207" t="s">
        <v>579</v>
      </c>
      <c r="I114" s="210">
        <f t="shared" si="12"/>
        <v>1450</v>
      </c>
      <c r="J114" s="211" t="s">
        <v>579</v>
      </c>
      <c r="K114" s="209">
        <v>0</v>
      </c>
      <c r="L114" s="213">
        <f t="shared" si="13"/>
        <v>531048.65200000012</v>
      </c>
      <c r="M114" s="222"/>
      <c r="N114" s="191"/>
      <c r="O114" s="220"/>
      <c r="P114" s="214"/>
      <c r="Q114" s="201"/>
      <c r="W114" s="201"/>
    </row>
    <row r="115" spans="1:23">
      <c r="A115" s="216">
        <v>43982</v>
      </c>
      <c r="B115" s="217" t="s">
        <v>579</v>
      </c>
      <c r="C115" s="218">
        <f t="shared" si="11"/>
        <v>1561.9078000000002</v>
      </c>
      <c r="D115" s="217" t="s">
        <v>579</v>
      </c>
      <c r="E115" s="219">
        <f t="shared" si="15"/>
        <v>340</v>
      </c>
      <c r="F115" s="352"/>
      <c r="G115" s="352"/>
      <c r="H115" s="207" t="s">
        <v>579</v>
      </c>
      <c r="I115" s="210">
        <f t="shared" si="12"/>
        <v>1496</v>
      </c>
      <c r="J115" s="211" t="s">
        <v>579</v>
      </c>
      <c r="K115" s="209">
        <v>0</v>
      </c>
      <c r="L115" s="213">
        <f t="shared" si="13"/>
        <v>531048.65200000012</v>
      </c>
      <c r="M115" s="222"/>
      <c r="N115" s="191"/>
      <c r="O115" s="220"/>
      <c r="P115" s="214"/>
      <c r="Q115" s="201"/>
      <c r="W115" s="201"/>
    </row>
    <row r="116" spans="1:23">
      <c r="A116" s="216">
        <v>44012</v>
      </c>
      <c r="B116" s="217" t="s">
        <v>579</v>
      </c>
      <c r="C116" s="218">
        <f t="shared" si="11"/>
        <v>1561.9078000000002</v>
      </c>
      <c r="D116" s="217" t="s">
        <v>579</v>
      </c>
      <c r="E116" s="219">
        <f t="shared" si="15"/>
        <v>340</v>
      </c>
      <c r="F116" s="352"/>
      <c r="G116" s="352"/>
      <c r="H116" s="207" t="s">
        <v>579</v>
      </c>
      <c r="I116" s="210">
        <f t="shared" si="12"/>
        <v>1450</v>
      </c>
      <c r="J116" s="211" t="s">
        <v>579</v>
      </c>
      <c r="K116" s="209">
        <v>0</v>
      </c>
      <c r="L116" s="213">
        <f t="shared" si="13"/>
        <v>531048.65200000012</v>
      </c>
      <c r="M116" s="222"/>
      <c r="N116" s="191"/>
      <c r="O116" s="220"/>
      <c r="P116" s="214"/>
      <c r="Q116" s="201"/>
      <c r="W116" s="201"/>
    </row>
    <row r="117" spans="1:23">
      <c r="A117" s="216">
        <v>44043</v>
      </c>
      <c r="B117" s="217" t="s">
        <v>579</v>
      </c>
      <c r="C117" s="218">
        <f t="shared" si="11"/>
        <v>1561.9078000000002</v>
      </c>
      <c r="D117" s="217" t="s">
        <v>579</v>
      </c>
      <c r="E117" s="219">
        <f t="shared" si="15"/>
        <v>340</v>
      </c>
      <c r="F117" s="352"/>
      <c r="G117" s="352"/>
      <c r="H117" s="207" t="s">
        <v>579</v>
      </c>
      <c r="I117" s="210">
        <f t="shared" si="12"/>
        <v>1496</v>
      </c>
      <c r="J117" s="211" t="s">
        <v>579</v>
      </c>
      <c r="K117" s="209">
        <v>0</v>
      </c>
      <c r="L117" s="213">
        <f t="shared" si="13"/>
        <v>531048.65200000012</v>
      </c>
      <c r="M117" s="222"/>
      <c r="N117" s="191"/>
      <c r="O117" s="220"/>
      <c r="P117" s="214"/>
      <c r="Q117" s="201"/>
      <c r="W117" s="201"/>
    </row>
    <row r="118" spans="1:23">
      <c r="A118" s="216">
        <v>44074</v>
      </c>
      <c r="B118" s="217" t="s">
        <v>579</v>
      </c>
      <c r="C118" s="218">
        <f t="shared" si="11"/>
        <v>1561.9078000000002</v>
      </c>
      <c r="D118" s="217" t="s">
        <v>579</v>
      </c>
      <c r="E118" s="219">
        <f t="shared" si="15"/>
        <v>340</v>
      </c>
      <c r="F118" s="352"/>
      <c r="G118" s="352"/>
      <c r="H118" s="207" t="s">
        <v>579</v>
      </c>
      <c r="I118" s="210">
        <f t="shared" si="12"/>
        <v>1496</v>
      </c>
      <c r="J118" s="211" t="s">
        <v>579</v>
      </c>
      <c r="K118" s="209">
        <v>0</v>
      </c>
      <c r="L118" s="213">
        <f t="shared" si="13"/>
        <v>531048.65200000012</v>
      </c>
      <c r="M118" s="222"/>
      <c r="N118" s="191"/>
      <c r="O118" s="220"/>
      <c r="P118" s="214"/>
      <c r="Q118" s="201"/>
      <c r="W118" s="201"/>
    </row>
    <row r="119" spans="1:23">
      <c r="A119" s="216">
        <v>44104</v>
      </c>
      <c r="B119" s="217" t="s">
        <v>579</v>
      </c>
      <c r="C119" s="218">
        <f t="shared" si="11"/>
        <v>1561.9078000000002</v>
      </c>
      <c r="D119" s="217" t="s">
        <v>579</v>
      </c>
      <c r="E119" s="219">
        <f t="shared" si="15"/>
        <v>340</v>
      </c>
      <c r="F119" s="352"/>
      <c r="G119" s="352"/>
      <c r="H119" s="207" t="s">
        <v>579</v>
      </c>
      <c r="I119" s="210">
        <f t="shared" si="12"/>
        <v>1450</v>
      </c>
      <c r="J119" s="211" t="s">
        <v>579</v>
      </c>
      <c r="K119" s="209">
        <v>0</v>
      </c>
      <c r="L119" s="213">
        <f t="shared" si="13"/>
        <v>531048.65200000012</v>
      </c>
      <c r="M119" s="222"/>
      <c r="N119" s="191"/>
      <c r="O119" s="220"/>
      <c r="P119" s="214"/>
      <c r="Q119" s="201"/>
      <c r="W119" s="201"/>
    </row>
    <row r="120" spans="1:23">
      <c r="A120" s="216">
        <v>44135</v>
      </c>
      <c r="B120" s="217" t="s">
        <v>579</v>
      </c>
      <c r="C120" s="218">
        <f t="shared" si="11"/>
        <v>1561.9078000000002</v>
      </c>
      <c r="D120" s="217" t="s">
        <v>579</v>
      </c>
      <c r="E120" s="219">
        <f t="shared" si="15"/>
        <v>340</v>
      </c>
      <c r="F120" s="352"/>
      <c r="G120" s="352"/>
      <c r="H120" s="207" t="s">
        <v>579</v>
      </c>
      <c r="I120" s="210">
        <f t="shared" si="12"/>
        <v>1496</v>
      </c>
      <c r="J120" s="211" t="s">
        <v>579</v>
      </c>
      <c r="K120" s="209">
        <v>0</v>
      </c>
      <c r="L120" s="213">
        <f t="shared" si="13"/>
        <v>531048.65200000012</v>
      </c>
      <c r="M120" s="222"/>
      <c r="N120" s="191"/>
      <c r="O120" s="220"/>
      <c r="P120" s="214"/>
      <c r="Q120" s="201"/>
      <c r="W120" s="201"/>
    </row>
    <row r="121" spans="1:23">
      <c r="A121" s="216">
        <v>44165</v>
      </c>
      <c r="B121" s="217" t="s">
        <v>579</v>
      </c>
      <c r="C121" s="218">
        <f t="shared" si="11"/>
        <v>1561.9078000000002</v>
      </c>
      <c r="D121" s="217" t="s">
        <v>579</v>
      </c>
      <c r="E121" s="219">
        <f t="shared" si="15"/>
        <v>340</v>
      </c>
      <c r="F121" s="352"/>
      <c r="G121" s="352"/>
      <c r="H121" s="207" t="s">
        <v>579</v>
      </c>
      <c r="I121" s="210">
        <f t="shared" si="12"/>
        <v>1450</v>
      </c>
      <c r="J121" s="211" t="s">
        <v>579</v>
      </c>
      <c r="K121" s="209">
        <v>0</v>
      </c>
      <c r="L121" s="213">
        <f t="shared" si="13"/>
        <v>531048.65200000012</v>
      </c>
      <c r="M121" s="222"/>
      <c r="N121" s="191"/>
      <c r="O121" s="220"/>
      <c r="P121" s="214"/>
      <c r="Q121" s="201"/>
      <c r="W121" s="201"/>
    </row>
    <row r="122" spans="1:23">
      <c r="A122" s="216">
        <v>44196</v>
      </c>
      <c r="B122" s="217" t="s">
        <v>579</v>
      </c>
      <c r="C122" s="218">
        <f t="shared" si="11"/>
        <v>1561.9078000000002</v>
      </c>
      <c r="D122" s="217" t="s">
        <v>579</v>
      </c>
      <c r="E122" s="219">
        <f t="shared" si="15"/>
        <v>340</v>
      </c>
      <c r="F122" s="352"/>
      <c r="G122" s="352"/>
      <c r="H122" s="207" t="s">
        <v>579</v>
      </c>
      <c r="I122" s="210">
        <f t="shared" si="12"/>
        <v>1496</v>
      </c>
      <c r="J122" s="211" t="s">
        <v>579</v>
      </c>
      <c r="K122" s="209">
        <v>0</v>
      </c>
      <c r="L122" s="213">
        <f t="shared" si="13"/>
        <v>531048.65200000012</v>
      </c>
      <c r="M122" s="222"/>
      <c r="N122" s="191"/>
      <c r="O122" s="220"/>
      <c r="P122" s="214"/>
      <c r="Q122" s="201"/>
      <c r="W122" s="201"/>
    </row>
    <row r="123" spans="1:23">
      <c r="A123" s="216">
        <v>44227</v>
      </c>
      <c r="B123" s="217" t="s">
        <v>579</v>
      </c>
      <c r="C123" s="218">
        <f t="shared" si="11"/>
        <v>1561.9078000000002</v>
      </c>
      <c r="D123" s="217" t="s">
        <v>579</v>
      </c>
      <c r="E123" s="219">
        <f t="shared" si="15"/>
        <v>340</v>
      </c>
      <c r="F123" s="352"/>
      <c r="G123" s="352"/>
      <c r="H123" s="207" t="s">
        <v>579</v>
      </c>
      <c r="I123" s="210">
        <f t="shared" si="12"/>
        <v>1496</v>
      </c>
      <c r="J123" s="211" t="s">
        <v>579</v>
      </c>
      <c r="K123" s="209">
        <v>0</v>
      </c>
      <c r="L123" s="213">
        <f t="shared" si="13"/>
        <v>531048.65200000012</v>
      </c>
      <c r="M123" s="222"/>
      <c r="N123" s="191"/>
      <c r="O123" s="220"/>
      <c r="P123" s="214"/>
      <c r="Q123" s="201"/>
      <c r="W123" s="201"/>
    </row>
    <row r="124" spans="1:23">
      <c r="A124" s="216">
        <v>44255</v>
      </c>
      <c r="B124" s="217" t="s">
        <v>579</v>
      </c>
      <c r="C124" s="218">
        <f t="shared" si="11"/>
        <v>1561.9078000000002</v>
      </c>
      <c r="D124" s="217" t="s">
        <v>579</v>
      </c>
      <c r="E124" s="219">
        <f t="shared" si="15"/>
        <v>340</v>
      </c>
      <c r="F124" s="352"/>
      <c r="G124" s="352"/>
      <c r="H124" s="207" t="s">
        <v>579</v>
      </c>
      <c r="I124" s="210">
        <f t="shared" si="12"/>
        <v>1358</v>
      </c>
      <c r="J124" s="211" t="s">
        <v>579</v>
      </c>
      <c r="K124" s="209">
        <v>0</v>
      </c>
      <c r="L124" s="213">
        <f t="shared" si="13"/>
        <v>531048.65200000012</v>
      </c>
      <c r="M124" s="222"/>
      <c r="N124" s="191"/>
      <c r="O124" s="220"/>
      <c r="P124" s="214"/>
      <c r="Q124" s="201"/>
      <c r="W124" s="201"/>
    </row>
    <row r="125" spans="1:23">
      <c r="A125" s="216">
        <v>44286</v>
      </c>
      <c r="B125" s="217" t="s">
        <v>579</v>
      </c>
      <c r="C125" s="218">
        <f t="shared" si="11"/>
        <v>1561.9078000000002</v>
      </c>
      <c r="D125" s="217" t="s">
        <v>579</v>
      </c>
      <c r="E125" s="219">
        <f t="shared" si="15"/>
        <v>340</v>
      </c>
      <c r="F125" s="352"/>
      <c r="G125" s="352"/>
      <c r="H125" s="207" t="s">
        <v>579</v>
      </c>
      <c r="I125" s="210">
        <f t="shared" si="12"/>
        <v>1496</v>
      </c>
      <c r="J125" s="211" t="s">
        <v>579</v>
      </c>
      <c r="K125" s="209">
        <v>0</v>
      </c>
      <c r="L125" s="213">
        <f t="shared" si="13"/>
        <v>531048.65200000012</v>
      </c>
      <c r="M125" s="222"/>
      <c r="N125" s="191"/>
      <c r="O125" s="220"/>
      <c r="P125" s="214"/>
      <c r="Q125" s="201"/>
      <c r="W125" s="201"/>
    </row>
    <row r="126" spans="1:23">
      <c r="A126" s="216">
        <v>44316</v>
      </c>
      <c r="B126" s="217" t="s">
        <v>579</v>
      </c>
      <c r="C126" s="218">
        <f t="shared" si="11"/>
        <v>1561.9078000000002</v>
      </c>
      <c r="D126" s="217" t="s">
        <v>579</v>
      </c>
      <c r="E126" s="219">
        <f t="shared" si="15"/>
        <v>340</v>
      </c>
      <c r="F126" s="352"/>
      <c r="G126" s="352"/>
      <c r="H126" s="207" t="s">
        <v>579</v>
      </c>
      <c r="I126" s="210">
        <f t="shared" si="12"/>
        <v>1450</v>
      </c>
      <c r="J126" s="211" t="s">
        <v>579</v>
      </c>
      <c r="K126" s="209">
        <v>0</v>
      </c>
      <c r="L126" s="213">
        <f t="shared" si="13"/>
        <v>531048.65200000012</v>
      </c>
      <c r="M126" s="222"/>
      <c r="N126" s="191"/>
      <c r="O126" s="220"/>
      <c r="P126" s="214"/>
      <c r="Q126" s="201"/>
      <c r="W126" s="201"/>
    </row>
    <row r="127" spans="1:23">
      <c r="A127" s="216">
        <v>44347</v>
      </c>
      <c r="B127" s="217" t="s">
        <v>579</v>
      </c>
      <c r="C127" s="218">
        <f t="shared" si="11"/>
        <v>1561.9078000000002</v>
      </c>
      <c r="D127" s="217" t="s">
        <v>579</v>
      </c>
      <c r="E127" s="219">
        <f t="shared" si="15"/>
        <v>340</v>
      </c>
      <c r="F127" s="352"/>
      <c r="G127" s="352"/>
      <c r="H127" s="207" t="s">
        <v>579</v>
      </c>
      <c r="I127" s="210">
        <f t="shared" si="12"/>
        <v>1496</v>
      </c>
      <c r="J127" s="211" t="s">
        <v>579</v>
      </c>
      <c r="K127" s="209">
        <v>0</v>
      </c>
      <c r="L127" s="213">
        <f t="shared" si="13"/>
        <v>531048.65200000012</v>
      </c>
      <c r="M127" s="222"/>
      <c r="N127" s="191"/>
      <c r="O127" s="220"/>
      <c r="P127" s="214"/>
      <c r="Q127" s="201"/>
      <c r="W127" s="201"/>
    </row>
    <row r="128" spans="1:23">
      <c r="A128" s="216">
        <v>44377</v>
      </c>
      <c r="B128" s="217" t="s">
        <v>579</v>
      </c>
      <c r="C128" s="218">
        <f t="shared" si="11"/>
        <v>1561.9078000000002</v>
      </c>
      <c r="D128" s="217" t="s">
        <v>579</v>
      </c>
      <c r="E128" s="219">
        <f t="shared" si="15"/>
        <v>340</v>
      </c>
      <c r="F128" s="352"/>
      <c r="G128" s="352"/>
      <c r="H128" s="207" t="s">
        <v>579</v>
      </c>
      <c r="I128" s="210">
        <f t="shared" si="12"/>
        <v>1450</v>
      </c>
      <c r="J128" s="211" t="s">
        <v>579</v>
      </c>
      <c r="K128" s="209">
        <v>0</v>
      </c>
      <c r="L128" s="213">
        <f t="shared" si="13"/>
        <v>531048.65200000012</v>
      </c>
      <c r="M128" s="222"/>
      <c r="N128" s="191"/>
      <c r="O128" s="220"/>
      <c r="P128" s="214"/>
      <c r="Q128" s="201"/>
      <c r="W128" s="201"/>
    </row>
    <row r="129" spans="1:23">
      <c r="A129" s="216">
        <v>44408</v>
      </c>
      <c r="B129" s="217" t="s">
        <v>579</v>
      </c>
      <c r="C129" s="218">
        <f t="shared" si="11"/>
        <v>1561.9078000000002</v>
      </c>
      <c r="D129" s="217" t="s">
        <v>579</v>
      </c>
      <c r="E129" s="219">
        <f t="shared" si="15"/>
        <v>340</v>
      </c>
      <c r="F129" s="352"/>
      <c r="G129" s="352"/>
      <c r="H129" s="207" t="s">
        <v>579</v>
      </c>
      <c r="I129" s="210">
        <f t="shared" si="12"/>
        <v>1496</v>
      </c>
      <c r="J129" s="211" t="s">
        <v>579</v>
      </c>
      <c r="K129" s="209">
        <v>0</v>
      </c>
      <c r="L129" s="213">
        <f t="shared" si="13"/>
        <v>531048.65200000012</v>
      </c>
      <c r="M129" s="222"/>
      <c r="N129" s="191"/>
      <c r="O129" s="220"/>
      <c r="P129" s="214"/>
      <c r="Q129" s="201"/>
      <c r="W129" s="201"/>
    </row>
    <row r="130" spans="1:23">
      <c r="A130" s="216">
        <v>44439</v>
      </c>
      <c r="B130" s="217" t="s">
        <v>579</v>
      </c>
      <c r="C130" s="218">
        <f t="shared" si="11"/>
        <v>1561.9078000000002</v>
      </c>
      <c r="D130" s="217" t="s">
        <v>579</v>
      </c>
      <c r="E130" s="219">
        <f t="shared" si="15"/>
        <v>340</v>
      </c>
      <c r="F130" s="352"/>
      <c r="G130" s="352"/>
      <c r="H130" s="207" t="s">
        <v>579</v>
      </c>
      <c r="I130" s="210">
        <f t="shared" si="12"/>
        <v>1496</v>
      </c>
      <c r="J130" s="211" t="s">
        <v>579</v>
      </c>
      <c r="K130" s="209">
        <v>0</v>
      </c>
      <c r="L130" s="213">
        <f t="shared" si="13"/>
        <v>531048.65200000012</v>
      </c>
      <c r="M130" s="222"/>
      <c r="N130" s="191"/>
      <c r="O130" s="220"/>
      <c r="P130" s="214"/>
      <c r="Q130" s="201"/>
      <c r="W130" s="201"/>
    </row>
    <row r="131" spans="1:23">
      <c r="A131" s="216">
        <v>44469</v>
      </c>
      <c r="B131" s="217" t="s">
        <v>579</v>
      </c>
      <c r="C131" s="218">
        <f t="shared" si="11"/>
        <v>1561.9078000000002</v>
      </c>
      <c r="D131" s="217" t="s">
        <v>579</v>
      </c>
      <c r="E131" s="219">
        <f t="shared" si="15"/>
        <v>340</v>
      </c>
      <c r="F131" s="352"/>
      <c r="G131" s="352"/>
      <c r="H131" s="207" t="s">
        <v>579</v>
      </c>
      <c r="I131" s="210">
        <f t="shared" si="12"/>
        <v>1450</v>
      </c>
      <c r="J131" s="211" t="s">
        <v>579</v>
      </c>
      <c r="K131" s="209">
        <v>0</v>
      </c>
      <c r="L131" s="213">
        <f t="shared" si="13"/>
        <v>531048.65200000012</v>
      </c>
      <c r="M131" s="222"/>
      <c r="N131" s="191"/>
      <c r="O131" s="220"/>
      <c r="P131" s="214"/>
      <c r="Q131" s="201"/>
      <c r="W131" s="201"/>
    </row>
    <row r="132" spans="1:23">
      <c r="A132" s="216">
        <v>44500</v>
      </c>
      <c r="B132" s="221">
        <v>1.0618000000000001</v>
      </c>
      <c r="C132" s="218">
        <f t="shared" si="11"/>
        <v>1658.4337020400003</v>
      </c>
      <c r="D132" s="217" t="s">
        <v>579</v>
      </c>
      <c r="E132" s="219">
        <f t="shared" si="15"/>
        <v>340</v>
      </c>
      <c r="F132" s="352"/>
      <c r="G132" s="352"/>
      <c r="H132" s="207" t="s">
        <v>579</v>
      </c>
      <c r="I132" s="210">
        <f t="shared" si="12"/>
        <v>1496</v>
      </c>
      <c r="J132" s="211" t="s">
        <v>579</v>
      </c>
      <c r="K132" s="209">
        <v>0</v>
      </c>
      <c r="L132" s="213">
        <f t="shared" si="13"/>
        <v>563867.45869360014</v>
      </c>
      <c r="M132" s="222"/>
      <c r="N132" s="191"/>
      <c r="O132" s="220"/>
      <c r="P132" s="214"/>
      <c r="Q132" s="201"/>
      <c r="W132" s="201"/>
    </row>
    <row r="133" spans="1:23">
      <c r="A133" s="216">
        <v>44530</v>
      </c>
      <c r="B133" s="217" t="s">
        <v>579</v>
      </c>
      <c r="C133" s="218">
        <f t="shared" si="11"/>
        <v>1658.4337020400003</v>
      </c>
      <c r="D133" s="217" t="s">
        <v>579</v>
      </c>
      <c r="E133" s="219">
        <f t="shared" si="15"/>
        <v>340</v>
      </c>
      <c r="F133" s="352"/>
      <c r="G133" s="352"/>
      <c r="H133" s="207" t="s">
        <v>579</v>
      </c>
      <c r="I133" s="210">
        <f t="shared" si="12"/>
        <v>1450</v>
      </c>
      <c r="J133" s="211" t="s">
        <v>579</v>
      </c>
      <c r="K133" s="209">
        <v>0</v>
      </c>
      <c r="L133" s="213">
        <f t="shared" si="13"/>
        <v>563867.45869360014</v>
      </c>
      <c r="M133" s="222"/>
      <c r="N133" s="191"/>
      <c r="O133" s="220"/>
      <c r="P133" s="214"/>
      <c r="Q133" s="201"/>
      <c r="W133" s="201"/>
    </row>
    <row r="134" spans="1:23">
      <c r="A134" s="216">
        <v>44561</v>
      </c>
      <c r="B134" s="217" t="s">
        <v>579</v>
      </c>
      <c r="C134" s="218">
        <f t="shared" si="11"/>
        <v>1658.4337020400003</v>
      </c>
      <c r="D134" s="217" t="s">
        <v>579</v>
      </c>
      <c r="E134" s="219">
        <f t="shared" si="15"/>
        <v>340</v>
      </c>
      <c r="F134" s="352"/>
      <c r="G134" s="352"/>
      <c r="H134" s="207" t="s">
        <v>579</v>
      </c>
      <c r="I134" s="210">
        <f t="shared" si="12"/>
        <v>1496</v>
      </c>
      <c r="J134" s="211" t="s">
        <v>579</v>
      </c>
      <c r="K134" s="209">
        <v>0</v>
      </c>
      <c r="L134" s="213">
        <f t="shared" si="13"/>
        <v>563867.45869360014</v>
      </c>
      <c r="M134" s="222"/>
      <c r="N134" s="191"/>
      <c r="O134" s="220"/>
      <c r="P134" s="214"/>
      <c r="Q134" s="201"/>
      <c r="W134" s="201"/>
    </row>
    <row r="135" spans="1:23">
      <c r="A135" s="216">
        <v>44592</v>
      </c>
      <c r="B135" s="217" t="s">
        <v>579</v>
      </c>
      <c r="C135" s="218">
        <f t="shared" si="11"/>
        <v>1658.4337020400003</v>
      </c>
      <c r="D135" s="217" t="s">
        <v>579</v>
      </c>
      <c r="E135" s="219">
        <f t="shared" si="15"/>
        <v>340</v>
      </c>
      <c r="F135" s="352"/>
      <c r="G135" s="352"/>
      <c r="H135" s="207" t="s">
        <v>579</v>
      </c>
      <c r="I135" s="210">
        <f t="shared" si="12"/>
        <v>1496</v>
      </c>
      <c r="J135" s="211" t="s">
        <v>579</v>
      </c>
      <c r="K135" s="209">
        <v>0</v>
      </c>
      <c r="L135" s="213">
        <f t="shared" si="13"/>
        <v>563867.45869360014</v>
      </c>
      <c r="M135" s="222"/>
      <c r="N135" s="191"/>
      <c r="O135" s="220"/>
      <c r="P135" s="214"/>
      <c r="Q135" s="201"/>
      <c r="W135" s="201"/>
    </row>
    <row r="136" spans="1:23">
      <c r="A136" s="216">
        <v>44620</v>
      </c>
      <c r="B136" s="217" t="s">
        <v>579</v>
      </c>
      <c r="C136" s="218">
        <f t="shared" si="11"/>
        <v>1658.4337020400003</v>
      </c>
      <c r="D136" s="217" t="s">
        <v>579</v>
      </c>
      <c r="E136" s="219">
        <f t="shared" si="15"/>
        <v>340</v>
      </c>
      <c r="F136" s="352"/>
      <c r="G136" s="352"/>
      <c r="H136" s="207" t="s">
        <v>579</v>
      </c>
      <c r="I136" s="210">
        <f t="shared" si="12"/>
        <v>1358</v>
      </c>
      <c r="J136" s="211" t="s">
        <v>579</v>
      </c>
      <c r="K136" s="209">
        <v>0</v>
      </c>
      <c r="L136" s="213">
        <f t="shared" si="13"/>
        <v>563867.45869360014</v>
      </c>
      <c r="M136" s="222"/>
      <c r="N136" s="191"/>
      <c r="O136" s="220"/>
      <c r="P136" s="214"/>
      <c r="Q136" s="201"/>
      <c r="W136" s="201"/>
    </row>
    <row r="137" spans="1:23">
      <c r="A137" s="216">
        <v>44651</v>
      </c>
      <c r="B137" s="217" t="s">
        <v>579</v>
      </c>
      <c r="C137" s="218">
        <f t="shared" si="11"/>
        <v>1658.4337020400003</v>
      </c>
      <c r="D137" s="217" t="s">
        <v>579</v>
      </c>
      <c r="E137" s="219">
        <f t="shared" si="15"/>
        <v>340</v>
      </c>
      <c r="F137" s="352"/>
      <c r="G137" s="352"/>
      <c r="H137" s="207" t="s">
        <v>579</v>
      </c>
      <c r="I137" s="210">
        <f t="shared" si="12"/>
        <v>1496</v>
      </c>
      <c r="J137" s="211" t="s">
        <v>579</v>
      </c>
      <c r="K137" s="209">
        <v>0</v>
      </c>
      <c r="L137" s="213">
        <f t="shared" si="13"/>
        <v>563867.45869360014</v>
      </c>
      <c r="M137" s="222"/>
      <c r="N137" s="191"/>
      <c r="O137" s="220"/>
      <c r="P137" s="214"/>
      <c r="Q137" s="201"/>
      <c r="W137" s="201"/>
    </row>
    <row r="138" spans="1:23">
      <c r="A138" s="216">
        <v>44681</v>
      </c>
      <c r="B138" s="217" t="s">
        <v>579</v>
      </c>
      <c r="C138" s="218">
        <f t="shared" si="11"/>
        <v>1658.4337020400003</v>
      </c>
      <c r="D138" s="217" t="s">
        <v>579</v>
      </c>
      <c r="E138" s="219">
        <f t="shared" si="15"/>
        <v>340</v>
      </c>
      <c r="F138" s="352"/>
      <c r="G138" s="352"/>
      <c r="H138" s="207" t="s">
        <v>579</v>
      </c>
      <c r="I138" s="210">
        <f t="shared" si="12"/>
        <v>1450</v>
      </c>
      <c r="J138" s="211" t="s">
        <v>579</v>
      </c>
      <c r="K138" s="209">
        <v>0</v>
      </c>
      <c r="L138" s="213">
        <f t="shared" si="13"/>
        <v>563867.45869360014</v>
      </c>
      <c r="M138" s="222"/>
      <c r="N138" s="191"/>
      <c r="O138" s="220"/>
      <c r="P138" s="214"/>
      <c r="Q138" s="201"/>
      <c r="W138" s="201"/>
    </row>
    <row r="139" spans="1:23">
      <c r="A139" s="216">
        <v>44712</v>
      </c>
      <c r="B139" s="217" t="s">
        <v>579</v>
      </c>
      <c r="C139" s="218">
        <f t="shared" si="11"/>
        <v>1658.4337020400003</v>
      </c>
      <c r="D139" s="217" t="s">
        <v>579</v>
      </c>
      <c r="E139" s="219">
        <f t="shared" si="15"/>
        <v>340</v>
      </c>
      <c r="F139" s="352"/>
      <c r="G139" s="352"/>
      <c r="H139" s="207" t="s">
        <v>579</v>
      </c>
      <c r="I139" s="210">
        <f t="shared" si="12"/>
        <v>1496</v>
      </c>
      <c r="J139" s="211" t="s">
        <v>579</v>
      </c>
      <c r="K139" s="209">
        <v>0</v>
      </c>
      <c r="L139" s="213">
        <f t="shared" si="13"/>
        <v>563867.45869360014</v>
      </c>
      <c r="M139" s="222"/>
      <c r="N139" s="191"/>
      <c r="O139" s="220"/>
      <c r="P139" s="214"/>
      <c r="Q139" s="201"/>
      <c r="W139" s="201"/>
    </row>
    <row r="140" spans="1:23">
      <c r="A140" s="216">
        <v>44742</v>
      </c>
      <c r="B140" s="217" t="s">
        <v>579</v>
      </c>
      <c r="C140" s="218">
        <f t="shared" si="11"/>
        <v>1658.4337020400003</v>
      </c>
      <c r="D140" s="217" t="s">
        <v>579</v>
      </c>
      <c r="E140" s="219">
        <f t="shared" si="15"/>
        <v>340</v>
      </c>
      <c r="F140" s="352"/>
      <c r="G140" s="352"/>
      <c r="H140" s="207" t="s">
        <v>579</v>
      </c>
      <c r="I140" s="210">
        <f t="shared" si="12"/>
        <v>1450</v>
      </c>
      <c r="J140" s="211" t="s">
        <v>579</v>
      </c>
      <c r="K140" s="209">
        <v>0</v>
      </c>
      <c r="L140" s="213">
        <f t="shared" si="13"/>
        <v>563867.45869360014</v>
      </c>
      <c r="M140" s="222"/>
      <c r="N140" s="191"/>
      <c r="O140" s="220"/>
      <c r="P140" s="214"/>
      <c r="Q140" s="201"/>
      <c r="W140" s="201"/>
    </row>
    <row r="141" spans="1:23">
      <c r="A141" s="216">
        <v>44773</v>
      </c>
      <c r="B141" s="217" t="s">
        <v>579</v>
      </c>
      <c r="C141" s="218">
        <f t="shared" si="11"/>
        <v>1658.4337020400003</v>
      </c>
      <c r="D141" s="217" t="s">
        <v>579</v>
      </c>
      <c r="E141" s="219">
        <f t="shared" si="15"/>
        <v>340</v>
      </c>
      <c r="F141" s="352"/>
      <c r="G141" s="352"/>
      <c r="H141" s="207" t="s">
        <v>579</v>
      </c>
      <c r="I141" s="210">
        <f t="shared" si="12"/>
        <v>1496</v>
      </c>
      <c r="J141" s="211" t="s">
        <v>579</v>
      </c>
      <c r="K141" s="209">
        <v>0</v>
      </c>
      <c r="L141" s="213">
        <f t="shared" si="13"/>
        <v>563867.45869360014</v>
      </c>
      <c r="M141" s="222"/>
      <c r="N141" s="191"/>
      <c r="O141" s="220"/>
      <c r="P141" s="214"/>
      <c r="Q141" s="201"/>
      <c r="W141" s="201"/>
    </row>
    <row r="142" spans="1:23">
      <c r="A142" s="216">
        <v>44804</v>
      </c>
      <c r="B142" s="217" t="s">
        <v>579</v>
      </c>
      <c r="C142" s="218">
        <f t="shared" si="11"/>
        <v>1658.4337020400003</v>
      </c>
      <c r="D142" s="217" t="s">
        <v>579</v>
      </c>
      <c r="E142" s="219">
        <f t="shared" si="15"/>
        <v>340</v>
      </c>
      <c r="F142" s="352"/>
      <c r="G142" s="352"/>
      <c r="H142" s="207" t="s">
        <v>579</v>
      </c>
      <c r="I142" s="210">
        <f t="shared" si="12"/>
        <v>1496</v>
      </c>
      <c r="J142" s="211" t="s">
        <v>579</v>
      </c>
      <c r="K142" s="209">
        <v>0</v>
      </c>
      <c r="L142" s="213">
        <f t="shared" si="13"/>
        <v>563867.45869360014</v>
      </c>
      <c r="M142" s="222"/>
      <c r="N142" s="191"/>
      <c r="O142" s="220"/>
      <c r="P142" s="214"/>
      <c r="Q142" s="201"/>
      <c r="W142" s="201"/>
    </row>
    <row r="143" spans="1:23">
      <c r="A143" s="216">
        <v>44834</v>
      </c>
      <c r="B143" s="217" t="s">
        <v>579</v>
      </c>
      <c r="C143" s="218">
        <f t="shared" si="11"/>
        <v>1658.4337020400003</v>
      </c>
      <c r="D143" s="217" t="s">
        <v>579</v>
      </c>
      <c r="E143" s="219">
        <f t="shared" si="15"/>
        <v>340</v>
      </c>
      <c r="F143" s="352"/>
      <c r="G143" s="352"/>
      <c r="H143" s="207" t="s">
        <v>579</v>
      </c>
      <c r="I143" s="210">
        <f t="shared" si="12"/>
        <v>1450</v>
      </c>
      <c r="J143" s="211" t="s">
        <v>579</v>
      </c>
      <c r="K143" s="209">
        <v>0</v>
      </c>
      <c r="L143" s="213">
        <f t="shared" si="13"/>
        <v>563867.45869360014</v>
      </c>
      <c r="M143" s="222"/>
      <c r="N143" s="191"/>
      <c r="O143" s="220"/>
      <c r="P143" s="214"/>
      <c r="Q143" s="201"/>
      <c r="W143" s="201"/>
    </row>
    <row r="144" spans="1:23">
      <c r="A144" s="216">
        <v>44865</v>
      </c>
      <c r="B144" s="217" t="s">
        <v>579</v>
      </c>
      <c r="C144" s="218">
        <f t="shared" si="11"/>
        <v>1658.4337020400003</v>
      </c>
      <c r="D144" s="217" t="s">
        <v>579</v>
      </c>
      <c r="E144" s="219">
        <f t="shared" si="15"/>
        <v>340</v>
      </c>
      <c r="F144" s="352"/>
      <c r="G144" s="352"/>
      <c r="H144" s="207" t="s">
        <v>579</v>
      </c>
      <c r="I144" s="210">
        <f t="shared" si="12"/>
        <v>1496</v>
      </c>
      <c r="J144" s="211" t="s">
        <v>579</v>
      </c>
      <c r="K144" s="209">
        <v>0</v>
      </c>
      <c r="L144" s="213">
        <f t="shared" si="13"/>
        <v>563867.45869360014</v>
      </c>
      <c r="M144" s="222"/>
      <c r="N144" s="191"/>
      <c r="O144" s="220"/>
      <c r="P144" s="214"/>
      <c r="Q144" s="201"/>
      <c r="W144" s="201"/>
    </row>
    <row r="145" spans="1:23">
      <c r="A145" s="216">
        <v>44895</v>
      </c>
      <c r="B145" s="217" t="s">
        <v>579</v>
      </c>
      <c r="C145" s="218">
        <f t="shared" si="11"/>
        <v>1658.4337020400003</v>
      </c>
      <c r="D145" s="217" t="s">
        <v>579</v>
      </c>
      <c r="E145" s="219">
        <f t="shared" si="15"/>
        <v>340</v>
      </c>
      <c r="F145" s="352"/>
      <c r="G145" s="352"/>
      <c r="H145" s="207" t="s">
        <v>579</v>
      </c>
      <c r="I145" s="210">
        <f t="shared" si="12"/>
        <v>1450</v>
      </c>
      <c r="J145" s="211" t="s">
        <v>579</v>
      </c>
      <c r="K145" s="209">
        <v>0</v>
      </c>
      <c r="L145" s="213">
        <f t="shared" si="13"/>
        <v>563867.45869360014</v>
      </c>
      <c r="M145" s="222"/>
      <c r="N145" s="191"/>
      <c r="O145" s="220"/>
      <c r="P145" s="214"/>
      <c r="Q145" s="201"/>
      <c r="W145" s="201"/>
    </row>
    <row r="146" spans="1:23">
      <c r="A146" s="216">
        <v>44926</v>
      </c>
      <c r="B146" s="217" t="s">
        <v>579</v>
      </c>
      <c r="C146" s="218">
        <f t="shared" ref="C146:C166" si="16">IF(B146="--",C145,C145*B146)</f>
        <v>1658.4337020400003</v>
      </c>
      <c r="D146" s="217" t="s">
        <v>579</v>
      </c>
      <c r="E146" s="219">
        <f t="shared" si="15"/>
        <v>340</v>
      </c>
      <c r="F146" s="352"/>
      <c r="G146" s="352"/>
      <c r="H146" s="207" t="s">
        <v>579</v>
      </c>
      <c r="I146" s="210">
        <f t="shared" si="12"/>
        <v>1496</v>
      </c>
      <c r="J146" s="211" t="s">
        <v>579</v>
      </c>
      <c r="K146" s="209">
        <v>0</v>
      </c>
      <c r="L146" s="213">
        <f t="shared" si="13"/>
        <v>563867.45869360014</v>
      </c>
      <c r="M146" s="222"/>
      <c r="N146" s="191"/>
      <c r="O146" s="220"/>
      <c r="P146" s="214"/>
      <c r="Q146" s="201"/>
      <c r="W146" s="201"/>
    </row>
    <row r="147" spans="1:23">
      <c r="A147" s="216">
        <v>44957</v>
      </c>
      <c r="B147" s="217" t="s">
        <v>579</v>
      </c>
      <c r="C147" s="218">
        <f t="shared" si="16"/>
        <v>1658.4337020400003</v>
      </c>
      <c r="D147" s="217" t="s">
        <v>579</v>
      </c>
      <c r="E147" s="219">
        <f t="shared" si="15"/>
        <v>340</v>
      </c>
      <c r="F147" s="352"/>
      <c r="G147" s="352"/>
      <c r="H147" s="207" t="s">
        <v>579</v>
      </c>
      <c r="I147" s="210">
        <f t="shared" si="12"/>
        <v>1496</v>
      </c>
      <c r="J147" s="211" t="s">
        <v>579</v>
      </c>
      <c r="K147" s="209">
        <v>0</v>
      </c>
      <c r="L147" s="213">
        <f t="shared" si="13"/>
        <v>563867.45869360014</v>
      </c>
      <c r="M147" s="222"/>
      <c r="N147" s="191"/>
      <c r="O147" s="220"/>
      <c r="P147" s="214"/>
      <c r="Q147" s="201"/>
      <c r="W147" s="201"/>
    </row>
    <row r="148" spans="1:23">
      <c r="A148" s="216">
        <v>44985</v>
      </c>
      <c r="B148" s="217" t="s">
        <v>579</v>
      </c>
      <c r="C148" s="218">
        <f t="shared" si="16"/>
        <v>1658.4337020400003</v>
      </c>
      <c r="D148" s="217" t="s">
        <v>579</v>
      </c>
      <c r="E148" s="219">
        <f t="shared" si="15"/>
        <v>340</v>
      </c>
      <c r="F148" s="352"/>
      <c r="G148" s="352"/>
      <c r="H148" s="207" t="s">
        <v>579</v>
      </c>
      <c r="I148" s="210">
        <f t="shared" si="12"/>
        <v>1358</v>
      </c>
      <c r="J148" s="211" t="s">
        <v>579</v>
      </c>
      <c r="K148" s="209">
        <v>0</v>
      </c>
      <c r="L148" s="213">
        <f t="shared" si="13"/>
        <v>563867.45869360014</v>
      </c>
      <c r="M148" s="222"/>
      <c r="N148" s="191"/>
      <c r="O148" s="220"/>
      <c r="P148" s="214"/>
      <c r="Q148" s="201"/>
      <c r="W148" s="201"/>
    </row>
    <row r="149" spans="1:23">
      <c r="A149" s="216">
        <v>45016</v>
      </c>
      <c r="B149" s="217" t="s">
        <v>579</v>
      </c>
      <c r="C149" s="218">
        <f t="shared" si="16"/>
        <v>1658.4337020400003</v>
      </c>
      <c r="D149" s="217" t="s">
        <v>579</v>
      </c>
      <c r="E149" s="219">
        <f t="shared" si="15"/>
        <v>340</v>
      </c>
      <c r="F149" s="352"/>
      <c r="G149" s="352"/>
      <c r="H149" s="207" t="s">
        <v>579</v>
      </c>
      <c r="I149" s="210">
        <f t="shared" si="12"/>
        <v>1496</v>
      </c>
      <c r="J149" s="211" t="s">
        <v>579</v>
      </c>
      <c r="K149" s="209">
        <v>0</v>
      </c>
      <c r="L149" s="213">
        <f t="shared" si="13"/>
        <v>563867.45869360014</v>
      </c>
      <c r="M149" s="222"/>
      <c r="N149" s="191"/>
      <c r="O149" s="220"/>
      <c r="P149" s="214"/>
      <c r="Q149" s="201"/>
      <c r="W149" s="201"/>
    </row>
    <row r="150" spans="1:23">
      <c r="A150" s="216">
        <v>45046</v>
      </c>
      <c r="B150" s="217" t="s">
        <v>579</v>
      </c>
      <c r="C150" s="218">
        <f t="shared" si="16"/>
        <v>1658.4337020400003</v>
      </c>
      <c r="D150" s="217" t="s">
        <v>579</v>
      </c>
      <c r="E150" s="219">
        <f t="shared" si="15"/>
        <v>340</v>
      </c>
      <c r="F150" s="352"/>
      <c r="G150" s="352"/>
      <c r="H150" s="207" t="s">
        <v>579</v>
      </c>
      <c r="I150" s="210">
        <f t="shared" si="12"/>
        <v>1450</v>
      </c>
      <c r="J150" s="211" t="s">
        <v>579</v>
      </c>
      <c r="K150" s="209">
        <v>0</v>
      </c>
      <c r="L150" s="213">
        <f t="shared" si="13"/>
        <v>563867.45869360014</v>
      </c>
      <c r="M150" s="222"/>
      <c r="N150" s="191"/>
      <c r="O150" s="220"/>
      <c r="P150" s="214"/>
      <c r="Q150" s="201"/>
      <c r="W150" s="201"/>
    </row>
    <row r="151" spans="1:23">
      <c r="A151" s="216">
        <v>45077</v>
      </c>
      <c r="B151" s="217" t="s">
        <v>579</v>
      </c>
      <c r="C151" s="218">
        <f t="shared" si="16"/>
        <v>1658.4337020400003</v>
      </c>
      <c r="D151" s="217" t="s">
        <v>579</v>
      </c>
      <c r="E151" s="219">
        <f t="shared" si="15"/>
        <v>340</v>
      </c>
      <c r="F151" s="352"/>
      <c r="G151" s="352"/>
      <c r="H151" s="207" t="s">
        <v>579</v>
      </c>
      <c r="I151" s="210">
        <f t="shared" ref="I151:I165" si="17">5*60+(DAY(A151)-5)*46</f>
        <v>1496</v>
      </c>
      <c r="J151" s="211" t="s">
        <v>579</v>
      </c>
      <c r="K151" s="209">
        <v>0</v>
      </c>
      <c r="L151" s="213">
        <f t="shared" ref="L151:L190" si="18">E151*C151</f>
        <v>563867.45869360014</v>
      </c>
      <c r="M151" s="222"/>
      <c r="N151" s="191"/>
      <c r="O151" s="220"/>
      <c r="P151" s="214"/>
      <c r="Q151" s="201"/>
      <c r="W151" s="201"/>
    </row>
    <row r="152" spans="1:23">
      <c r="A152" s="216">
        <v>45107</v>
      </c>
      <c r="B152" s="217" t="s">
        <v>579</v>
      </c>
      <c r="C152" s="218">
        <f t="shared" si="16"/>
        <v>1658.4337020400003</v>
      </c>
      <c r="D152" s="217" t="s">
        <v>579</v>
      </c>
      <c r="E152" s="219">
        <f t="shared" si="15"/>
        <v>340</v>
      </c>
      <c r="F152" s="352"/>
      <c r="G152" s="352"/>
      <c r="H152" s="207" t="s">
        <v>579</v>
      </c>
      <c r="I152" s="210">
        <f t="shared" si="17"/>
        <v>1450</v>
      </c>
      <c r="J152" s="211" t="s">
        <v>579</v>
      </c>
      <c r="K152" s="209">
        <v>0</v>
      </c>
      <c r="L152" s="213">
        <f t="shared" si="18"/>
        <v>563867.45869360014</v>
      </c>
      <c r="M152" s="222"/>
      <c r="N152" s="191"/>
      <c r="O152" s="220"/>
      <c r="P152" s="214"/>
      <c r="Q152" s="201"/>
      <c r="W152" s="201"/>
    </row>
    <row r="153" spans="1:23">
      <c r="A153" s="216">
        <v>45138</v>
      </c>
      <c r="B153" s="217" t="s">
        <v>579</v>
      </c>
      <c r="C153" s="218">
        <f t="shared" si="16"/>
        <v>1658.4337020400003</v>
      </c>
      <c r="D153" s="217" t="s">
        <v>579</v>
      </c>
      <c r="E153" s="219">
        <f t="shared" si="15"/>
        <v>340</v>
      </c>
      <c r="F153" s="352"/>
      <c r="G153" s="352"/>
      <c r="H153" s="207" t="s">
        <v>579</v>
      </c>
      <c r="I153" s="210">
        <f t="shared" si="17"/>
        <v>1496</v>
      </c>
      <c r="J153" s="211" t="s">
        <v>579</v>
      </c>
      <c r="K153" s="209">
        <v>0</v>
      </c>
      <c r="L153" s="213">
        <f t="shared" si="18"/>
        <v>563867.45869360014</v>
      </c>
      <c r="M153" s="222"/>
      <c r="N153" s="191"/>
      <c r="O153" s="220"/>
      <c r="P153" s="214"/>
      <c r="Q153" s="201"/>
      <c r="W153" s="201"/>
    </row>
    <row r="154" spans="1:23">
      <c r="A154" s="216">
        <v>45169</v>
      </c>
      <c r="B154" s="217" t="s">
        <v>579</v>
      </c>
      <c r="C154" s="218">
        <f t="shared" si="16"/>
        <v>1658.4337020400003</v>
      </c>
      <c r="D154" s="217" t="s">
        <v>579</v>
      </c>
      <c r="E154" s="219">
        <f t="shared" si="15"/>
        <v>340</v>
      </c>
      <c r="F154" s="352"/>
      <c r="G154" s="352"/>
      <c r="H154" s="207" t="s">
        <v>579</v>
      </c>
      <c r="I154" s="210">
        <f t="shared" si="17"/>
        <v>1496</v>
      </c>
      <c r="J154" s="211" t="s">
        <v>579</v>
      </c>
      <c r="K154" s="209">
        <v>0</v>
      </c>
      <c r="L154" s="213">
        <f t="shared" si="18"/>
        <v>563867.45869360014</v>
      </c>
      <c r="M154" s="222"/>
      <c r="N154" s="191"/>
      <c r="O154" s="220"/>
      <c r="P154" s="214"/>
      <c r="Q154" s="201"/>
      <c r="W154" s="201"/>
    </row>
    <row r="155" spans="1:23">
      <c r="A155" s="216">
        <v>45199</v>
      </c>
      <c r="B155" s="217" t="s">
        <v>579</v>
      </c>
      <c r="C155" s="218">
        <f t="shared" si="16"/>
        <v>1658.4337020400003</v>
      </c>
      <c r="D155" s="217" t="s">
        <v>579</v>
      </c>
      <c r="E155" s="219">
        <f t="shared" si="15"/>
        <v>340</v>
      </c>
      <c r="F155" s="352"/>
      <c r="G155" s="352"/>
      <c r="H155" s="207" t="s">
        <v>579</v>
      </c>
      <c r="I155" s="210">
        <f t="shared" si="17"/>
        <v>1450</v>
      </c>
      <c r="J155" s="211" t="s">
        <v>579</v>
      </c>
      <c r="K155" s="209">
        <v>0</v>
      </c>
      <c r="L155" s="213">
        <f t="shared" si="18"/>
        <v>563867.45869360014</v>
      </c>
      <c r="M155" s="222"/>
      <c r="N155" s="191"/>
      <c r="O155" s="220"/>
      <c r="P155" s="214"/>
      <c r="Q155" s="201"/>
      <c r="W155" s="201"/>
    </row>
    <row r="156" spans="1:23">
      <c r="A156" s="216">
        <v>45230</v>
      </c>
      <c r="B156" s="221">
        <v>1.0618000000000001</v>
      </c>
      <c r="C156" s="218">
        <f t="shared" si="16"/>
        <v>1760.9249048260724</v>
      </c>
      <c r="D156" s="217" t="s">
        <v>579</v>
      </c>
      <c r="E156" s="219">
        <f t="shared" si="15"/>
        <v>340</v>
      </c>
      <c r="F156" s="352"/>
      <c r="G156" s="352"/>
      <c r="H156" s="207" t="s">
        <v>579</v>
      </c>
      <c r="I156" s="210">
        <f t="shared" si="17"/>
        <v>1496</v>
      </c>
      <c r="J156" s="211" t="s">
        <v>579</v>
      </c>
      <c r="K156" s="209">
        <v>0</v>
      </c>
      <c r="L156" s="213">
        <f t="shared" si="18"/>
        <v>598714.46764086466</v>
      </c>
      <c r="M156" s="222"/>
      <c r="N156" s="191"/>
      <c r="O156" s="220"/>
      <c r="P156" s="214"/>
      <c r="Q156" s="201"/>
      <c r="W156" s="201"/>
    </row>
    <row r="157" spans="1:23">
      <c r="A157" s="216">
        <v>45260</v>
      </c>
      <c r="B157" s="217" t="s">
        <v>579</v>
      </c>
      <c r="C157" s="218">
        <f t="shared" si="16"/>
        <v>1760.9249048260724</v>
      </c>
      <c r="D157" s="217" t="s">
        <v>579</v>
      </c>
      <c r="E157" s="219">
        <f t="shared" si="15"/>
        <v>340</v>
      </c>
      <c r="F157" s="352"/>
      <c r="G157" s="352"/>
      <c r="H157" s="207" t="s">
        <v>579</v>
      </c>
      <c r="I157" s="210">
        <f t="shared" si="17"/>
        <v>1450</v>
      </c>
      <c r="J157" s="211" t="s">
        <v>579</v>
      </c>
      <c r="K157" s="209">
        <v>0</v>
      </c>
      <c r="L157" s="213">
        <f t="shared" si="18"/>
        <v>598714.46764086466</v>
      </c>
      <c r="M157" s="222"/>
      <c r="N157" s="191"/>
      <c r="O157" s="220"/>
      <c r="P157" s="214"/>
      <c r="Q157" s="201"/>
      <c r="W157" s="201"/>
    </row>
    <row r="158" spans="1:23">
      <c r="A158" s="216">
        <v>45291</v>
      </c>
      <c r="B158" s="217" t="s">
        <v>579</v>
      </c>
      <c r="C158" s="218">
        <f t="shared" si="16"/>
        <v>1760.9249048260724</v>
      </c>
      <c r="D158" s="217" t="s">
        <v>579</v>
      </c>
      <c r="E158" s="219">
        <f t="shared" si="15"/>
        <v>340</v>
      </c>
      <c r="F158" s="352"/>
      <c r="G158" s="352"/>
      <c r="H158" s="207" t="s">
        <v>579</v>
      </c>
      <c r="I158" s="210">
        <f t="shared" si="17"/>
        <v>1496</v>
      </c>
      <c r="J158" s="211" t="s">
        <v>579</v>
      </c>
      <c r="K158" s="209">
        <v>0</v>
      </c>
      <c r="L158" s="213">
        <f t="shared" si="18"/>
        <v>598714.46764086466</v>
      </c>
      <c r="M158" s="222"/>
      <c r="N158" s="191"/>
      <c r="O158" s="220"/>
      <c r="P158" s="214"/>
      <c r="Q158" s="201"/>
      <c r="W158" s="201"/>
    </row>
    <row r="159" spans="1:23">
      <c r="A159" s="216">
        <v>45322</v>
      </c>
      <c r="B159" s="217" t="s">
        <v>579</v>
      </c>
      <c r="C159" s="218">
        <f t="shared" si="16"/>
        <v>1760.9249048260724</v>
      </c>
      <c r="D159" s="217" t="s">
        <v>579</v>
      </c>
      <c r="E159" s="219">
        <f t="shared" si="15"/>
        <v>340</v>
      </c>
      <c r="F159" s="352"/>
      <c r="G159" s="352"/>
      <c r="H159" s="207" t="s">
        <v>579</v>
      </c>
      <c r="I159" s="210">
        <f t="shared" si="17"/>
        <v>1496</v>
      </c>
      <c r="J159" s="211" t="s">
        <v>579</v>
      </c>
      <c r="K159" s="209">
        <v>0</v>
      </c>
      <c r="L159" s="213">
        <f t="shared" si="18"/>
        <v>598714.46764086466</v>
      </c>
      <c r="M159" s="222"/>
      <c r="N159" s="191"/>
      <c r="O159" s="220"/>
      <c r="P159" s="214"/>
      <c r="Q159" s="201"/>
      <c r="W159" s="201"/>
    </row>
    <row r="160" spans="1:23">
      <c r="A160" s="216">
        <v>45351</v>
      </c>
      <c r="B160" s="217" t="s">
        <v>579</v>
      </c>
      <c r="C160" s="218">
        <f t="shared" si="16"/>
        <v>1760.9249048260724</v>
      </c>
      <c r="D160" s="217" t="s">
        <v>579</v>
      </c>
      <c r="E160" s="219">
        <f t="shared" si="15"/>
        <v>340</v>
      </c>
      <c r="F160" s="352"/>
      <c r="G160" s="352"/>
      <c r="H160" s="207" t="s">
        <v>579</v>
      </c>
      <c r="I160" s="210">
        <f>5*60+(DAY(A160)-5)*46</f>
        <v>1404</v>
      </c>
      <c r="J160" s="211" t="s">
        <v>579</v>
      </c>
      <c r="K160" s="209">
        <v>0</v>
      </c>
      <c r="L160" s="213">
        <f t="shared" si="18"/>
        <v>598714.46764086466</v>
      </c>
      <c r="M160" s="222"/>
      <c r="N160" s="191"/>
      <c r="O160" s="220"/>
      <c r="P160" s="214"/>
      <c r="Q160" s="201"/>
      <c r="W160" s="201"/>
    </row>
    <row r="161" spans="1:23">
      <c r="A161" s="216">
        <v>45382</v>
      </c>
      <c r="B161" s="217" t="s">
        <v>579</v>
      </c>
      <c r="C161" s="218">
        <f t="shared" si="16"/>
        <v>1760.9249048260724</v>
      </c>
      <c r="D161" s="217" t="s">
        <v>579</v>
      </c>
      <c r="E161" s="219">
        <f t="shared" si="15"/>
        <v>340</v>
      </c>
      <c r="F161" s="352"/>
      <c r="G161" s="352"/>
      <c r="H161" s="207" t="s">
        <v>579</v>
      </c>
      <c r="I161" s="210">
        <f t="shared" si="17"/>
        <v>1496</v>
      </c>
      <c r="J161" s="211" t="s">
        <v>579</v>
      </c>
      <c r="K161" s="209">
        <v>0</v>
      </c>
      <c r="L161" s="213">
        <f t="shared" si="18"/>
        <v>598714.46764086466</v>
      </c>
      <c r="M161" s="222"/>
      <c r="N161" s="191"/>
      <c r="O161" s="220"/>
      <c r="P161" s="214"/>
      <c r="Q161" s="201"/>
      <c r="W161" s="201"/>
    </row>
    <row r="162" spans="1:23">
      <c r="A162" s="216">
        <v>45412</v>
      </c>
      <c r="B162" s="217" t="s">
        <v>579</v>
      </c>
      <c r="C162" s="218">
        <f t="shared" si="16"/>
        <v>1760.9249048260724</v>
      </c>
      <c r="D162" s="217" t="s">
        <v>579</v>
      </c>
      <c r="E162" s="219">
        <f t="shared" si="15"/>
        <v>340</v>
      </c>
      <c r="F162" s="352"/>
      <c r="G162" s="352"/>
      <c r="H162" s="207" t="s">
        <v>579</v>
      </c>
      <c r="I162" s="210">
        <f t="shared" si="17"/>
        <v>1450</v>
      </c>
      <c r="J162" s="211" t="s">
        <v>579</v>
      </c>
      <c r="K162" s="209">
        <v>0</v>
      </c>
      <c r="L162" s="213">
        <f t="shared" si="18"/>
        <v>598714.46764086466</v>
      </c>
      <c r="M162" s="222"/>
      <c r="N162" s="191"/>
      <c r="O162" s="220"/>
      <c r="P162" s="214"/>
      <c r="Q162" s="201"/>
      <c r="W162" s="201"/>
    </row>
    <row r="163" spans="1:23">
      <c r="A163" s="216">
        <v>45443</v>
      </c>
      <c r="B163" s="217" t="s">
        <v>579</v>
      </c>
      <c r="C163" s="218">
        <f t="shared" si="16"/>
        <v>1760.9249048260724</v>
      </c>
      <c r="D163" s="217" t="s">
        <v>579</v>
      </c>
      <c r="E163" s="219">
        <f t="shared" si="15"/>
        <v>340</v>
      </c>
      <c r="F163" s="352"/>
      <c r="G163" s="352"/>
      <c r="H163" s="207" t="s">
        <v>579</v>
      </c>
      <c r="I163" s="210">
        <f t="shared" si="17"/>
        <v>1496</v>
      </c>
      <c r="J163" s="211" t="s">
        <v>579</v>
      </c>
      <c r="K163" s="209">
        <v>0</v>
      </c>
      <c r="L163" s="213">
        <f t="shared" si="18"/>
        <v>598714.46764086466</v>
      </c>
      <c r="M163" s="222"/>
      <c r="N163" s="191"/>
      <c r="O163" s="220"/>
      <c r="P163" s="214"/>
      <c r="Q163" s="201"/>
      <c r="W163" s="201"/>
    </row>
    <row r="164" spans="1:23">
      <c r="A164" s="216">
        <v>45473</v>
      </c>
      <c r="B164" s="217" t="s">
        <v>579</v>
      </c>
      <c r="C164" s="218">
        <f t="shared" si="16"/>
        <v>1760.9249048260724</v>
      </c>
      <c r="D164" s="217" t="s">
        <v>579</v>
      </c>
      <c r="E164" s="219">
        <f t="shared" si="15"/>
        <v>340</v>
      </c>
      <c r="F164" s="352"/>
      <c r="G164" s="352"/>
      <c r="H164" s="207" t="s">
        <v>579</v>
      </c>
      <c r="I164" s="210">
        <f t="shared" si="17"/>
        <v>1450</v>
      </c>
      <c r="J164" s="211" t="s">
        <v>579</v>
      </c>
      <c r="K164" s="209">
        <v>0</v>
      </c>
      <c r="L164" s="213">
        <f t="shared" si="18"/>
        <v>598714.46764086466</v>
      </c>
      <c r="M164" s="222"/>
      <c r="N164" s="191"/>
      <c r="O164" s="220"/>
      <c r="P164" s="214"/>
      <c r="Q164" s="201"/>
      <c r="W164" s="201"/>
    </row>
    <row r="165" spans="1:23">
      <c r="A165" s="216">
        <v>45504</v>
      </c>
      <c r="B165" s="217" t="s">
        <v>579</v>
      </c>
      <c r="C165" s="218">
        <f t="shared" si="16"/>
        <v>1760.9249048260724</v>
      </c>
      <c r="D165" s="217" t="s">
        <v>579</v>
      </c>
      <c r="E165" s="219">
        <f t="shared" si="15"/>
        <v>340</v>
      </c>
      <c r="F165" s="352"/>
      <c r="G165" s="352"/>
      <c r="H165" s="207" t="s">
        <v>579</v>
      </c>
      <c r="I165" s="210">
        <f t="shared" si="17"/>
        <v>1496</v>
      </c>
      <c r="J165" s="211" t="s">
        <v>579</v>
      </c>
      <c r="K165" s="209">
        <v>0</v>
      </c>
      <c r="L165" s="213">
        <f t="shared" si="18"/>
        <v>598714.46764086466</v>
      </c>
      <c r="M165" s="222"/>
      <c r="N165" s="191"/>
      <c r="O165" s="220"/>
      <c r="P165" s="214"/>
      <c r="Q165" s="201"/>
      <c r="W165" s="201"/>
    </row>
    <row r="166" spans="1:23">
      <c r="A166" s="216">
        <v>45535</v>
      </c>
      <c r="B166" s="217" t="s">
        <v>579</v>
      </c>
      <c r="C166" s="218">
        <f t="shared" si="16"/>
        <v>1760.9249048260724</v>
      </c>
      <c r="D166" s="217" t="s">
        <v>579</v>
      </c>
      <c r="E166" s="219">
        <f t="shared" si="15"/>
        <v>340</v>
      </c>
      <c r="F166" s="352"/>
      <c r="G166" s="352"/>
      <c r="H166" s="207" t="s">
        <v>579</v>
      </c>
      <c r="I166" s="210">
        <f>5*60+(DAY(A166)-5)*46</f>
        <v>1496</v>
      </c>
      <c r="J166" s="211" t="s">
        <v>579</v>
      </c>
      <c r="K166" s="209">
        <v>0</v>
      </c>
      <c r="L166" s="213">
        <f t="shared" si="18"/>
        <v>598714.46764086466</v>
      </c>
      <c r="M166" s="222"/>
      <c r="N166" s="191"/>
      <c r="O166" s="220"/>
      <c r="P166" s="214"/>
      <c r="Q166" s="201"/>
      <c r="W166" s="201"/>
    </row>
    <row r="167" spans="1:23">
      <c r="A167" s="216">
        <v>45565</v>
      </c>
      <c r="B167" s="217" t="s">
        <v>579</v>
      </c>
      <c r="C167" s="218">
        <f>IF(B167="--",C166,C166*B167)</f>
        <v>1760.9249048260724</v>
      </c>
      <c r="D167" s="217" t="s">
        <v>579</v>
      </c>
      <c r="E167" s="219">
        <f>IF(D167="--",E166,E166+D167)</f>
        <v>340</v>
      </c>
      <c r="F167" s="352"/>
      <c r="G167" s="352"/>
      <c r="H167" s="207" t="s">
        <v>579</v>
      </c>
      <c r="I167" s="210">
        <f>5*60+(DAY(A167)-5)*46</f>
        <v>1450</v>
      </c>
      <c r="J167" s="211" t="s">
        <v>579</v>
      </c>
      <c r="K167" s="209">
        <v>0</v>
      </c>
      <c r="L167" s="213">
        <f t="shared" si="18"/>
        <v>598714.46764086466</v>
      </c>
      <c r="M167" s="222"/>
      <c r="N167" s="191"/>
      <c r="O167" s="191"/>
      <c r="Q167" s="201"/>
    </row>
    <row r="168" spans="1:23">
      <c r="A168" s="216">
        <v>45596</v>
      </c>
      <c r="B168" s="207" t="s">
        <v>579</v>
      </c>
      <c r="C168" s="208">
        <f t="shared" ref="C168:C190" si="19">IF(B168="--",C167,C167*B168)</f>
        <v>1760.9249048260724</v>
      </c>
      <c r="D168" s="207" t="s">
        <v>579</v>
      </c>
      <c r="E168" s="209">
        <f t="shared" ref="E168:E190" si="20">IF(D168="--",E167,E167+D168)</f>
        <v>340</v>
      </c>
      <c r="F168" s="353"/>
      <c r="G168" s="353"/>
      <c r="H168" s="207" t="s">
        <v>579</v>
      </c>
      <c r="I168" s="210">
        <f t="shared" ref="I168:I190" si="21">5*60+(DAY(A168)-5)*46</f>
        <v>1496</v>
      </c>
      <c r="J168" s="211" t="s">
        <v>579</v>
      </c>
      <c r="K168" s="209">
        <v>0</v>
      </c>
      <c r="L168" s="212">
        <f t="shared" si="18"/>
        <v>598714.46764086466</v>
      </c>
      <c r="M168" s="222"/>
      <c r="N168" s="191"/>
      <c r="O168" s="191"/>
      <c r="Q168" s="201"/>
    </row>
    <row r="169" spans="1:23">
      <c r="A169" s="216">
        <v>45626</v>
      </c>
      <c r="B169" s="207" t="s">
        <v>579</v>
      </c>
      <c r="C169" s="208">
        <f t="shared" si="19"/>
        <v>1760.9249048260724</v>
      </c>
      <c r="D169" s="207" t="s">
        <v>579</v>
      </c>
      <c r="E169" s="209">
        <f t="shared" si="20"/>
        <v>340</v>
      </c>
      <c r="F169" s="353"/>
      <c r="G169" s="353"/>
      <c r="H169" s="207" t="s">
        <v>579</v>
      </c>
      <c r="I169" s="210">
        <f t="shared" si="21"/>
        <v>1450</v>
      </c>
      <c r="J169" s="211" t="s">
        <v>579</v>
      </c>
      <c r="K169" s="209">
        <v>0</v>
      </c>
      <c r="L169" s="212">
        <f t="shared" si="18"/>
        <v>598714.46764086466</v>
      </c>
      <c r="M169" s="222"/>
      <c r="N169" s="191"/>
      <c r="O169" s="191"/>
      <c r="Q169" s="201"/>
    </row>
    <row r="170" spans="1:23">
      <c r="A170" s="216">
        <v>45657</v>
      </c>
      <c r="B170" s="207" t="s">
        <v>579</v>
      </c>
      <c r="C170" s="208">
        <f t="shared" si="19"/>
        <v>1760.9249048260724</v>
      </c>
      <c r="D170" s="207" t="s">
        <v>579</v>
      </c>
      <c r="E170" s="209">
        <f t="shared" si="20"/>
        <v>340</v>
      </c>
      <c r="F170" s="353"/>
      <c r="G170" s="353"/>
      <c r="H170" s="207" t="s">
        <v>579</v>
      </c>
      <c r="I170" s="210">
        <f t="shared" si="21"/>
        <v>1496</v>
      </c>
      <c r="J170" s="211" t="s">
        <v>579</v>
      </c>
      <c r="K170" s="209">
        <v>0</v>
      </c>
      <c r="L170" s="212">
        <f t="shared" si="18"/>
        <v>598714.46764086466</v>
      </c>
      <c r="M170" s="222"/>
      <c r="N170" s="191"/>
      <c r="O170" s="191"/>
      <c r="Q170" s="201"/>
    </row>
    <row r="171" spans="1:23">
      <c r="A171" s="216">
        <v>45688</v>
      </c>
      <c r="B171" s="207" t="s">
        <v>579</v>
      </c>
      <c r="C171" s="208">
        <f t="shared" si="19"/>
        <v>1760.9249048260724</v>
      </c>
      <c r="D171" s="207" t="s">
        <v>579</v>
      </c>
      <c r="E171" s="209">
        <f t="shared" si="20"/>
        <v>340</v>
      </c>
      <c r="F171" s="353"/>
      <c r="G171" s="353"/>
      <c r="H171" s="207" t="s">
        <v>579</v>
      </c>
      <c r="I171" s="210">
        <f t="shared" si="21"/>
        <v>1496</v>
      </c>
      <c r="J171" s="211" t="s">
        <v>579</v>
      </c>
      <c r="K171" s="209">
        <v>0</v>
      </c>
      <c r="L171" s="212">
        <f t="shared" si="18"/>
        <v>598714.46764086466</v>
      </c>
      <c r="M171" s="222"/>
      <c r="N171" s="191"/>
      <c r="O171" s="191"/>
      <c r="Q171" s="201"/>
    </row>
    <row r="172" spans="1:23">
      <c r="A172" s="216">
        <v>45716</v>
      </c>
      <c r="B172" s="207" t="s">
        <v>579</v>
      </c>
      <c r="C172" s="208">
        <f t="shared" si="19"/>
        <v>1760.9249048260724</v>
      </c>
      <c r="D172" s="207" t="s">
        <v>579</v>
      </c>
      <c r="E172" s="209">
        <f t="shared" si="20"/>
        <v>340</v>
      </c>
      <c r="F172" s="353"/>
      <c r="G172" s="353"/>
      <c r="H172" s="207" t="s">
        <v>579</v>
      </c>
      <c r="I172" s="210">
        <f t="shared" si="21"/>
        <v>1358</v>
      </c>
      <c r="J172" s="211" t="s">
        <v>579</v>
      </c>
      <c r="K172" s="209">
        <v>0</v>
      </c>
      <c r="L172" s="212">
        <f t="shared" si="18"/>
        <v>598714.46764086466</v>
      </c>
      <c r="M172" s="222"/>
      <c r="N172" s="191"/>
      <c r="O172" s="191"/>
      <c r="Q172" s="201"/>
    </row>
    <row r="173" spans="1:23">
      <c r="A173" s="216">
        <v>45747</v>
      </c>
      <c r="B173" s="207" t="s">
        <v>579</v>
      </c>
      <c r="C173" s="208">
        <f t="shared" si="19"/>
        <v>1760.9249048260724</v>
      </c>
      <c r="D173" s="207" t="s">
        <v>579</v>
      </c>
      <c r="E173" s="209">
        <f t="shared" si="20"/>
        <v>340</v>
      </c>
      <c r="F173" s="353"/>
      <c r="G173" s="353"/>
      <c r="H173" s="207" t="s">
        <v>579</v>
      </c>
      <c r="I173" s="210">
        <f t="shared" si="21"/>
        <v>1496</v>
      </c>
      <c r="J173" s="211" t="s">
        <v>579</v>
      </c>
      <c r="K173" s="209">
        <v>0</v>
      </c>
      <c r="L173" s="212">
        <f t="shared" si="18"/>
        <v>598714.46764086466</v>
      </c>
      <c r="M173" s="222"/>
      <c r="N173" s="191"/>
      <c r="O173" s="191"/>
      <c r="Q173" s="201"/>
    </row>
    <row r="174" spans="1:23">
      <c r="A174" s="216">
        <v>45777</v>
      </c>
      <c r="B174" s="207" t="s">
        <v>579</v>
      </c>
      <c r="C174" s="208">
        <f t="shared" si="19"/>
        <v>1760.9249048260724</v>
      </c>
      <c r="D174" s="207" t="s">
        <v>579</v>
      </c>
      <c r="E174" s="209">
        <f t="shared" si="20"/>
        <v>340</v>
      </c>
      <c r="F174" s="353"/>
      <c r="G174" s="353"/>
      <c r="H174" s="207" t="s">
        <v>579</v>
      </c>
      <c r="I174" s="210">
        <f t="shared" si="21"/>
        <v>1450</v>
      </c>
      <c r="J174" s="211" t="s">
        <v>579</v>
      </c>
      <c r="K174" s="209">
        <v>0</v>
      </c>
      <c r="L174" s="212">
        <f t="shared" si="18"/>
        <v>598714.46764086466</v>
      </c>
      <c r="M174" s="222"/>
      <c r="N174" s="191"/>
      <c r="O174" s="191"/>
      <c r="Q174" s="201"/>
    </row>
    <row r="175" spans="1:23">
      <c r="A175" s="216">
        <v>45808</v>
      </c>
      <c r="B175" s="207" t="s">
        <v>579</v>
      </c>
      <c r="C175" s="208">
        <f t="shared" si="19"/>
        <v>1760.9249048260724</v>
      </c>
      <c r="D175" s="207" t="s">
        <v>579</v>
      </c>
      <c r="E175" s="209">
        <f t="shared" si="20"/>
        <v>340</v>
      </c>
      <c r="F175" s="353"/>
      <c r="G175" s="353"/>
      <c r="H175" s="207" t="s">
        <v>579</v>
      </c>
      <c r="I175" s="210">
        <f t="shared" si="21"/>
        <v>1496</v>
      </c>
      <c r="J175" s="211" t="s">
        <v>579</v>
      </c>
      <c r="K175" s="209">
        <v>0</v>
      </c>
      <c r="L175" s="212">
        <f t="shared" si="18"/>
        <v>598714.46764086466</v>
      </c>
      <c r="M175" s="222"/>
      <c r="N175" s="191"/>
      <c r="O175" s="191"/>
      <c r="Q175" s="201"/>
    </row>
    <row r="176" spans="1:23">
      <c r="A176" s="216">
        <v>45838</v>
      </c>
      <c r="B176" s="207" t="s">
        <v>579</v>
      </c>
      <c r="C176" s="208">
        <f t="shared" si="19"/>
        <v>1760.9249048260724</v>
      </c>
      <c r="D176" s="207" t="s">
        <v>579</v>
      </c>
      <c r="E176" s="209">
        <f t="shared" si="20"/>
        <v>340</v>
      </c>
      <c r="F176" s="353"/>
      <c r="G176" s="353"/>
      <c r="H176" s="207" t="s">
        <v>579</v>
      </c>
      <c r="I176" s="210">
        <f t="shared" si="21"/>
        <v>1450</v>
      </c>
      <c r="J176" s="211" t="s">
        <v>579</v>
      </c>
      <c r="K176" s="209">
        <v>0</v>
      </c>
      <c r="L176" s="212">
        <f t="shared" si="18"/>
        <v>598714.46764086466</v>
      </c>
      <c r="M176" s="222"/>
      <c r="N176" s="191"/>
      <c r="O176" s="191"/>
      <c r="Q176" s="201"/>
    </row>
    <row r="177" spans="1:17">
      <c r="A177" s="216">
        <v>45869</v>
      </c>
      <c r="B177" s="207" t="s">
        <v>579</v>
      </c>
      <c r="C177" s="208">
        <f t="shared" si="19"/>
        <v>1760.9249048260724</v>
      </c>
      <c r="D177" s="207" t="s">
        <v>579</v>
      </c>
      <c r="E177" s="209">
        <f t="shared" si="20"/>
        <v>340</v>
      </c>
      <c r="F177" s="353"/>
      <c r="G177" s="353"/>
      <c r="H177" s="207" t="s">
        <v>579</v>
      </c>
      <c r="I177" s="210">
        <f t="shared" si="21"/>
        <v>1496</v>
      </c>
      <c r="J177" s="211" t="s">
        <v>579</v>
      </c>
      <c r="K177" s="209">
        <v>0</v>
      </c>
      <c r="L177" s="212">
        <f t="shared" si="18"/>
        <v>598714.46764086466</v>
      </c>
      <c r="M177" s="222"/>
      <c r="N177" s="191"/>
      <c r="O177" s="191"/>
      <c r="Q177" s="201"/>
    </row>
    <row r="178" spans="1:17">
      <c r="A178" s="216">
        <v>45900</v>
      </c>
      <c r="B178" s="207" t="s">
        <v>579</v>
      </c>
      <c r="C178" s="208">
        <f t="shared" si="19"/>
        <v>1760.9249048260724</v>
      </c>
      <c r="D178" s="207" t="s">
        <v>579</v>
      </c>
      <c r="E178" s="209">
        <f t="shared" si="20"/>
        <v>340</v>
      </c>
      <c r="F178" s="353"/>
      <c r="G178" s="353"/>
      <c r="H178" s="207" t="s">
        <v>579</v>
      </c>
      <c r="I178" s="210">
        <f t="shared" si="21"/>
        <v>1496</v>
      </c>
      <c r="J178" s="211" t="s">
        <v>579</v>
      </c>
      <c r="K178" s="209">
        <v>0</v>
      </c>
      <c r="L178" s="212">
        <f t="shared" si="18"/>
        <v>598714.46764086466</v>
      </c>
      <c r="M178" s="222"/>
      <c r="N178" s="191"/>
      <c r="O178" s="191"/>
      <c r="Q178" s="201"/>
    </row>
    <row r="179" spans="1:17">
      <c r="A179" s="216">
        <v>45930</v>
      </c>
      <c r="B179" s="207" t="s">
        <v>579</v>
      </c>
      <c r="C179" s="208">
        <f t="shared" si="19"/>
        <v>1760.9249048260724</v>
      </c>
      <c r="D179" s="207" t="s">
        <v>579</v>
      </c>
      <c r="E179" s="209">
        <f t="shared" si="20"/>
        <v>340</v>
      </c>
      <c r="F179" s="353"/>
      <c r="G179" s="353"/>
      <c r="H179" s="207" t="s">
        <v>579</v>
      </c>
      <c r="I179" s="210">
        <f t="shared" si="21"/>
        <v>1450</v>
      </c>
      <c r="J179" s="211" t="s">
        <v>579</v>
      </c>
      <c r="K179" s="209">
        <v>0</v>
      </c>
      <c r="L179" s="212">
        <f t="shared" si="18"/>
        <v>598714.46764086466</v>
      </c>
      <c r="M179" s="222"/>
      <c r="N179" s="191"/>
      <c r="O179" s="191"/>
      <c r="Q179" s="201"/>
    </row>
    <row r="180" spans="1:17">
      <c r="A180" s="216">
        <v>45961</v>
      </c>
      <c r="B180" s="221">
        <v>1.0618000000000001</v>
      </c>
      <c r="C180" s="208">
        <f t="shared" si="19"/>
        <v>1869.7500639443238</v>
      </c>
      <c r="D180" s="207" t="s">
        <v>579</v>
      </c>
      <c r="E180" s="209">
        <f t="shared" si="20"/>
        <v>340</v>
      </c>
      <c r="F180" s="353"/>
      <c r="G180" s="353"/>
      <c r="H180" s="207" t="s">
        <v>579</v>
      </c>
      <c r="I180" s="210">
        <f t="shared" si="21"/>
        <v>1496</v>
      </c>
      <c r="J180" s="211" t="s">
        <v>579</v>
      </c>
      <c r="K180" s="209">
        <v>0</v>
      </c>
      <c r="L180" s="212">
        <f t="shared" si="18"/>
        <v>635715.02174107009</v>
      </c>
      <c r="M180" s="222"/>
      <c r="N180" s="191"/>
      <c r="O180" s="191"/>
      <c r="Q180" s="201"/>
    </row>
    <row r="181" spans="1:17">
      <c r="A181" s="216">
        <v>45991</v>
      </c>
      <c r="B181" s="207" t="s">
        <v>579</v>
      </c>
      <c r="C181" s="208">
        <f t="shared" si="19"/>
        <v>1869.7500639443238</v>
      </c>
      <c r="D181" s="207" t="s">
        <v>579</v>
      </c>
      <c r="E181" s="209">
        <f t="shared" si="20"/>
        <v>340</v>
      </c>
      <c r="F181" s="353"/>
      <c r="G181" s="353"/>
      <c r="H181" s="207" t="s">
        <v>579</v>
      </c>
      <c r="I181" s="210">
        <f t="shared" si="21"/>
        <v>1450</v>
      </c>
      <c r="J181" s="211" t="s">
        <v>579</v>
      </c>
      <c r="K181" s="209">
        <v>0</v>
      </c>
      <c r="L181" s="212">
        <f t="shared" si="18"/>
        <v>635715.02174107009</v>
      </c>
      <c r="M181" s="222"/>
      <c r="N181" s="191"/>
      <c r="O181" s="191"/>
      <c r="Q181" s="201"/>
    </row>
    <row r="182" spans="1:17">
      <c r="A182" s="216">
        <v>46022</v>
      </c>
      <c r="B182" s="207" t="s">
        <v>579</v>
      </c>
      <c r="C182" s="208">
        <f t="shared" si="19"/>
        <v>1869.7500639443238</v>
      </c>
      <c r="D182" s="207" t="s">
        <v>579</v>
      </c>
      <c r="E182" s="209">
        <f t="shared" si="20"/>
        <v>340</v>
      </c>
      <c r="F182" s="353"/>
      <c r="G182" s="353"/>
      <c r="H182" s="207" t="s">
        <v>579</v>
      </c>
      <c r="I182" s="210">
        <f t="shared" si="21"/>
        <v>1496</v>
      </c>
      <c r="J182" s="211" t="s">
        <v>579</v>
      </c>
      <c r="K182" s="209">
        <v>0</v>
      </c>
      <c r="L182" s="212">
        <f t="shared" si="18"/>
        <v>635715.02174107009</v>
      </c>
      <c r="M182" s="222"/>
      <c r="N182" s="191"/>
      <c r="O182" s="191"/>
      <c r="Q182" s="201"/>
    </row>
    <row r="183" spans="1:17">
      <c r="A183" s="216">
        <v>46053</v>
      </c>
      <c r="B183" s="207" t="s">
        <v>579</v>
      </c>
      <c r="C183" s="208">
        <f t="shared" si="19"/>
        <v>1869.7500639443238</v>
      </c>
      <c r="D183" s="207" t="s">
        <v>579</v>
      </c>
      <c r="E183" s="209">
        <f t="shared" si="20"/>
        <v>340</v>
      </c>
      <c r="F183" s="353"/>
      <c r="G183" s="353"/>
      <c r="H183" s="207" t="s">
        <v>579</v>
      </c>
      <c r="I183" s="210">
        <f t="shared" si="21"/>
        <v>1496</v>
      </c>
      <c r="J183" s="211" t="s">
        <v>579</v>
      </c>
      <c r="K183" s="209">
        <v>0</v>
      </c>
      <c r="L183" s="212">
        <f t="shared" si="18"/>
        <v>635715.02174107009</v>
      </c>
      <c r="M183" s="222"/>
      <c r="N183" s="191"/>
      <c r="O183" s="191"/>
      <c r="Q183" s="201"/>
    </row>
    <row r="184" spans="1:17">
      <c r="A184" s="216">
        <v>46081</v>
      </c>
      <c r="B184" s="207" t="s">
        <v>579</v>
      </c>
      <c r="C184" s="208">
        <f t="shared" si="19"/>
        <v>1869.7500639443238</v>
      </c>
      <c r="D184" s="207" t="s">
        <v>579</v>
      </c>
      <c r="E184" s="209">
        <f t="shared" si="20"/>
        <v>340</v>
      </c>
      <c r="F184" s="353"/>
      <c r="G184" s="353"/>
      <c r="H184" s="207" t="s">
        <v>579</v>
      </c>
      <c r="I184" s="210">
        <f t="shared" si="21"/>
        <v>1358</v>
      </c>
      <c r="J184" s="211" t="s">
        <v>579</v>
      </c>
      <c r="K184" s="209">
        <v>0</v>
      </c>
      <c r="L184" s="212">
        <f t="shared" si="18"/>
        <v>635715.02174107009</v>
      </c>
      <c r="M184" s="222"/>
      <c r="N184" s="191"/>
      <c r="O184" s="191"/>
      <c r="Q184" s="201"/>
    </row>
    <row r="185" spans="1:17">
      <c r="A185" s="216">
        <v>46112</v>
      </c>
      <c r="B185" s="207" t="s">
        <v>579</v>
      </c>
      <c r="C185" s="208">
        <f t="shared" si="19"/>
        <v>1869.7500639443238</v>
      </c>
      <c r="D185" s="207" t="s">
        <v>579</v>
      </c>
      <c r="E185" s="209">
        <f t="shared" si="20"/>
        <v>340</v>
      </c>
      <c r="F185" s="353"/>
      <c r="G185" s="353"/>
      <c r="H185" s="207" t="s">
        <v>579</v>
      </c>
      <c r="I185" s="210">
        <f t="shared" si="21"/>
        <v>1496</v>
      </c>
      <c r="J185" s="211" t="s">
        <v>579</v>
      </c>
      <c r="K185" s="209">
        <v>0</v>
      </c>
      <c r="L185" s="212">
        <f t="shared" si="18"/>
        <v>635715.02174107009</v>
      </c>
      <c r="M185" s="222"/>
      <c r="N185" s="191"/>
      <c r="O185" s="191"/>
      <c r="Q185" s="201"/>
    </row>
    <row r="186" spans="1:17">
      <c r="A186" s="216">
        <v>46142</v>
      </c>
      <c r="B186" s="207" t="s">
        <v>579</v>
      </c>
      <c r="C186" s="208">
        <f t="shared" si="19"/>
        <v>1869.7500639443238</v>
      </c>
      <c r="D186" s="207" t="s">
        <v>579</v>
      </c>
      <c r="E186" s="209">
        <f t="shared" si="20"/>
        <v>340</v>
      </c>
      <c r="F186" s="353"/>
      <c r="G186" s="353"/>
      <c r="H186" s="207" t="s">
        <v>579</v>
      </c>
      <c r="I186" s="210">
        <f t="shared" si="21"/>
        <v>1450</v>
      </c>
      <c r="J186" s="211" t="s">
        <v>579</v>
      </c>
      <c r="K186" s="209">
        <v>0</v>
      </c>
      <c r="L186" s="212">
        <f t="shared" si="18"/>
        <v>635715.02174107009</v>
      </c>
      <c r="M186" s="222"/>
      <c r="N186" s="191"/>
      <c r="O186" s="191"/>
      <c r="Q186" s="201"/>
    </row>
    <row r="187" spans="1:17">
      <c r="A187" s="216">
        <v>46173</v>
      </c>
      <c r="B187" s="207" t="s">
        <v>579</v>
      </c>
      <c r="C187" s="208">
        <f t="shared" si="19"/>
        <v>1869.7500639443238</v>
      </c>
      <c r="D187" s="207" t="s">
        <v>579</v>
      </c>
      <c r="E187" s="209">
        <f t="shared" si="20"/>
        <v>340</v>
      </c>
      <c r="F187" s="353"/>
      <c r="G187" s="353"/>
      <c r="H187" s="207" t="s">
        <v>579</v>
      </c>
      <c r="I187" s="210">
        <f t="shared" si="21"/>
        <v>1496</v>
      </c>
      <c r="J187" s="211" t="s">
        <v>579</v>
      </c>
      <c r="K187" s="209">
        <v>0</v>
      </c>
      <c r="L187" s="212">
        <f t="shared" si="18"/>
        <v>635715.02174107009</v>
      </c>
      <c r="M187" s="222"/>
      <c r="N187" s="191"/>
      <c r="O187" s="191"/>
      <c r="Q187" s="201"/>
    </row>
    <row r="188" spans="1:17">
      <c r="A188" s="216">
        <v>46203</v>
      </c>
      <c r="B188" s="207" t="s">
        <v>579</v>
      </c>
      <c r="C188" s="208">
        <f t="shared" si="19"/>
        <v>1869.7500639443238</v>
      </c>
      <c r="D188" s="207" t="s">
        <v>579</v>
      </c>
      <c r="E188" s="209">
        <f t="shared" si="20"/>
        <v>340</v>
      </c>
      <c r="F188" s="353"/>
      <c r="G188" s="353"/>
      <c r="H188" s="207" t="s">
        <v>579</v>
      </c>
      <c r="I188" s="210">
        <f t="shared" si="21"/>
        <v>1450</v>
      </c>
      <c r="J188" s="211" t="s">
        <v>579</v>
      </c>
      <c r="K188" s="209">
        <v>0</v>
      </c>
      <c r="L188" s="212">
        <f t="shared" si="18"/>
        <v>635715.02174107009</v>
      </c>
      <c r="M188" s="222"/>
      <c r="N188" s="191"/>
      <c r="O188" s="191"/>
      <c r="Q188" s="201"/>
    </row>
    <row r="189" spans="1:17">
      <c r="A189" s="216">
        <v>46234</v>
      </c>
      <c r="B189" s="207" t="s">
        <v>579</v>
      </c>
      <c r="C189" s="208">
        <f t="shared" si="19"/>
        <v>1869.7500639443238</v>
      </c>
      <c r="D189" s="207" t="s">
        <v>579</v>
      </c>
      <c r="E189" s="209">
        <f t="shared" si="20"/>
        <v>340</v>
      </c>
      <c r="F189" s="353"/>
      <c r="G189" s="353"/>
      <c r="H189" s="207" t="s">
        <v>579</v>
      </c>
      <c r="I189" s="210">
        <f t="shared" si="21"/>
        <v>1496</v>
      </c>
      <c r="J189" s="211" t="s">
        <v>579</v>
      </c>
      <c r="K189" s="209">
        <v>0</v>
      </c>
      <c r="L189" s="212">
        <f t="shared" si="18"/>
        <v>635715.02174107009</v>
      </c>
      <c r="M189" s="222"/>
      <c r="N189" s="191"/>
      <c r="O189" s="191"/>
      <c r="Q189" s="201"/>
    </row>
    <row r="190" spans="1:17">
      <c r="A190" s="216">
        <v>46265</v>
      </c>
      <c r="B190" s="207" t="s">
        <v>579</v>
      </c>
      <c r="C190" s="208">
        <f t="shared" si="19"/>
        <v>1869.7500639443238</v>
      </c>
      <c r="D190" s="207" t="s">
        <v>579</v>
      </c>
      <c r="E190" s="209">
        <f t="shared" si="20"/>
        <v>340</v>
      </c>
      <c r="F190" s="353"/>
      <c r="G190" s="353"/>
      <c r="H190" s="207" t="s">
        <v>579</v>
      </c>
      <c r="I190" s="210">
        <f t="shared" si="21"/>
        <v>1496</v>
      </c>
      <c r="J190" s="211" t="s">
        <v>579</v>
      </c>
      <c r="K190" s="209">
        <v>0</v>
      </c>
      <c r="L190" s="212">
        <f t="shared" si="18"/>
        <v>635715.02174107009</v>
      </c>
      <c r="M190" s="222"/>
      <c r="N190" s="191"/>
      <c r="O190" s="191"/>
      <c r="Q190" s="201"/>
    </row>
    <row r="191" spans="1:17">
      <c r="A191" s="216">
        <v>46295</v>
      </c>
      <c r="B191" s="207" t="s">
        <v>579</v>
      </c>
      <c r="C191" s="208">
        <f t="shared" ref="C191:C197" si="22">IF(B191="--",C190,C190*B191)</f>
        <v>1869.7500639443238</v>
      </c>
      <c r="D191" s="207" t="s">
        <v>579</v>
      </c>
      <c r="E191" s="209">
        <f t="shared" ref="E191:E197" si="23">IF(D191="--",E190,E190+D191)</f>
        <v>340</v>
      </c>
      <c r="F191" s="353"/>
      <c r="G191" s="353"/>
      <c r="H191" s="207" t="s">
        <v>579</v>
      </c>
      <c r="I191" s="210">
        <f t="shared" ref="I191:I197" si="24">5*60+(DAY(A191)-5)*46</f>
        <v>1450</v>
      </c>
      <c r="J191" s="211" t="s">
        <v>579</v>
      </c>
      <c r="K191" s="209">
        <v>0</v>
      </c>
      <c r="L191" s="212">
        <f t="shared" ref="L191:L197" si="25">E191*C191</f>
        <v>635715.02174107009</v>
      </c>
      <c r="M191" s="222"/>
      <c r="N191" s="191"/>
      <c r="O191" s="191"/>
      <c r="Q191" s="201"/>
    </row>
    <row r="192" spans="1:17">
      <c r="A192" s="216">
        <v>46326</v>
      </c>
      <c r="B192" s="207" t="s">
        <v>579</v>
      </c>
      <c r="C192" s="208">
        <f t="shared" si="22"/>
        <v>1869.7500639443238</v>
      </c>
      <c r="D192" s="207" t="s">
        <v>579</v>
      </c>
      <c r="E192" s="209">
        <f t="shared" si="23"/>
        <v>340</v>
      </c>
      <c r="F192" s="353"/>
      <c r="G192" s="353"/>
      <c r="H192" s="207" t="s">
        <v>579</v>
      </c>
      <c r="I192" s="210">
        <f t="shared" si="24"/>
        <v>1496</v>
      </c>
      <c r="J192" s="211" t="s">
        <v>579</v>
      </c>
      <c r="K192" s="209">
        <v>0</v>
      </c>
      <c r="L192" s="212">
        <f t="shared" si="25"/>
        <v>635715.02174107009</v>
      </c>
      <c r="M192" s="222"/>
      <c r="N192" s="191"/>
      <c r="O192" s="191"/>
      <c r="Q192" s="201"/>
    </row>
    <row r="193" spans="1:17">
      <c r="A193" s="216">
        <v>46356</v>
      </c>
      <c r="B193" s="207" t="s">
        <v>579</v>
      </c>
      <c r="C193" s="208">
        <f t="shared" si="22"/>
        <v>1869.7500639443238</v>
      </c>
      <c r="D193" s="207" t="s">
        <v>579</v>
      </c>
      <c r="E193" s="209">
        <f t="shared" si="23"/>
        <v>340</v>
      </c>
      <c r="F193" s="353"/>
      <c r="G193" s="353"/>
      <c r="H193" s="207" t="s">
        <v>579</v>
      </c>
      <c r="I193" s="210">
        <f t="shared" si="24"/>
        <v>1450</v>
      </c>
      <c r="J193" s="211" t="s">
        <v>579</v>
      </c>
      <c r="K193" s="209">
        <v>0</v>
      </c>
      <c r="L193" s="212">
        <f t="shared" si="25"/>
        <v>635715.02174107009</v>
      </c>
      <c r="M193" s="222"/>
      <c r="N193" s="191"/>
      <c r="O193" s="191"/>
      <c r="Q193" s="201"/>
    </row>
    <row r="194" spans="1:17">
      <c r="A194" s="216">
        <v>46387</v>
      </c>
      <c r="B194" s="207" t="s">
        <v>579</v>
      </c>
      <c r="C194" s="208">
        <f t="shared" si="22"/>
        <v>1869.7500639443238</v>
      </c>
      <c r="D194" s="207" t="s">
        <v>579</v>
      </c>
      <c r="E194" s="209">
        <f t="shared" si="23"/>
        <v>340</v>
      </c>
      <c r="F194" s="353"/>
      <c r="G194" s="353"/>
      <c r="H194" s="207" t="s">
        <v>579</v>
      </c>
      <c r="I194" s="210">
        <f t="shared" si="24"/>
        <v>1496</v>
      </c>
      <c r="J194" s="211" t="s">
        <v>579</v>
      </c>
      <c r="K194" s="209">
        <v>0</v>
      </c>
      <c r="L194" s="212">
        <f t="shared" si="25"/>
        <v>635715.02174107009</v>
      </c>
      <c r="M194" s="222"/>
      <c r="N194" s="191"/>
      <c r="O194" s="191"/>
      <c r="Q194" s="201"/>
    </row>
    <row r="195" spans="1:17">
      <c r="A195" s="216">
        <v>46418</v>
      </c>
      <c r="B195" s="207" t="s">
        <v>579</v>
      </c>
      <c r="C195" s="208">
        <f t="shared" si="22"/>
        <v>1869.7500639443238</v>
      </c>
      <c r="D195" s="207" t="s">
        <v>579</v>
      </c>
      <c r="E195" s="209">
        <f t="shared" si="23"/>
        <v>340</v>
      </c>
      <c r="F195" s="353"/>
      <c r="G195" s="353"/>
      <c r="H195" s="207" t="s">
        <v>579</v>
      </c>
      <c r="I195" s="210">
        <f t="shared" si="24"/>
        <v>1496</v>
      </c>
      <c r="J195" s="211" t="s">
        <v>579</v>
      </c>
      <c r="K195" s="209">
        <v>0</v>
      </c>
      <c r="L195" s="212">
        <f t="shared" si="25"/>
        <v>635715.02174107009</v>
      </c>
      <c r="M195" s="222"/>
      <c r="N195" s="191"/>
      <c r="O195" s="191"/>
      <c r="Q195" s="201"/>
    </row>
    <row r="196" spans="1:17">
      <c r="A196" s="216">
        <v>46446</v>
      </c>
      <c r="B196" s="207" t="s">
        <v>579</v>
      </c>
      <c r="C196" s="208">
        <f t="shared" si="22"/>
        <v>1869.7500639443238</v>
      </c>
      <c r="D196" s="207" t="s">
        <v>579</v>
      </c>
      <c r="E196" s="209">
        <f t="shared" si="23"/>
        <v>340</v>
      </c>
      <c r="F196" s="353"/>
      <c r="G196" s="353"/>
      <c r="H196" s="207" t="s">
        <v>579</v>
      </c>
      <c r="I196" s="210">
        <f t="shared" si="24"/>
        <v>1358</v>
      </c>
      <c r="J196" s="211" t="s">
        <v>579</v>
      </c>
      <c r="K196" s="209">
        <v>0</v>
      </c>
      <c r="L196" s="212">
        <f t="shared" si="25"/>
        <v>635715.02174107009</v>
      </c>
      <c r="M196" s="222"/>
      <c r="N196" s="191"/>
      <c r="O196" s="191"/>
      <c r="Q196" s="201"/>
    </row>
    <row r="197" spans="1:17">
      <c r="A197" s="340">
        <v>46477</v>
      </c>
      <c r="B197" s="207" t="s">
        <v>579</v>
      </c>
      <c r="C197" s="208">
        <f t="shared" si="22"/>
        <v>1869.7500639443238</v>
      </c>
      <c r="D197" s="207" t="s">
        <v>579</v>
      </c>
      <c r="E197" s="209">
        <f t="shared" si="23"/>
        <v>340</v>
      </c>
      <c r="F197" s="353"/>
      <c r="G197" s="353"/>
      <c r="H197" s="207" t="s">
        <v>579</v>
      </c>
      <c r="I197" s="210">
        <f t="shared" si="24"/>
        <v>1496</v>
      </c>
      <c r="J197" s="211" t="s">
        <v>579</v>
      </c>
      <c r="K197" s="209">
        <v>0</v>
      </c>
      <c r="L197" s="341">
        <f t="shared" si="25"/>
        <v>635715.02174107009</v>
      </c>
      <c r="M197" s="222"/>
      <c r="N197" s="344"/>
      <c r="O197" s="344"/>
      <c r="P197" s="228"/>
      <c r="Q197" s="201"/>
    </row>
    <row r="198" spans="1:17">
      <c r="A198" s="216">
        <v>46507</v>
      </c>
      <c r="B198" s="217" t="s">
        <v>579</v>
      </c>
      <c r="C198" s="208">
        <f t="shared" ref="C198:C251" si="26">IF(B198="--",C197,C197*B198)</f>
        <v>1869.7500639443238</v>
      </c>
      <c r="D198" s="207" t="s">
        <v>579</v>
      </c>
      <c r="E198" s="209">
        <f t="shared" ref="E198:E251" si="27">IF(D198="--",E197,E197+D198)</f>
        <v>340</v>
      </c>
      <c r="F198" s="353"/>
      <c r="G198" s="353"/>
      <c r="H198" s="207" t="s">
        <v>579</v>
      </c>
      <c r="I198" s="210">
        <f t="shared" ref="I198:I251" si="28">5*60+(DAY(A198)-5)*46</f>
        <v>1450</v>
      </c>
      <c r="J198" s="211" t="s">
        <v>579</v>
      </c>
      <c r="K198" s="209">
        <v>0</v>
      </c>
      <c r="L198" s="341">
        <f t="shared" ref="L198:L249" si="29">E198*C198</f>
        <v>635715.02174107009</v>
      </c>
      <c r="M198" s="222"/>
      <c r="N198" s="344"/>
      <c r="O198" s="344"/>
      <c r="P198" s="228"/>
      <c r="Q198" s="201"/>
    </row>
    <row r="199" spans="1:17">
      <c r="A199" s="216">
        <v>46538</v>
      </c>
      <c r="B199" s="217" t="s">
        <v>579</v>
      </c>
      <c r="C199" s="208">
        <f t="shared" si="26"/>
        <v>1869.7500639443238</v>
      </c>
      <c r="D199" s="207" t="s">
        <v>579</v>
      </c>
      <c r="E199" s="209">
        <f t="shared" si="27"/>
        <v>340</v>
      </c>
      <c r="F199" s="353"/>
      <c r="G199" s="353"/>
      <c r="H199" s="207" t="s">
        <v>579</v>
      </c>
      <c r="I199" s="210">
        <f t="shared" si="28"/>
        <v>1496</v>
      </c>
      <c r="J199" s="211" t="s">
        <v>579</v>
      </c>
      <c r="K199" s="209">
        <v>0</v>
      </c>
      <c r="L199" s="341">
        <f t="shared" si="29"/>
        <v>635715.02174107009</v>
      </c>
      <c r="M199" s="222"/>
      <c r="N199" s="344"/>
      <c r="O199" s="344"/>
      <c r="P199" s="228"/>
      <c r="Q199" s="201"/>
    </row>
    <row r="200" spans="1:17">
      <c r="A200" s="216">
        <v>46568</v>
      </c>
      <c r="B200" s="217" t="s">
        <v>579</v>
      </c>
      <c r="C200" s="208">
        <f t="shared" si="26"/>
        <v>1869.7500639443238</v>
      </c>
      <c r="D200" s="207" t="s">
        <v>579</v>
      </c>
      <c r="E200" s="209">
        <f t="shared" si="27"/>
        <v>340</v>
      </c>
      <c r="F200" s="353"/>
      <c r="G200" s="353"/>
      <c r="H200" s="207" t="s">
        <v>579</v>
      </c>
      <c r="I200" s="210">
        <f t="shared" si="28"/>
        <v>1450</v>
      </c>
      <c r="J200" s="211" t="s">
        <v>579</v>
      </c>
      <c r="K200" s="209">
        <v>0</v>
      </c>
      <c r="L200" s="341">
        <f t="shared" si="29"/>
        <v>635715.02174107009</v>
      </c>
      <c r="M200" s="222"/>
      <c r="N200" s="344"/>
      <c r="O200" s="344"/>
      <c r="P200" s="228"/>
      <c r="Q200" s="201"/>
    </row>
    <row r="201" spans="1:17">
      <c r="A201" s="216">
        <v>46599</v>
      </c>
      <c r="B201" s="217" t="s">
        <v>579</v>
      </c>
      <c r="C201" s="208">
        <f t="shared" si="26"/>
        <v>1869.7500639443238</v>
      </c>
      <c r="D201" s="207" t="s">
        <v>579</v>
      </c>
      <c r="E201" s="209">
        <f t="shared" si="27"/>
        <v>340</v>
      </c>
      <c r="F201" s="353"/>
      <c r="G201" s="353"/>
      <c r="H201" s="207" t="s">
        <v>579</v>
      </c>
      <c r="I201" s="210">
        <f t="shared" si="28"/>
        <v>1496</v>
      </c>
      <c r="J201" s="211" t="s">
        <v>579</v>
      </c>
      <c r="K201" s="209">
        <v>0</v>
      </c>
      <c r="L201" s="341">
        <f t="shared" si="29"/>
        <v>635715.02174107009</v>
      </c>
      <c r="M201" s="222"/>
      <c r="N201" s="344"/>
      <c r="O201" s="344"/>
      <c r="P201" s="228"/>
      <c r="Q201" s="201"/>
    </row>
    <row r="202" spans="1:17">
      <c r="A202" s="216">
        <v>46630</v>
      </c>
      <c r="B202" s="217" t="s">
        <v>579</v>
      </c>
      <c r="C202" s="208">
        <f t="shared" si="26"/>
        <v>1869.7500639443238</v>
      </c>
      <c r="D202" s="207" t="s">
        <v>579</v>
      </c>
      <c r="E202" s="209">
        <f t="shared" si="27"/>
        <v>340</v>
      </c>
      <c r="F202" s="353"/>
      <c r="G202" s="353"/>
      <c r="H202" s="207" t="s">
        <v>579</v>
      </c>
      <c r="I202" s="210">
        <f t="shared" si="28"/>
        <v>1496</v>
      </c>
      <c r="J202" s="211" t="s">
        <v>579</v>
      </c>
      <c r="K202" s="209">
        <v>0</v>
      </c>
      <c r="L202" s="341">
        <f t="shared" si="29"/>
        <v>635715.02174107009</v>
      </c>
      <c r="M202" s="222"/>
      <c r="N202" s="344"/>
      <c r="O202" s="344"/>
      <c r="P202" s="228"/>
      <c r="Q202" s="201"/>
    </row>
    <row r="203" spans="1:17">
      <c r="A203" s="216">
        <v>46660</v>
      </c>
      <c r="B203" s="217" t="s">
        <v>579</v>
      </c>
      <c r="C203" s="208">
        <f t="shared" si="26"/>
        <v>1869.7500639443238</v>
      </c>
      <c r="D203" s="207" t="s">
        <v>579</v>
      </c>
      <c r="E203" s="209">
        <f t="shared" si="27"/>
        <v>340</v>
      </c>
      <c r="F203" s="353"/>
      <c r="G203" s="353"/>
      <c r="H203" s="207" t="s">
        <v>579</v>
      </c>
      <c r="I203" s="210">
        <f t="shared" si="28"/>
        <v>1450</v>
      </c>
      <c r="J203" s="211" t="s">
        <v>579</v>
      </c>
      <c r="K203" s="209">
        <v>0</v>
      </c>
      <c r="L203" s="341">
        <f t="shared" si="29"/>
        <v>635715.02174107009</v>
      </c>
      <c r="M203" s="222"/>
      <c r="N203" s="344"/>
      <c r="O203" s="344"/>
      <c r="P203" s="228"/>
      <c r="Q203" s="201"/>
    </row>
    <row r="204" spans="1:17">
      <c r="A204" s="216">
        <v>46691</v>
      </c>
      <c r="B204" s="221">
        <v>1.0618000000000001</v>
      </c>
      <c r="C204" s="208">
        <f t="shared" si="26"/>
        <v>1985.3006178960832</v>
      </c>
      <c r="D204" s="207" t="s">
        <v>579</v>
      </c>
      <c r="E204" s="209">
        <f t="shared" si="27"/>
        <v>340</v>
      </c>
      <c r="F204" s="353"/>
      <c r="G204" s="353"/>
      <c r="H204" s="207" t="s">
        <v>579</v>
      </c>
      <c r="I204" s="210">
        <f t="shared" si="28"/>
        <v>1496</v>
      </c>
      <c r="J204" s="211" t="s">
        <v>579</v>
      </c>
      <c r="K204" s="209">
        <v>0</v>
      </c>
      <c r="L204" s="341">
        <f t="shared" si="29"/>
        <v>675002.21008466824</v>
      </c>
      <c r="M204" s="222"/>
      <c r="N204" s="344"/>
      <c r="O204" s="344"/>
      <c r="P204" s="228"/>
      <c r="Q204" s="201"/>
    </row>
    <row r="205" spans="1:17">
      <c r="A205" s="216">
        <v>46721</v>
      </c>
      <c r="B205" s="217" t="s">
        <v>579</v>
      </c>
      <c r="C205" s="208">
        <f t="shared" si="26"/>
        <v>1985.3006178960832</v>
      </c>
      <c r="D205" s="207" t="s">
        <v>579</v>
      </c>
      <c r="E205" s="209">
        <f t="shared" si="27"/>
        <v>340</v>
      </c>
      <c r="F205" s="353"/>
      <c r="G205" s="353"/>
      <c r="H205" s="207" t="s">
        <v>579</v>
      </c>
      <c r="I205" s="210">
        <f t="shared" si="28"/>
        <v>1450</v>
      </c>
      <c r="J205" s="211" t="s">
        <v>579</v>
      </c>
      <c r="K205" s="209">
        <v>0</v>
      </c>
      <c r="L205" s="341">
        <f t="shared" si="29"/>
        <v>675002.21008466824</v>
      </c>
      <c r="M205" s="222"/>
      <c r="N205" s="344"/>
      <c r="O205" s="344"/>
      <c r="P205" s="228"/>
      <c r="Q205" s="201"/>
    </row>
    <row r="206" spans="1:17">
      <c r="A206" s="216">
        <v>46752</v>
      </c>
      <c r="B206" s="217" t="s">
        <v>579</v>
      </c>
      <c r="C206" s="208">
        <f t="shared" si="26"/>
        <v>1985.3006178960832</v>
      </c>
      <c r="D206" s="207" t="s">
        <v>579</v>
      </c>
      <c r="E206" s="209">
        <f t="shared" si="27"/>
        <v>340</v>
      </c>
      <c r="F206" s="353"/>
      <c r="G206" s="353"/>
      <c r="H206" s="207" t="s">
        <v>579</v>
      </c>
      <c r="I206" s="210">
        <f t="shared" si="28"/>
        <v>1496</v>
      </c>
      <c r="J206" s="211" t="s">
        <v>579</v>
      </c>
      <c r="K206" s="209">
        <v>0</v>
      </c>
      <c r="L206" s="341">
        <f t="shared" si="29"/>
        <v>675002.21008466824</v>
      </c>
      <c r="M206" s="222"/>
      <c r="N206" s="344"/>
      <c r="O206" s="344"/>
      <c r="P206" s="228"/>
      <c r="Q206" s="201"/>
    </row>
    <row r="207" spans="1:17">
      <c r="A207" s="216">
        <v>46783</v>
      </c>
      <c r="B207" s="217" t="s">
        <v>579</v>
      </c>
      <c r="C207" s="208">
        <f t="shared" si="26"/>
        <v>1985.3006178960832</v>
      </c>
      <c r="D207" s="207" t="s">
        <v>579</v>
      </c>
      <c r="E207" s="209">
        <f t="shared" si="27"/>
        <v>340</v>
      </c>
      <c r="F207" s="353"/>
      <c r="G207" s="353"/>
      <c r="H207" s="207" t="s">
        <v>579</v>
      </c>
      <c r="I207" s="210">
        <f t="shared" si="28"/>
        <v>1496</v>
      </c>
      <c r="J207" s="211" t="s">
        <v>579</v>
      </c>
      <c r="K207" s="209">
        <v>0</v>
      </c>
      <c r="L207" s="341">
        <f t="shared" si="29"/>
        <v>675002.21008466824</v>
      </c>
      <c r="M207" s="222"/>
      <c r="N207" s="344"/>
      <c r="O207" s="344"/>
      <c r="P207" s="228"/>
      <c r="Q207" s="201"/>
    </row>
    <row r="208" spans="1:17">
      <c r="A208" s="216">
        <v>46811</v>
      </c>
      <c r="B208" s="217" t="s">
        <v>579</v>
      </c>
      <c r="C208" s="208">
        <f t="shared" si="26"/>
        <v>1985.3006178960832</v>
      </c>
      <c r="D208" s="207" t="s">
        <v>579</v>
      </c>
      <c r="E208" s="209">
        <f t="shared" si="27"/>
        <v>340</v>
      </c>
      <c r="F208" s="353"/>
      <c r="G208" s="353"/>
      <c r="H208" s="207" t="s">
        <v>579</v>
      </c>
      <c r="I208" s="210">
        <f t="shared" si="28"/>
        <v>1358</v>
      </c>
      <c r="J208" s="211" t="s">
        <v>579</v>
      </c>
      <c r="K208" s="209">
        <v>0</v>
      </c>
      <c r="L208" s="341">
        <f t="shared" si="29"/>
        <v>675002.21008466824</v>
      </c>
      <c r="M208" s="222"/>
      <c r="N208" s="344"/>
      <c r="O208" s="344"/>
      <c r="P208" s="228"/>
      <c r="Q208" s="201"/>
    </row>
    <row r="209" spans="1:17">
      <c r="A209" s="216">
        <v>46843</v>
      </c>
      <c r="B209" s="217" t="s">
        <v>579</v>
      </c>
      <c r="C209" s="208">
        <f t="shared" si="26"/>
        <v>1985.3006178960832</v>
      </c>
      <c r="D209" s="207" t="s">
        <v>579</v>
      </c>
      <c r="E209" s="209">
        <f t="shared" si="27"/>
        <v>340</v>
      </c>
      <c r="F209" s="353"/>
      <c r="G209" s="353"/>
      <c r="H209" s="207" t="s">
        <v>579</v>
      </c>
      <c r="I209" s="210">
        <f t="shared" si="28"/>
        <v>1496</v>
      </c>
      <c r="J209" s="211" t="s">
        <v>579</v>
      </c>
      <c r="K209" s="209">
        <v>0</v>
      </c>
      <c r="L209" s="341">
        <f t="shared" si="29"/>
        <v>675002.21008466824</v>
      </c>
      <c r="M209" s="222"/>
      <c r="N209" s="344"/>
      <c r="O209" s="344"/>
      <c r="P209" s="228"/>
      <c r="Q209" s="201"/>
    </row>
    <row r="210" spans="1:17">
      <c r="A210" s="216">
        <v>46873</v>
      </c>
      <c r="B210" s="217" t="s">
        <v>579</v>
      </c>
      <c r="C210" s="208">
        <f t="shared" si="26"/>
        <v>1985.3006178960832</v>
      </c>
      <c r="D210" s="207" t="s">
        <v>579</v>
      </c>
      <c r="E210" s="209">
        <f t="shared" si="27"/>
        <v>340</v>
      </c>
      <c r="F210" s="353"/>
      <c r="G210" s="353"/>
      <c r="H210" s="207" t="s">
        <v>579</v>
      </c>
      <c r="I210" s="210">
        <f t="shared" si="28"/>
        <v>1450</v>
      </c>
      <c r="J210" s="211" t="s">
        <v>579</v>
      </c>
      <c r="K210" s="209">
        <v>0</v>
      </c>
      <c r="L210" s="341">
        <f t="shared" si="29"/>
        <v>675002.21008466824</v>
      </c>
      <c r="M210" s="222"/>
      <c r="N210" s="344"/>
      <c r="O210" s="344"/>
      <c r="P210" s="228"/>
      <c r="Q210" s="201"/>
    </row>
    <row r="211" spans="1:17">
      <c r="A211" s="216">
        <v>46904</v>
      </c>
      <c r="B211" s="217" t="s">
        <v>579</v>
      </c>
      <c r="C211" s="208">
        <f t="shared" si="26"/>
        <v>1985.3006178960832</v>
      </c>
      <c r="D211" s="207" t="s">
        <v>579</v>
      </c>
      <c r="E211" s="209">
        <f t="shared" si="27"/>
        <v>340</v>
      </c>
      <c r="F211" s="353"/>
      <c r="G211" s="353"/>
      <c r="H211" s="207" t="s">
        <v>579</v>
      </c>
      <c r="I211" s="210">
        <f t="shared" si="28"/>
        <v>1496</v>
      </c>
      <c r="J211" s="211" t="s">
        <v>579</v>
      </c>
      <c r="K211" s="209">
        <v>0</v>
      </c>
      <c r="L211" s="341">
        <f t="shared" si="29"/>
        <v>675002.21008466824</v>
      </c>
      <c r="M211" s="222"/>
      <c r="N211" s="344"/>
      <c r="O211" s="344"/>
      <c r="P211" s="228"/>
      <c r="Q211" s="201"/>
    </row>
    <row r="212" spans="1:17">
      <c r="A212" s="216">
        <v>46934</v>
      </c>
      <c r="B212" s="217" t="s">
        <v>579</v>
      </c>
      <c r="C212" s="208">
        <f t="shared" si="26"/>
        <v>1985.3006178960832</v>
      </c>
      <c r="D212" s="207" t="s">
        <v>579</v>
      </c>
      <c r="E212" s="209">
        <f t="shared" si="27"/>
        <v>340</v>
      </c>
      <c r="F212" s="353"/>
      <c r="G212" s="353"/>
      <c r="H212" s="207" t="s">
        <v>579</v>
      </c>
      <c r="I212" s="210">
        <f t="shared" si="28"/>
        <v>1450</v>
      </c>
      <c r="J212" s="211" t="s">
        <v>579</v>
      </c>
      <c r="K212" s="209">
        <v>0</v>
      </c>
      <c r="L212" s="341">
        <f t="shared" si="29"/>
        <v>675002.21008466824</v>
      </c>
      <c r="M212" s="222"/>
      <c r="N212" s="344"/>
      <c r="O212" s="344"/>
      <c r="P212" s="228"/>
      <c r="Q212" s="201"/>
    </row>
    <row r="213" spans="1:17">
      <c r="A213" s="216">
        <v>46965</v>
      </c>
      <c r="B213" s="217" t="s">
        <v>579</v>
      </c>
      <c r="C213" s="208">
        <f t="shared" si="26"/>
        <v>1985.3006178960832</v>
      </c>
      <c r="D213" s="207" t="s">
        <v>579</v>
      </c>
      <c r="E213" s="209">
        <f t="shared" si="27"/>
        <v>340</v>
      </c>
      <c r="F213" s="353"/>
      <c r="G213" s="353"/>
      <c r="H213" s="207" t="s">
        <v>579</v>
      </c>
      <c r="I213" s="210">
        <f t="shared" si="28"/>
        <v>1496</v>
      </c>
      <c r="J213" s="211" t="s">
        <v>579</v>
      </c>
      <c r="K213" s="209">
        <v>0</v>
      </c>
      <c r="L213" s="341">
        <f t="shared" si="29"/>
        <v>675002.21008466824</v>
      </c>
      <c r="M213" s="222"/>
      <c r="N213" s="344"/>
      <c r="O213" s="344"/>
      <c r="P213" s="228"/>
      <c r="Q213" s="201"/>
    </row>
    <row r="214" spans="1:17">
      <c r="A214" s="216">
        <v>46996</v>
      </c>
      <c r="B214" s="217" t="s">
        <v>579</v>
      </c>
      <c r="C214" s="208">
        <f t="shared" si="26"/>
        <v>1985.3006178960832</v>
      </c>
      <c r="D214" s="207" t="s">
        <v>579</v>
      </c>
      <c r="E214" s="209">
        <f t="shared" si="27"/>
        <v>340</v>
      </c>
      <c r="F214" s="353"/>
      <c r="G214" s="353"/>
      <c r="H214" s="207" t="s">
        <v>579</v>
      </c>
      <c r="I214" s="210">
        <f t="shared" si="28"/>
        <v>1496</v>
      </c>
      <c r="J214" s="211" t="s">
        <v>579</v>
      </c>
      <c r="K214" s="209">
        <v>0</v>
      </c>
      <c r="L214" s="341">
        <f t="shared" si="29"/>
        <v>675002.21008466824</v>
      </c>
      <c r="M214" s="222"/>
      <c r="N214" s="344"/>
      <c r="O214" s="344"/>
      <c r="P214" s="228"/>
      <c r="Q214" s="201"/>
    </row>
    <row r="215" spans="1:17">
      <c r="A215" s="216">
        <v>47026</v>
      </c>
      <c r="B215" s="217" t="s">
        <v>579</v>
      </c>
      <c r="C215" s="208">
        <f t="shared" si="26"/>
        <v>1985.3006178960832</v>
      </c>
      <c r="D215" s="207" t="s">
        <v>579</v>
      </c>
      <c r="E215" s="209">
        <f t="shared" si="27"/>
        <v>340</v>
      </c>
      <c r="F215" s="353"/>
      <c r="G215" s="353"/>
      <c r="H215" s="207" t="s">
        <v>579</v>
      </c>
      <c r="I215" s="210">
        <f t="shared" si="28"/>
        <v>1450</v>
      </c>
      <c r="J215" s="211" t="s">
        <v>579</v>
      </c>
      <c r="K215" s="209">
        <v>0</v>
      </c>
      <c r="L215" s="341">
        <f t="shared" si="29"/>
        <v>675002.21008466824</v>
      </c>
      <c r="M215" s="222"/>
      <c r="N215" s="344"/>
      <c r="O215" s="344"/>
      <c r="P215" s="228"/>
      <c r="Q215" s="201"/>
    </row>
    <row r="216" spans="1:17">
      <c r="A216" s="216">
        <v>47057</v>
      </c>
      <c r="B216" s="217" t="s">
        <v>579</v>
      </c>
      <c r="C216" s="208">
        <f t="shared" si="26"/>
        <v>1985.3006178960832</v>
      </c>
      <c r="D216" s="207" t="s">
        <v>579</v>
      </c>
      <c r="E216" s="209">
        <f t="shared" si="27"/>
        <v>340</v>
      </c>
      <c r="F216" s="353"/>
      <c r="G216" s="353"/>
      <c r="H216" s="207" t="s">
        <v>579</v>
      </c>
      <c r="I216" s="210">
        <f t="shared" si="28"/>
        <v>1496</v>
      </c>
      <c r="J216" s="211" t="s">
        <v>579</v>
      </c>
      <c r="K216" s="209">
        <v>0</v>
      </c>
      <c r="L216" s="341">
        <f t="shared" si="29"/>
        <v>675002.21008466824</v>
      </c>
      <c r="M216" s="222"/>
      <c r="N216" s="344"/>
      <c r="O216" s="344"/>
      <c r="P216" s="228"/>
      <c r="Q216" s="201"/>
    </row>
    <row r="217" spans="1:17">
      <c r="A217" s="216">
        <v>47087</v>
      </c>
      <c r="B217" s="217" t="s">
        <v>579</v>
      </c>
      <c r="C217" s="208">
        <f t="shared" si="26"/>
        <v>1985.3006178960832</v>
      </c>
      <c r="D217" s="207" t="s">
        <v>579</v>
      </c>
      <c r="E217" s="209">
        <f t="shared" si="27"/>
        <v>340</v>
      </c>
      <c r="F217" s="353"/>
      <c r="G217" s="353"/>
      <c r="H217" s="207" t="s">
        <v>579</v>
      </c>
      <c r="I217" s="210">
        <f t="shared" si="28"/>
        <v>1450</v>
      </c>
      <c r="J217" s="211" t="s">
        <v>579</v>
      </c>
      <c r="K217" s="209">
        <v>0</v>
      </c>
      <c r="L217" s="341">
        <f t="shared" si="29"/>
        <v>675002.21008466824</v>
      </c>
      <c r="M217" s="222"/>
      <c r="N217" s="344"/>
      <c r="O217" s="344"/>
      <c r="P217" s="228"/>
      <c r="Q217" s="201"/>
    </row>
    <row r="218" spans="1:17">
      <c r="A218" s="216">
        <v>47118</v>
      </c>
      <c r="B218" s="217" t="s">
        <v>579</v>
      </c>
      <c r="C218" s="208">
        <f t="shared" si="26"/>
        <v>1985.3006178960832</v>
      </c>
      <c r="D218" s="207" t="s">
        <v>579</v>
      </c>
      <c r="E218" s="209">
        <f t="shared" si="27"/>
        <v>340</v>
      </c>
      <c r="F218" s="353"/>
      <c r="G218" s="353"/>
      <c r="H218" s="207" t="s">
        <v>579</v>
      </c>
      <c r="I218" s="210">
        <f t="shared" si="28"/>
        <v>1496</v>
      </c>
      <c r="J218" s="211" t="s">
        <v>579</v>
      </c>
      <c r="K218" s="209">
        <v>0</v>
      </c>
      <c r="L218" s="341">
        <f t="shared" si="29"/>
        <v>675002.21008466824</v>
      </c>
      <c r="M218" s="222"/>
      <c r="N218" s="344"/>
      <c r="O218" s="344"/>
      <c r="P218" s="228"/>
      <c r="Q218" s="201"/>
    </row>
    <row r="219" spans="1:17">
      <c r="A219" s="216">
        <v>47149</v>
      </c>
      <c r="B219" s="217" t="s">
        <v>579</v>
      </c>
      <c r="C219" s="208">
        <f t="shared" si="26"/>
        <v>1985.3006178960832</v>
      </c>
      <c r="D219" s="207" t="s">
        <v>579</v>
      </c>
      <c r="E219" s="209">
        <f t="shared" si="27"/>
        <v>340</v>
      </c>
      <c r="F219" s="353"/>
      <c r="G219" s="353"/>
      <c r="H219" s="207" t="s">
        <v>579</v>
      </c>
      <c r="I219" s="210">
        <f t="shared" si="28"/>
        <v>1496</v>
      </c>
      <c r="J219" s="211" t="s">
        <v>579</v>
      </c>
      <c r="K219" s="209">
        <v>0</v>
      </c>
      <c r="L219" s="341">
        <f t="shared" si="29"/>
        <v>675002.21008466824</v>
      </c>
      <c r="M219" s="222"/>
      <c r="N219" s="344"/>
      <c r="O219" s="344"/>
      <c r="P219" s="228"/>
      <c r="Q219" s="201"/>
    </row>
    <row r="220" spans="1:17">
      <c r="A220" s="216">
        <v>47177</v>
      </c>
      <c r="B220" s="217" t="s">
        <v>579</v>
      </c>
      <c r="C220" s="208">
        <f t="shared" si="26"/>
        <v>1985.3006178960832</v>
      </c>
      <c r="D220" s="207" t="s">
        <v>579</v>
      </c>
      <c r="E220" s="209">
        <f t="shared" si="27"/>
        <v>340</v>
      </c>
      <c r="F220" s="353"/>
      <c r="G220" s="353"/>
      <c r="H220" s="207" t="s">
        <v>579</v>
      </c>
      <c r="I220" s="210">
        <f t="shared" si="28"/>
        <v>1358</v>
      </c>
      <c r="J220" s="211" t="s">
        <v>579</v>
      </c>
      <c r="K220" s="209">
        <v>0</v>
      </c>
      <c r="L220" s="341">
        <f t="shared" si="29"/>
        <v>675002.21008466824</v>
      </c>
      <c r="M220" s="222"/>
      <c r="N220" s="344"/>
      <c r="O220" s="344"/>
      <c r="P220" s="228"/>
      <c r="Q220" s="201"/>
    </row>
    <row r="221" spans="1:17">
      <c r="A221" s="216">
        <v>47208</v>
      </c>
      <c r="B221" s="217" t="s">
        <v>579</v>
      </c>
      <c r="C221" s="208">
        <f t="shared" si="26"/>
        <v>1985.3006178960832</v>
      </c>
      <c r="D221" s="207" t="s">
        <v>579</v>
      </c>
      <c r="E221" s="209">
        <f t="shared" si="27"/>
        <v>340</v>
      </c>
      <c r="F221" s="353"/>
      <c r="G221" s="353"/>
      <c r="H221" s="207" t="s">
        <v>579</v>
      </c>
      <c r="I221" s="210">
        <f t="shared" si="28"/>
        <v>1496</v>
      </c>
      <c r="J221" s="211" t="s">
        <v>579</v>
      </c>
      <c r="K221" s="209">
        <v>0</v>
      </c>
      <c r="L221" s="341">
        <f t="shared" si="29"/>
        <v>675002.21008466824</v>
      </c>
      <c r="M221" s="222"/>
      <c r="N221" s="344"/>
      <c r="O221" s="344"/>
      <c r="P221" s="228"/>
      <c r="Q221" s="201"/>
    </row>
    <row r="222" spans="1:17">
      <c r="A222" s="216">
        <v>47238</v>
      </c>
      <c r="B222" s="217" t="s">
        <v>579</v>
      </c>
      <c r="C222" s="208">
        <f t="shared" si="26"/>
        <v>1985.3006178960832</v>
      </c>
      <c r="D222" s="207" t="s">
        <v>579</v>
      </c>
      <c r="E222" s="209">
        <f t="shared" si="27"/>
        <v>340</v>
      </c>
      <c r="F222" s="353"/>
      <c r="G222" s="353"/>
      <c r="H222" s="207" t="s">
        <v>579</v>
      </c>
      <c r="I222" s="210">
        <f t="shared" si="28"/>
        <v>1450</v>
      </c>
      <c r="J222" s="211" t="s">
        <v>579</v>
      </c>
      <c r="K222" s="209">
        <v>0</v>
      </c>
      <c r="L222" s="341">
        <f t="shared" si="29"/>
        <v>675002.21008466824</v>
      </c>
      <c r="M222" s="222"/>
      <c r="N222" s="344"/>
      <c r="O222" s="344"/>
      <c r="P222" s="228"/>
      <c r="Q222" s="201"/>
    </row>
    <row r="223" spans="1:17">
      <c r="A223" s="216">
        <v>47269</v>
      </c>
      <c r="B223" s="217" t="s">
        <v>579</v>
      </c>
      <c r="C223" s="208">
        <f t="shared" si="26"/>
        <v>1985.3006178960832</v>
      </c>
      <c r="D223" s="207" t="s">
        <v>579</v>
      </c>
      <c r="E223" s="209">
        <f t="shared" si="27"/>
        <v>340</v>
      </c>
      <c r="F223" s="353"/>
      <c r="G223" s="353"/>
      <c r="H223" s="207" t="s">
        <v>579</v>
      </c>
      <c r="I223" s="210">
        <f t="shared" si="28"/>
        <v>1496</v>
      </c>
      <c r="J223" s="211" t="s">
        <v>579</v>
      </c>
      <c r="K223" s="209">
        <v>0</v>
      </c>
      <c r="L223" s="341">
        <f t="shared" si="29"/>
        <v>675002.21008466824</v>
      </c>
      <c r="M223" s="222"/>
      <c r="N223" s="344"/>
      <c r="O223" s="344"/>
      <c r="P223" s="228"/>
      <c r="Q223" s="201"/>
    </row>
    <row r="224" spans="1:17">
      <c r="A224" s="216">
        <v>47299</v>
      </c>
      <c r="B224" s="217" t="s">
        <v>579</v>
      </c>
      <c r="C224" s="208">
        <f t="shared" si="26"/>
        <v>1985.3006178960832</v>
      </c>
      <c r="D224" s="207" t="s">
        <v>579</v>
      </c>
      <c r="E224" s="209">
        <f t="shared" si="27"/>
        <v>340</v>
      </c>
      <c r="F224" s="353"/>
      <c r="G224" s="353"/>
      <c r="H224" s="207" t="s">
        <v>579</v>
      </c>
      <c r="I224" s="210">
        <f t="shared" si="28"/>
        <v>1450</v>
      </c>
      <c r="J224" s="211" t="s">
        <v>579</v>
      </c>
      <c r="K224" s="209">
        <v>0</v>
      </c>
      <c r="L224" s="341">
        <f t="shared" si="29"/>
        <v>675002.21008466824</v>
      </c>
      <c r="M224" s="222"/>
      <c r="N224" s="344"/>
      <c r="O224" s="344"/>
      <c r="P224" s="228"/>
      <c r="Q224" s="201"/>
    </row>
    <row r="225" spans="1:17">
      <c r="A225" s="216">
        <v>47330</v>
      </c>
      <c r="B225" s="217" t="s">
        <v>579</v>
      </c>
      <c r="C225" s="208">
        <f t="shared" si="26"/>
        <v>1985.3006178960832</v>
      </c>
      <c r="D225" s="207" t="s">
        <v>579</v>
      </c>
      <c r="E225" s="209">
        <f t="shared" si="27"/>
        <v>340</v>
      </c>
      <c r="F225" s="353"/>
      <c r="G225" s="353"/>
      <c r="H225" s="207" t="s">
        <v>579</v>
      </c>
      <c r="I225" s="210">
        <f t="shared" si="28"/>
        <v>1496</v>
      </c>
      <c r="J225" s="211" t="s">
        <v>579</v>
      </c>
      <c r="K225" s="209">
        <v>0</v>
      </c>
      <c r="L225" s="341">
        <f t="shared" si="29"/>
        <v>675002.21008466824</v>
      </c>
      <c r="M225" s="222"/>
      <c r="N225" s="344"/>
      <c r="O225" s="344"/>
      <c r="P225" s="228"/>
      <c r="Q225" s="201"/>
    </row>
    <row r="226" spans="1:17">
      <c r="A226" s="216">
        <v>47361</v>
      </c>
      <c r="B226" s="217" t="s">
        <v>579</v>
      </c>
      <c r="C226" s="208">
        <f t="shared" si="26"/>
        <v>1985.3006178960832</v>
      </c>
      <c r="D226" s="207" t="s">
        <v>579</v>
      </c>
      <c r="E226" s="209">
        <f t="shared" si="27"/>
        <v>340</v>
      </c>
      <c r="F226" s="353"/>
      <c r="G226" s="353"/>
      <c r="H226" s="207" t="s">
        <v>579</v>
      </c>
      <c r="I226" s="210">
        <f t="shared" si="28"/>
        <v>1496</v>
      </c>
      <c r="J226" s="211" t="s">
        <v>579</v>
      </c>
      <c r="K226" s="209">
        <v>0</v>
      </c>
      <c r="L226" s="341">
        <f t="shared" si="29"/>
        <v>675002.21008466824</v>
      </c>
      <c r="M226" s="222"/>
      <c r="N226" s="344"/>
      <c r="O226" s="344"/>
      <c r="P226" s="228"/>
      <c r="Q226" s="201"/>
    </row>
    <row r="227" spans="1:17">
      <c r="A227" s="216">
        <v>47391</v>
      </c>
      <c r="B227" s="217" t="s">
        <v>579</v>
      </c>
      <c r="C227" s="208">
        <f t="shared" si="26"/>
        <v>1985.3006178960832</v>
      </c>
      <c r="D227" s="207" t="s">
        <v>579</v>
      </c>
      <c r="E227" s="209">
        <f t="shared" si="27"/>
        <v>340</v>
      </c>
      <c r="F227" s="353"/>
      <c r="G227" s="353"/>
      <c r="H227" s="207" t="s">
        <v>579</v>
      </c>
      <c r="I227" s="210">
        <f t="shared" si="28"/>
        <v>1450</v>
      </c>
      <c r="J227" s="211" t="s">
        <v>579</v>
      </c>
      <c r="K227" s="209">
        <v>0</v>
      </c>
      <c r="L227" s="341">
        <f t="shared" si="29"/>
        <v>675002.21008466824</v>
      </c>
      <c r="M227" s="222"/>
      <c r="N227" s="344"/>
      <c r="O227" s="344"/>
      <c r="P227" s="228"/>
      <c r="Q227" s="201"/>
    </row>
    <row r="228" spans="1:17">
      <c r="A228" s="216">
        <v>47422</v>
      </c>
      <c r="B228" s="221">
        <v>1.0618000000000001</v>
      </c>
      <c r="C228" s="208">
        <f t="shared" si="26"/>
        <v>2107.9921960820611</v>
      </c>
      <c r="D228" s="207" t="s">
        <v>579</v>
      </c>
      <c r="E228" s="209">
        <f t="shared" si="27"/>
        <v>340</v>
      </c>
      <c r="F228" s="353"/>
      <c r="G228" s="353"/>
      <c r="H228" s="207" t="s">
        <v>579</v>
      </c>
      <c r="I228" s="210">
        <f t="shared" si="28"/>
        <v>1496</v>
      </c>
      <c r="J228" s="211" t="s">
        <v>579</v>
      </c>
      <c r="K228" s="209">
        <v>0</v>
      </c>
      <c r="L228" s="341">
        <f t="shared" si="29"/>
        <v>716717.3466679008</v>
      </c>
      <c r="M228" s="222"/>
      <c r="N228" s="344"/>
      <c r="O228" s="344"/>
      <c r="P228" s="228"/>
      <c r="Q228" s="201"/>
    </row>
    <row r="229" spans="1:17">
      <c r="A229" s="216">
        <v>47452</v>
      </c>
      <c r="B229" s="217" t="s">
        <v>579</v>
      </c>
      <c r="C229" s="208">
        <f t="shared" si="26"/>
        <v>2107.9921960820611</v>
      </c>
      <c r="D229" s="207" t="s">
        <v>579</v>
      </c>
      <c r="E229" s="209">
        <f t="shared" si="27"/>
        <v>340</v>
      </c>
      <c r="F229" s="353"/>
      <c r="G229" s="353"/>
      <c r="H229" s="207" t="s">
        <v>579</v>
      </c>
      <c r="I229" s="210">
        <f t="shared" si="28"/>
        <v>1450</v>
      </c>
      <c r="J229" s="211" t="s">
        <v>579</v>
      </c>
      <c r="K229" s="209">
        <v>0</v>
      </c>
      <c r="L229" s="341">
        <f t="shared" si="29"/>
        <v>716717.3466679008</v>
      </c>
      <c r="M229" s="222"/>
      <c r="N229" s="344"/>
      <c r="O229" s="344"/>
      <c r="P229" s="228"/>
      <c r="Q229" s="201"/>
    </row>
    <row r="230" spans="1:17">
      <c r="A230" s="216">
        <v>47483</v>
      </c>
      <c r="B230" s="217" t="s">
        <v>579</v>
      </c>
      <c r="C230" s="208">
        <f t="shared" si="26"/>
        <v>2107.9921960820611</v>
      </c>
      <c r="D230" s="207" t="s">
        <v>579</v>
      </c>
      <c r="E230" s="209">
        <f t="shared" si="27"/>
        <v>340</v>
      </c>
      <c r="F230" s="353"/>
      <c r="G230" s="353"/>
      <c r="H230" s="207" t="s">
        <v>579</v>
      </c>
      <c r="I230" s="210">
        <f t="shared" si="28"/>
        <v>1496</v>
      </c>
      <c r="J230" s="211" t="s">
        <v>579</v>
      </c>
      <c r="K230" s="209">
        <v>0</v>
      </c>
      <c r="L230" s="341">
        <f t="shared" si="29"/>
        <v>716717.3466679008</v>
      </c>
      <c r="M230" s="222"/>
      <c r="N230" s="344"/>
      <c r="O230" s="344"/>
      <c r="P230" s="228"/>
      <c r="Q230" s="201"/>
    </row>
    <row r="231" spans="1:17">
      <c r="A231" s="216">
        <v>47514</v>
      </c>
      <c r="B231" s="217" t="s">
        <v>579</v>
      </c>
      <c r="C231" s="208">
        <f t="shared" si="26"/>
        <v>2107.9921960820611</v>
      </c>
      <c r="D231" s="207" t="s">
        <v>579</v>
      </c>
      <c r="E231" s="209">
        <f t="shared" si="27"/>
        <v>340</v>
      </c>
      <c r="F231" s="353"/>
      <c r="G231" s="353"/>
      <c r="H231" s="207" t="s">
        <v>579</v>
      </c>
      <c r="I231" s="210">
        <f t="shared" si="28"/>
        <v>1496</v>
      </c>
      <c r="J231" s="211" t="s">
        <v>579</v>
      </c>
      <c r="K231" s="209">
        <v>0</v>
      </c>
      <c r="L231" s="341">
        <f t="shared" si="29"/>
        <v>716717.3466679008</v>
      </c>
      <c r="M231" s="222"/>
      <c r="N231" s="344"/>
      <c r="O231" s="344"/>
      <c r="P231" s="228"/>
      <c r="Q231" s="201"/>
    </row>
    <row r="232" spans="1:17">
      <c r="A232" s="216">
        <v>47542</v>
      </c>
      <c r="B232" s="217" t="s">
        <v>579</v>
      </c>
      <c r="C232" s="208">
        <f t="shared" si="26"/>
        <v>2107.9921960820611</v>
      </c>
      <c r="D232" s="207" t="s">
        <v>579</v>
      </c>
      <c r="E232" s="209">
        <f t="shared" si="27"/>
        <v>340</v>
      </c>
      <c r="F232" s="353"/>
      <c r="G232" s="353"/>
      <c r="H232" s="207" t="s">
        <v>579</v>
      </c>
      <c r="I232" s="210">
        <f t="shared" si="28"/>
        <v>1358</v>
      </c>
      <c r="J232" s="211" t="s">
        <v>579</v>
      </c>
      <c r="K232" s="209">
        <v>0</v>
      </c>
      <c r="L232" s="341">
        <f t="shared" si="29"/>
        <v>716717.3466679008</v>
      </c>
      <c r="M232" s="222"/>
      <c r="N232" s="344"/>
      <c r="O232" s="344"/>
      <c r="P232" s="228"/>
      <c r="Q232" s="201"/>
    </row>
    <row r="233" spans="1:17">
      <c r="A233" s="216">
        <v>47573</v>
      </c>
      <c r="B233" s="217" t="s">
        <v>579</v>
      </c>
      <c r="C233" s="208">
        <f t="shared" si="26"/>
        <v>2107.9921960820611</v>
      </c>
      <c r="D233" s="207" t="s">
        <v>579</v>
      </c>
      <c r="E233" s="209">
        <f t="shared" si="27"/>
        <v>340</v>
      </c>
      <c r="F233" s="353"/>
      <c r="G233" s="353"/>
      <c r="H233" s="207" t="s">
        <v>579</v>
      </c>
      <c r="I233" s="210">
        <f t="shared" si="28"/>
        <v>1496</v>
      </c>
      <c r="J233" s="211" t="s">
        <v>579</v>
      </c>
      <c r="K233" s="209">
        <v>0</v>
      </c>
      <c r="L233" s="341">
        <f t="shared" si="29"/>
        <v>716717.3466679008</v>
      </c>
      <c r="M233" s="222"/>
      <c r="N233" s="344"/>
      <c r="O233" s="344"/>
      <c r="P233" s="228"/>
      <c r="Q233" s="201"/>
    </row>
    <row r="234" spans="1:17">
      <c r="A234" s="216">
        <v>47603</v>
      </c>
      <c r="B234" s="217" t="s">
        <v>579</v>
      </c>
      <c r="C234" s="208">
        <f t="shared" si="26"/>
        <v>2107.9921960820611</v>
      </c>
      <c r="D234" s="207" t="s">
        <v>579</v>
      </c>
      <c r="E234" s="209">
        <f t="shared" si="27"/>
        <v>340</v>
      </c>
      <c r="F234" s="353"/>
      <c r="G234" s="353"/>
      <c r="H234" s="207" t="s">
        <v>579</v>
      </c>
      <c r="I234" s="210">
        <f t="shared" si="28"/>
        <v>1450</v>
      </c>
      <c r="J234" s="211" t="s">
        <v>579</v>
      </c>
      <c r="K234" s="209">
        <v>0</v>
      </c>
      <c r="L234" s="341">
        <f t="shared" si="29"/>
        <v>716717.3466679008</v>
      </c>
      <c r="M234" s="222"/>
      <c r="N234" s="344"/>
      <c r="O234" s="344"/>
      <c r="P234" s="228"/>
      <c r="Q234" s="201"/>
    </row>
    <row r="235" spans="1:17">
      <c r="A235" s="216">
        <v>47634</v>
      </c>
      <c r="B235" s="217" t="s">
        <v>579</v>
      </c>
      <c r="C235" s="208">
        <f t="shared" si="26"/>
        <v>2107.9921960820611</v>
      </c>
      <c r="D235" s="207" t="s">
        <v>579</v>
      </c>
      <c r="E235" s="209">
        <f t="shared" si="27"/>
        <v>340</v>
      </c>
      <c r="F235" s="353"/>
      <c r="G235" s="353"/>
      <c r="H235" s="207" t="s">
        <v>579</v>
      </c>
      <c r="I235" s="210">
        <f t="shared" si="28"/>
        <v>1496</v>
      </c>
      <c r="J235" s="211" t="s">
        <v>579</v>
      </c>
      <c r="K235" s="209">
        <v>0</v>
      </c>
      <c r="L235" s="341">
        <f t="shared" si="29"/>
        <v>716717.3466679008</v>
      </c>
      <c r="M235" s="222"/>
      <c r="N235" s="344"/>
      <c r="O235" s="344"/>
      <c r="P235" s="228"/>
      <c r="Q235" s="201"/>
    </row>
    <row r="236" spans="1:17">
      <c r="A236" s="216">
        <v>47664</v>
      </c>
      <c r="B236" s="217" t="s">
        <v>579</v>
      </c>
      <c r="C236" s="208">
        <f t="shared" si="26"/>
        <v>2107.9921960820611</v>
      </c>
      <c r="D236" s="207" t="s">
        <v>579</v>
      </c>
      <c r="E236" s="209">
        <f t="shared" si="27"/>
        <v>340</v>
      </c>
      <c r="F236" s="353"/>
      <c r="G236" s="353"/>
      <c r="H236" s="207" t="s">
        <v>579</v>
      </c>
      <c r="I236" s="210">
        <f t="shared" si="28"/>
        <v>1450</v>
      </c>
      <c r="J236" s="211" t="s">
        <v>579</v>
      </c>
      <c r="K236" s="209">
        <v>0</v>
      </c>
      <c r="L236" s="341">
        <f t="shared" si="29"/>
        <v>716717.3466679008</v>
      </c>
      <c r="M236" s="222"/>
      <c r="N236" s="344"/>
      <c r="O236" s="344"/>
      <c r="P236" s="228"/>
      <c r="Q236" s="201"/>
    </row>
    <row r="237" spans="1:17">
      <c r="A237" s="216">
        <v>47695</v>
      </c>
      <c r="B237" s="217" t="s">
        <v>579</v>
      </c>
      <c r="C237" s="208">
        <f t="shared" si="26"/>
        <v>2107.9921960820611</v>
      </c>
      <c r="D237" s="207" t="s">
        <v>579</v>
      </c>
      <c r="E237" s="209">
        <f t="shared" si="27"/>
        <v>340</v>
      </c>
      <c r="F237" s="353"/>
      <c r="G237" s="353"/>
      <c r="H237" s="207" t="s">
        <v>579</v>
      </c>
      <c r="I237" s="210">
        <f t="shared" si="28"/>
        <v>1496</v>
      </c>
      <c r="J237" s="211" t="s">
        <v>579</v>
      </c>
      <c r="K237" s="209">
        <v>0</v>
      </c>
      <c r="L237" s="341">
        <f t="shared" si="29"/>
        <v>716717.3466679008</v>
      </c>
      <c r="M237" s="222"/>
      <c r="N237" s="344"/>
      <c r="O237" s="344"/>
      <c r="P237" s="228"/>
      <c r="Q237" s="201"/>
    </row>
    <row r="238" spans="1:17">
      <c r="A238" s="216">
        <v>47726</v>
      </c>
      <c r="B238" s="217" t="s">
        <v>579</v>
      </c>
      <c r="C238" s="208">
        <f t="shared" si="26"/>
        <v>2107.9921960820611</v>
      </c>
      <c r="D238" s="207" t="s">
        <v>579</v>
      </c>
      <c r="E238" s="209">
        <f t="shared" si="27"/>
        <v>340</v>
      </c>
      <c r="F238" s="353"/>
      <c r="G238" s="353"/>
      <c r="H238" s="207" t="s">
        <v>579</v>
      </c>
      <c r="I238" s="210">
        <f t="shared" si="28"/>
        <v>1496</v>
      </c>
      <c r="J238" s="211" t="s">
        <v>579</v>
      </c>
      <c r="K238" s="209">
        <v>0</v>
      </c>
      <c r="L238" s="341">
        <f t="shared" si="29"/>
        <v>716717.3466679008</v>
      </c>
      <c r="M238" s="222"/>
      <c r="N238" s="344"/>
      <c r="O238" s="344"/>
      <c r="P238" s="228"/>
      <c r="Q238" s="201"/>
    </row>
    <row r="239" spans="1:17">
      <c r="A239" s="216">
        <v>47756</v>
      </c>
      <c r="B239" s="217" t="s">
        <v>579</v>
      </c>
      <c r="C239" s="208">
        <f t="shared" si="26"/>
        <v>2107.9921960820611</v>
      </c>
      <c r="D239" s="207" t="s">
        <v>579</v>
      </c>
      <c r="E239" s="209">
        <f t="shared" si="27"/>
        <v>340</v>
      </c>
      <c r="F239" s="353"/>
      <c r="G239" s="353"/>
      <c r="H239" s="207" t="s">
        <v>579</v>
      </c>
      <c r="I239" s="210">
        <f t="shared" si="28"/>
        <v>1450</v>
      </c>
      <c r="J239" s="211" t="s">
        <v>579</v>
      </c>
      <c r="K239" s="209">
        <v>0</v>
      </c>
      <c r="L239" s="341">
        <f t="shared" si="29"/>
        <v>716717.3466679008</v>
      </c>
      <c r="M239" s="222"/>
      <c r="N239" s="344"/>
      <c r="O239" s="344"/>
      <c r="P239" s="228"/>
      <c r="Q239" s="201"/>
    </row>
    <row r="240" spans="1:17">
      <c r="A240" s="216">
        <v>47787</v>
      </c>
      <c r="B240" s="217" t="s">
        <v>579</v>
      </c>
      <c r="C240" s="208">
        <f t="shared" si="26"/>
        <v>2107.9921960820611</v>
      </c>
      <c r="D240" s="207" t="s">
        <v>579</v>
      </c>
      <c r="E240" s="209">
        <f t="shared" si="27"/>
        <v>340</v>
      </c>
      <c r="F240" s="353"/>
      <c r="G240" s="353"/>
      <c r="H240" s="207" t="s">
        <v>579</v>
      </c>
      <c r="I240" s="210">
        <f t="shared" si="28"/>
        <v>1496</v>
      </c>
      <c r="J240" s="211" t="s">
        <v>579</v>
      </c>
      <c r="K240" s="209">
        <v>0</v>
      </c>
      <c r="L240" s="341">
        <f t="shared" si="29"/>
        <v>716717.3466679008</v>
      </c>
      <c r="M240" s="222"/>
      <c r="N240" s="344"/>
      <c r="O240" s="344"/>
      <c r="P240" s="228"/>
      <c r="Q240" s="201"/>
    </row>
    <row r="241" spans="1:17">
      <c r="A241" s="216">
        <v>47817</v>
      </c>
      <c r="B241" s="217" t="s">
        <v>579</v>
      </c>
      <c r="C241" s="208">
        <f t="shared" si="26"/>
        <v>2107.9921960820611</v>
      </c>
      <c r="D241" s="207" t="s">
        <v>579</v>
      </c>
      <c r="E241" s="209">
        <f t="shared" si="27"/>
        <v>340</v>
      </c>
      <c r="F241" s="353"/>
      <c r="G241" s="353"/>
      <c r="H241" s="207" t="s">
        <v>579</v>
      </c>
      <c r="I241" s="210">
        <f t="shared" si="28"/>
        <v>1450</v>
      </c>
      <c r="J241" s="211" t="s">
        <v>579</v>
      </c>
      <c r="K241" s="209">
        <v>0</v>
      </c>
      <c r="L241" s="341">
        <f t="shared" si="29"/>
        <v>716717.3466679008</v>
      </c>
      <c r="M241" s="222"/>
      <c r="N241" s="344"/>
      <c r="O241" s="344"/>
      <c r="P241" s="228"/>
      <c r="Q241" s="201"/>
    </row>
    <row r="242" spans="1:17">
      <c r="A242" s="216">
        <v>47848</v>
      </c>
      <c r="B242" s="217" t="s">
        <v>579</v>
      </c>
      <c r="C242" s="208">
        <f t="shared" si="26"/>
        <v>2107.9921960820611</v>
      </c>
      <c r="D242" s="207" t="s">
        <v>579</v>
      </c>
      <c r="E242" s="209">
        <f t="shared" si="27"/>
        <v>340</v>
      </c>
      <c r="F242" s="353"/>
      <c r="G242" s="353"/>
      <c r="H242" s="207" t="s">
        <v>579</v>
      </c>
      <c r="I242" s="210">
        <f t="shared" si="28"/>
        <v>1496</v>
      </c>
      <c r="J242" s="211" t="s">
        <v>579</v>
      </c>
      <c r="K242" s="209">
        <v>0</v>
      </c>
      <c r="L242" s="341">
        <f t="shared" si="29"/>
        <v>716717.3466679008</v>
      </c>
      <c r="M242" s="222"/>
      <c r="N242" s="344"/>
      <c r="O242" s="344"/>
      <c r="P242" s="228"/>
      <c r="Q242" s="201"/>
    </row>
    <row r="243" spans="1:17">
      <c r="A243" s="216">
        <v>47879</v>
      </c>
      <c r="B243" s="217" t="s">
        <v>579</v>
      </c>
      <c r="C243" s="208">
        <f t="shared" si="26"/>
        <v>2107.9921960820611</v>
      </c>
      <c r="D243" s="207" t="s">
        <v>579</v>
      </c>
      <c r="E243" s="209">
        <f t="shared" si="27"/>
        <v>340</v>
      </c>
      <c r="F243" s="353"/>
      <c r="G243" s="353"/>
      <c r="H243" s="207" t="s">
        <v>579</v>
      </c>
      <c r="I243" s="210">
        <f t="shared" si="28"/>
        <v>1496</v>
      </c>
      <c r="J243" s="211" t="s">
        <v>579</v>
      </c>
      <c r="K243" s="209">
        <v>0</v>
      </c>
      <c r="L243" s="341">
        <f t="shared" si="29"/>
        <v>716717.3466679008</v>
      </c>
      <c r="M243" s="222"/>
      <c r="N243" s="344"/>
      <c r="O243" s="344"/>
      <c r="P243" s="228"/>
      <c r="Q243" s="201"/>
    </row>
    <row r="244" spans="1:17">
      <c r="A244" s="216">
        <v>47907</v>
      </c>
      <c r="B244" s="217" t="s">
        <v>579</v>
      </c>
      <c r="C244" s="208">
        <f t="shared" si="26"/>
        <v>2107.9921960820611</v>
      </c>
      <c r="D244" s="207" t="s">
        <v>579</v>
      </c>
      <c r="E244" s="209">
        <f t="shared" si="27"/>
        <v>340</v>
      </c>
      <c r="F244" s="353"/>
      <c r="G244" s="353"/>
      <c r="H244" s="207" t="s">
        <v>579</v>
      </c>
      <c r="I244" s="210">
        <f t="shared" si="28"/>
        <v>1358</v>
      </c>
      <c r="J244" s="211" t="s">
        <v>579</v>
      </c>
      <c r="K244" s="209">
        <v>0</v>
      </c>
      <c r="L244" s="341">
        <f t="shared" si="29"/>
        <v>716717.3466679008</v>
      </c>
      <c r="M244" s="222"/>
      <c r="N244" s="344"/>
      <c r="O244" s="344"/>
      <c r="P244" s="228"/>
      <c r="Q244" s="201"/>
    </row>
    <row r="245" spans="1:17">
      <c r="A245" s="216">
        <v>47938</v>
      </c>
      <c r="B245" s="217" t="s">
        <v>579</v>
      </c>
      <c r="C245" s="208">
        <f t="shared" si="26"/>
        <v>2107.9921960820611</v>
      </c>
      <c r="D245" s="207" t="s">
        <v>579</v>
      </c>
      <c r="E245" s="209">
        <f t="shared" si="27"/>
        <v>340</v>
      </c>
      <c r="F245" s="353"/>
      <c r="G245" s="353"/>
      <c r="H245" s="207" t="s">
        <v>579</v>
      </c>
      <c r="I245" s="210">
        <f t="shared" si="28"/>
        <v>1496</v>
      </c>
      <c r="J245" s="211" t="s">
        <v>579</v>
      </c>
      <c r="K245" s="209">
        <v>0</v>
      </c>
      <c r="L245" s="341">
        <f t="shared" si="29"/>
        <v>716717.3466679008</v>
      </c>
      <c r="M245" s="222"/>
      <c r="N245" s="344"/>
      <c r="O245" s="344"/>
      <c r="P245" s="228"/>
      <c r="Q245" s="201"/>
    </row>
    <row r="246" spans="1:17">
      <c r="A246" s="216">
        <v>47968</v>
      </c>
      <c r="B246" s="217" t="s">
        <v>579</v>
      </c>
      <c r="C246" s="208">
        <f t="shared" si="26"/>
        <v>2107.9921960820611</v>
      </c>
      <c r="D246" s="207" t="s">
        <v>579</v>
      </c>
      <c r="E246" s="209">
        <f t="shared" si="27"/>
        <v>340</v>
      </c>
      <c r="F246" s="353"/>
      <c r="G246" s="353"/>
      <c r="H246" s="207" t="s">
        <v>579</v>
      </c>
      <c r="I246" s="210">
        <f t="shared" si="28"/>
        <v>1450</v>
      </c>
      <c r="J246" s="211" t="s">
        <v>579</v>
      </c>
      <c r="K246" s="209">
        <v>0</v>
      </c>
      <c r="L246" s="341">
        <f t="shared" si="29"/>
        <v>716717.3466679008</v>
      </c>
      <c r="M246" s="222"/>
      <c r="N246" s="344"/>
      <c r="O246" s="344"/>
      <c r="P246" s="228"/>
      <c r="Q246" s="201"/>
    </row>
    <row r="247" spans="1:17">
      <c r="A247" s="216">
        <v>47999</v>
      </c>
      <c r="B247" s="217" t="s">
        <v>579</v>
      </c>
      <c r="C247" s="208">
        <f t="shared" si="26"/>
        <v>2107.9921960820611</v>
      </c>
      <c r="D247" s="207" t="s">
        <v>579</v>
      </c>
      <c r="E247" s="209">
        <f t="shared" si="27"/>
        <v>340</v>
      </c>
      <c r="F247" s="353"/>
      <c r="G247" s="353"/>
      <c r="H247" s="207" t="s">
        <v>579</v>
      </c>
      <c r="I247" s="210">
        <f t="shared" si="28"/>
        <v>1496</v>
      </c>
      <c r="J247" s="211" t="s">
        <v>579</v>
      </c>
      <c r="K247" s="209">
        <v>0</v>
      </c>
      <c r="L247" s="341">
        <f t="shared" si="29"/>
        <v>716717.3466679008</v>
      </c>
      <c r="M247" s="222"/>
      <c r="N247" s="344"/>
      <c r="O247" s="344"/>
      <c r="P247" s="228"/>
      <c r="Q247" s="201"/>
    </row>
    <row r="248" spans="1:17">
      <c r="A248" s="216">
        <v>48029</v>
      </c>
      <c r="B248" s="217" t="s">
        <v>579</v>
      </c>
      <c r="C248" s="208">
        <f t="shared" si="26"/>
        <v>2107.9921960820611</v>
      </c>
      <c r="D248" s="207" t="s">
        <v>579</v>
      </c>
      <c r="E248" s="209">
        <f t="shared" si="27"/>
        <v>340</v>
      </c>
      <c r="F248" s="353"/>
      <c r="G248" s="353"/>
      <c r="H248" s="207" t="s">
        <v>579</v>
      </c>
      <c r="I248" s="210">
        <f t="shared" si="28"/>
        <v>1450</v>
      </c>
      <c r="J248" s="211" t="s">
        <v>579</v>
      </c>
      <c r="K248" s="209">
        <v>0</v>
      </c>
      <c r="L248" s="341">
        <f t="shared" si="29"/>
        <v>716717.3466679008</v>
      </c>
      <c r="M248" s="222"/>
      <c r="N248" s="344"/>
      <c r="O248" s="344"/>
      <c r="P248" s="228"/>
      <c r="Q248" s="201"/>
    </row>
    <row r="249" spans="1:17">
      <c r="A249" s="216">
        <v>48060</v>
      </c>
      <c r="B249" s="217" t="s">
        <v>579</v>
      </c>
      <c r="C249" s="208">
        <f t="shared" si="26"/>
        <v>2107.9921960820611</v>
      </c>
      <c r="D249" s="207" t="s">
        <v>579</v>
      </c>
      <c r="E249" s="209">
        <f t="shared" si="27"/>
        <v>340</v>
      </c>
      <c r="F249" s="353"/>
      <c r="G249" s="353"/>
      <c r="H249" s="207" t="s">
        <v>579</v>
      </c>
      <c r="I249" s="210">
        <f t="shared" si="28"/>
        <v>1496</v>
      </c>
      <c r="J249" s="211" t="s">
        <v>579</v>
      </c>
      <c r="K249" s="209">
        <v>0</v>
      </c>
      <c r="L249" s="341">
        <f t="shared" si="29"/>
        <v>716717.3466679008</v>
      </c>
      <c r="M249" s="222"/>
      <c r="N249" s="344"/>
      <c r="O249" s="344"/>
      <c r="P249" s="228"/>
      <c r="Q249" s="201"/>
    </row>
    <row r="250" spans="1:17">
      <c r="A250" s="216">
        <v>48091</v>
      </c>
      <c r="B250" s="217" t="s">
        <v>579</v>
      </c>
      <c r="C250" s="208">
        <f t="shared" si="26"/>
        <v>2107.9921960820611</v>
      </c>
      <c r="D250" s="207" t="s">
        <v>579</v>
      </c>
      <c r="E250" s="209">
        <f t="shared" si="27"/>
        <v>340</v>
      </c>
      <c r="F250" s="353"/>
      <c r="G250" s="353"/>
      <c r="H250" s="207" t="s">
        <v>579</v>
      </c>
      <c r="I250" s="210">
        <f t="shared" si="28"/>
        <v>1496</v>
      </c>
      <c r="J250" s="211" t="s">
        <v>579</v>
      </c>
      <c r="K250" s="209">
        <v>0</v>
      </c>
      <c r="L250" s="213">
        <v>476931</v>
      </c>
      <c r="M250" s="222"/>
      <c r="N250" s="344"/>
      <c r="O250" s="344"/>
      <c r="P250" s="228"/>
      <c r="Q250" s="201"/>
    </row>
    <row r="251" spans="1:17">
      <c r="A251" s="216">
        <v>48121</v>
      </c>
      <c r="B251" s="217" t="s">
        <v>579</v>
      </c>
      <c r="C251" s="208">
        <f t="shared" si="26"/>
        <v>2107.9921960820611</v>
      </c>
      <c r="D251" s="207" t="s">
        <v>579</v>
      </c>
      <c r="E251" s="209">
        <f t="shared" si="27"/>
        <v>340</v>
      </c>
      <c r="F251" s="353"/>
      <c r="G251" s="353"/>
      <c r="H251" s="207" t="s">
        <v>579</v>
      </c>
      <c r="I251" s="210">
        <f t="shared" si="28"/>
        <v>1450</v>
      </c>
      <c r="J251" s="211" t="s">
        <v>579</v>
      </c>
      <c r="K251" s="209">
        <v>0</v>
      </c>
      <c r="L251" s="341">
        <v>0</v>
      </c>
      <c r="M251" s="222"/>
      <c r="N251" s="344"/>
      <c r="O251" s="344"/>
      <c r="P251" s="228"/>
      <c r="Q251" s="201"/>
    </row>
    <row r="252" spans="1:17" ht="15.75" thickBot="1">
      <c r="A252" s="223"/>
      <c r="B252" s="345"/>
      <c r="C252" s="346"/>
      <c r="D252" s="224"/>
      <c r="E252" s="225"/>
      <c r="F252" s="354"/>
      <c r="G252" s="354"/>
      <c r="H252" s="224"/>
      <c r="I252" s="225"/>
      <c r="J252" s="224"/>
      <c r="K252" s="225"/>
      <c r="L252" s="342"/>
      <c r="M252" s="347"/>
      <c r="N252" s="348"/>
      <c r="O252" s="348"/>
      <c r="P252" s="228"/>
      <c r="Q252" s="201"/>
    </row>
    <row r="253" spans="1:17" ht="15.75" thickBot="1">
      <c r="A253" s="226"/>
      <c r="B253" s="333"/>
      <c r="C253" s="334"/>
      <c r="D253" s="203"/>
      <c r="E253" s="203"/>
      <c r="F253" s="203"/>
      <c r="G253" s="203"/>
      <c r="H253" s="203"/>
      <c r="I253" s="229"/>
      <c r="J253" s="229"/>
      <c r="K253" s="203"/>
      <c r="L253" s="349">
        <f>SUM(L34:L252)+SUM(N14:N33)</f>
        <v>132740949.07053873</v>
      </c>
      <c r="M253" s="201"/>
      <c r="Q253" s="201"/>
    </row>
    <row r="254" spans="1:17">
      <c r="B254" s="333"/>
      <c r="C254" s="203"/>
      <c r="D254" s="203"/>
      <c r="E254" s="203"/>
      <c r="F254" s="203"/>
      <c r="G254" s="203"/>
      <c r="H254" s="203"/>
      <c r="I254" s="229"/>
      <c r="J254" s="229"/>
      <c r="K254" s="203"/>
      <c r="L254" s="203"/>
      <c r="Q254" s="201"/>
    </row>
    <row r="255" spans="1:17">
      <c r="B255" s="333"/>
      <c r="C255" s="203"/>
      <c r="D255" s="203"/>
      <c r="E255" s="203"/>
      <c r="F255" s="203"/>
      <c r="G255" s="203"/>
      <c r="H255" s="203"/>
      <c r="I255" s="229"/>
      <c r="J255" s="229"/>
      <c r="K255" s="203"/>
      <c r="L255" s="203"/>
      <c r="Q255" s="201"/>
    </row>
    <row r="256" spans="1:17">
      <c r="B256" s="333"/>
      <c r="C256" s="203"/>
      <c r="D256" s="203"/>
      <c r="E256" s="203"/>
      <c r="F256" s="203"/>
      <c r="G256" s="203"/>
      <c r="H256" s="203"/>
      <c r="I256" s="229"/>
      <c r="J256" s="229"/>
      <c r="K256" s="203"/>
      <c r="L256" s="203"/>
      <c r="Q256" s="201"/>
    </row>
    <row r="257" spans="2:17">
      <c r="B257" s="227"/>
      <c r="H257" s="203"/>
      <c r="I257" s="228"/>
      <c r="J257" s="229"/>
      <c r="Q257" s="201"/>
    </row>
    <row r="258" spans="2:17">
      <c r="B258" s="227"/>
      <c r="H258" s="203"/>
      <c r="I258" s="228"/>
      <c r="J258" s="229"/>
      <c r="Q258" s="201"/>
    </row>
    <row r="259" spans="2:17">
      <c r="B259" s="227"/>
      <c r="H259" s="203"/>
      <c r="I259" s="228"/>
      <c r="J259" s="229"/>
      <c r="Q259" s="201"/>
    </row>
    <row r="260" spans="2:17">
      <c r="B260" s="227"/>
      <c r="H260" s="203"/>
      <c r="I260" s="228"/>
      <c r="J260" s="229"/>
      <c r="Q260" s="201"/>
    </row>
    <row r="261" spans="2:17">
      <c r="B261" s="227"/>
      <c r="H261" s="203"/>
      <c r="I261" s="228"/>
      <c r="J261" s="229"/>
      <c r="Q261" s="201"/>
    </row>
    <row r="262" spans="2:17">
      <c r="H262" s="203"/>
      <c r="I262" s="228"/>
      <c r="J262" s="229"/>
      <c r="Q262" s="201"/>
    </row>
    <row r="263" spans="2:17">
      <c r="H263" s="203"/>
      <c r="I263" s="228"/>
      <c r="J263" s="229"/>
      <c r="Q263" s="201"/>
    </row>
    <row r="264" spans="2:17">
      <c r="H264" s="203"/>
      <c r="I264" s="228"/>
      <c r="J264" s="229"/>
      <c r="Q264" s="201"/>
    </row>
    <row r="265" spans="2:17">
      <c r="H265" s="203"/>
      <c r="I265" s="228"/>
      <c r="J265" s="229"/>
      <c r="Q265" s="201"/>
    </row>
    <row r="266" spans="2:17">
      <c r="H266" s="203"/>
      <c r="I266" s="228"/>
      <c r="J266" s="229"/>
      <c r="Q266" s="201"/>
    </row>
    <row r="267" spans="2:17">
      <c r="H267" s="203"/>
      <c r="I267" s="228"/>
      <c r="J267" s="229"/>
      <c r="Q267" s="201"/>
    </row>
    <row r="268" spans="2:17">
      <c r="H268" s="203"/>
      <c r="I268" s="228"/>
      <c r="J268" s="229"/>
      <c r="Q268" s="201"/>
    </row>
    <row r="269" spans="2:17">
      <c r="H269" s="203"/>
      <c r="I269" s="228"/>
      <c r="J269" s="229"/>
      <c r="Q269" s="201"/>
    </row>
    <row r="270" spans="2:17">
      <c r="H270" s="203"/>
      <c r="I270" s="228"/>
      <c r="J270" s="229"/>
      <c r="Q270" s="201"/>
    </row>
    <row r="271" spans="2:17">
      <c r="H271" s="203"/>
      <c r="I271" s="228"/>
      <c r="J271" s="229"/>
      <c r="Q271" s="201"/>
    </row>
    <row r="272" spans="2:17">
      <c r="H272" s="203"/>
      <c r="I272" s="228"/>
      <c r="J272" s="229"/>
      <c r="Q272" s="201"/>
    </row>
    <row r="273" spans="8:17">
      <c r="H273" s="203"/>
      <c r="I273" s="228"/>
      <c r="J273" s="229"/>
      <c r="Q273" s="201"/>
    </row>
    <row r="274" spans="8:17">
      <c r="H274" s="203"/>
      <c r="I274" s="228"/>
      <c r="J274" s="229"/>
      <c r="Q274" s="201"/>
    </row>
    <row r="275" spans="8:17">
      <c r="H275" s="203"/>
      <c r="J275" s="229"/>
      <c r="Q275" s="201"/>
    </row>
    <row r="276" spans="8:17">
      <c r="H276" s="203"/>
      <c r="J276" s="229"/>
      <c r="Q276" s="201"/>
    </row>
    <row r="277" spans="8:17">
      <c r="H277" s="203"/>
      <c r="J277" s="229"/>
      <c r="Q277" s="201"/>
    </row>
    <row r="278" spans="8:17">
      <c r="H278" s="203"/>
      <c r="J278" s="229"/>
      <c r="Q278" s="201"/>
    </row>
    <row r="279" spans="8:17">
      <c r="H279" s="203"/>
      <c r="J279" s="229"/>
      <c r="Q279" s="201"/>
    </row>
    <row r="280" spans="8:17">
      <c r="H280" s="203"/>
      <c r="J280" s="229"/>
      <c r="Q280" s="201"/>
    </row>
    <row r="281" spans="8:17">
      <c r="H281" s="203"/>
      <c r="J281" s="229"/>
      <c r="Q281" s="201"/>
    </row>
    <row r="282" spans="8:17">
      <c r="H282" s="203"/>
      <c r="J282" s="229"/>
      <c r="Q282" s="201"/>
    </row>
    <row r="283" spans="8:17">
      <c r="H283" s="203"/>
      <c r="J283" s="229"/>
      <c r="Q283" s="201"/>
    </row>
    <row r="284" spans="8:17">
      <c r="H284" s="203"/>
      <c r="J284" s="229"/>
      <c r="Q284" s="201"/>
    </row>
    <row r="285" spans="8:17">
      <c r="H285" s="203"/>
      <c r="J285" s="229"/>
    </row>
    <row r="286" spans="8:17">
      <c r="H286" s="203"/>
      <c r="J286" s="229"/>
    </row>
    <row r="287" spans="8:17">
      <c r="H287" s="203"/>
      <c r="J287" s="229"/>
    </row>
    <row r="288" spans="8:17">
      <c r="H288" s="203"/>
      <c r="J288" s="229"/>
    </row>
    <row r="289" spans="8:10">
      <c r="H289" s="203"/>
      <c r="J289" s="229"/>
    </row>
    <row r="290" spans="8:10">
      <c r="H290" s="203"/>
      <c r="J290" s="229"/>
    </row>
    <row r="291" spans="8:10">
      <c r="H291" s="203"/>
      <c r="J291" s="228"/>
    </row>
    <row r="292" spans="8:10">
      <c r="H292" s="203"/>
      <c r="J292" s="228"/>
    </row>
    <row r="293" spans="8:10">
      <c r="H293" s="203"/>
      <c r="J293" s="228"/>
    </row>
    <row r="294" spans="8:10">
      <c r="H294" s="203"/>
      <c r="J294" s="228"/>
    </row>
    <row r="295" spans="8:10">
      <c r="H295" s="203"/>
      <c r="J295" s="228"/>
    </row>
    <row r="296" spans="8:10">
      <c r="H296" s="203"/>
      <c r="J296" s="228"/>
    </row>
    <row r="297" spans="8:10">
      <c r="H297" s="203"/>
      <c r="J297" s="228"/>
    </row>
    <row r="298" spans="8:10">
      <c r="J298" s="228"/>
    </row>
    <row r="299" spans="8:10">
      <c r="J299" s="228"/>
    </row>
    <row r="300" spans="8:10">
      <c r="J300" s="228"/>
    </row>
    <row r="301" spans="8:10">
      <c r="J301" s="228"/>
    </row>
    <row r="302" spans="8:10">
      <c r="J302" s="228"/>
    </row>
    <row r="303" spans="8:10">
      <c r="J303" s="228"/>
    </row>
    <row r="304" spans="8:10">
      <c r="J304" s="228"/>
    </row>
    <row r="305" spans="10:10">
      <c r="J305" s="228"/>
    </row>
    <row r="306" spans="10:10">
      <c r="J306" s="228"/>
    </row>
    <row r="307" spans="10:10">
      <c r="J307" s="228"/>
    </row>
    <row r="308" spans="10:10">
      <c r="J308" s="228"/>
    </row>
  </sheetData>
  <mergeCells count="4">
    <mergeCell ref="D9:E9"/>
    <mergeCell ref="H9:I9"/>
    <mergeCell ref="J9:K9"/>
    <mergeCell ref="F9:G9"/>
  </mergeCells>
  <printOptions horizontalCentered="1"/>
  <pageMargins left="0.7" right="0.7" top="0.5" bottom="0.75" header="0" footer="0.3"/>
  <pageSetup scale="34" fitToHeight="0" orientation="landscape" r:id="rId1"/>
  <headerFooter>
    <oddFooter>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E361"/>
  <sheetViews>
    <sheetView zoomScale="88" zoomScaleNormal="88" workbookViewId="0">
      <pane xSplit="2" ySplit="11" topLeftCell="D141" activePane="bottomRight" state="frozen"/>
      <selection activeCell="D269" sqref="D269"/>
      <selection pane="topRight" activeCell="D269" sqref="D269"/>
      <selection pane="bottomLeft" activeCell="D269" sqref="D269"/>
      <selection pane="bottomRight" activeCell="D147" sqref="D147 E146"/>
    </sheetView>
  </sheetViews>
  <sheetFormatPr defaultColWidth="9.28515625" defaultRowHeight="12.75" outlineLevelRow="1" outlineLevelCol="1"/>
  <cols>
    <col min="1" max="1" width="2.140625" style="62" customWidth="1"/>
    <col min="2" max="2" width="11.42578125" style="62" customWidth="1"/>
    <col min="3" max="3" width="5.140625" style="62" customWidth="1"/>
    <col min="4" max="4" width="18.28515625" style="62" customWidth="1"/>
    <col min="5" max="5" width="15.85546875" style="62" bestFit="1" customWidth="1"/>
    <col min="6" max="6" width="15.42578125" style="62" bestFit="1" customWidth="1"/>
    <col min="7" max="7" width="16.5703125" style="62" bestFit="1" customWidth="1"/>
    <col min="8" max="8" width="12" style="62" customWidth="1"/>
    <col min="9" max="9" width="17.42578125" style="64" bestFit="1" customWidth="1"/>
    <col min="10" max="10" width="17" style="64" customWidth="1"/>
    <col min="11" max="11" width="17" style="64" bestFit="1" customWidth="1"/>
    <col min="12" max="12" width="17.85546875" style="1195" bestFit="1" customWidth="1"/>
    <col min="13" max="13" width="13.5703125" style="65" customWidth="1"/>
    <col min="14" max="14" width="18.140625" style="65" customWidth="1"/>
    <col min="15" max="15" width="16.28515625" style="65" bestFit="1" customWidth="1"/>
    <col min="16" max="16" width="15.140625" style="65" customWidth="1"/>
    <col min="17" max="17" width="1.85546875" style="65" hidden="1" customWidth="1" outlineLevel="1"/>
    <col min="18" max="18" width="18" style="66" hidden="1" customWidth="1" outlineLevel="1"/>
    <col min="19" max="19" width="19.7109375" style="65" hidden="1" customWidth="1" outlineLevel="1"/>
    <col min="20" max="20" width="2" style="65" hidden="1" customWidth="1" outlineLevel="1"/>
    <col min="21" max="21" width="15.28515625" style="65" hidden="1" customWidth="1" outlineLevel="1"/>
    <col min="22" max="22" width="47.42578125" style="65" bestFit="1" customWidth="1" collapsed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/>
      <c r="J2" s="150"/>
      <c r="M2" s="121"/>
    </row>
    <row r="3" spans="1:19" ht="12.75" customHeight="1">
      <c r="B3" s="63" t="s">
        <v>161</v>
      </c>
      <c r="M3" s="152"/>
    </row>
    <row r="4" spans="1:19" ht="12.75" customHeight="1">
      <c r="B4" s="68" t="s">
        <v>157</v>
      </c>
      <c r="M4" s="121"/>
    </row>
    <row r="5" spans="1:19">
      <c r="B5" s="63" t="s">
        <v>184</v>
      </c>
      <c r="C5" s="123"/>
      <c r="D5" s="124">
        <v>89000000</v>
      </c>
      <c r="I5" s="150"/>
      <c r="J5" s="151"/>
    </row>
    <row r="6" spans="1:19">
      <c r="D6" s="69"/>
      <c r="E6" s="69"/>
      <c r="F6" s="69"/>
      <c r="G6" s="70"/>
      <c r="H6" s="71"/>
      <c r="I6" s="72"/>
      <c r="J6" s="72"/>
      <c r="K6" s="72"/>
      <c r="L6" s="1196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1197"/>
      <c r="M7" s="1054" t="s">
        <v>159</v>
      </c>
      <c r="N7" s="79"/>
      <c r="O7" s="79"/>
      <c r="P7" s="79"/>
      <c r="Q7" s="80"/>
      <c r="R7" s="81"/>
      <c r="S7" s="82"/>
    </row>
    <row r="8" spans="1:19" ht="16.5" customHeight="1">
      <c r="A8" s="701"/>
      <c r="B8" s="702" t="s">
        <v>22</v>
      </c>
      <c r="C8" s="702"/>
      <c r="D8" s="127" t="s">
        <v>217</v>
      </c>
      <c r="E8" s="127" t="s">
        <v>20</v>
      </c>
      <c r="F8" s="127" t="s">
        <v>2</v>
      </c>
      <c r="G8" s="703" t="s">
        <v>115</v>
      </c>
      <c r="H8" s="127" t="s">
        <v>19</v>
      </c>
      <c r="I8" s="704" t="s">
        <v>20</v>
      </c>
      <c r="J8" s="704" t="s">
        <v>116</v>
      </c>
      <c r="K8" s="704" t="s">
        <v>18</v>
      </c>
      <c r="L8" s="1198" t="s">
        <v>21</v>
      </c>
      <c r="M8" s="127" t="s">
        <v>19</v>
      </c>
      <c r="N8" s="127" t="s">
        <v>20</v>
      </c>
      <c r="O8" s="703" t="s">
        <v>117</v>
      </c>
      <c r="P8" s="705" t="s">
        <v>118</v>
      </c>
      <c r="Q8" s="83"/>
      <c r="R8" s="85"/>
      <c r="S8" s="85"/>
    </row>
    <row r="9" spans="1:19">
      <c r="A9" s="706"/>
      <c r="B9" s="86"/>
      <c r="C9" s="86"/>
      <c r="D9" s="83" t="s">
        <v>113</v>
      </c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1187" t="s">
        <v>23</v>
      </c>
      <c r="M9" s="83" t="s">
        <v>24</v>
      </c>
      <c r="N9" s="85" t="s">
        <v>24</v>
      </c>
      <c r="O9" s="83" t="s">
        <v>18</v>
      </c>
      <c r="P9" s="707" t="s">
        <v>117</v>
      </c>
      <c r="Q9" s="83"/>
      <c r="R9" s="85"/>
      <c r="S9" s="85"/>
    </row>
    <row r="10" spans="1:19" ht="13.5" customHeight="1">
      <c r="A10" s="706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827</v>
      </c>
      <c r="I10" s="85" t="s">
        <v>166</v>
      </c>
      <c r="J10" s="87" t="s">
        <v>38</v>
      </c>
      <c r="K10" s="87" t="s">
        <v>167</v>
      </c>
      <c r="L10" s="1187" t="s">
        <v>168</v>
      </c>
      <c r="M10" s="87" t="s">
        <v>829</v>
      </c>
      <c r="N10" s="85" t="s">
        <v>171</v>
      </c>
      <c r="O10" s="87" t="s">
        <v>145</v>
      </c>
      <c r="P10" s="708" t="s">
        <v>172</v>
      </c>
      <c r="Q10" s="83"/>
      <c r="R10" s="85"/>
      <c r="S10" s="85"/>
    </row>
    <row r="11" spans="1:19" ht="13.5" customHeight="1">
      <c r="A11" s="709"/>
      <c r="B11" s="88"/>
      <c r="C11" s="88"/>
      <c r="D11" s="1399" t="s">
        <v>164</v>
      </c>
      <c r="E11" s="1399"/>
      <c r="F11" s="1399"/>
      <c r="G11" s="1055"/>
      <c r="H11" s="1059" t="s">
        <v>158</v>
      </c>
      <c r="I11" s="89"/>
      <c r="J11" s="79"/>
      <c r="K11" s="79"/>
      <c r="L11" s="1197"/>
      <c r="M11" s="79" t="s">
        <v>828</v>
      </c>
      <c r="N11" s="89"/>
      <c r="O11" s="79"/>
      <c r="P11" s="710"/>
      <c r="Q11" s="83"/>
      <c r="R11" s="85"/>
      <c r="S11" s="85"/>
    </row>
    <row r="12" spans="1:19" ht="14.25" customHeight="1" outlineLevel="1">
      <c r="A12" s="706"/>
      <c r="B12" s="108">
        <v>38837</v>
      </c>
      <c r="C12" s="711"/>
      <c r="D12" s="134">
        <v>105187</v>
      </c>
      <c r="E12" s="712">
        <f>D12</f>
        <v>105187</v>
      </c>
      <c r="F12" s="713">
        <f>D5+E12</f>
        <v>89105187</v>
      </c>
      <c r="G12" s="98">
        <f>($F$12+F12+SUM($F11:F$13)*2)/24</f>
        <v>22342951.664166667</v>
      </c>
      <c r="H12" s="83"/>
      <c r="I12" s="87"/>
      <c r="J12" s="93"/>
      <c r="K12" s="98">
        <f t="shared" ref="K12:K75" si="0">G12+J12</f>
        <v>22342951.664166667</v>
      </c>
      <c r="L12" s="1189">
        <f>F12+I12</f>
        <v>89105187</v>
      </c>
      <c r="M12" s="400"/>
      <c r="N12" s="94"/>
      <c r="O12" s="94"/>
      <c r="P12" s="714">
        <f t="shared" ref="P12:P39" si="1">O12+K12</f>
        <v>22342951.664166667</v>
      </c>
      <c r="Q12" s="94"/>
      <c r="R12" s="95"/>
      <c r="S12" s="96"/>
    </row>
    <row r="13" spans="1:19" ht="14.25" customHeight="1" outlineLevel="1">
      <c r="A13" s="706"/>
      <c r="B13" s="108">
        <v>38868</v>
      </c>
      <c r="C13" s="65"/>
      <c r="D13" s="134">
        <v>799858.97</v>
      </c>
      <c r="E13" s="712">
        <f>D13+E12</f>
        <v>905045.97</v>
      </c>
      <c r="F13" s="713">
        <f>F12+D13</f>
        <v>89905045.969999999</v>
      </c>
      <c r="G13" s="98">
        <f>($F$12+F13+SUM($F12:F$13)*2)/24</f>
        <v>22376279.12125</v>
      </c>
      <c r="H13" s="83"/>
      <c r="I13" s="87"/>
      <c r="J13" s="93"/>
      <c r="K13" s="98">
        <f t="shared" si="0"/>
        <v>22376279.12125</v>
      </c>
      <c r="L13" s="1189">
        <f t="shared" ref="L13:L76" si="2">F13+I13</f>
        <v>89905045.969999999</v>
      </c>
      <c r="M13" s="400"/>
      <c r="N13" s="94"/>
      <c r="O13" s="94"/>
      <c r="P13" s="714">
        <f t="shared" si="1"/>
        <v>22376279.12125</v>
      </c>
      <c r="Q13" s="94"/>
      <c r="R13" s="95"/>
      <c r="S13" s="96"/>
    </row>
    <row r="14" spans="1:19" ht="14.25" customHeight="1" outlineLevel="1">
      <c r="A14" s="706"/>
      <c r="B14" s="108">
        <v>38898</v>
      </c>
      <c r="C14" s="65"/>
      <c r="D14" s="134">
        <v>799858.97</v>
      </c>
      <c r="E14" s="712">
        <f t="shared" ref="E14:E77" si="3">D14+E13</f>
        <v>1704904.94</v>
      </c>
      <c r="F14" s="713">
        <f>F13+D14</f>
        <v>90704904.939999998</v>
      </c>
      <c r="G14" s="98">
        <f>($F$12+F14+SUM($F$13:F13)*2)/24</f>
        <v>14984174.328333333</v>
      </c>
      <c r="H14" s="83"/>
      <c r="I14" s="87"/>
      <c r="J14" s="93"/>
      <c r="K14" s="98">
        <f t="shared" si="0"/>
        <v>14984174.328333333</v>
      </c>
      <c r="L14" s="1189">
        <f t="shared" si="2"/>
        <v>90704904.939999998</v>
      </c>
      <c r="M14" s="400"/>
      <c r="N14" s="94"/>
      <c r="O14" s="94"/>
      <c r="P14" s="714">
        <f t="shared" si="1"/>
        <v>14984174.328333333</v>
      </c>
      <c r="Q14" s="94"/>
      <c r="R14" s="95"/>
      <c r="S14" s="96"/>
    </row>
    <row r="15" spans="1:19" ht="14.25" customHeight="1" outlineLevel="1">
      <c r="A15" s="706"/>
      <c r="B15" s="108">
        <v>38929</v>
      </c>
      <c r="C15" s="65"/>
      <c r="D15" s="134">
        <v>799858.97</v>
      </c>
      <c r="E15" s="712">
        <f t="shared" si="3"/>
        <v>2504763.91</v>
      </c>
      <c r="F15" s="713">
        <f t="shared" ref="F15:F77" si="4">F14+D15</f>
        <v>91504763.909999996</v>
      </c>
      <c r="G15" s="98">
        <f>($F$12+F15+SUM($F$13:F14)*2)/24</f>
        <v>22576243.86375</v>
      </c>
      <c r="H15" s="83"/>
      <c r="I15" s="87"/>
      <c r="J15" s="93"/>
      <c r="K15" s="98">
        <f t="shared" si="0"/>
        <v>22576243.86375</v>
      </c>
      <c r="L15" s="1189">
        <f t="shared" si="2"/>
        <v>91504763.909999996</v>
      </c>
      <c r="M15" s="400"/>
      <c r="N15" s="94"/>
      <c r="O15" s="94"/>
      <c r="P15" s="714">
        <f t="shared" si="1"/>
        <v>22576243.86375</v>
      </c>
      <c r="Q15" s="94"/>
      <c r="R15" s="95"/>
      <c r="S15" s="96"/>
    </row>
    <row r="16" spans="1:19" ht="14.25" customHeight="1" outlineLevel="1">
      <c r="A16" s="706"/>
      <c r="B16" s="108">
        <v>38960</v>
      </c>
      <c r="C16" s="65"/>
      <c r="D16" s="134">
        <v>799858.97</v>
      </c>
      <c r="E16" s="712">
        <f t="shared" si="3"/>
        <v>3304622.88</v>
      </c>
      <c r="F16" s="713">
        <f t="shared" si="4"/>
        <v>92304622.879999995</v>
      </c>
      <c r="G16" s="98">
        <f>($F$12+F16+SUM($F$13:F15)*2)/24</f>
        <v>30234968.313333333</v>
      </c>
      <c r="H16" s="83"/>
      <c r="I16" s="87"/>
      <c r="J16" s="93"/>
      <c r="K16" s="98">
        <f t="shared" si="0"/>
        <v>30234968.313333333</v>
      </c>
      <c r="L16" s="1189">
        <f t="shared" si="2"/>
        <v>92304622.879999995</v>
      </c>
      <c r="M16" s="400"/>
      <c r="N16" s="94"/>
      <c r="O16" s="94"/>
      <c r="P16" s="714">
        <f t="shared" si="1"/>
        <v>30234968.313333333</v>
      </c>
      <c r="Q16" s="94"/>
      <c r="R16" s="95"/>
      <c r="S16" s="96"/>
    </row>
    <row r="17" spans="1:31" ht="14.25" customHeight="1" outlineLevel="1">
      <c r="A17" s="706"/>
      <c r="B17" s="108">
        <v>38990</v>
      </c>
      <c r="C17" s="65"/>
      <c r="D17" s="134">
        <v>799858.97</v>
      </c>
      <c r="E17" s="712">
        <f t="shared" si="3"/>
        <v>4104481.8499999996</v>
      </c>
      <c r="F17" s="713">
        <f t="shared" si="4"/>
        <v>93104481.849999994</v>
      </c>
      <c r="G17" s="98">
        <f>($F$12+F17+SUM($F$13:F16)*2)/24</f>
        <v>37960347.677083336</v>
      </c>
      <c r="H17" s="83"/>
      <c r="I17" s="87"/>
      <c r="J17" s="93"/>
      <c r="K17" s="98">
        <f t="shared" si="0"/>
        <v>37960347.677083336</v>
      </c>
      <c r="L17" s="1189">
        <f t="shared" si="2"/>
        <v>93104481.849999994</v>
      </c>
      <c r="M17" s="400"/>
      <c r="N17" s="94"/>
      <c r="O17" s="94"/>
      <c r="P17" s="714">
        <f t="shared" si="1"/>
        <v>37960347.677083336</v>
      </c>
      <c r="Q17" s="94"/>
      <c r="R17" s="95"/>
      <c r="S17" s="96"/>
    </row>
    <row r="18" spans="1:31" ht="14.25" customHeight="1" outlineLevel="1">
      <c r="A18" s="706"/>
      <c r="B18" s="108">
        <v>39021</v>
      </c>
      <c r="C18" s="65"/>
      <c r="D18" s="134">
        <v>799858.97</v>
      </c>
      <c r="E18" s="712">
        <f t="shared" si="3"/>
        <v>4904340.8199999994</v>
      </c>
      <c r="F18" s="713">
        <f t="shared" si="4"/>
        <v>93904340.819999993</v>
      </c>
      <c r="G18" s="98">
        <f>($F$12+F18+SUM($F$13:F17)*2)/24</f>
        <v>45752381.954999991</v>
      </c>
      <c r="H18" s="83"/>
      <c r="I18" s="87"/>
      <c r="J18" s="93"/>
      <c r="K18" s="98">
        <f t="shared" si="0"/>
        <v>45752381.954999991</v>
      </c>
      <c r="L18" s="1189">
        <f t="shared" si="2"/>
        <v>93904340.819999993</v>
      </c>
      <c r="M18" s="400"/>
      <c r="N18" s="94"/>
      <c r="O18" s="94"/>
      <c r="P18" s="714">
        <f t="shared" si="1"/>
        <v>45752381.954999991</v>
      </c>
      <c r="Q18" s="94"/>
      <c r="R18" s="95"/>
      <c r="S18" s="96"/>
    </row>
    <row r="19" spans="1:31" ht="14.25" customHeight="1" outlineLevel="1">
      <c r="A19" s="706"/>
      <c r="B19" s="108">
        <v>39051</v>
      </c>
      <c r="C19" s="65"/>
      <c r="D19" s="134">
        <v>799858.97</v>
      </c>
      <c r="E19" s="712">
        <f t="shared" si="3"/>
        <v>5704199.7899999991</v>
      </c>
      <c r="F19" s="713">
        <f t="shared" si="4"/>
        <v>94704199.789999992</v>
      </c>
      <c r="G19" s="98">
        <f>($F$12+F19+SUM($F$13:F18)*2)/24</f>
        <v>53611071.14708332</v>
      </c>
      <c r="H19" s="83"/>
      <c r="I19" s="87"/>
      <c r="J19" s="93"/>
      <c r="K19" s="98">
        <f t="shared" si="0"/>
        <v>53611071.14708332</v>
      </c>
      <c r="L19" s="1189">
        <f t="shared" si="2"/>
        <v>94704199.789999992</v>
      </c>
      <c r="M19" s="400"/>
      <c r="N19" s="94"/>
      <c r="O19" s="94"/>
      <c r="P19" s="714">
        <f t="shared" si="1"/>
        <v>53611071.14708332</v>
      </c>
      <c r="Q19" s="94"/>
      <c r="R19" s="95"/>
      <c r="S19" s="96"/>
    </row>
    <row r="20" spans="1:31" ht="14.25" customHeight="1" outlineLevel="1">
      <c r="A20" s="706"/>
      <c r="B20" s="108">
        <v>39082</v>
      </c>
      <c r="C20" s="65"/>
      <c r="D20" s="134">
        <v>799858.97</v>
      </c>
      <c r="E20" s="712">
        <f t="shared" si="3"/>
        <v>6504058.7599999988</v>
      </c>
      <c r="F20" s="713">
        <f t="shared" si="4"/>
        <v>95504058.75999999</v>
      </c>
      <c r="G20" s="98">
        <f>($F$12+F20+SUM($F$13:F19)*2)/24</f>
        <v>61536415.253333323</v>
      </c>
      <c r="H20" s="83"/>
      <c r="I20" s="87"/>
      <c r="J20" s="93"/>
      <c r="K20" s="98">
        <f t="shared" si="0"/>
        <v>61536415.253333323</v>
      </c>
      <c r="L20" s="1189">
        <f t="shared" si="2"/>
        <v>95504058.75999999</v>
      </c>
      <c r="M20" s="400"/>
      <c r="N20" s="94"/>
      <c r="O20" s="94"/>
      <c r="P20" s="714">
        <f t="shared" si="1"/>
        <v>61536415.253333323</v>
      </c>
      <c r="Q20" s="94"/>
      <c r="R20" s="95"/>
      <c r="S20" s="96"/>
    </row>
    <row r="21" spans="1:31" ht="14.25" customHeight="1" outlineLevel="1">
      <c r="A21" s="706"/>
      <c r="B21" s="108">
        <v>39113</v>
      </c>
      <c r="C21" s="65"/>
      <c r="D21" s="134">
        <v>803355.67</v>
      </c>
      <c r="E21" s="712">
        <f t="shared" si="3"/>
        <v>7307414.4299999988</v>
      </c>
      <c r="F21" s="713">
        <f t="shared" si="4"/>
        <v>96307414.429999992</v>
      </c>
      <c r="G21" s="98">
        <f>($F$12+F21+SUM($F$13:F20)*2)/24</f>
        <v>69528559.969583318</v>
      </c>
      <c r="H21" s="83"/>
      <c r="I21" s="87"/>
      <c r="J21" s="93"/>
      <c r="K21" s="98">
        <f t="shared" si="0"/>
        <v>69528559.969583318</v>
      </c>
      <c r="L21" s="1189">
        <f t="shared" si="2"/>
        <v>96307414.429999992</v>
      </c>
      <c r="M21" s="400"/>
      <c r="N21" s="94"/>
      <c r="O21" s="94"/>
      <c r="P21" s="714">
        <f t="shared" si="1"/>
        <v>69528559.969583318</v>
      </c>
      <c r="Q21" s="94"/>
      <c r="R21" s="95"/>
      <c r="S21" s="96"/>
    </row>
    <row r="22" spans="1:31" ht="14.25" customHeight="1" outlineLevel="1">
      <c r="A22" s="706"/>
      <c r="B22" s="108">
        <v>39141</v>
      </c>
      <c r="C22" s="65"/>
      <c r="D22" s="134">
        <v>805564.1</v>
      </c>
      <c r="E22" s="712">
        <f t="shared" si="3"/>
        <v>8112978.5299999984</v>
      </c>
      <c r="F22" s="713">
        <f t="shared" si="4"/>
        <v>97112978.529999986</v>
      </c>
      <c r="G22" s="98">
        <f>($F$12+F22+SUM($F$13:F21)*2)/24</f>
        <v>77587743.009583309</v>
      </c>
      <c r="H22" s="83"/>
      <c r="I22" s="87"/>
      <c r="J22" s="93"/>
      <c r="K22" s="98">
        <f t="shared" si="0"/>
        <v>77587743.009583309</v>
      </c>
      <c r="L22" s="1189">
        <f t="shared" si="2"/>
        <v>97112978.529999986</v>
      </c>
      <c r="M22" s="400"/>
      <c r="N22" s="94"/>
      <c r="O22" s="94"/>
      <c r="P22" s="714">
        <f t="shared" si="1"/>
        <v>77587743.009583309</v>
      </c>
      <c r="Q22" s="94"/>
      <c r="R22" s="95"/>
      <c r="S22" s="96"/>
    </row>
    <row r="23" spans="1:31" ht="14.25" customHeight="1" outlineLevel="1">
      <c r="A23" s="706"/>
      <c r="B23" s="108">
        <v>39172</v>
      </c>
      <c r="C23" s="65"/>
      <c r="D23" s="134">
        <v>805564.1</v>
      </c>
      <c r="E23" s="712">
        <f t="shared" si="3"/>
        <v>8918542.629999999</v>
      </c>
      <c r="F23" s="713">
        <f t="shared" si="4"/>
        <v>97918542.62999998</v>
      </c>
      <c r="G23" s="98">
        <f>($F$12+F23+SUM($F$13:F22)*2)/24</f>
        <v>85714056.39124997</v>
      </c>
      <c r="H23" s="83"/>
      <c r="I23" s="87"/>
      <c r="J23" s="93"/>
      <c r="K23" s="98">
        <f t="shared" si="0"/>
        <v>85714056.39124997</v>
      </c>
      <c r="L23" s="1189">
        <f t="shared" si="2"/>
        <v>97918542.62999998</v>
      </c>
      <c r="M23" s="400"/>
      <c r="N23" s="94"/>
      <c r="O23" s="94"/>
      <c r="P23" s="714">
        <f t="shared" si="1"/>
        <v>85714056.39124997</v>
      </c>
      <c r="Q23" s="94"/>
      <c r="R23" s="95"/>
      <c r="S23" s="96"/>
    </row>
    <row r="24" spans="1:31" ht="14.25" customHeight="1" outlineLevel="1">
      <c r="A24" s="706"/>
      <c r="B24" s="108">
        <v>39202</v>
      </c>
      <c r="C24" s="65"/>
      <c r="D24" s="134">
        <v>805564.1</v>
      </c>
      <c r="E24" s="712">
        <f t="shared" si="3"/>
        <v>9724106.7299999986</v>
      </c>
      <c r="F24" s="713">
        <f t="shared" si="4"/>
        <v>98724106.729999974</v>
      </c>
      <c r="G24" s="98">
        <f>($F$12+F24+SUM($F$13:F23)*2)/24</f>
        <v>93907500.114583313</v>
      </c>
      <c r="H24" s="83"/>
      <c r="I24" s="87"/>
      <c r="J24" s="93"/>
      <c r="K24" s="98">
        <f t="shared" si="0"/>
        <v>93907500.114583313</v>
      </c>
      <c r="L24" s="1189">
        <f t="shared" si="2"/>
        <v>98724106.729999974</v>
      </c>
      <c r="M24" s="400"/>
      <c r="N24" s="94"/>
      <c r="O24" s="94"/>
      <c r="P24" s="714">
        <f t="shared" si="1"/>
        <v>93907500.114583313</v>
      </c>
      <c r="Q24" s="94"/>
      <c r="R24" s="95"/>
      <c r="S24" s="96"/>
    </row>
    <row r="25" spans="1:31" ht="14.25" customHeight="1" outlineLevel="1">
      <c r="A25" s="706"/>
      <c r="B25" s="108">
        <v>39233</v>
      </c>
      <c r="C25" s="65"/>
      <c r="D25" s="134">
        <v>805564.1</v>
      </c>
      <c r="E25" s="712">
        <f t="shared" si="3"/>
        <v>10529670.829999998</v>
      </c>
      <c r="F25" s="713">
        <f t="shared" si="4"/>
        <v>99529670.829999968</v>
      </c>
      <c r="G25" s="98">
        <f t="shared" ref="G25:G88" si="5">(F13+F25+SUM(F14:F24)*2)/24</f>
        <v>94709314.472500011</v>
      </c>
      <c r="H25" s="83"/>
      <c r="I25" s="87"/>
      <c r="J25" s="93"/>
      <c r="K25" s="98">
        <f t="shared" si="0"/>
        <v>94709314.472500011</v>
      </c>
      <c r="L25" s="1189">
        <f t="shared" si="2"/>
        <v>99529670.829999968</v>
      </c>
      <c r="M25" s="400"/>
      <c r="N25" s="94"/>
      <c r="O25" s="94"/>
      <c r="P25" s="714">
        <f t="shared" si="1"/>
        <v>94709314.472500011</v>
      </c>
      <c r="Q25" s="94"/>
      <c r="R25" s="95"/>
      <c r="S25" s="96"/>
    </row>
    <row r="26" spans="1:31" ht="14.25" customHeight="1" outlineLevel="1">
      <c r="A26" s="706"/>
      <c r="B26" s="108">
        <v>39263</v>
      </c>
      <c r="C26" s="65"/>
      <c r="D26" s="134">
        <v>805564.1</v>
      </c>
      <c r="E26" s="712">
        <f t="shared" si="3"/>
        <v>11335234.929999998</v>
      </c>
      <c r="F26" s="713">
        <f t="shared" si="4"/>
        <v>100335234.92999996</v>
      </c>
      <c r="G26" s="98">
        <f t="shared" si="5"/>
        <v>95511604.257916644</v>
      </c>
      <c r="H26" s="83"/>
      <c r="I26" s="87"/>
      <c r="J26" s="93"/>
      <c r="K26" s="98">
        <f t="shared" si="0"/>
        <v>95511604.257916644</v>
      </c>
      <c r="L26" s="1189">
        <f t="shared" si="2"/>
        <v>100335234.92999996</v>
      </c>
      <c r="M26" s="400"/>
      <c r="N26" s="94"/>
      <c r="O26" s="94"/>
      <c r="P26" s="714">
        <f t="shared" si="1"/>
        <v>95511604.257916644</v>
      </c>
      <c r="Q26" s="94"/>
      <c r="R26" s="95"/>
      <c r="S26" s="96"/>
    </row>
    <row r="27" spans="1:31" ht="14.25" customHeight="1" outlineLevel="1">
      <c r="A27" s="706"/>
      <c r="B27" s="108">
        <v>39294</v>
      </c>
      <c r="C27" s="65"/>
      <c r="D27" s="134">
        <v>805564.1</v>
      </c>
      <c r="E27" s="712">
        <f t="shared" si="3"/>
        <v>12140799.029999997</v>
      </c>
      <c r="F27" s="713">
        <f t="shared" si="4"/>
        <v>101140799.02999996</v>
      </c>
      <c r="G27" s="98">
        <f t="shared" si="5"/>
        <v>96314369.470833302</v>
      </c>
      <c r="H27" s="83"/>
      <c r="I27" s="87"/>
      <c r="J27" s="93"/>
      <c r="K27" s="98">
        <f t="shared" si="0"/>
        <v>96314369.470833302</v>
      </c>
      <c r="L27" s="1189">
        <f t="shared" si="2"/>
        <v>101140799.02999996</v>
      </c>
      <c r="M27" s="400"/>
      <c r="N27" s="94"/>
      <c r="O27" s="94"/>
      <c r="P27" s="714">
        <f t="shared" si="1"/>
        <v>96314369.470833302</v>
      </c>
      <c r="Q27" s="94"/>
      <c r="R27" s="95"/>
      <c r="S27" s="96"/>
    </row>
    <row r="28" spans="1:31" ht="14.25" customHeight="1" outlineLevel="1">
      <c r="A28" s="706"/>
      <c r="B28" s="108">
        <v>39325</v>
      </c>
      <c r="C28" s="65"/>
      <c r="D28" s="134">
        <v>805564.1</v>
      </c>
      <c r="E28" s="712">
        <f t="shared" si="3"/>
        <v>12946363.129999997</v>
      </c>
      <c r="F28" s="713">
        <f t="shared" si="4"/>
        <v>101946363.12999995</v>
      </c>
      <c r="G28" s="98">
        <f t="shared" si="5"/>
        <v>97117610.111249983</v>
      </c>
      <c r="H28" s="83"/>
      <c r="I28" s="87"/>
      <c r="J28" s="93"/>
      <c r="K28" s="98">
        <f t="shared" si="0"/>
        <v>97117610.111249983</v>
      </c>
      <c r="L28" s="1189">
        <f>F28+I28</f>
        <v>101946363.12999995</v>
      </c>
      <c r="M28" s="400"/>
      <c r="N28" s="94"/>
      <c r="O28" s="94"/>
      <c r="P28" s="714">
        <f t="shared" si="1"/>
        <v>97117610.111249983</v>
      </c>
      <c r="Q28" s="94"/>
      <c r="R28" s="95"/>
      <c r="S28" s="96"/>
    </row>
    <row r="29" spans="1:31" ht="14.25" customHeight="1" outlineLevel="1">
      <c r="A29" s="706"/>
      <c r="B29" s="108">
        <v>39355</v>
      </c>
      <c r="C29" s="65"/>
      <c r="D29" s="134">
        <v>805564.1</v>
      </c>
      <c r="E29" s="712">
        <f t="shared" si="3"/>
        <v>13751927.229999997</v>
      </c>
      <c r="F29" s="713">
        <f t="shared" si="4"/>
        <v>102751927.22999994</v>
      </c>
      <c r="G29" s="98">
        <f t="shared" si="5"/>
        <v>97921326.17916663</v>
      </c>
      <c r="H29" s="83"/>
      <c r="I29" s="87"/>
      <c r="J29" s="93"/>
      <c r="K29" s="98">
        <f t="shared" si="0"/>
        <v>97921326.17916663</v>
      </c>
      <c r="L29" s="1189">
        <f t="shared" si="2"/>
        <v>102751927.22999994</v>
      </c>
      <c r="M29" s="400"/>
      <c r="N29" s="94"/>
      <c r="O29" s="94"/>
      <c r="P29" s="714">
        <f t="shared" si="1"/>
        <v>97921326.17916663</v>
      </c>
      <c r="Q29" s="94"/>
      <c r="R29" s="95"/>
      <c r="S29" s="96"/>
    </row>
    <row r="30" spans="1:31" ht="14.25" customHeight="1" outlineLevel="1">
      <c r="A30" s="706"/>
      <c r="B30" s="108">
        <v>39386</v>
      </c>
      <c r="C30" s="65"/>
      <c r="D30" s="134">
        <v>805564.1</v>
      </c>
      <c r="E30" s="712">
        <f t="shared" si="3"/>
        <v>14557491.329999996</v>
      </c>
      <c r="F30" s="713">
        <f t="shared" si="4"/>
        <v>103557491.32999994</v>
      </c>
      <c r="G30" s="98">
        <f t="shared" si="5"/>
        <v>98725517.674583316</v>
      </c>
      <c r="H30" s="83"/>
      <c r="I30" s="87"/>
      <c r="J30" s="93"/>
      <c r="K30" s="98">
        <f t="shared" si="0"/>
        <v>98725517.674583316</v>
      </c>
      <c r="L30" s="1189">
        <f t="shared" si="2"/>
        <v>103557491.32999994</v>
      </c>
      <c r="M30" s="400"/>
      <c r="N30" s="94"/>
      <c r="O30" s="94"/>
      <c r="P30" s="714">
        <f t="shared" si="1"/>
        <v>98725517.674583316</v>
      </c>
      <c r="Q30" s="94"/>
      <c r="R30" s="95"/>
      <c r="S30" s="96"/>
    </row>
    <row r="31" spans="1:31" ht="14.25" customHeight="1" outlineLevel="1">
      <c r="A31" s="706"/>
      <c r="B31" s="108">
        <v>39416</v>
      </c>
      <c r="C31" s="65"/>
      <c r="D31" s="134">
        <v>805564.1</v>
      </c>
      <c r="E31" s="712">
        <f t="shared" si="3"/>
        <v>15363055.429999996</v>
      </c>
      <c r="F31" s="713">
        <f t="shared" si="4"/>
        <v>104363055.42999993</v>
      </c>
      <c r="G31" s="98">
        <f t="shared" si="5"/>
        <v>99530184.597499967</v>
      </c>
      <c r="H31" s="83"/>
      <c r="I31" s="87"/>
      <c r="J31" s="93"/>
      <c r="K31" s="98">
        <f t="shared" si="0"/>
        <v>99530184.597499967</v>
      </c>
      <c r="L31" s="1189">
        <f t="shared" si="2"/>
        <v>104363055.42999993</v>
      </c>
      <c r="M31" s="400"/>
      <c r="N31" s="94"/>
      <c r="O31" s="94"/>
      <c r="P31" s="714">
        <f t="shared" si="1"/>
        <v>99530184.597499967</v>
      </c>
      <c r="Q31" s="94"/>
      <c r="R31" s="95"/>
      <c r="S31" s="96"/>
    </row>
    <row r="32" spans="1:31" s="1194" customFormat="1" ht="14.25" customHeight="1" outlineLevel="1">
      <c r="A32" s="1179"/>
      <c r="B32" s="1180">
        <v>39447</v>
      </c>
      <c r="C32" s="1181"/>
      <c r="D32" s="1182">
        <v>805564.1</v>
      </c>
      <c r="E32" s="1183">
        <f t="shared" si="3"/>
        <v>16168619.529999996</v>
      </c>
      <c r="F32" s="1184">
        <f t="shared" si="4"/>
        <v>105168619.52999993</v>
      </c>
      <c r="G32" s="1185">
        <f t="shared" si="5"/>
        <v>100335326.94791663</v>
      </c>
      <c r="H32" s="1186"/>
      <c r="I32" s="1187"/>
      <c r="J32" s="1188"/>
      <c r="K32" s="1185">
        <f t="shared" si="0"/>
        <v>100335326.94791663</v>
      </c>
      <c r="L32" s="1189">
        <f t="shared" si="2"/>
        <v>105168619.52999993</v>
      </c>
      <c r="M32" s="1189"/>
      <c r="N32" s="1190"/>
      <c r="O32" s="1190"/>
      <c r="P32" s="1191">
        <f t="shared" si="1"/>
        <v>100335326.94791663</v>
      </c>
      <c r="Q32" s="1190"/>
      <c r="R32" s="1192"/>
      <c r="S32" s="1193"/>
      <c r="T32" s="1181"/>
      <c r="U32" s="1181"/>
      <c r="V32" s="1181"/>
      <c r="W32" s="1181"/>
      <c r="X32" s="1181"/>
      <c r="Y32" s="1181"/>
      <c r="Z32" s="1181"/>
      <c r="AA32" s="1181"/>
      <c r="AB32" s="1181"/>
      <c r="AC32" s="1181"/>
      <c r="AD32" s="1181"/>
      <c r="AE32" s="1181"/>
    </row>
    <row r="33" spans="1:31" ht="14.25" customHeight="1" outlineLevel="1">
      <c r="A33" s="706"/>
      <c r="B33" s="108">
        <v>39478</v>
      </c>
      <c r="C33" s="65"/>
      <c r="D33" s="134">
        <v>805564.1</v>
      </c>
      <c r="E33" s="712">
        <f t="shared" si="3"/>
        <v>16974183.629999995</v>
      </c>
      <c r="F33" s="713">
        <f t="shared" si="4"/>
        <v>105974183.62999992</v>
      </c>
      <c r="G33" s="98">
        <f t="shared" si="5"/>
        <v>101140799.02999996</v>
      </c>
      <c r="H33" s="83"/>
      <c r="I33" s="87"/>
      <c r="J33" s="93"/>
      <c r="K33" s="98">
        <f t="shared" si="0"/>
        <v>101140799.02999996</v>
      </c>
      <c r="L33" s="1189">
        <f t="shared" si="2"/>
        <v>105974183.62999992</v>
      </c>
      <c r="M33" s="400"/>
      <c r="N33" s="94"/>
      <c r="O33" s="94"/>
      <c r="P33" s="714">
        <f t="shared" si="1"/>
        <v>101140799.02999996</v>
      </c>
      <c r="Q33" s="94"/>
      <c r="R33" s="95"/>
      <c r="S33" s="96"/>
    </row>
    <row r="34" spans="1:31" ht="14.25" customHeight="1" outlineLevel="1">
      <c r="A34" s="706"/>
      <c r="B34" s="108">
        <v>39506</v>
      </c>
      <c r="C34" s="65"/>
      <c r="D34" s="134">
        <v>805564.1</v>
      </c>
      <c r="E34" s="712">
        <f t="shared" si="3"/>
        <v>17779747.729999997</v>
      </c>
      <c r="F34" s="713">
        <f t="shared" si="4"/>
        <v>106779747.72999991</v>
      </c>
      <c r="G34" s="98">
        <f t="shared" si="5"/>
        <v>101946363.12999995</v>
      </c>
      <c r="H34" s="83"/>
      <c r="I34" s="87"/>
      <c r="J34" s="93"/>
      <c r="K34" s="98">
        <f t="shared" si="0"/>
        <v>101946363.12999995</v>
      </c>
      <c r="L34" s="1189">
        <f t="shared" si="2"/>
        <v>106779747.72999991</v>
      </c>
      <c r="M34" s="400"/>
      <c r="N34" s="94"/>
      <c r="O34" s="94"/>
      <c r="P34" s="714">
        <f t="shared" si="1"/>
        <v>101946363.12999995</v>
      </c>
      <c r="Q34" s="94"/>
      <c r="R34" s="95"/>
      <c r="S34" s="96"/>
    </row>
    <row r="35" spans="1:31" ht="14.25" customHeight="1" outlineLevel="1">
      <c r="A35" s="706"/>
      <c r="B35" s="108">
        <v>39538</v>
      </c>
      <c r="C35" s="65"/>
      <c r="D35" s="134">
        <v>805564.1</v>
      </c>
      <c r="E35" s="712">
        <f t="shared" si="3"/>
        <v>18585311.829999998</v>
      </c>
      <c r="F35" s="713">
        <f t="shared" si="4"/>
        <v>107585311.82999991</v>
      </c>
      <c r="G35" s="98">
        <f t="shared" si="5"/>
        <v>102751927.22999996</v>
      </c>
      <c r="H35" s="83"/>
      <c r="I35" s="87"/>
      <c r="J35" s="93"/>
      <c r="K35" s="98">
        <f t="shared" si="0"/>
        <v>102751927.22999996</v>
      </c>
      <c r="L35" s="1189">
        <f t="shared" si="2"/>
        <v>107585311.82999991</v>
      </c>
      <c r="M35" s="400"/>
      <c r="N35" s="94"/>
      <c r="O35" s="94"/>
      <c r="P35" s="714">
        <f t="shared" si="1"/>
        <v>102751927.22999996</v>
      </c>
      <c r="Q35" s="94"/>
      <c r="R35" s="95"/>
      <c r="S35" s="96"/>
    </row>
    <row r="36" spans="1:31" ht="14.25" customHeight="1" outlineLevel="1">
      <c r="A36" s="706"/>
      <c r="B36" s="108">
        <v>39568</v>
      </c>
      <c r="C36" s="65"/>
      <c r="D36" s="134">
        <v>805564.1</v>
      </c>
      <c r="E36" s="712">
        <f t="shared" si="3"/>
        <v>19390875.93</v>
      </c>
      <c r="F36" s="713">
        <f t="shared" si="4"/>
        <v>108390875.9299999</v>
      </c>
      <c r="G36" s="98">
        <f t="shared" si="5"/>
        <v>103557491.32999994</v>
      </c>
      <c r="H36" s="83"/>
      <c r="I36" s="87"/>
      <c r="J36" s="93"/>
      <c r="K36" s="98">
        <f t="shared" si="0"/>
        <v>103557491.32999994</v>
      </c>
      <c r="L36" s="1189">
        <f t="shared" si="2"/>
        <v>108390875.9299999</v>
      </c>
      <c r="M36" s="400"/>
      <c r="N36" s="94"/>
      <c r="O36" s="94"/>
      <c r="P36" s="714">
        <f t="shared" si="1"/>
        <v>103557491.32999994</v>
      </c>
      <c r="Q36" s="94"/>
      <c r="R36" s="95"/>
      <c r="S36" s="96"/>
    </row>
    <row r="37" spans="1:31" ht="14.25" customHeight="1" outlineLevel="1">
      <c r="A37" s="706"/>
      <c r="B37" s="108">
        <v>39599</v>
      </c>
      <c r="C37" s="65"/>
      <c r="D37" s="134">
        <v>805564.1</v>
      </c>
      <c r="E37" s="712">
        <f t="shared" si="3"/>
        <v>20196440.030000001</v>
      </c>
      <c r="F37" s="713">
        <f t="shared" si="4"/>
        <v>109196440.0299999</v>
      </c>
      <c r="G37" s="98">
        <f t="shared" si="5"/>
        <v>104363055.42999993</v>
      </c>
      <c r="H37" s="83"/>
      <c r="I37" s="87"/>
      <c r="J37" s="93"/>
      <c r="K37" s="98">
        <f t="shared" si="0"/>
        <v>104363055.42999993</v>
      </c>
      <c r="L37" s="1189">
        <f t="shared" si="2"/>
        <v>109196440.0299999</v>
      </c>
      <c r="M37" s="400"/>
      <c r="N37" s="94"/>
      <c r="O37" s="94"/>
      <c r="P37" s="714">
        <f t="shared" si="1"/>
        <v>104363055.42999993</v>
      </c>
      <c r="Q37" s="94"/>
      <c r="R37" s="95"/>
      <c r="S37" s="96"/>
    </row>
    <row r="38" spans="1:31" ht="14.25" customHeight="1" outlineLevel="1">
      <c r="A38" s="706"/>
      <c r="B38" s="108">
        <v>39629</v>
      </c>
      <c r="C38" s="65"/>
      <c r="D38" s="134">
        <v>805564.1</v>
      </c>
      <c r="E38" s="712">
        <f t="shared" si="3"/>
        <v>21002004.130000003</v>
      </c>
      <c r="F38" s="713">
        <f t="shared" si="4"/>
        <v>110002004.12999989</v>
      </c>
      <c r="G38" s="98">
        <f t="shared" si="5"/>
        <v>105168619.52999993</v>
      </c>
      <c r="H38" s="83"/>
      <c r="I38" s="87"/>
      <c r="J38" s="93"/>
      <c r="K38" s="98">
        <f t="shared" si="0"/>
        <v>105168619.52999993</v>
      </c>
      <c r="L38" s="1189">
        <f t="shared" si="2"/>
        <v>110002004.12999989</v>
      </c>
      <c r="M38" s="400"/>
      <c r="N38" s="94"/>
      <c r="O38" s="94"/>
      <c r="P38" s="714">
        <f t="shared" si="1"/>
        <v>105168619.52999993</v>
      </c>
      <c r="Q38" s="94"/>
      <c r="R38" s="95"/>
      <c r="S38" s="96"/>
    </row>
    <row r="39" spans="1:31" ht="14.25" customHeight="1" outlineLevel="1">
      <c r="A39" s="706"/>
      <c r="B39" s="108">
        <v>39660</v>
      </c>
      <c r="C39" s="65"/>
      <c r="D39" s="134">
        <v>805564.1</v>
      </c>
      <c r="E39" s="712">
        <f t="shared" si="3"/>
        <v>21807568.230000004</v>
      </c>
      <c r="F39" s="713">
        <f t="shared" si="4"/>
        <v>110807568.22999988</v>
      </c>
      <c r="G39" s="98">
        <f t="shared" si="5"/>
        <v>105974183.62999992</v>
      </c>
      <c r="H39" s="83"/>
      <c r="I39" s="87"/>
      <c r="J39" s="93"/>
      <c r="K39" s="98">
        <f t="shared" si="0"/>
        <v>105974183.62999992</v>
      </c>
      <c r="L39" s="1189">
        <f t="shared" si="2"/>
        <v>110807568.22999988</v>
      </c>
      <c r="M39" s="400"/>
      <c r="N39" s="94"/>
      <c r="O39" s="94"/>
      <c r="P39" s="714">
        <f t="shared" si="1"/>
        <v>105974183.62999992</v>
      </c>
      <c r="Q39" s="94"/>
      <c r="R39" s="95"/>
      <c r="S39" s="96"/>
    </row>
    <row r="40" spans="1:31" ht="14.25" customHeight="1" outlineLevel="1">
      <c r="A40" s="706"/>
      <c r="B40" s="108">
        <v>39691</v>
      </c>
      <c r="C40" s="65"/>
      <c r="D40" s="134">
        <v>805564.1</v>
      </c>
      <c r="E40" s="712">
        <f t="shared" si="3"/>
        <v>22613132.330000006</v>
      </c>
      <c r="F40" s="713">
        <f t="shared" si="4"/>
        <v>111613132.32999988</v>
      </c>
      <c r="G40" s="98">
        <f t="shared" si="5"/>
        <v>106779747.72999991</v>
      </c>
      <c r="H40" s="83"/>
      <c r="I40" s="87"/>
      <c r="J40" s="93"/>
      <c r="K40" s="98">
        <f t="shared" si="0"/>
        <v>106779747.72999991</v>
      </c>
      <c r="L40" s="1189">
        <f t="shared" si="2"/>
        <v>111613132.32999988</v>
      </c>
      <c r="M40" s="400">
        <v>-2256000</v>
      </c>
      <c r="N40" s="98">
        <f>N39+M40</f>
        <v>-2256000</v>
      </c>
      <c r="O40" s="98">
        <f t="shared" ref="O40:O51" si="6">(N28+N40+SUM(N29:N39)*2)/24</f>
        <v>-94000</v>
      </c>
      <c r="P40" s="714">
        <f t="shared" ref="P40:P51" si="7">O40+K40</f>
        <v>106685747.72999991</v>
      </c>
      <c r="Q40" s="94"/>
      <c r="R40" s="95"/>
      <c r="S40" s="96"/>
    </row>
    <row r="41" spans="1:31" ht="14.25" customHeight="1" outlineLevel="1">
      <c r="A41" s="706"/>
      <c r="B41" s="108">
        <v>39721</v>
      </c>
      <c r="C41" s="65"/>
      <c r="D41" s="134">
        <v>805564.1</v>
      </c>
      <c r="E41" s="712">
        <f t="shared" si="3"/>
        <v>23418696.430000007</v>
      </c>
      <c r="F41" s="713">
        <f t="shared" si="4"/>
        <v>112418696.42999987</v>
      </c>
      <c r="G41" s="98">
        <f t="shared" si="5"/>
        <v>107585311.82999991</v>
      </c>
      <c r="H41" s="83"/>
      <c r="I41" s="87"/>
      <c r="J41" s="93"/>
      <c r="K41" s="98">
        <f t="shared" si="0"/>
        <v>107585311.82999991</v>
      </c>
      <c r="L41" s="1189">
        <f t="shared" si="2"/>
        <v>112418696.42999987</v>
      </c>
      <c r="M41" s="400">
        <v>-5941017</v>
      </c>
      <c r="N41" s="98">
        <f>N40+M41</f>
        <v>-8197017</v>
      </c>
      <c r="O41" s="98">
        <f t="shared" si="6"/>
        <v>-529542.375</v>
      </c>
      <c r="P41" s="714">
        <f t="shared" si="7"/>
        <v>107055769.45499991</v>
      </c>
      <c r="Q41" s="94"/>
      <c r="R41" s="95"/>
      <c r="S41" s="96"/>
    </row>
    <row r="42" spans="1:31" ht="14.25" customHeight="1" outlineLevel="1">
      <c r="A42" s="706"/>
      <c r="B42" s="108">
        <v>39752</v>
      </c>
      <c r="C42" s="65"/>
      <c r="D42" s="134">
        <v>805564.1</v>
      </c>
      <c r="E42" s="712">
        <f t="shared" si="3"/>
        <v>24224260.530000009</v>
      </c>
      <c r="F42" s="713">
        <f t="shared" si="4"/>
        <v>113224260.52999987</v>
      </c>
      <c r="G42" s="98">
        <f t="shared" si="5"/>
        <v>108390875.92999989</v>
      </c>
      <c r="H42" s="83"/>
      <c r="I42" s="87"/>
      <c r="J42" s="93"/>
      <c r="K42" s="98">
        <f t="shared" si="0"/>
        <v>108390875.92999989</v>
      </c>
      <c r="L42" s="1189">
        <f t="shared" si="2"/>
        <v>113224260.52999987</v>
      </c>
      <c r="M42" s="400">
        <v>-282000</v>
      </c>
      <c r="N42" s="98">
        <f>N41+M42</f>
        <v>-8479017</v>
      </c>
      <c r="O42" s="98">
        <f t="shared" si="6"/>
        <v>-1224377.125</v>
      </c>
      <c r="P42" s="714">
        <f t="shared" si="7"/>
        <v>107166498.80499989</v>
      </c>
      <c r="Q42" s="94"/>
      <c r="R42" s="95"/>
      <c r="S42" s="96"/>
    </row>
    <row r="43" spans="1:31" ht="14.25" customHeight="1" outlineLevel="1">
      <c r="A43" s="706"/>
      <c r="B43" s="108">
        <v>39782</v>
      </c>
      <c r="C43" s="65"/>
      <c r="D43" s="134">
        <v>805564.1</v>
      </c>
      <c r="E43" s="712">
        <f t="shared" si="3"/>
        <v>25029824.63000001</v>
      </c>
      <c r="F43" s="713">
        <f t="shared" si="4"/>
        <v>114029824.62999986</v>
      </c>
      <c r="G43" s="98">
        <f t="shared" si="5"/>
        <v>109196440.02999991</v>
      </c>
      <c r="H43" s="83"/>
      <c r="I43" s="87"/>
      <c r="J43" s="93"/>
      <c r="K43" s="98">
        <f t="shared" si="0"/>
        <v>109196440.02999991</v>
      </c>
      <c r="L43" s="1189">
        <f t="shared" si="2"/>
        <v>114029824.62999986</v>
      </c>
      <c r="M43" s="400">
        <v>-282000</v>
      </c>
      <c r="N43" s="98">
        <f t="shared" ref="N43:N104" si="8">N42+M43</f>
        <v>-8761017</v>
      </c>
      <c r="O43" s="98">
        <f t="shared" si="6"/>
        <v>-1942711.875</v>
      </c>
      <c r="P43" s="714">
        <f t="shared" si="7"/>
        <v>107253728.15499991</v>
      </c>
      <c r="Q43" s="94"/>
      <c r="R43" s="95"/>
      <c r="S43" s="96"/>
    </row>
    <row r="44" spans="1:31" s="1172" customFormat="1" ht="14.25" customHeight="1" outlineLevel="1">
      <c r="A44" s="1151"/>
      <c r="B44" s="1152">
        <v>39813</v>
      </c>
      <c r="C44" s="1165"/>
      <c r="D44" s="1153">
        <v>791871.8</v>
      </c>
      <c r="E44" s="1154">
        <f t="shared" si="3"/>
        <v>25821696.430000011</v>
      </c>
      <c r="F44" s="1155">
        <f t="shared" si="4"/>
        <v>114821696.42999986</v>
      </c>
      <c r="G44" s="1156">
        <f t="shared" si="5"/>
        <v>110001433.6174999</v>
      </c>
      <c r="H44" s="1168"/>
      <c r="I44" s="1169"/>
      <c r="J44" s="1167"/>
      <c r="K44" s="1156">
        <f t="shared" si="0"/>
        <v>110001433.6174999</v>
      </c>
      <c r="L44" s="1189">
        <f t="shared" si="2"/>
        <v>114821696.42999986</v>
      </c>
      <c r="M44" s="1158">
        <v>-281000</v>
      </c>
      <c r="N44" s="1156">
        <f t="shared" si="8"/>
        <v>-9042017</v>
      </c>
      <c r="O44" s="1156">
        <f t="shared" si="6"/>
        <v>-2684504.9583333335</v>
      </c>
      <c r="P44" s="1159">
        <f t="shared" si="7"/>
        <v>107316928.65916657</v>
      </c>
      <c r="Q44" s="1170"/>
      <c r="R44" s="1161"/>
      <c r="S44" s="1171"/>
      <c r="T44" s="1165"/>
      <c r="U44" s="1165"/>
      <c r="V44" s="1165"/>
      <c r="W44" s="1165"/>
      <c r="X44" s="1165"/>
      <c r="Y44" s="1165"/>
      <c r="Z44" s="1165"/>
      <c r="AA44" s="1165"/>
      <c r="AB44" s="1165"/>
      <c r="AC44" s="1165"/>
      <c r="AD44" s="1165"/>
      <c r="AE44" s="1165"/>
    </row>
    <row r="45" spans="1:31" ht="14.25" customHeight="1" outlineLevel="1">
      <c r="A45" s="706"/>
      <c r="B45" s="108">
        <v>39844</v>
      </c>
      <c r="C45" s="65"/>
      <c r="D45" s="134">
        <v>798717.95</v>
      </c>
      <c r="E45" s="712">
        <f>D45+E44</f>
        <v>26620414.38000001</v>
      </c>
      <c r="F45" s="713">
        <f t="shared" si="4"/>
        <v>115620414.37999986</v>
      </c>
      <c r="G45" s="98">
        <f t="shared" si="5"/>
        <v>110805571.43624987</v>
      </c>
      <c r="H45" s="83"/>
      <c r="I45" s="87"/>
      <c r="J45" s="93"/>
      <c r="K45" s="98">
        <f t="shared" si="0"/>
        <v>110805571.43624987</v>
      </c>
      <c r="L45" s="1189">
        <f t="shared" si="2"/>
        <v>115620414.37999986</v>
      </c>
      <c r="M45" s="400">
        <v>-282000</v>
      </c>
      <c r="N45" s="98">
        <f>N44+M45</f>
        <v>-9324017</v>
      </c>
      <c r="O45" s="98">
        <f t="shared" si="6"/>
        <v>-3449756.375</v>
      </c>
      <c r="P45" s="714">
        <f t="shared" si="7"/>
        <v>107355815.06124987</v>
      </c>
      <c r="Q45" s="94"/>
      <c r="R45" s="95"/>
      <c r="S45" s="96"/>
    </row>
    <row r="46" spans="1:31" ht="14.25" customHeight="1" outlineLevel="1">
      <c r="A46" s="706"/>
      <c r="B46" s="108">
        <v>39872</v>
      </c>
      <c r="C46" s="65"/>
      <c r="D46" s="134">
        <v>798717.95</v>
      </c>
      <c r="E46" s="712">
        <f t="shared" si="3"/>
        <v>27419132.330000009</v>
      </c>
      <c r="F46" s="713">
        <f t="shared" si="4"/>
        <v>116419132.32999986</v>
      </c>
      <c r="G46" s="98">
        <f t="shared" si="5"/>
        <v>111609138.74249989</v>
      </c>
      <c r="H46" s="83"/>
      <c r="I46" s="87"/>
      <c r="J46" s="93"/>
      <c r="K46" s="98">
        <f t="shared" si="0"/>
        <v>111609138.74249989</v>
      </c>
      <c r="L46" s="1189">
        <f t="shared" si="2"/>
        <v>116419132.32999986</v>
      </c>
      <c r="M46" s="400">
        <v>-277000</v>
      </c>
      <c r="N46" s="98">
        <f t="shared" si="8"/>
        <v>-9601017</v>
      </c>
      <c r="O46" s="98">
        <f t="shared" si="6"/>
        <v>-4238299.458333333</v>
      </c>
      <c r="P46" s="714">
        <f t="shared" si="7"/>
        <v>107370839.28416656</v>
      </c>
      <c r="Q46" s="94"/>
      <c r="R46" s="95"/>
      <c r="S46" s="96"/>
    </row>
    <row r="47" spans="1:31" ht="14.25" customHeight="1" outlineLevel="1">
      <c r="A47" s="706"/>
      <c r="B47" s="108">
        <v>39903</v>
      </c>
      <c r="C47" s="65"/>
      <c r="D47" s="134">
        <v>798717.95</v>
      </c>
      <c r="E47" s="712">
        <f t="shared" si="3"/>
        <v>28217850.280000009</v>
      </c>
      <c r="F47" s="713">
        <f t="shared" si="4"/>
        <v>117217850.27999987</v>
      </c>
      <c r="G47" s="98">
        <f t="shared" si="5"/>
        <v>112412135.53624988</v>
      </c>
      <c r="H47" s="83"/>
      <c r="I47" s="87"/>
      <c r="J47" s="93"/>
      <c r="K47" s="98">
        <f t="shared" si="0"/>
        <v>112412135.53624988</v>
      </c>
      <c r="L47" s="1189">
        <f t="shared" si="2"/>
        <v>117217850.27999987</v>
      </c>
      <c r="M47" s="400">
        <v>-280000</v>
      </c>
      <c r="N47" s="98">
        <f t="shared" si="8"/>
        <v>-9881017</v>
      </c>
      <c r="O47" s="98">
        <f t="shared" si="6"/>
        <v>-5050050.875</v>
      </c>
      <c r="P47" s="714">
        <f t="shared" si="7"/>
        <v>107362084.66124988</v>
      </c>
      <c r="Q47" s="94"/>
      <c r="R47" s="95"/>
      <c r="S47" s="96"/>
    </row>
    <row r="48" spans="1:31" ht="14.25" customHeight="1" outlineLevel="1">
      <c r="A48" s="706"/>
      <c r="B48" s="108">
        <v>39933</v>
      </c>
      <c r="C48" s="65"/>
      <c r="D48" s="134">
        <v>798717.95</v>
      </c>
      <c r="E48" s="712">
        <f t="shared" si="3"/>
        <v>29016568.230000008</v>
      </c>
      <c r="F48" s="713">
        <f t="shared" si="4"/>
        <v>118016568.22999987</v>
      </c>
      <c r="G48" s="98">
        <f t="shared" si="5"/>
        <v>113214561.81749988</v>
      </c>
      <c r="H48" s="83"/>
      <c r="I48" s="87"/>
      <c r="J48" s="93"/>
      <c r="K48" s="98">
        <f t="shared" si="0"/>
        <v>113214561.81749988</v>
      </c>
      <c r="L48" s="1189">
        <f t="shared" si="2"/>
        <v>118016568.22999987</v>
      </c>
      <c r="M48" s="400">
        <v>-280000</v>
      </c>
      <c r="N48" s="98">
        <f>N47+M48</f>
        <v>-10161017</v>
      </c>
      <c r="O48" s="98">
        <f t="shared" si="6"/>
        <v>-5885135.625</v>
      </c>
      <c r="P48" s="714">
        <f t="shared" si="7"/>
        <v>107329426.19249988</v>
      </c>
      <c r="Q48" s="94"/>
      <c r="R48" s="95"/>
      <c r="S48" s="96"/>
    </row>
    <row r="49" spans="1:31" ht="14.25" customHeight="1" outlineLevel="1">
      <c r="A49" s="706"/>
      <c r="B49" s="108">
        <v>39964</v>
      </c>
      <c r="C49" s="65"/>
      <c r="D49" s="134">
        <v>798717.95</v>
      </c>
      <c r="E49" s="712">
        <f t="shared" si="3"/>
        <v>29815286.180000007</v>
      </c>
      <c r="F49" s="713">
        <f t="shared" si="4"/>
        <v>118815286.17999987</v>
      </c>
      <c r="G49" s="98">
        <f t="shared" si="5"/>
        <v>114016417.58624987</v>
      </c>
      <c r="H49" s="83"/>
      <c r="I49" s="87"/>
      <c r="J49" s="93"/>
      <c r="K49" s="98">
        <f t="shared" si="0"/>
        <v>114016417.58624987</v>
      </c>
      <c r="L49" s="1189">
        <f t="shared" si="2"/>
        <v>118815286.17999987</v>
      </c>
      <c r="M49" s="400">
        <v>-280000</v>
      </c>
      <c r="N49" s="98">
        <f t="shared" si="8"/>
        <v>-10441017</v>
      </c>
      <c r="O49" s="98">
        <f t="shared" si="6"/>
        <v>-6743553.708333333</v>
      </c>
      <c r="P49" s="714">
        <f t="shared" si="7"/>
        <v>107272863.87791654</v>
      </c>
      <c r="Q49" s="94"/>
      <c r="R49" s="95"/>
      <c r="S49" s="96"/>
    </row>
    <row r="50" spans="1:31" ht="14.25" customHeight="1" outlineLevel="1">
      <c r="A50" s="706"/>
      <c r="B50" s="108">
        <v>39994</v>
      </c>
      <c r="C50" s="65"/>
      <c r="D50" s="134">
        <v>798717.95</v>
      </c>
      <c r="E50" s="712">
        <f t="shared" si="3"/>
        <v>30614004.130000006</v>
      </c>
      <c r="F50" s="713">
        <f t="shared" si="4"/>
        <v>119614004.12999988</v>
      </c>
      <c r="G50" s="98">
        <f t="shared" si="5"/>
        <v>114817702.84249987</v>
      </c>
      <c r="H50" s="83"/>
      <c r="I50" s="87"/>
      <c r="J50" s="93"/>
      <c r="K50" s="98">
        <f t="shared" si="0"/>
        <v>114817702.84249987</v>
      </c>
      <c r="L50" s="1189">
        <f t="shared" si="2"/>
        <v>119614004.12999988</v>
      </c>
      <c r="M50" s="400">
        <v>-280000</v>
      </c>
      <c r="N50" s="98">
        <f t="shared" si="8"/>
        <v>-10721017</v>
      </c>
      <c r="O50" s="98">
        <f t="shared" si="6"/>
        <v>-7625305.125</v>
      </c>
      <c r="P50" s="714">
        <f t="shared" si="7"/>
        <v>107192397.71749987</v>
      </c>
      <c r="Q50" s="94"/>
      <c r="R50" s="95"/>
      <c r="S50" s="96"/>
    </row>
    <row r="51" spans="1:31" ht="14.25" customHeight="1" outlineLevel="1">
      <c r="A51" s="706"/>
      <c r="B51" s="108">
        <v>40025</v>
      </c>
      <c r="C51" s="65"/>
      <c r="D51" s="134">
        <v>798717.95</v>
      </c>
      <c r="E51" s="712">
        <f t="shared" si="3"/>
        <v>31412722.080000006</v>
      </c>
      <c r="F51" s="713">
        <f t="shared" si="4"/>
        <v>120412722.07999988</v>
      </c>
      <c r="G51" s="98">
        <f t="shared" si="5"/>
        <v>115618417.58624987</v>
      </c>
      <c r="H51" s="83"/>
      <c r="I51" s="87"/>
      <c r="J51" s="93"/>
      <c r="K51" s="98">
        <f t="shared" si="0"/>
        <v>115618417.58624987</v>
      </c>
      <c r="L51" s="1189">
        <f t="shared" si="2"/>
        <v>120412722.07999988</v>
      </c>
      <c r="M51" s="400">
        <v>-280000</v>
      </c>
      <c r="N51" s="98">
        <f t="shared" si="8"/>
        <v>-11001017</v>
      </c>
      <c r="O51" s="98">
        <f t="shared" si="6"/>
        <v>-8530389.875</v>
      </c>
      <c r="P51" s="714">
        <f t="shared" si="7"/>
        <v>107088027.71124987</v>
      </c>
      <c r="Q51" s="94"/>
      <c r="R51" s="95"/>
      <c r="S51" s="96"/>
    </row>
    <row r="52" spans="1:31" ht="14.25" customHeight="1" outlineLevel="1">
      <c r="A52" s="706"/>
      <c r="B52" s="108">
        <v>40056</v>
      </c>
      <c r="C52" s="65"/>
      <c r="D52" s="134">
        <v>798717.95</v>
      </c>
      <c r="E52" s="712">
        <f t="shared" si="3"/>
        <v>32211440.030000005</v>
      </c>
      <c r="F52" s="713">
        <f t="shared" si="4"/>
        <v>121211440.02999988</v>
      </c>
      <c r="G52" s="98">
        <f t="shared" si="5"/>
        <v>116418561.81749988</v>
      </c>
      <c r="H52" s="83"/>
      <c r="I52" s="87"/>
      <c r="J52" s="93"/>
      <c r="K52" s="98">
        <f t="shared" si="0"/>
        <v>116418561.81749988</v>
      </c>
      <c r="L52" s="1189">
        <f t="shared" si="2"/>
        <v>121211440.02999988</v>
      </c>
      <c r="M52" s="400">
        <v>-280000</v>
      </c>
      <c r="N52" s="98">
        <f t="shared" si="8"/>
        <v>-11281017</v>
      </c>
      <c r="O52" s="98">
        <f>(N40+N52+SUM(N41:N51)*2)/24</f>
        <v>-9364807.958333334</v>
      </c>
      <c r="P52" s="714">
        <f t="shared" ref="P52:P78" si="9">O52+K52</f>
        <v>107053753.85916655</v>
      </c>
      <c r="Q52" s="94"/>
      <c r="R52" s="95"/>
      <c r="S52" s="96"/>
    </row>
    <row r="53" spans="1:31" ht="14.25" customHeight="1" outlineLevel="1">
      <c r="A53" s="706"/>
      <c r="B53" s="108">
        <v>40086</v>
      </c>
      <c r="C53" s="65"/>
      <c r="D53" s="134">
        <v>798717.95</v>
      </c>
      <c r="E53" s="712">
        <f t="shared" si="3"/>
        <v>33010157.980000004</v>
      </c>
      <c r="F53" s="713">
        <f t="shared" si="4"/>
        <v>122010157.97999988</v>
      </c>
      <c r="G53" s="98">
        <f t="shared" si="5"/>
        <v>117218135.53624988</v>
      </c>
      <c r="H53" s="83"/>
      <c r="I53" s="87"/>
      <c r="J53" s="93"/>
      <c r="K53" s="98">
        <f t="shared" si="0"/>
        <v>117218135.53624988</v>
      </c>
      <c r="L53" s="1189">
        <f t="shared" si="2"/>
        <v>122010157.97999988</v>
      </c>
      <c r="M53" s="400">
        <v>-275000</v>
      </c>
      <c r="N53" s="98">
        <f t="shared" si="8"/>
        <v>-11556017</v>
      </c>
      <c r="O53" s="98">
        <f t="shared" ref="O53:O78" si="10">(N41+N53+SUM(N42:N52)*2)/24</f>
        <v>-9880808.666666666</v>
      </c>
      <c r="P53" s="714">
        <f t="shared" si="9"/>
        <v>107337326.8695832</v>
      </c>
      <c r="Q53" s="94"/>
      <c r="R53" s="95"/>
      <c r="S53" s="96"/>
    </row>
    <row r="54" spans="1:31" ht="14.25" customHeight="1" outlineLevel="1">
      <c r="A54" s="706"/>
      <c r="B54" s="108">
        <v>40117</v>
      </c>
      <c r="C54" s="65"/>
      <c r="D54" s="134">
        <v>798717.95</v>
      </c>
      <c r="E54" s="712">
        <f t="shared" si="3"/>
        <v>33808875.930000007</v>
      </c>
      <c r="F54" s="713">
        <f t="shared" si="4"/>
        <v>122808875.92999989</v>
      </c>
      <c r="G54" s="98">
        <f t="shared" si="5"/>
        <v>118017138.74249987</v>
      </c>
      <c r="H54" s="83"/>
      <c r="I54" s="87"/>
      <c r="J54" s="93"/>
      <c r="K54" s="98">
        <f t="shared" si="0"/>
        <v>118017138.74249987</v>
      </c>
      <c r="L54" s="1189">
        <f t="shared" si="2"/>
        <v>122808875.92999989</v>
      </c>
      <c r="M54" s="400">
        <v>-280000</v>
      </c>
      <c r="N54" s="98">
        <f t="shared" si="8"/>
        <v>-11836017</v>
      </c>
      <c r="O54" s="98">
        <f t="shared" si="10"/>
        <v>-10160642</v>
      </c>
      <c r="P54" s="714">
        <f t="shared" si="9"/>
        <v>107856496.74249987</v>
      </c>
      <c r="Q54" s="94"/>
      <c r="R54" s="95"/>
      <c r="S54" s="96"/>
    </row>
    <row r="55" spans="1:31" ht="14.25" customHeight="1" outlineLevel="1">
      <c r="A55" s="706"/>
      <c r="B55" s="108">
        <v>40147</v>
      </c>
      <c r="C55" s="65"/>
      <c r="D55" s="134">
        <v>798717.95</v>
      </c>
      <c r="E55" s="712">
        <f t="shared" si="3"/>
        <v>34607593.88000001</v>
      </c>
      <c r="F55" s="713">
        <f t="shared" si="4"/>
        <v>123607593.87999989</v>
      </c>
      <c r="G55" s="98">
        <f t="shared" si="5"/>
        <v>118815571.43624985</v>
      </c>
      <c r="H55" s="83"/>
      <c r="I55" s="87"/>
      <c r="J55" s="93"/>
      <c r="K55" s="98">
        <f t="shared" si="0"/>
        <v>118815571.43624985</v>
      </c>
      <c r="L55" s="1189">
        <f t="shared" si="2"/>
        <v>123607593.87999989</v>
      </c>
      <c r="M55" s="400">
        <v>-280000</v>
      </c>
      <c r="N55" s="98">
        <f t="shared" si="8"/>
        <v>-12116017</v>
      </c>
      <c r="O55" s="98">
        <f t="shared" si="10"/>
        <v>-10440308.666666666</v>
      </c>
      <c r="P55" s="714">
        <f t="shared" si="9"/>
        <v>108375262.76958318</v>
      </c>
      <c r="Q55" s="94"/>
      <c r="R55" s="95"/>
      <c r="S55" s="96"/>
    </row>
    <row r="56" spans="1:31" ht="14.25" customHeight="1" outlineLevel="1">
      <c r="A56" s="706"/>
      <c r="B56" s="108">
        <v>40178</v>
      </c>
      <c r="C56" s="65"/>
      <c r="D56" s="134">
        <v>798717.95</v>
      </c>
      <c r="E56" s="712">
        <f t="shared" si="3"/>
        <v>35406311.830000013</v>
      </c>
      <c r="F56" s="713">
        <f t="shared" si="4"/>
        <v>124406311.82999989</v>
      </c>
      <c r="G56" s="98">
        <f t="shared" si="5"/>
        <v>119614004.12999988</v>
      </c>
      <c r="H56" s="83"/>
      <c r="I56" s="87"/>
      <c r="J56" s="93"/>
      <c r="K56" s="98">
        <f t="shared" si="0"/>
        <v>119614004.12999988</v>
      </c>
      <c r="L56" s="1189">
        <f t="shared" si="2"/>
        <v>124406311.82999989</v>
      </c>
      <c r="M56" s="400">
        <v>-276000</v>
      </c>
      <c r="N56" s="98">
        <f t="shared" si="8"/>
        <v>-12392017</v>
      </c>
      <c r="O56" s="98">
        <f t="shared" si="10"/>
        <v>-10719683.666666666</v>
      </c>
      <c r="P56" s="714">
        <f t="shared" si="9"/>
        <v>108894320.4633332</v>
      </c>
      <c r="Q56" s="94"/>
      <c r="R56" s="95"/>
      <c r="S56" s="96"/>
    </row>
    <row r="57" spans="1:31" s="1172" customFormat="1" ht="14.25" customHeight="1" outlineLevel="1">
      <c r="A57" s="1151"/>
      <c r="B57" s="1152">
        <v>40209</v>
      </c>
      <c r="C57" s="1165"/>
      <c r="D57" s="1153">
        <v>798717.95</v>
      </c>
      <c r="E57" s="1154">
        <f t="shared" si="3"/>
        <v>36205029.780000016</v>
      </c>
      <c r="F57" s="1155">
        <f t="shared" si="4"/>
        <v>125205029.7799999</v>
      </c>
      <c r="G57" s="1156">
        <f t="shared" si="5"/>
        <v>120412722.07999988</v>
      </c>
      <c r="H57" s="1168"/>
      <c r="I57" s="1169"/>
      <c r="J57" s="1167"/>
      <c r="K57" s="1156">
        <f t="shared" si="0"/>
        <v>120412722.07999988</v>
      </c>
      <c r="L57" s="1189">
        <f t="shared" si="2"/>
        <v>125205029.7799999</v>
      </c>
      <c r="M57" s="1158">
        <v>-280000</v>
      </c>
      <c r="N57" s="1156">
        <f t="shared" si="8"/>
        <v>-12672017</v>
      </c>
      <c r="O57" s="1156">
        <f t="shared" si="10"/>
        <v>-10998767</v>
      </c>
      <c r="P57" s="1159">
        <f t="shared" si="9"/>
        <v>109413955.07999988</v>
      </c>
      <c r="Q57" s="1170"/>
      <c r="R57" s="1161"/>
      <c r="S57" s="1171"/>
      <c r="T57" s="1165"/>
      <c r="U57" s="1165"/>
      <c r="V57" s="1165"/>
      <c r="W57" s="1165"/>
      <c r="X57" s="1165"/>
      <c r="Y57" s="1165"/>
      <c r="Z57" s="1165"/>
      <c r="AA57" s="1165"/>
      <c r="AB57" s="1165"/>
      <c r="AC57" s="1165"/>
      <c r="AD57" s="1165"/>
      <c r="AE57" s="1165"/>
    </row>
    <row r="58" spans="1:31" ht="14.25" customHeight="1" outlineLevel="1">
      <c r="A58" s="706"/>
      <c r="B58" s="108">
        <v>40237</v>
      </c>
      <c r="C58" s="65"/>
      <c r="D58" s="134">
        <v>798717.95</v>
      </c>
      <c r="E58" s="712">
        <f t="shared" si="3"/>
        <v>37003747.730000019</v>
      </c>
      <c r="F58" s="713">
        <f t="shared" si="4"/>
        <v>126003747.7299999</v>
      </c>
      <c r="G58" s="98">
        <f t="shared" si="5"/>
        <v>121211440.0299999</v>
      </c>
      <c r="H58" s="83"/>
      <c r="I58" s="87"/>
      <c r="J58" s="93"/>
      <c r="K58" s="98">
        <f t="shared" si="0"/>
        <v>121211440.0299999</v>
      </c>
      <c r="L58" s="1189">
        <f t="shared" si="2"/>
        <v>126003747.7299999</v>
      </c>
      <c r="M58" s="400">
        <v>-280000</v>
      </c>
      <c r="N58" s="98">
        <f t="shared" si="8"/>
        <v>-12952017</v>
      </c>
      <c r="O58" s="98">
        <f t="shared" si="10"/>
        <v>-11277892</v>
      </c>
      <c r="P58" s="714">
        <f t="shared" si="9"/>
        <v>109933548.0299999</v>
      </c>
      <c r="Q58" s="94"/>
      <c r="R58" s="95"/>
      <c r="S58" s="96"/>
    </row>
    <row r="59" spans="1:31" ht="14.25" customHeight="1" outlineLevel="1">
      <c r="A59" s="706"/>
      <c r="B59" s="108">
        <v>40268</v>
      </c>
      <c r="C59" s="65"/>
      <c r="D59" s="134">
        <v>798717.95</v>
      </c>
      <c r="E59" s="712">
        <f t="shared" si="3"/>
        <v>37802465.680000022</v>
      </c>
      <c r="F59" s="713">
        <f t="shared" si="4"/>
        <v>126802465.6799999</v>
      </c>
      <c r="G59" s="98">
        <f t="shared" si="5"/>
        <v>122010157.97999988</v>
      </c>
      <c r="H59" s="83"/>
      <c r="I59" s="87"/>
      <c r="J59" s="93"/>
      <c r="K59" s="98">
        <f t="shared" si="0"/>
        <v>122010157.97999988</v>
      </c>
      <c r="L59" s="1189">
        <f t="shared" si="2"/>
        <v>126802465.6799999</v>
      </c>
      <c r="M59" s="400">
        <v>-280000</v>
      </c>
      <c r="N59" s="98">
        <f>N58+M59</f>
        <v>-13232017</v>
      </c>
      <c r="O59" s="98">
        <f t="shared" si="10"/>
        <v>-11557142</v>
      </c>
      <c r="P59" s="714">
        <f t="shared" si="9"/>
        <v>110453015.97999988</v>
      </c>
      <c r="Q59" s="94"/>
      <c r="R59" s="95"/>
      <c r="S59" s="96"/>
    </row>
    <row r="60" spans="1:31" ht="14.25" customHeight="1" outlineLevel="1">
      <c r="A60" s="706"/>
      <c r="B60" s="108">
        <v>40298</v>
      </c>
      <c r="C60" s="65"/>
      <c r="D60" s="134">
        <v>787307.69</v>
      </c>
      <c r="E60" s="712">
        <f t="shared" si="3"/>
        <v>38589773.37000002</v>
      </c>
      <c r="F60" s="713">
        <f>F59+D60</f>
        <v>127589773.3699999</v>
      </c>
      <c r="G60" s="98">
        <f t="shared" si="5"/>
        <v>122808400.50249988</v>
      </c>
      <c r="H60" s="83"/>
      <c r="I60" s="87"/>
      <c r="J60" s="93"/>
      <c r="K60" s="98">
        <f t="shared" si="0"/>
        <v>122808400.50249988</v>
      </c>
      <c r="L60" s="1189">
        <f t="shared" si="2"/>
        <v>127589773.3699999</v>
      </c>
      <c r="M60" s="400">
        <v>-276000</v>
      </c>
      <c r="N60" s="98">
        <f>N59+M60</f>
        <v>-13508017</v>
      </c>
      <c r="O60" s="98">
        <f t="shared" si="10"/>
        <v>-11836225.333333334</v>
      </c>
      <c r="P60" s="714">
        <f t="shared" si="9"/>
        <v>110972175.16916655</v>
      </c>
      <c r="Q60" s="94"/>
      <c r="R60" s="95"/>
      <c r="S60" s="96"/>
    </row>
    <row r="61" spans="1:31" ht="14.25" customHeight="1" outlineLevel="1">
      <c r="A61" s="706"/>
      <c r="B61" s="108">
        <v>40329</v>
      </c>
      <c r="C61" s="65"/>
      <c r="D61" s="134">
        <v>787307.69</v>
      </c>
      <c r="E61" s="712">
        <f t="shared" si="3"/>
        <v>39377081.060000017</v>
      </c>
      <c r="F61" s="713">
        <f t="shared" si="4"/>
        <v>128377081.0599999</v>
      </c>
      <c r="G61" s="98">
        <f t="shared" si="5"/>
        <v>123605692.16999988</v>
      </c>
      <c r="H61" s="83"/>
      <c r="I61" s="87"/>
      <c r="J61" s="93"/>
      <c r="K61" s="98">
        <f t="shared" si="0"/>
        <v>123605692.16999988</v>
      </c>
      <c r="L61" s="1189">
        <f t="shared" si="2"/>
        <v>128377081.0599999</v>
      </c>
      <c r="M61" s="400">
        <v>-276000</v>
      </c>
      <c r="N61" s="98">
        <f t="shared" si="8"/>
        <v>-13784017</v>
      </c>
      <c r="O61" s="98">
        <f t="shared" si="10"/>
        <v>-12114975.333333334</v>
      </c>
      <c r="P61" s="714">
        <f t="shared" si="9"/>
        <v>111490716.83666655</v>
      </c>
      <c r="Q61" s="94"/>
      <c r="R61" s="95"/>
      <c r="S61" s="96"/>
    </row>
    <row r="62" spans="1:31" ht="14.25" customHeight="1" outlineLevel="1">
      <c r="A62" s="706"/>
      <c r="B62" s="108">
        <v>40359</v>
      </c>
      <c r="C62" s="65"/>
      <c r="D62" s="134">
        <v>787307.69</v>
      </c>
      <c r="E62" s="712">
        <f t="shared" si="3"/>
        <v>40164388.750000015</v>
      </c>
      <c r="F62" s="713">
        <f t="shared" si="4"/>
        <v>129164388.7499999</v>
      </c>
      <c r="G62" s="98">
        <f t="shared" si="5"/>
        <v>124402032.9824999</v>
      </c>
      <c r="H62" s="83"/>
      <c r="I62" s="87"/>
      <c r="J62" s="93"/>
      <c r="K62" s="98">
        <f t="shared" si="0"/>
        <v>124402032.9824999</v>
      </c>
      <c r="L62" s="1189">
        <f t="shared" si="2"/>
        <v>129164388.7499999</v>
      </c>
      <c r="M62" s="400">
        <v>-276000</v>
      </c>
      <c r="N62" s="98">
        <f t="shared" si="8"/>
        <v>-14060017</v>
      </c>
      <c r="O62" s="98">
        <f t="shared" si="10"/>
        <v>-12393392</v>
      </c>
      <c r="P62" s="714">
        <f t="shared" si="9"/>
        <v>112008640.9824999</v>
      </c>
      <c r="Q62" s="94"/>
      <c r="R62" s="95"/>
      <c r="S62" s="96"/>
    </row>
    <row r="63" spans="1:31" ht="14.25" customHeight="1" outlineLevel="1">
      <c r="A63" s="706"/>
      <c r="B63" s="108">
        <v>40390</v>
      </c>
      <c r="C63" s="65"/>
      <c r="D63" s="134">
        <v>787307.69</v>
      </c>
      <c r="E63" s="712">
        <f t="shared" si="3"/>
        <v>40951696.440000013</v>
      </c>
      <c r="F63" s="713">
        <f t="shared" si="4"/>
        <v>129951696.43999989</v>
      </c>
      <c r="G63" s="98">
        <f t="shared" si="5"/>
        <v>125197422.93999992</v>
      </c>
      <c r="H63" s="83"/>
      <c r="I63" s="87"/>
      <c r="J63" s="93"/>
      <c r="K63" s="98">
        <f t="shared" si="0"/>
        <v>125197422.93999992</v>
      </c>
      <c r="L63" s="1189">
        <f t="shared" si="2"/>
        <v>129951696.43999989</v>
      </c>
      <c r="M63" s="400">
        <v>-276000</v>
      </c>
      <c r="N63" s="98">
        <f t="shared" si="8"/>
        <v>-14336017</v>
      </c>
      <c r="O63" s="98">
        <f t="shared" si="10"/>
        <v>-12671475.333333334</v>
      </c>
      <c r="P63" s="714">
        <f t="shared" si="9"/>
        <v>112525947.60666659</v>
      </c>
      <c r="Q63" s="94"/>
      <c r="R63" s="95"/>
      <c r="S63" s="96"/>
    </row>
    <row r="64" spans="1:31" ht="14.25" customHeight="1" outlineLevel="1">
      <c r="A64" s="706"/>
      <c r="B64" s="108">
        <v>40421</v>
      </c>
      <c r="C64" s="65"/>
      <c r="D64" s="134">
        <v>787307.69</v>
      </c>
      <c r="E64" s="712">
        <f t="shared" si="3"/>
        <v>41739004.13000001</v>
      </c>
      <c r="F64" s="713">
        <f t="shared" si="4"/>
        <v>130739004.12999989</v>
      </c>
      <c r="G64" s="98">
        <f t="shared" si="5"/>
        <v>125991862.0424999</v>
      </c>
      <c r="H64" s="83"/>
      <c r="I64" s="87"/>
      <c r="J64" s="93"/>
      <c r="K64" s="98">
        <f t="shared" si="0"/>
        <v>125991862.0424999</v>
      </c>
      <c r="L64" s="1189">
        <f t="shared" si="2"/>
        <v>130739004.12999989</v>
      </c>
      <c r="M64" s="400">
        <v>-276000</v>
      </c>
      <c r="N64" s="98">
        <f t="shared" si="8"/>
        <v>-14612017</v>
      </c>
      <c r="O64" s="98">
        <f t="shared" si="10"/>
        <v>-12949225.333333334</v>
      </c>
      <c r="P64" s="714">
        <f t="shared" si="9"/>
        <v>113042636.70916657</v>
      </c>
      <c r="Q64" s="94"/>
      <c r="R64" s="95"/>
      <c r="S64" s="96"/>
    </row>
    <row r="65" spans="1:21" ht="14.25" customHeight="1" outlineLevel="1">
      <c r="A65" s="706"/>
      <c r="B65" s="108">
        <v>40451</v>
      </c>
      <c r="C65" s="65"/>
      <c r="D65" s="134">
        <v>787307.69</v>
      </c>
      <c r="E65" s="712">
        <f>D65+E64</f>
        <v>42526311.820000008</v>
      </c>
      <c r="F65" s="713">
        <f t="shared" si="4"/>
        <v>131526311.81999989</v>
      </c>
      <c r="G65" s="98">
        <f t="shared" si="5"/>
        <v>126785350.28999989</v>
      </c>
      <c r="H65" s="83"/>
      <c r="I65" s="87"/>
      <c r="J65" s="93"/>
      <c r="K65" s="98">
        <f t="shared" si="0"/>
        <v>126785350.28999989</v>
      </c>
      <c r="L65" s="1189">
        <f t="shared" si="2"/>
        <v>131526311.81999989</v>
      </c>
      <c r="M65" s="400">
        <v>-272000</v>
      </c>
      <c r="N65" s="98">
        <f t="shared" si="8"/>
        <v>-14884017</v>
      </c>
      <c r="O65" s="98">
        <f t="shared" si="10"/>
        <v>-13226683.666666666</v>
      </c>
      <c r="P65" s="714">
        <f t="shared" si="9"/>
        <v>113558666.62333322</v>
      </c>
      <c r="Q65" s="94"/>
      <c r="R65" s="95"/>
      <c r="S65" s="96"/>
    </row>
    <row r="66" spans="1:21" ht="14.25" customHeight="1" outlineLevel="1">
      <c r="A66" s="706"/>
      <c r="B66" s="108">
        <v>40482</v>
      </c>
      <c r="C66" s="65"/>
      <c r="D66" s="134">
        <v>787307.69</v>
      </c>
      <c r="E66" s="712">
        <f t="shared" si="3"/>
        <v>43313619.510000005</v>
      </c>
      <c r="F66" s="713">
        <f t="shared" si="4"/>
        <v>132313619.50999989</v>
      </c>
      <c r="G66" s="98">
        <f t="shared" si="5"/>
        <v>127577887.68249989</v>
      </c>
      <c r="H66" s="83"/>
      <c r="I66" s="87"/>
      <c r="J66" s="93"/>
      <c r="K66" s="98">
        <f t="shared" si="0"/>
        <v>127577887.68249989</v>
      </c>
      <c r="L66" s="1189">
        <f t="shared" si="2"/>
        <v>132313619.50999989</v>
      </c>
      <c r="M66" s="400">
        <f t="shared" ref="M66:M73" si="11">-D66*0.35</f>
        <v>-275557.69149999996</v>
      </c>
      <c r="N66" s="98">
        <f t="shared" si="8"/>
        <v>-15159574.691500001</v>
      </c>
      <c r="O66" s="98">
        <f t="shared" si="10"/>
        <v>-13503831.9038125</v>
      </c>
      <c r="P66" s="714">
        <f t="shared" si="9"/>
        <v>114074055.77868739</v>
      </c>
      <c r="Q66" s="94"/>
      <c r="R66" s="95"/>
      <c r="S66" s="96"/>
    </row>
    <row r="67" spans="1:21" ht="14.25" customHeight="1" outlineLevel="1">
      <c r="A67" s="706"/>
      <c r="B67" s="108">
        <v>40512</v>
      </c>
      <c r="C67" s="65"/>
      <c r="D67" s="134">
        <v>787307.69</v>
      </c>
      <c r="E67" s="712">
        <f t="shared" si="3"/>
        <v>44100927.200000003</v>
      </c>
      <c r="F67" s="713">
        <f t="shared" si="4"/>
        <v>133100927.19999988</v>
      </c>
      <c r="G67" s="98">
        <f t="shared" si="5"/>
        <v>128369474.21999992</v>
      </c>
      <c r="H67" s="83"/>
      <c r="I67" s="87"/>
      <c r="J67" s="93"/>
      <c r="K67" s="98">
        <f t="shared" si="0"/>
        <v>128369474.21999992</v>
      </c>
      <c r="L67" s="1189">
        <f t="shared" si="2"/>
        <v>133100927.19999988</v>
      </c>
      <c r="M67" s="400">
        <f t="shared" si="11"/>
        <v>-275557.69149999996</v>
      </c>
      <c r="N67" s="98">
        <f t="shared" si="8"/>
        <v>-15435132.383000001</v>
      </c>
      <c r="O67" s="98">
        <f t="shared" si="10"/>
        <v>-13780609.948583335</v>
      </c>
      <c r="P67" s="714">
        <f t="shared" si="9"/>
        <v>114588864.27141659</v>
      </c>
      <c r="Q67" s="94"/>
      <c r="R67" s="95"/>
      <c r="S67" s="96"/>
    </row>
    <row r="68" spans="1:21" ht="14.25" customHeight="1" outlineLevel="1">
      <c r="A68" s="706"/>
      <c r="B68" s="108">
        <v>40543</v>
      </c>
      <c r="C68" s="65"/>
      <c r="D68" s="134">
        <v>787307.69</v>
      </c>
      <c r="E68" s="712">
        <f t="shared" si="3"/>
        <v>44888234.890000001</v>
      </c>
      <c r="F68" s="713">
        <f t="shared" si="4"/>
        <v>133888234.88999988</v>
      </c>
      <c r="G68" s="98">
        <f t="shared" si="5"/>
        <v>129160109.9024999</v>
      </c>
      <c r="H68" s="83"/>
      <c r="I68" s="87"/>
      <c r="J68" s="98"/>
      <c r="K68" s="98">
        <f t="shared" si="0"/>
        <v>129160109.9024999</v>
      </c>
      <c r="L68" s="1189">
        <f t="shared" si="2"/>
        <v>133888234.88999988</v>
      </c>
      <c r="M68" s="400">
        <f t="shared" si="11"/>
        <v>-275557.69149999996</v>
      </c>
      <c r="N68" s="98">
        <f t="shared" si="8"/>
        <v>-15710690.074500002</v>
      </c>
      <c r="O68" s="98">
        <f t="shared" si="10"/>
        <v>-14057184.467645837</v>
      </c>
      <c r="P68" s="714">
        <f t="shared" si="9"/>
        <v>115102925.43485406</v>
      </c>
      <c r="Q68" s="94"/>
      <c r="R68" s="95">
        <f>F68+I68+N68</f>
        <v>118177544.81549987</v>
      </c>
      <c r="S68" s="96"/>
    </row>
    <row r="69" spans="1:21" ht="14.25" customHeight="1" outlineLevel="1">
      <c r="A69" s="706"/>
      <c r="B69" s="108">
        <v>40574</v>
      </c>
      <c r="C69" s="65"/>
      <c r="D69" s="134">
        <v>787307.69</v>
      </c>
      <c r="E69" s="712">
        <f t="shared" si="3"/>
        <v>45675542.579999998</v>
      </c>
      <c r="F69" s="713">
        <f t="shared" si="4"/>
        <v>134675542.57999989</v>
      </c>
      <c r="G69" s="98">
        <f t="shared" si="5"/>
        <v>129949794.72999988</v>
      </c>
      <c r="H69" s="83"/>
      <c r="I69" s="87"/>
      <c r="J69" s="98"/>
      <c r="K69" s="98">
        <f t="shared" si="0"/>
        <v>129949794.72999988</v>
      </c>
      <c r="L69" s="1189">
        <f t="shared" si="2"/>
        <v>134675542.57999989</v>
      </c>
      <c r="M69" s="400">
        <f>-D69*0.35</f>
        <v>-275557.69149999996</v>
      </c>
      <c r="N69" s="98">
        <f t="shared" si="8"/>
        <v>-15986247.766000003</v>
      </c>
      <c r="O69" s="98">
        <f t="shared" si="10"/>
        <v>-14333555.461000001</v>
      </c>
      <c r="P69" s="714">
        <f t="shared" si="9"/>
        <v>115616239.26899989</v>
      </c>
      <c r="Q69" s="94"/>
      <c r="R69" s="95">
        <f t="shared" ref="R69:R78" si="12">F69+I69+N69</f>
        <v>118689294.81399989</v>
      </c>
      <c r="S69" s="96"/>
    </row>
    <row r="70" spans="1:21" ht="14.25" customHeight="1" outlineLevel="1">
      <c r="A70" s="706"/>
      <c r="B70" s="108">
        <v>40602</v>
      </c>
      <c r="C70" s="65"/>
      <c r="D70" s="134">
        <v>787307.69</v>
      </c>
      <c r="E70" s="712">
        <f t="shared" si="3"/>
        <v>46462850.269999996</v>
      </c>
      <c r="F70" s="713">
        <f t="shared" si="4"/>
        <v>135462850.26999989</v>
      </c>
      <c r="G70" s="98">
        <f t="shared" si="5"/>
        <v>130738528.70249991</v>
      </c>
      <c r="H70" s="83"/>
      <c r="I70" s="87"/>
      <c r="J70" s="98"/>
      <c r="K70" s="98">
        <f t="shared" si="0"/>
        <v>130738528.70249991</v>
      </c>
      <c r="L70" s="1189">
        <f t="shared" si="2"/>
        <v>135462850.26999989</v>
      </c>
      <c r="M70" s="400">
        <f t="shared" si="11"/>
        <v>-275557.69149999996</v>
      </c>
      <c r="N70" s="98">
        <f t="shared" si="8"/>
        <v>-16261805.457500003</v>
      </c>
      <c r="O70" s="98">
        <f t="shared" si="10"/>
        <v>-14609556.261979168</v>
      </c>
      <c r="P70" s="714">
        <f t="shared" si="9"/>
        <v>116128972.44052075</v>
      </c>
      <c r="Q70" s="94"/>
      <c r="R70" s="95">
        <f t="shared" si="12"/>
        <v>119201044.81249988</v>
      </c>
      <c r="S70" s="96"/>
    </row>
    <row r="71" spans="1:21" ht="14.25" customHeight="1" outlineLevel="1">
      <c r="A71" s="706"/>
      <c r="B71" s="108">
        <v>40633</v>
      </c>
      <c r="C71" s="65"/>
      <c r="D71" s="134">
        <v>787307.69</v>
      </c>
      <c r="E71" s="712">
        <f t="shared" si="3"/>
        <v>47250157.959999993</v>
      </c>
      <c r="F71" s="713">
        <f t="shared" si="4"/>
        <v>136250157.95999989</v>
      </c>
      <c r="G71" s="98">
        <f t="shared" si="5"/>
        <v>131526311.81999992</v>
      </c>
      <c r="H71" s="83"/>
      <c r="I71" s="87"/>
      <c r="J71" s="98"/>
      <c r="K71" s="98">
        <f t="shared" si="0"/>
        <v>131526311.81999992</v>
      </c>
      <c r="L71" s="1189">
        <f t="shared" si="2"/>
        <v>136250157.95999989</v>
      </c>
      <c r="M71" s="400">
        <f t="shared" si="11"/>
        <v>-275557.69149999996</v>
      </c>
      <c r="N71" s="98">
        <f t="shared" si="8"/>
        <v>-16537363.149000004</v>
      </c>
      <c r="O71" s="98">
        <f t="shared" si="10"/>
        <v>-14885186.870583335</v>
      </c>
      <c r="P71" s="714">
        <f t="shared" si="9"/>
        <v>116641124.94941658</v>
      </c>
      <c r="Q71" s="94"/>
      <c r="R71" s="95">
        <f t="shared" si="12"/>
        <v>119712794.81099989</v>
      </c>
      <c r="S71" s="96"/>
    </row>
    <row r="72" spans="1:21" ht="14.25" customHeight="1" outlineLevel="1">
      <c r="A72" s="706"/>
      <c r="B72" s="108">
        <v>40663</v>
      </c>
      <c r="C72" s="65"/>
      <c r="D72" s="134">
        <v>787307.69</v>
      </c>
      <c r="E72" s="712">
        <f t="shared" si="3"/>
        <v>48037465.649999991</v>
      </c>
      <c r="F72" s="713">
        <f t="shared" si="4"/>
        <v>137037465.64999989</v>
      </c>
      <c r="G72" s="98">
        <f t="shared" si="5"/>
        <v>132313619.50999989</v>
      </c>
      <c r="H72" s="83"/>
      <c r="I72" s="87"/>
      <c r="J72" s="98"/>
      <c r="K72" s="98">
        <f t="shared" si="0"/>
        <v>132313619.50999989</v>
      </c>
      <c r="L72" s="1189">
        <f t="shared" si="2"/>
        <v>137037465.64999989</v>
      </c>
      <c r="M72" s="400">
        <f t="shared" si="11"/>
        <v>-275557.69149999996</v>
      </c>
      <c r="N72" s="98">
        <f t="shared" si="8"/>
        <v>-16812920.840500005</v>
      </c>
      <c r="O72" s="98">
        <f t="shared" si="10"/>
        <v>-15160613.953479171</v>
      </c>
      <c r="P72" s="714">
        <f t="shared" si="9"/>
        <v>117153005.55652072</v>
      </c>
      <c r="Q72" s="94"/>
      <c r="R72" s="95">
        <f t="shared" si="12"/>
        <v>120224544.80949989</v>
      </c>
      <c r="S72" s="96"/>
    </row>
    <row r="73" spans="1:21" outlineLevel="1">
      <c r="A73" s="706"/>
      <c r="B73" s="108">
        <v>40694</v>
      </c>
      <c r="C73" s="108"/>
      <c r="D73" s="134">
        <v>787307.69</v>
      </c>
      <c r="E73" s="712">
        <f t="shared" si="3"/>
        <v>48824773.339999989</v>
      </c>
      <c r="F73" s="713">
        <f t="shared" si="4"/>
        <v>137824773.33999988</v>
      </c>
      <c r="G73" s="98">
        <f t="shared" si="5"/>
        <v>133100927.19999988</v>
      </c>
      <c r="H73" s="104"/>
      <c r="I73" s="93"/>
      <c r="J73" s="98"/>
      <c r="K73" s="98">
        <f t="shared" si="0"/>
        <v>133100927.19999988</v>
      </c>
      <c r="L73" s="1189">
        <f t="shared" si="2"/>
        <v>137824773.33999988</v>
      </c>
      <c r="M73" s="400">
        <f t="shared" si="11"/>
        <v>-275557.69149999996</v>
      </c>
      <c r="N73" s="98">
        <f>N72+M73</f>
        <v>-17088478.532000005</v>
      </c>
      <c r="O73" s="98">
        <f t="shared" si="10"/>
        <v>-15436004.177333338</v>
      </c>
      <c r="P73" s="714">
        <f t="shared" si="9"/>
        <v>117664923.02266654</v>
      </c>
      <c r="Q73" s="94"/>
      <c r="R73" s="95">
        <f t="shared" si="12"/>
        <v>120736294.80799988</v>
      </c>
      <c r="S73" s="101"/>
    </row>
    <row r="74" spans="1:21" outlineLevel="1">
      <c r="A74" s="706"/>
      <c r="B74" s="108">
        <v>40724</v>
      </c>
      <c r="C74" s="108"/>
      <c r="D74" s="134">
        <v>787307.69</v>
      </c>
      <c r="E74" s="712">
        <f t="shared" si="3"/>
        <v>49612081.029999986</v>
      </c>
      <c r="F74" s="713">
        <f t="shared" si="4"/>
        <v>138612081.02999988</v>
      </c>
      <c r="G74" s="98">
        <f t="shared" si="5"/>
        <v>133888234.88999988</v>
      </c>
      <c r="H74" s="364"/>
      <c r="I74" s="98"/>
      <c r="J74" s="98"/>
      <c r="K74" s="98">
        <f t="shared" si="0"/>
        <v>133888234.88999988</v>
      </c>
      <c r="L74" s="1189">
        <f t="shared" si="2"/>
        <v>138612081.02999988</v>
      </c>
      <c r="M74" s="400">
        <f>-D74*0.35</f>
        <v>-275557.69149999996</v>
      </c>
      <c r="N74" s="98">
        <f>N73+M74</f>
        <v>-17364036.223500006</v>
      </c>
      <c r="O74" s="98">
        <f t="shared" si="10"/>
        <v>-15711357.542145833</v>
      </c>
      <c r="P74" s="714">
        <f t="shared" si="9"/>
        <v>118176877.34785405</v>
      </c>
      <c r="Q74" s="94"/>
      <c r="R74" s="95">
        <f t="shared" si="12"/>
        <v>121248044.80649987</v>
      </c>
      <c r="S74" s="101"/>
    </row>
    <row r="75" spans="1:21" outlineLevel="1">
      <c r="A75" s="706"/>
      <c r="B75" s="108">
        <v>40755</v>
      </c>
      <c r="C75" s="108"/>
      <c r="D75" s="134">
        <v>787307.69</v>
      </c>
      <c r="E75" s="712">
        <f t="shared" si="3"/>
        <v>50399388.719999984</v>
      </c>
      <c r="F75" s="713">
        <f t="shared" si="4"/>
        <v>139399388.71999988</v>
      </c>
      <c r="G75" s="98">
        <f t="shared" si="5"/>
        <v>134675542.57999989</v>
      </c>
      <c r="H75" s="364"/>
      <c r="I75" s="98"/>
      <c r="J75" s="98"/>
      <c r="K75" s="98">
        <f t="shared" si="0"/>
        <v>134675542.57999989</v>
      </c>
      <c r="L75" s="1189">
        <f t="shared" si="2"/>
        <v>139399388.71999988</v>
      </c>
      <c r="M75" s="400">
        <f>-D75*0.35</f>
        <v>-275557.69149999996</v>
      </c>
      <c r="N75" s="98">
        <f t="shared" si="8"/>
        <v>-17639593.915000007</v>
      </c>
      <c r="O75" s="98">
        <f t="shared" si="10"/>
        <v>-15986674.047916671</v>
      </c>
      <c r="P75" s="714">
        <f t="shared" si="9"/>
        <v>118688868.53208323</v>
      </c>
      <c r="Q75" s="94"/>
      <c r="R75" s="95">
        <f t="shared" si="12"/>
        <v>121759794.80499987</v>
      </c>
      <c r="S75" s="101"/>
      <c r="U75" s="726"/>
    </row>
    <row r="76" spans="1:21" outlineLevel="1">
      <c r="A76" s="706"/>
      <c r="B76" s="108">
        <v>40786</v>
      </c>
      <c r="C76" s="108"/>
      <c r="D76" s="134">
        <v>787307.69</v>
      </c>
      <c r="E76" s="712">
        <f t="shared" si="3"/>
        <v>51186696.409999982</v>
      </c>
      <c r="F76" s="713">
        <f t="shared" si="4"/>
        <v>140186696.40999988</v>
      </c>
      <c r="G76" s="98">
        <f t="shared" si="5"/>
        <v>135462850.26999989</v>
      </c>
      <c r="H76" s="364"/>
      <c r="I76" s="98"/>
      <c r="J76" s="98"/>
      <c r="K76" s="98">
        <f t="shared" ref="K76:K78" si="13">G76+J76</f>
        <v>135462850.26999989</v>
      </c>
      <c r="L76" s="1189">
        <f t="shared" si="2"/>
        <v>140186696.40999988</v>
      </c>
      <c r="M76" s="400">
        <f>-D76*0.35</f>
        <v>-275557.69149999996</v>
      </c>
      <c r="N76" s="98">
        <f t="shared" si="8"/>
        <v>-17915151.606500007</v>
      </c>
      <c r="O76" s="98">
        <f t="shared" si="10"/>
        <v>-16261953.694645837</v>
      </c>
      <c r="P76" s="714">
        <f t="shared" si="9"/>
        <v>119200896.57535405</v>
      </c>
      <c r="Q76" s="94"/>
      <c r="R76" s="95">
        <f>F76+I76+N76</f>
        <v>122271544.80349988</v>
      </c>
      <c r="S76" s="101"/>
      <c r="U76" s="152"/>
    </row>
    <row r="77" spans="1:21" s="65" customFormat="1" outlineLevel="1">
      <c r="A77" s="706"/>
      <c r="B77" s="108">
        <v>40816</v>
      </c>
      <c r="C77" s="715"/>
      <c r="D77" s="134">
        <v>787307.69</v>
      </c>
      <c r="E77" s="712">
        <f t="shared" si="3"/>
        <v>51974004.099999979</v>
      </c>
      <c r="F77" s="713">
        <f t="shared" si="4"/>
        <v>140974004.09999987</v>
      </c>
      <c r="G77" s="98">
        <f t="shared" si="5"/>
        <v>136250157.95999989</v>
      </c>
      <c r="H77" s="364"/>
      <c r="I77" s="98"/>
      <c r="J77" s="98"/>
      <c r="K77" s="98">
        <f t="shared" si="13"/>
        <v>136250157.95999989</v>
      </c>
      <c r="L77" s="1189">
        <f t="shared" ref="L77:L140" si="14">F77+I77</f>
        <v>140974004.09999987</v>
      </c>
      <c r="M77" s="400">
        <f>-D77*0.35</f>
        <v>-275557.69149999996</v>
      </c>
      <c r="N77" s="98">
        <f t="shared" si="8"/>
        <v>-18190709.298000008</v>
      </c>
      <c r="O77" s="98">
        <f t="shared" si="10"/>
        <v>-16537363.149000004</v>
      </c>
      <c r="P77" s="714">
        <f t="shared" si="9"/>
        <v>119712794.81099989</v>
      </c>
      <c r="Q77" s="94"/>
      <c r="R77" s="95">
        <f t="shared" si="12"/>
        <v>122783294.80199987</v>
      </c>
      <c r="S77" s="101"/>
    </row>
    <row r="78" spans="1:21" s="65" customFormat="1" outlineLevel="1">
      <c r="A78" s="706"/>
      <c r="B78" s="108">
        <v>40847</v>
      </c>
      <c r="C78" s="108"/>
      <c r="D78" s="134">
        <v>787307.69</v>
      </c>
      <c r="E78" s="712">
        <f t="shared" ref="E78:E141" si="15">D78+E77</f>
        <v>52761311.789999977</v>
      </c>
      <c r="F78" s="713">
        <f>F77+D78</f>
        <v>141761311.78999987</v>
      </c>
      <c r="G78" s="98">
        <f>(F66+F78+SUM(F67:F77)*2)/24</f>
        <v>137037465.64999989</v>
      </c>
      <c r="H78" s="364"/>
      <c r="I78" s="98"/>
      <c r="J78" s="98"/>
      <c r="K78" s="98">
        <f t="shared" si="13"/>
        <v>137037465.64999989</v>
      </c>
      <c r="L78" s="1189">
        <f t="shared" si="14"/>
        <v>141761311.78999987</v>
      </c>
      <c r="M78" s="400">
        <f>-D78*0.35</f>
        <v>-275557.69149999996</v>
      </c>
      <c r="N78" s="98">
        <f t="shared" si="8"/>
        <v>-18466266.989500009</v>
      </c>
      <c r="O78" s="98">
        <f t="shared" si="10"/>
        <v>-16812920.840500001</v>
      </c>
      <c r="P78" s="714">
        <f t="shared" si="9"/>
        <v>120224544.80949989</v>
      </c>
      <c r="Q78" s="94"/>
      <c r="R78" s="95">
        <f t="shared" si="12"/>
        <v>123295044.80049986</v>
      </c>
      <c r="S78" s="559">
        <f>E78</f>
        <v>52761311.789999977</v>
      </c>
      <c r="U78" s="726"/>
    </row>
    <row r="79" spans="1:21" s="66" customFormat="1" outlineLevel="1">
      <c r="A79" s="716"/>
      <c r="B79" s="717">
        <v>40877</v>
      </c>
      <c r="C79" s="717"/>
      <c r="D79" s="134"/>
      <c r="E79" s="712">
        <f t="shared" si="15"/>
        <v>52761311.789999977</v>
      </c>
      <c r="F79" s="713">
        <f t="shared" ref="F79:F141" si="16">F78+D79</f>
        <v>141761311.78999987</v>
      </c>
      <c r="G79" s="98">
        <f t="shared" si="5"/>
        <v>137791968.85291657</v>
      </c>
      <c r="H79" s="98">
        <f t="shared" ref="H79:H86" si="17">F78/240</f>
        <v>590672.13245833281</v>
      </c>
      <c r="I79" s="98">
        <f>I78-H79</f>
        <v>-590672.13245833281</v>
      </c>
      <c r="J79" s="98">
        <f>($I$67+$I$79+SUM(I68:I78)*2)/24</f>
        <v>-24611.338852430534</v>
      </c>
      <c r="K79" s="98">
        <f t="shared" ref="K79:K84" si="18">G79+J79</f>
        <v>137767357.51406413</v>
      </c>
      <c r="L79" s="1189">
        <f>F79+I79</f>
        <v>141170639.65754154</v>
      </c>
      <c r="M79" s="400">
        <f>(E79/240*0.35)</f>
        <v>76943.579693749954</v>
      </c>
      <c r="N79" s="98">
        <f>N78+M79</f>
        <v>-18389323.409806259</v>
      </c>
      <c r="O79" s="98">
        <f>(N67+N79+SUM(N68:N78)*2)/24</f>
        <v>-17073790.979033601</v>
      </c>
      <c r="P79" s="714">
        <f t="shared" ref="P79:P84" si="19">O79+K79</f>
        <v>120693566.53503053</v>
      </c>
      <c r="Q79" s="94"/>
      <c r="R79" s="95">
        <f>F79+I79+N79</f>
        <v>122781316.24773529</v>
      </c>
      <c r="S79" s="559">
        <f>$E$79-(SUM($H$79:H79)*$U$75)</f>
        <v>52761311.789999977</v>
      </c>
      <c r="U79" s="726"/>
    </row>
    <row r="80" spans="1:21" s="65" customFormat="1" outlineLevel="1">
      <c r="A80" s="706"/>
      <c r="B80" s="108">
        <v>40908</v>
      </c>
      <c r="C80" s="108"/>
      <c r="D80" s="134"/>
      <c r="E80" s="712">
        <f>D80+E79</f>
        <v>52761311.789999977</v>
      </c>
      <c r="F80" s="713">
        <f>F79+D80</f>
        <v>141761311.78999987</v>
      </c>
      <c r="G80" s="98">
        <f>(F68+F80+SUM(F69:F79)*2)/24</f>
        <v>138480863.08166656</v>
      </c>
      <c r="H80" s="98">
        <f t="shared" si="17"/>
        <v>590672.13245833281</v>
      </c>
      <c r="I80" s="98">
        <f>I79-H80</f>
        <v>-1181344.2649166656</v>
      </c>
      <c r="J80" s="98">
        <f>(I68+I80+SUM(I69:I79)*2)/24</f>
        <v>-98445.355409722135</v>
      </c>
      <c r="K80" s="98">
        <f t="shared" si="18"/>
        <v>138382417.72625685</v>
      </c>
      <c r="L80" s="1189">
        <f t="shared" si="14"/>
        <v>140579967.52508321</v>
      </c>
      <c r="M80" s="400">
        <f>(E80/240*0.35)</f>
        <v>76943.579693749954</v>
      </c>
      <c r="N80" s="98">
        <f>N79+M80</f>
        <v>-18312379.830112509</v>
      </c>
      <c r="O80" s="98">
        <f>(N68+N80+SUM(N69:N79)*2)/24</f>
        <v>-17305286.01163438</v>
      </c>
      <c r="P80" s="714">
        <f>O80+K80</f>
        <v>121077131.71462247</v>
      </c>
      <c r="Q80" s="94"/>
      <c r="R80" s="95">
        <f>F80+I80+N80</f>
        <v>122267587.6949707</v>
      </c>
      <c r="S80" s="559">
        <f>$E$79-(SUM($H$79:H80)*$U$75)</f>
        <v>52761311.789999977</v>
      </c>
      <c r="T80" s="66"/>
      <c r="U80" s="726"/>
    </row>
    <row r="81" spans="1:22" s="65" customFormat="1" outlineLevel="1">
      <c r="A81" s="706"/>
      <c r="B81" s="108">
        <v>40939</v>
      </c>
      <c r="C81" s="108"/>
      <c r="D81" s="134"/>
      <c r="E81" s="712">
        <f t="shared" si="15"/>
        <v>52761311.789999977</v>
      </c>
      <c r="F81" s="713">
        <f t="shared" si="16"/>
        <v>141761311.78999987</v>
      </c>
      <c r="G81" s="98">
        <f t="shared" si="5"/>
        <v>139104148.33624992</v>
      </c>
      <c r="H81" s="98">
        <f t="shared" si="17"/>
        <v>590672.13245833281</v>
      </c>
      <c r="I81" s="98">
        <f>I80-H81</f>
        <v>-1772016.3973749983</v>
      </c>
      <c r="J81" s="98">
        <f t="shared" ref="J81:J143" si="20">(I69+I81+SUM(I70:I80)*2)/24</f>
        <v>-221502.04967187476</v>
      </c>
      <c r="K81" s="98">
        <f t="shared" si="18"/>
        <v>138882646.28657803</v>
      </c>
      <c r="L81" s="1189">
        <f t="shared" si="14"/>
        <v>139989295.39262488</v>
      </c>
      <c r="M81" s="400">
        <f t="shared" ref="M81:M143" si="21">(E81/240*0.35)</f>
        <v>76943.579693749954</v>
      </c>
      <c r="N81" s="98">
        <f t="shared" si="8"/>
        <v>-18235436.25041876</v>
      </c>
      <c r="O81" s="98">
        <f t="shared" ref="O81:O86" si="22">(N69+N81+SUM(N70:N80)*2)/24</f>
        <v>-17507405.938302349</v>
      </c>
      <c r="P81" s="714">
        <f t="shared" si="19"/>
        <v>121375240.34827568</v>
      </c>
      <c r="Q81" s="94"/>
      <c r="R81" s="95">
        <f t="shared" ref="R81:R144" si="23">F81+I81+N81</f>
        <v>121753859.14220613</v>
      </c>
      <c r="S81" s="559">
        <f>$E$79-(SUM($H$79:H81)*$U$75)</f>
        <v>52761311.789999977</v>
      </c>
      <c r="T81" s="66"/>
      <c r="U81" s="726"/>
    </row>
    <row r="82" spans="1:22" s="65" customFormat="1" outlineLevel="1">
      <c r="A82" s="706"/>
      <c r="B82" s="108">
        <v>40967</v>
      </c>
      <c r="C82" s="108"/>
      <c r="D82" s="134"/>
      <c r="E82" s="712">
        <f t="shared" si="15"/>
        <v>52761311.789999977</v>
      </c>
      <c r="F82" s="713">
        <f t="shared" si="16"/>
        <v>141761311.78999987</v>
      </c>
      <c r="G82" s="98">
        <f t="shared" si="5"/>
        <v>139661824.61666659</v>
      </c>
      <c r="H82" s="98">
        <f t="shared" si="17"/>
        <v>590672.13245833281</v>
      </c>
      <c r="I82" s="98">
        <f t="shared" ref="I82:I138" si="24">I81-H82</f>
        <v>-2362688.5298333312</v>
      </c>
      <c r="J82" s="98">
        <f t="shared" si="20"/>
        <v>-393781.42163888854</v>
      </c>
      <c r="K82" s="98">
        <f t="shared" si="18"/>
        <v>139268043.19502771</v>
      </c>
      <c r="L82" s="1189">
        <f t="shared" si="14"/>
        <v>139398623.26016656</v>
      </c>
      <c r="M82" s="400">
        <f t="shared" si="21"/>
        <v>76943.579693749954</v>
      </c>
      <c r="N82" s="98">
        <f>N81+M82</f>
        <v>-18158492.67072501</v>
      </c>
      <c r="O82" s="98">
        <f t="shared" si="22"/>
        <v>-17680150.759037506</v>
      </c>
      <c r="P82" s="714">
        <f t="shared" si="19"/>
        <v>121587892.4359902</v>
      </c>
      <c r="Q82" s="94"/>
      <c r="R82" s="95">
        <f t="shared" si="23"/>
        <v>121240130.58944154</v>
      </c>
      <c r="S82" s="559">
        <f>$E$79-(SUM($H$79:H82)*$U$75)</f>
        <v>52761311.789999977</v>
      </c>
      <c r="T82" s="66"/>
      <c r="U82" s="726"/>
    </row>
    <row r="83" spans="1:22" s="65" customFormat="1" ht="12.75" customHeight="1" outlineLevel="1">
      <c r="A83" s="706"/>
      <c r="B83" s="108">
        <v>40999</v>
      </c>
      <c r="C83" s="108"/>
      <c r="D83" s="134"/>
      <c r="E83" s="712">
        <f t="shared" si="15"/>
        <v>52761311.789999977</v>
      </c>
      <c r="F83" s="713">
        <f t="shared" si="16"/>
        <v>141761311.78999987</v>
      </c>
      <c r="G83" s="98">
        <f t="shared" si="5"/>
        <v>140153891.92291656</v>
      </c>
      <c r="H83" s="98">
        <f t="shared" si="17"/>
        <v>590672.13245833281</v>
      </c>
      <c r="I83" s="98">
        <f t="shared" si="24"/>
        <v>-2953360.6622916642</v>
      </c>
      <c r="J83" s="98">
        <f t="shared" si="20"/>
        <v>-615283.47131076327</v>
      </c>
      <c r="K83" s="98">
        <f t="shared" si="18"/>
        <v>139538608.4516058</v>
      </c>
      <c r="L83" s="1189">
        <f t="shared" si="14"/>
        <v>138807951.1277082</v>
      </c>
      <c r="M83" s="400">
        <f t="shared" si="21"/>
        <v>76943.579693749954</v>
      </c>
      <c r="N83" s="98">
        <f>N82+M83</f>
        <v>-18081549.091031261</v>
      </c>
      <c r="O83" s="98">
        <f t="shared" si="22"/>
        <v>-17823520.473839853</v>
      </c>
      <c r="P83" s="714">
        <f t="shared" si="19"/>
        <v>121715087.97776595</v>
      </c>
      <c r="Q83" s="94"/>
      <c r="R83" s="95">
        <f t="shared" si="23"/>
        <v>120726402.03667694</v>
      </c>
      <c r="S83" s="559">
        <f>$E$79-(SUM($H$79:H83)*$U$75)</f>
        <v>52761311.789999977</v>
      </c>
      <c r="T83" s="66"/>
      <c r="U83" s="726"/>
    </row>
    <row r="84" spans="1:22" s="65" customFormat="1" ht="12.75" customHeight="1" outlineLevel="1">
      <c r="A84" s="706"/>
      <c r="B84" s="108">
        <v>41029</v>
      </c>
      <c r="C84" s="108"/>
      <c r="D84" s="134"/>
      <c r="E84" s="712">
        <f t="shared" si="15"/>
        <v>52761311.789999977</v>
      </c>
      <c r="F84" s="713">
        <f t="shared" si="16"/>
        <v>141761311.78999987</v>
      </c>
      <c r="G84" s="98">
        <f t="shared" si="5"/>
        <v>140580350.25499991</v>
      </c>
      <c r="H84" s="98">
        <f t="shared" si="17"/>
        <v>590672.13245833281</v>
      </c>
      <c r="I84" s="98">
        <f t="shared" si="24"/>
        <v>-3544032.7947499971</v>
      </c>
      <c r="J84" s="98">
        <f t="shared" si="20"/>
        <v>-886008.19868749927</v>
      </c>
      <c r="K84" s="98">
        <f t="shared" si="18"/>
        <v>139694342.05631241</v>
      </c>
      <c r="L84" s="1189">
        <f t="shared" si="14"/>
        <v>138217278.99524987</v>
      </c>
      <c r="M84" s="400">
        <f t="shared" si="21"/>
        <v>76943.579693749954</v>
      </c>
      <c r="N84" s="98">
        <f t="shared" si="8"/>
        <v>-18004605.511337511</v>
      </c>
      <c r="O84" s="98">
        <f t="shared" si="22"/>
        <v>-17937515.082709383</v>
      </c>
      <c r="P84" s="714">
        <f t="shared" si="19"/>
        <v>121756826.97360303</v>
      </c>
      <c r="Q84" s="93"/>
      <c r="R84" s="95">
        <f t="shared" si="23"/>
        <v>120212673.48391235</v>
      </c>
      <c r="S84" s="559">
        <f>$E$79-(SUM($H$79:H84)*$U$75)</f>
        <v>52761311.789999977</v>
      </c>
      <c r="T84" s="66"/>
      <c r="U84" s="726"/>
    </row>
    <row r="85" spans="1:22" s="65" customFormat="1" outlineLevel="1">
      <c r="A85" s="706"/>
      <c r="B85" s="717">
        <v>41060</v>
      </c>
      <c r="C85" s="108"/>
      <c r="D85" s="134"/>
      <c r="E85" s="712">
        <f t="shared" si="15"/>
        <v>52761311.789999977</v>
      </c>
      <c r="F85" s="713">
        <f t="shared" si="16"/>
        <v>141761311.78999987</v>
      </c>
      <c r="G85" s="98">
        <f t="shared" si="5"/>
        <v>140941199.61291656</v>
      </c>
      <c r="H85" s="98">
        <f t="shared" si="17"/>
        <v>590672.13245833281</v>
      </c>
      <c r="I85" s="98">
        <f t="shared" si="24"/>
        <v>-4134704.92720833</v>
      </c>
      <c r="J85" s="98">
        <f>(I73+I85+SUM(I74:I84)*2)/24</f>
        <v>-1205955.6037690963</v>
      </c>
      <c r="K85" s="98">
        <f t="shared" ref="K85:K148" si="25">G85+J85</f>
        <v>139735244.00914747</v>
      </c>
      <c r="L85" s="1189">
        <f t="shared" si="14"/>
        <v>137626606.86279154</v>
      </c>
      <c r="M85" s="400">
        <f t="shared" si="21"/>
        <v>76943.579693749954</v>
      </c>
      <c r="N85" s="98">
        <f t="shared" si="8"/>
        <v>-17927661.931643762</v>
      </c>
      <c r="O85" s="98">
        <f t="shared" si="22"/>
        <v>-18022134.585646104</v>
      </c>
      <c r="P85" s="714">
        <f>O85+K85</f>
        <v>121713109.42350136</v>
      </c>
      <c r="Q85" s="93"/>
      <c r="R85" s="95">
        <f t="shared" si="23"/>
        <v>119698944.93114778</v>
      </c>
      <c r="S85" s="559">
        <f>$E$79-(SUM($H$79:H85)*$U$75)</f>
        <v>52761311.789999977</v>
      </c>
      <c r="T85" s="66"/>
      <c r="U85" s="726"/>
    </row>
    <row r="86" spans="1:22" s="65" customFormat="1" outlineLevel="1">
      <c r="A86" s="706"/>
      <c r="B86" s="108">
        <v>41090</v>
      </c>
      <c r="C86" s="108"/>
      <c r="D86" s="134"/>
      <c r="E86" s="712">
        <f t="shared" si="15"/>
        <v>52761311.789999977</v>
      </c>
      <c r="F86" s="713">
        <f t="shared" si="16"/>
        <v>141761311.78999987</v>
      </c>
      <c r="G86" s="98">
        <f t="shared" si="5"/>
        <v>141236439.99666655</v>
      </c>
      <c r="H86" s="364">
        <f t="shared" si="17"/>
        <v>590672.13245833281</v>
      </c>
      <c r="I86" s="98">
        <f t="shared" si="24"/>
        <v>-4725377.0596666625</v>
      </c>
      <c r="J86" s="98">
        <f t="shared" si="20"/>
        <v>-1575125.6865555542</v>
      </c>
      <c r="K86" s="98">
        <f t="shared" si="25"/>
        <v>139661314.31011099</v>
      </c>
      <c r="L86" s="1189">
        <f t="shared" si="14"/>
        <v>137035934.73033321</v>
      </c>
      <c r="M86" s="400">
        <f t="shared" si="21"/>
        <v>76943.579693749954</v>
      </c>
      <c r="N86" s="98">
        <f t="shared" si="8"/>
        <v>-17850718.351950012</v>
      </c>
      <c r="O86" s="98">
        <f t="shared" si="22"/>
        <v>-18077378.982650008</v>
      </c>
      <c r="P86" s="714">
        <f t="shared" ref="P86:P147" si="26">O86+K86</f>
        <v>121583935.32746097</v>
      </c>
      <c r="Q86" s="93"/>
      <c r="R86" s="95">
        <f t="shared" si="23"/>
        <v>119185216.37838319</v>
      </c>
      <c r="S86" s="559">
        <f>$E$79-(SUM($H$79:H86)*$U$75)</f>
        <v>52761311.789999977</v>
      </c>
      <c r="T86" s="66"/>
      <c r="U86" s="726"/>
      <c r="V86" s="104"/>
    </row>
    <row r="87" spans="1:22" s="65" customFormat="1" outlineLevel="1">
      <c r="A87" s="706"/>
      <c r="B87" s="108">
        <v>41121</v>
      </c>
      <c r="C87" s="108"/>
      <c r="D87" s="134"/>
      <c r="E87" s="712">
        <f t="shared" si="15"/>
        <v>52761311.789999977</v>
      </c>
      <c r="F87" s="713">
        <f t="shared" si="16"/>
        <v>141761311.78999987</v>
      </c>
      <c r="G87" s="98">
        <f t="shared" si="5"/>
        <v>141466071.40624988</v>
      </c>
      <c r="H87" s="364">
        <f t="shared" ref="H87:H150" si="27">F86/240</f>
        <v>590672.13245833281</v>
      </c>
      <c r="I87" s="98">
        <f t="shared" si="24"/>
        <v>-5316049.1921249954</v>
      </c>
      <c r="J87" s="98">
        <f t="shared" si="20"/>
        <v>-1993518.4470468732</v>
      </c>
      <c r="K87" s="98">
        <f>G87+J87</f>
        <v>139472552.959203</v>
      </c>
      <c r="L87" s="1189">
        <f t="shared" si="14"/>
        <v>136445262.59787488</v>
      </c>
      <c r="M87" s="400">
        <f t="shared" si="21"/>
        <v>76943.579693749954</v>
      </c>
      <c r="N87" s="98">
        <f t="shared" si="8"/>
        <v>-17773774.772256263</v>
      </c>
      <c r="O87" s="98">
        <f t="shared" ref="O87:O147" si="28">(N75+N87+SUM(N76:N86)*2)/24</f>
        <v>-18103248.273721103</v>
      </c>
      <c r="P87" s="714">
        <f t="shared" si="26"/>
        <v>121369304.68548191</v>
      </c>
      <c r="Q87" s="93"/>
      <c r="R87" s="95">
        <f t="shared" si="23"/>
        <v>118671487.82561862</v>
      </c>
      <c r="S87" s="559">
        <f>$E$79-(SUM($H$79:H87)*$U$75)</f>
        <v>52761311.789999977</v>
      </c>
      <c r="T87" s="66"/>
      <c r="U87" s="726"/>
      <c r="V87" s="104"/>
    </row>
    <row r="88" spans="1:22" s="65" customFormat="1" outlineLevel="1">
      <c r="A88" s="706"/>
      <c r="B88" s="108">
        <v>41152</v>
      </c>
      <c r="C88" s="108"/>
      <c r="D88" s="134"/>
      <c r="E88" s="712">
        <f t="shared" si="15"/>
        <v>52761311.789999977</v>
      </c>
      <c r="F88" s="713">
        <f t="shared" si="16"/>
        <v>141761311.78999987</v>
      </c>
      <c r="G88" s="98">
        <f t="shared" si="5"/>
        <v>141630093.84166655</v>
      </c>
      <c r="H88" s="364">
        <f t="shared" si="27"/>
        <v>590672.13245833281</v>
      </c>
      <c r="I88" s="98">
        <f t="shared" si="24"/>
        <v>-5906721.3245833283</v>
      </c>
      <c r="J88" s="98">
        <f t="shared" si="20"/>
        <v>-2461133.8852430535</v>
      </c>
      <c r="K88" s="98">
        <f t="shared" si="25"/>
        <v>139168959.95642349</v>
      </c>
      <c r="L88" s="1189">
        <f t="shared" si="14"/>
        <v>135854590.46541655</v>
      </c>
      <c r="M88" s="400">
        <f t="shared" si="21"/>
        <v>76943.579693749954</v>
      </c>
      <c r="N88" s="98">
        <f t="shared" si="8"/>
        <v>-17696831.192562513</v>
      </c>
      <c r="O88" s="98">
        <f t="shared" si="28"/>
        <v>-18099742.458859384</v>
      </c>
      <c r="P88" s="714">
        <f t="shared" si="26"/>
        <v>121069217.49756411</v>
      </c>
      <c r="Q88" s="93"/>
      <c r="R88" s="95">
        <f t="shared" si="23"/>
        <v>118157759.27285403</v>
      </c>
      <c r="S88" s="559">
        <f>$E$79-(SUM($H$79:H88)*$U$75)</f>
        <v>52761311.789999977</v>
      </c>
      <c r="T88" s="66"/>
      <c r="U88" s="726"/>
      <c r="V88" s="104"/>
    </row>
    <row r="89" spans="1:22" s="65" customFormat="1" outlineLevel="1">
      <c r="A89" s="706"/>
      <c r="B89" s="108">
        <v>41182</v>
      </c>
      <c r="C89" s="108"/>
      <c r="D89" s="134"/>
      <c r="E89" s="712">
        <f t="shared" si="15"/>
        <v>52761311.789999977</v>
      </c>
      <c r="F89" s="713">
        <f t="shared" si="16"/>
        <v>141761311.78999987</v>
      </c>
      <c r="G89" s="98">
        <f t="shared" ref="G89:G152" si="29">(F77+F89+SUM(F78:F88)*2)/24</f>
        <v>141728507.30291656</v>
      </c>
      <c r="H89" s="364">
        <f t="shared" si="27"/>
        <v>590672.13245833281</v>
      </c>
      <c r="I89" s="98">
        <f t="shared" si="24"/>
        <v>-6497393.4570416613</v>
      </c>
      <c r="J89" s="98">
        <f t="shared" si="20"/>
        <v>-2977972.0011440949</v>
      </c>
      <c r="K89" s="98">
        <f>G89+J89</f>
        <v>138750535.30177248</v>
      </c>
      <c r="L89" s="1189">
        <f t="shared" si="14"/>
        <v>135263918.33295822</v>
      </c>
      <c r="M89" s="400">
        <f t="shared" si="21"/>
        <v>76943.579693749954</v>
      </c>
      <c r="N89" s="98">
        <f t="shared" si="8"/>
        <v>-17619887.612868764</v>
      </c>
      <c r="O89" s="98">
        <f t="shared" si="28"/>
        <v>-18066861.538064856</v>
      </c>
      <c r="P89" s="714">
        <f t="shared" si="26"/>
        <v>120683673.76370762</v>
      </c>
      <c r="Q89" s="93"/>
      <c r="R89" s="95">
        <f t="shared" si="23"/>
        <v>117644030.72008947</v>
      </c>
      <c r="S89" s="559">
        <f>$E$79-(SUM($H$79:H89)*$U$75)</f>
        <v>52761311.789999977</v>
      </c>
      <c r="T89" s="66"/>
      <c r="U89" s="726"/>
      <c r="V89" s="104"/>
    </row>
    <row r="90" spans="1:22" s="65" customFormat="1" outlineLevel="1">
      <c r="A90" s="706"/>
      <c r="B90" s="108">
        <v>41213</v>
      </c>
      <c r="C90" s="108"/>
      <c r="D90" s="134"/>
      <c r="E90" s="712">
        <f t="shared" si="15"/>
        <v>52761311.789999977</v>
      </c>
      <c r="F90" s="713">
        <f t="shared" si="16"/>
        <v>141761311.78999987</v>
      </c>
      <c r="G90" s="98">
        <f t="shared" si="29"/>
        <v>141761311.7899999</v>
      </c>
      <c r="H90" s="364">
        <f t="shared" si="27"/>
        <v>590672.13245833281</v>
      </c>
      <c r="I90" s="98">
        <f t="shared" si="24"/>
        <v>-7088065.5894999942</v>
      </c>
      <c r="J90" s="98">
        <f t="shared" si="20"/>
        <v>-3544032.7947499971</v>
      </c>
      <c r="K90" s="98">
        <f t="shared" si="25"/>
        <v>138217278.9952499</v>
      </c>
      <c r="L90" s="1189">
        <f t="shared" si="14"/>
        <v>134673246.20049989</v>
      </c>
      <c r="M90" s="400">
        <f t="shared" si="21"/>
        <v>76943.579693749954</v>
      </c>
      <c r="N90" s="98">
        <f t="shared" si="8"/>
        <v>-17542944.033175014</v>
      </c>
      <c r="O90" s="98">
        <f t="shared" si="28"/>
        <v>-18004605.511337511</v>
      </c>
      <c r="P90" s="714">
        <f>O90+K90</f>
        <v>120212673.48391238</v>
      </c>
      <c r="Q90" s="93"/>
      <c r="R90" s="95">
        <f t="shared" si="23"/>
        <v>117130302.16732487</v>
      </c>
      <c r="S90" s="559">
        <f>$E$79-(SUM($H$79:H90)*$U$75)</f>
        <v>52761311.789999977</v>
      </c>
      <c r="T90" s="66"/>
      <c r="U90" s="726"/>
      <c r="V90" s="104"/>
    </row>
    <row r="91" spans="1:22" s="65" customFormat="1" outlineLevel="1">
      <c r="A91" s="706"/>
      <c r="B91" s="108">
        <v>41243</v>
      </c>
      <c r="C91" s="108"/>
      <c r="D91" s="134"/>
      <c r="E91" s="712">
        <f t="shared" si="15"/>
        <v>52761311.789999977</v>
      </c>
      <c r="F91" s="713">
        <f t="shared" si="16"/>
        <v>141761311.78999987</v>
      </c>
      <c r="G91" s="98">
        <f t="shared" si="29"/>
        <v>141761311.7899999</v>
      </c>
      <c r="H91" s="364">
        <f t="shared" si="27"/>
        <v>590672.13245833281</v>
      </c>
      <c r="I91" s="98">
        <f t="shared" si="24"/>
        <v>-7678737.7219583271</v>
      </c>
      <c r="J91" s="98">
        <f t="shared" si="20"/>
        <v>-4134704.92720833</v>
      </c>
      <c r="K91" s="98">
        <f t="shared" si="25"/>
        <v>137626606.86279157</v>
      </c>
      <c r="L91" s="1189">
        <f t="shared" si="14"/>
        <v>134082574.06804155</v>
      </c>
      <c r="M91" s="400">
        <f t="shared" si="21"/>
        <v>76943.579693749954</v>
      </c>
      <c r="N91" s="98">
        <f t="shared" si="8"/>
        <v>-17466000.453481264</v>
      </c>
      <c r="O91" s="98">
        <f t="shared" si="28"/>
        <v>-17927661.931643762</v>
      </c>
      <c r="P91" s="714">
        <f t="shared" si="26"/>
        <v>119698944.93114781</v>
      </c>
      <c r="Q91" s="93"/>
      <c r="R91" s="95">
        <f t="shared" si="23"/>
        <v>116616573.61456028</v>
      </c>
      <c r="S91" s="559">
        <f>$E$79-(SUM($H$79:H91)*$U$75)</f>
        <v>52761311.789999977</v>
      </c>
      <c r="T91" s="66"/>
      <c r="U91" s="726"/>
      <c r="V91" s="104"/>
    </row>
    <row r="92" spans="1:22" s="65" customFormat="1" outlineLevel="1">
      <c r="A92" s="706"/>
      <c r="B92" s="108">
        <v>41274</v>
      </c>
      <c r="C92" s="108"/>
      <c r="D92" s="134"/>
      <c r="E92" s="712">
        <f t="shared" si="15"/>
        <v>52761311.789999977</v>
      </c>
      <c r="F92" s="713">
        <f t="shared" si="16"/>
        <v>141761311.78999987</v>
      </c>
      <c r="G92" s="98">
        <f t="shared" si="29"/>
        <v>141761311.7899999</v>
      </c>
      <c r="H92" s="364">
        <f t="shared" si="27"/>
        <v>590672.13245833281</v>
      </c>
      <c r="I92" s="98">
        <f t="shared" si="24"/>
        <v>-8269409.85441666</v>
      </c>
      <c r="J92" s="98">
        <f t="shared" si="20"/>
        <v>-4725377.0596666625</v>
      </c>
      <c r="K92" s="98">
        <f t="shared" si="25"/>
        <v>137035934.73033324</v>
      </c>
      <c r="L92" s="1189">
        <f t="shared" si="14"/>
        <v>133491901.93558322</v>
      </c>
      <c r="M92" s="400">
        <f t="shared" si="21"/>
        <v>76943.579693749954</v>
      </c>
      <c r="N92" s="98">
        <f t="shared" si="8"/>
        <v>-17389056.873787515</v>
      </c>
      <c r="O92" s="98">
        <f t="shared" si="28"/>
        <v>-17850718.351950012</v>
      </c>
      <c r="P92" s="714">
        <f t="shared" si="26"/>
        <v>119185216.37838322</v>
      </c>
      <c r="Q92" s="93"/>
      <c r="R92" s="95">
        <f t="shared" si="23"/>
        <v>116102845.06179571</v>
      </c>
      <c r="S92" s="559">
        <f>$E$79-(SUM($H$79:H92)*$U$75)</f>
        <v>52761311.789999977</v>
      </c>
      <c r="T92" s="66"/>
      <c r="U92" s="726"/>
      <c r="V92" s="104"/>
    </row>
    <row r="93" spans="1:22" outlineLevel="1">
      <c r="A93" s="706"/>
      <c r="B93" s="108">
        <v>41305</v>
      </c>
      <c r="C93" s="108"/>
      <c r="D93" s="134"/>
      <c r="E93" s="712">
        <f t="shared" si="15"/>
        <v>52761311.789999977</v>
      </c>
      <c r="F93" s="713">
        <f t="shared" si="16"/>
        <v>141761311.78999987</v>
      </c>
      <c r="G93" s="98">
        <f t="shared" si="29"/>
        <v>141761311.7899999</v>
      </c>
      <c r="H93" s="364">
        <f t="shared" si="27"/>
        <v>590672.13245833281</v>
      </c>
      <c r="I93" s="98">
        <f t="shared" si="24"/>
        <v>-8860081.986874992</v>
      </c>
      <c r="J93" s="98">
        <f t="shared" si="20"/>
        <v>-5316049.1921249954</v>
      </c>
      <c r="K93" s="98">
        <f t="shared" si="25"/>
        <v>136445262.59787491</v>
      </c>
      <c r="L93" s="1189">
        <f t="shared" si="14"/>
        <v>132901229.80312487</v>
      </c>
      <c r="M93" s="400">
        <f t="shared" si="21"/>
        <v>76943.579693749954</v>
      </c>
      <c r="N93" s="98">
        <f t="shared" si="8"/>
        <v>-17312113.294093765</v>
      </c>
      <c r="O93" s="98">
        <f t="shared" si="28"/>
        <v>-17773774.772256263</v>
      </c>
      <c r="P93" s="714">
        <f t="shared" si="26"/>
        <v>118671487.82561865</v>
      </c>
      <c r="Q93" s="93"/>
      <c r="R93" s="95">
        <f t="shared" si="23"/>
        <v>115589116.50903112</v>
      </c>
      <c r="S93" s="559">
        <f>$E$79-(SUM($H$79:H93)*$U$75)</f>
        <v>52761311.789999977</v>
      </c>
      <c r="T93" s="66"/>
      <c r="U93" s="726"/>
      <c r="V93" s="104"/>
    </row>
    <row r="94" spans="1:22" outlineLevel="1">
      <c r="A94" s="706"/>
      <c r="B94" s="108">
        <v>41333</v>
      </c>
      <c r="C94" s="108"/>
      <c r="D94" s="134"/>
      <c r="E94" s="712">
        <f t="shared" si="15"/>
        <v>52761311.789999977</v>
      </c>
      <c r="F94" s="713">
        <f t="shared" si="16"/>
        <v>141761311.78999987</v>
      </c>
      <c r="G94" s="98">
        <f t="shared" si="29"/>
        <v>141761311.7899999</v>
      </c>
      <c r="H94" s="364">
        <f t="shared" si="27"/>
        <v>590672.13245833281</v>
      </c>
      <c r="I94" s="98">
        <f t="shared" si="24"/>
        <v>-9450754.119333325</v>
      </c>
      <c r="J94" s="98">
        <f t="shared" si="20"/>
        <v>-5906721.3245833283</v>
      </c>
      <c r="K94" s="98">
        <f t="shared" si="25"/>
        <v>135854590.46541658</v>
      </c>
      <c r="L94" s="1189">
        <f t="shared" si="14"/>
        <v>132310557.67066655</v>
      </c>
      <c r="M94" s="400">
        <f t="shared" si="21"/>
        <v>76943.579693749954</v>
      </c>
      <c r="N94" s="98">
        <f t="shared" si="8"/>
        <v>-17235169.714400016</v>
      </c>
      <c r="O94" s="98">
        <f t="shared" si="28"/>
        <v>-17696831.192562513</v>
      </c>
      <c r="P94" s="714">
        <f t="shared" si="26"/>
        <v>118157759.27285406</v>
      </c>
      <c r="Q94" s="93"/>
      <c r="R94" s="95">
        <f t="shared" si="23"/>
        <v>115075387.95626652</v>
      </c>
      <c r="S94" s="559">
        <f>$E$79-(SUM($H$79:H94)*$U$75)</f>
        <v>52761311.789999977</v>
      </c>
      <c r="T94" s="66"/>
      <c r="U94" s="726"/>
      <c r="V94" s="104"/>
    </row>
    <row r="95" spans="1:22" outlineLevel="1">
      <c r="A95" s="706"/>
      <c r="B95" s="108">
        <v>41364</v>
      </c>
      <c r="C95" s="108"/>
      <c r="D95" s="134"/>
      <c r="E95" s="712">
        <f t="shared" si="15"/>
        <v>52761311.789999977</v>
      </c>
      <c r="F95" s="713">
        <f t="shared" si="16"/>
        <v>141761311.78999987</v>
      </c>
      <c r="G95" s="98">
        <f t="shared" si="29"/>
        <v>141761311.7899999</v>
      </c>
      <c r="H95" s="364">
        <f t="shared" si="27"/>
        <v>590672.13245833281</v>
      </c>
      <c r="I95" s="98">
        <f t="shared" si="24"/>
        <v>-10041426.251791658</v>
      </c>
      <c r="J95" s="98">
        <f t="shared" si="20"/>
        <v>-6497393.4570416613</v>
      </c>
      <c r="K95" s="98">
        <f t="shared" si="25"/>
        <v>135263918.33295825</v>
      </c>
      <c r="L95" s="1189">
        <f t="shared" si="14"/>
        <v>131719885.53820822</v>
      </c>
      <c r="M95" s="400">
        <f t="shared" si="21"/>
        <v>76943.579693749954</v>
      </c>
      <c r="N95" s="98">
        <f t="shared" si="8"/>
        <v>-17158226.134706266</v>
      </c>
      <c r="O95" s="98">
        <f t="shared" si="28"/>
        <v>-17619887.612868764</v>
      </c>
      <c r="P95" s="714">
        <f t="shared" si="26"/>
        <v>117644030.7200895</v>
      </c>
      <c r="Q95" s="93"/>
      <c r="R95" s="95">
        <f t="shared" si="23"/>
        <v>114561659.40350196</v>
      </c>
      <c r="S95" s="559">
        <f>$E$79-(SUM($H$79:H95)*$U$75)</f>
        <v>52761311.789999977</v>
      </c>
      <c r="T95" s="66"/>
      <c r="U95" s="726"/>
      <c r="V95" s="104"/>
    </row>
    <row r="96" spans="1:22" ht="12.75" customHeight="1" outlineLevel="1">
      <c r="A96" s="706"/>
      <c r="B96" s="108">
        <v>41394</v>
      </c>
      <c r="C96" s="108"/>
      <c r="D96" s="134"/>
      <c r="E96" s="712">
        <f t="shared" si="15"/>
        <v>52761311.789999977</v>
      </c>
      <c r="F96" s="713">
        <f t="shared" si="16"/>
        <v>141761311.78999987</v>
      </c>
      <c r="G96" s="98">
        <f t="shared" si="29"/>
        <v>141761311.7899999</v>
      </c>
      <c r="H96" s="364">
        <f t="shared" si="27"/>
        <v>590672.13245833281</v>
      </c>
      <c r="I96" s="98">
        <f t="shared" si="24"/>
        <v>-10632098.384249991</v>
      </c>
      <c r="J96" s="98">
        <f t="shared" si="20"/>
        <v>-7088065.5894999942</v>
      </c>
      <c r="K96" s="98">
        <f t="shared" si="25"/>
        <v>134673246.20049992</v>
      </c>
      <c r="L96" s="1189">
        <f t="shared" si="14"/>
        <v>131129213.40574989</v>
      </c>
      <c r="M96" s="400">
        <f t="shared" si="21"/>
        <v>76943.579693749954</v>
      </c>
      <c r="N96" s="98">
        <f t="shared" si="8"/>
        <v>-17081282.555012517</v>
      </c>
      <c r="O96" s="98">
        <f t="shared" si="28"/>
        <v>-17542944.033175014</v>
      </c>
      <c r="P96" s="714">
        <f t="shared" si="26"/>
        <v>117130302.1673249</v>
      </c>
      <c r="Q96" s="93"/>
      <c r="R96" s="95">
        <f t="shared" si="23"/>
        <v>114047930.85073736</v>
      </c>
      <c r="S96" s="559">
        <f>$E$79-(SUM($H$79:H96)*$U$75)</f>
        <v>52761311.789999977</v>
      </c>
      <c r="T96" s="66"/>
      <c r="U96" s="726"/>
      <c r="V96" s="104"/>
    </row>
    <row r="97" spans="1:31" outlineLevel="1">
      <c r="A97" s="706"/>
      <c r="B97" s="108">
        <v>41425</v>
      </c>
      <c r="C97" s="108"/>
      <c r="D97" s="134"/>
      <c r="E97" s="712">
        <f t="shared" si="15"/>
        <v>52761311.789999977</v>
      </c>
      <c r="F97" s="713">
        <f t="shared" si="16"/>
        <v>141761311.78999987</v>
      </c>
      <c r="G97" s="98">
        <f t="shared" si="29"/>
        <v>141761311.7899999</v>
      </c>
      <c r="H97" s="364">
        <f t="shared" si="27"/>
        <v>590672.13245833281</v>
      </c>
      <c r="I97" s="98">
        <f t="shared" si="24"/>
        <v>-11222770.516708324</v>
      </c>
      <c r="J97" s="98">
        <f t="shared" si="20"/>
        <v>-7678737.7219583271</v>
      </c>
      <c r="K97" s="98">
        <f t="shared" si="25"/>
        <v>134082574.06804158</v>
      </c>
      <c r="L97" s="1189">
        <f t="shared" si="14"/>
        <v>130538541.27329154</v>
      </c>
      <c r="M97" s="400">
        <f t="shared" si="21"/>
        <v>76943.579693749954</v>
      </c>
      <c r="N97" s="98">
        <f t="shared" si="8"/>
        <v>-17004338.975318767</v>
      </c>
      <c r="O97" s="98">
        <f t="shared" si="28"/>
        <v>-17466000.453481264</v>
      </c>
      <c r="P97" s="714">
        <f t="shared" si="26"/>
        <v>116616573.61456031</v>
      </c>
      <c r="Q97" s="93"/>
      <c r="R97" s="95">
        <f t="shared" si="23"/>
        <v>113534202.29797277</v>
      </c>
      <c r="S97" s="559">
        <f>$E$79-(SUM($H$79:H97)*$U$75)</f>
        <v>52761311.789999977</v>
      </c>
      <c r="T97" s="66"/>
      <c r="U97" s="726"/>
      <c r="V97" s="104"/>
    </row>
    <row r="98" spans="1:31" outlineLevel="1">
      <c r="A98" s="706"/>
      <c r="B98" s="108">
        <v>41455</v>
      </c>
      <c r="C98" s="108"/>
      <c r="D98" s="134"/>
      <c r="E98" s="712">
        <f t="shared" si="15"/>
        <v>52761311.789999977</v>
      </c>
      <c r="F98" s="713">
        <f t="shared" si="16"/>
        <v>141761311.78999987</v>
      </c>
      <c r="G98" s="98">
        <f t="shared" si="29"/>
        <v>141761311.7899999</v>
      </c>
      <c r="H98" s="364">
        <f t="shared" si="27"/>
        <v>590672.13245833281</v>
      </c>
      <c r="I98" s="98">
        <f t="shared" si="24"/>
        <v>-11813442.649166657</v>
      </c>
      <c r="J98" s="98">
        <f t="shared" si="20"/>
        <v>-8269409.85441666</v>
      </c>
      <c r="K98" s="98">
        <f t="shared" si="25"/>
        <v>133491901.93558325</v>
      </c>
      <c r="L98" s="1189">
        <f t="shared" si="14"/>
        <v>129947869.14083321</v>
      </c>
      <c r="M98" s="400">
        <f t="shared" si="21"/>
        <v>76943.579693749954</v>
      </c>
      <c r="N98" s="98">
        <f t="shared" si="8"/>
        <v>-16927395.395625018</v>
      </c>
      <c r="O98" s="98">
        <f t="shared" si="28"/>
        <v>-17389056.873787515</v>
      </c>
      <c r="P98" s="714">
        <f t="shared" si="26"/>
        <v>116102845.06179574</v>
      </c>
      <c r="Q98" s="93"/>
      <c r="R98" s="95">
        <f t="shared" si="23"/>
        <v>113020473.7452082</v>
      </c>
      <c r="S98" s="559">
        <f>$E$79-(SUM($H$79:H98)*$U$75)</f>
        <v>52761311.789999977</v>
      </c>
      <c r="T98" s="66"/>
      <c r="U98" s="726"/>
      <c r="V98" s="104"/>
    </row>
    <row r="99" spans="1:31" s="64" customFormat="1" outlineLevel="1">
      <c r="A99" s="716"/>
      <c r="B99" s="108">
        <v>41486</v>
      </c>
      <c r="C99" s="717"/>
      <c r="D99" s="134"/>
      <c r="E99" s="712">
        <f t="shared" si="15"/>
        <v>52761311.789999977</v>
      </c>
      <c r="F99" s="713">
        <f t="shared" si="16"/>
        <v>141761311.78999987</v>
      </c>
      <c r="G99" s="98">
        <f t="shared" si="29"/>
        <v>141761311.7899999</v>
      </c>
      <c r="H99" s="364">
        <f t="shared" si="27"/>
        <v>590672.13245833281</v>
      </c>
      <c r="I99" s="98">
        <f t="shared" si="24"/>
        <v>-12404114.78162499</v>
      </c>
      <c r="J99" s="98">
        <f t="shared" si="20"/>
        <v>-8860081.986874992</v>
      </c>
      <c r="K99" s="98">
        <f t="shared" si="25"/>
        <v>132901229.8031249</v>
      </c>
      <c r="L99" s="1189">
        <f t="shared" si="14"/>
        <v>129357197.00837488</v>
      </c>
      <c r="M99" s="400">
        <f t="shared" si="21"/>
        <v>76943.579693749954</v>
      </c>
      <c r="N99" s="98">
        <f t="shared" si="8"/>
        <v>-16850451.815931268</v>
      </c>
      <c r="O99" s="98">
        <f t="shared" si="28"/>
        <v>-17312113.294093765</v>
      </c>
      <c r="P99" s="714">
        <f t="shared" si="26"/>
        <v>115589116.50903115</v>
      </c>
      <c r="Q99" s="93"/>
      <c r="R99" s="95">
        <f t="shared" si="23"/>
        <v>112506745.19244361</v>
      </c>
      <c r="S99" s="559">
        <f>$E$79-(SUM($H$79:H99)*$U$75)</f>
        <v>52761311.789999977</v>
      </c>
      <c r="T99" s="66"/>
      <c r="U99" s="72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1:31" outlineLevel="1">
      <c r="A100" s="706"/>
      <c r="B100" s="108">
        <v>41517</v>
      </c>
      <c r="C100" s="108"/>
      <c r="D100" s="134"/>
      <c r="E100" s="712">
        <f t="shared" si="15"/>
        <v>52761311.789999977</v>
      </c>
      <c r="F100" s="713">
        <f t="shared" si="16"/>
        <v>141761311.78999987</v>
      </c>
      <c r="G100" s="98">
        <f t="shared" si="29"/>
        <v>141761311.7899999</v>
      </c>
      <c r="H100" s="364">
        <f t="shared" si="27"/>
        <v>590672.13245833281</v>
      </c>
      <c r="I100" s="98">
        <f t="shared" si="24"/>
        <v>-12994786.914083323</v>
      </c>
      <c r="J100" s="98">
        <f t="shared" si="20"/>
        <v>-9450754.119333325</v>
      </c>
      <c r="K100" s="98">
        <f t="shared" si="25"/>
        <v>132310557.67066658</v>
      </c>
      <c r="L100" s="1189">
        <f t="shared" si="14"/>
        <v>128766524.87591656</v>
      </c>
      <c r="M100" s="400">
        <f t="shared" si="21"/>
        <v>76943.579693749954</v>
      </c>
      <c r="N100" s="98">
        <f t="shared" si="8"/>
        <v>-16773508.236237518</v>
      </c>
      <c r="O100" s="98">
        <f t="shared" si="28"/>
        <v>-17235169.714400016</v>
      </c>
      <c r="P100" s="714">
        <f t="shared" si="26"/>
        <v>115075387.95626655</v>
      </c>
      <c r="Q100" s="93"/>
      <c r="R100" s="95">
        <f t="shared" si="23"/>
        <v>111993016.63967904</v>
      </c>
      <c r="S100" s="559">
        <f>$E$79-(SUM($H$79:H100)*$U$75)</f>
        <v>52761311.789999977</v>
      </c>
      <c r="T100" s="66"/>
      <c r="U100" s="726"/>
    </row>
    <row r="101" spans="1:31" outlineLevel="1">
      <c r="A101" s="706"/>
      <c r="B101" s="108">
        <v>41547</v>
      </c>
      <c r="C101" s="108"/>
      <c r="D101" s="134"/>
      <c r="E101" s="712">
        <f t="shared" si="15"/>
        <v>52761311.789999977</v>
      </c>
      <c r="F101" s="713">
        <f t="shared" si="16"/>
        <v>141761311.78999987</v>
      </c>
      <c r="G101" s="98">
        <f t="shared" si="29"/>
        <v>141761311.7899999</v>
      </c>
      <c r="H101" s="364">
        <f t="shared" si="27"/>
        <v>590672.13245833281</v>
      </c>
      <c r="I101" s="98">
        <f t="shared" si="24"/>
        <v>-13585459.046541655</v>
      </c>
      <c r="J101" s="98">
        <f>(I89+I101+SUM(I90:I100)*2)/24</f>
        <v>-10041426.251791658</v>
      </c>
      <c r="K101" s="98">
        <f t="shared" si="25"/>
        <v>131719885.53820825</v>
      </c>
      <c r="L101" s="1189">
        <f t="shared" si="14"/>
        <v>128175852.74345821</v>
      </c>
      <c r="M101" s="400">
        <f t="shared" si="21"/>
        <v>76943.579693749954</v>
      </c>
      <c r="N101" s="98">
        <f t="shared" si="8"/>
        <v>-16696564.656543769</v>
      </c>
      <c r="O101" s="98">
        <f t="shared" si="28"/>
        <v>-17158226.134706266</v>
      </c>
      <c r="P101" s="714">
        <f t="shared" si="26"/>
        <v>114561659.40350199</v>
      </c>
      <c r="Q101" s="93"/>
      <c r="R101" s="95">
        <f t="shared" si="23"/>
        <v>111479288.08691445</v>
      </c>
      <c r="S101" s="559">
        <f>$E$79-(SUM($H$79:H101)*$U$75)</f>
        <v>52761311.789999977</v>
      </c>
      <c r="T101" s="66"/>
      <c r="U101" s="726"/>
    </row>
    <row r="102" spans="1:31" ht="14.25" customHeight="1" outlineLevel="1">
      <c r="A102" s="706"/>
      <c r="B102" s="108">
        <v>41578</v>
      </c>
      <c r="C102" s="108"/>
      <c r="D102" s="134"/>
      <c r="E102" s="712">
        <f t="shared" si="15"/>
        <v>52761311.789999977</v>
      </c>
      <c r="F102" s="713">
        <f t="shared" si="16"/>
        <v>141761311.78999987</v>
      </c>
      <c r="G102" s="98">
        <f t="shared" si="29"/>
        <v>141761311.7899999</v>
      </c>
      <c r="H102" s="364">
        <f t="shared" si="27"/>
        <v>590672.13245833281</v>
      </c>
      <c r="I102" s="98">
        <f t="shared" si="24"/>
        <v>-14176131.178999988</v>
      </c>
      <c r="J102" s="98">
        <f t="shared" si="20"/>
        <v>-10632098.384249991</v>
      </c>
      <c r="K102" s="98">
        <f t="shared" si="25"/>
        <v>131129213.40574992</v>
      </c>
      <c r="L102" s="1189">
        <f t="shared" si="14"/>
        <v>127585180.61099988</v>
      </c>
      <c r="M102" s="400">
        <f t="shared" si="21"/>
        <v>76943.579693749954</v>
      </c>
      <c r="N102" s="98">
        <f t="shared" si="8"/>
        <v>-16619621.076850019</v>
      </c>
      <c r="O102" s="98">
        <f t="shared" si="28"/>
        <v>-17081282.555012517</v>
      </c>
      <c r="P102" s="714">
        <f t="shared" si="26"/>
        <v>114047930.85073739</v>
      </c>
      <c r="Q102" s="107"/>
      <c r="R102" s="95">
        <f t="shared" si="23"/>
        <v>110965559.53414986</v>
      </c>
      <c r="S102" s="559">
        <f>$E$79-(SUM($H$79:H102)*$U$75)</f>
        <v>52761311.789999977</v>
      </c>
      <c r="T102" s="66"/>
      <c r="U102" s="726"/>
    </row>
    <row r="103" spans="1:31" outlineLevel="1">
      <c r="A103" s="706"/>
      <c r="B103" s="108">
        <v>41608</v>
      </c>
      <c r="C103" s="108"/>
      <c r="D103" s="134"/>
      <c r="E103" s="712">
        <f t="shared" si="15"/>
        <v>52761311.789999977</v>
      </c>
      <c r="F103" s="713">
        <f t="shared" si="16"/>
        <v>141761311.78999987</v>
      </c>
      <c r="G103" s="98">
        <f t="shared" si="29"/>
        <v>141761311.7899999</v>
      </c>
      <c r="H103" s="364">
        <f t="shared" si="27"/>
        <v>590672.13245833281</v>
      </c>
      <c r="I103" s="98">
        <f t="shared" si="24"/>
        <v>-14766803.311458321</v>
      </c>
      <c r="J103" s="98">
        <f t="shared" si="20"/>
        <v>-11222770.516708324</v>
      </c>
      <c r="K103" s="98">
        <f t="shared" si="25"/>
        <v>130538541.27329157</v>
      </c>
      <c r="L103" s="1189">
        <f t="shared" si="14"/>
        <v>126994508.47854155</v>
      </c>
      <c r="M103" s="400">
        <f t="shared" si="21"/>
        <v>76943.579693749954</v>
      </c>
      <c r="N103" s="98">
        <f t="shared" si="8"/>
        <v>-16542677.49715627</v>
      </c>
      <c r="O103" s="98">
        <f t="shared" si="28"/>
        <v>-17004338.975318767</v>
      </c>
      <c r="P103" s="714">
        <f t="shared" si="26"/>
        <v>113534202.2979728</v>
      </c>
      <c r="Q103" s="93"/>
      <c r="R103" s="95">
        <f t="shared" si="23"/>
        <v>110451830.98138529</v>
      </c>
      <c r="S103" s="559">
        <f>$E$79-(SUM($H$79:H103)*$U$75)</f>
        <v>52761311.789999977</v>
      </c>
      <c r="T103" s="66"/>
      <c r="U103" s="726"/>
    </row>
    <row r="104" spans="1:31" outlineLevel="1">
      <c r="A104" s="706"/>
      <c r="B104" s="108">
        <v>41639</v>
      </c>
      <c r="C104" s="108"/>
      <c r="D104" s="134"/>
      <c r="E104" s="712">
        <f t="shared" si="15"/>
        <v>52761311.789999977</v>
      </c>
      <c r="F104" s="713">
        <f t="shared" si="16"/>
        <v>141761311.78999987</v>
      </c>
      <c r="G104" s="98">
        <f t="shared" si="29"/>
        <v>141761311.7899999</v>
      </c>
      <c r="H104" s="364">
        <f t="shared" si="27"/>
        <v>590672.13245833281</v>
      </c>
      <c r="I104" s="98">
        <f t="shared" si="24"/>
        <v>-15357475.443916654</v>
      </c>
      <c r="J104" s="98">
        <f t="shared" si="20"/>
        <v>-11813442.649166657</v>
      </c>
      <c r="K104" s="98">
        <f t="shared" si="25"/>
        <v>129947869.14083324</v>
      </c>
      <c r="L104" s="1189">
        <f t="shared" si="14"/>
        <v>126403836.34608322</v>
      </c>
      <c r="M104" s="400">
        <f t="shared" si="21"/>
        <v>76943.579693749954</v>
      </c>
      <c r="N104" s="98">
        <f t="shared" si="8"/>
        <v>-16465733.91746252</v>
      </c>
      <c r="O104" s="98">
        <f t="shared" si="28"/>
        <v>-16927395.395625018</v>
      </c>
      <c r="P104" s="714">
        <f t="shared" si="26"/>
        <v>113020473.74520823</v>
      </c>
      <c r="Q104" s="93"/>
      <c r="R104" s="95">
        <f t="shared" si="23"/>
        <v>109938102.4286207</v>
      </c>
      <c r="S104" s="559">
        <f>$E$79-(SUM($H$79:H104)*$U$75)</f>
        <v>52761311.789999977</v>
      </c>
      <c r="T104" s="66"/>
      <c r="U104" s="726"/>
    </row>
    <row r="105" spans="1:31" ht="12.75" customHeight="1" outlineLevel="1">
      <c r="A105" s="706"/>
      <c r="B105" s="108">
        <v>41670</v>
      </c>
      <c r="C105" s="108"/>
      <c r="D105" s="134"/>
      <c r="E105" s="712">
        <f t="shared" si="15"/>
        <v>52761311.789999977</v>
      </c>
      <c r="F105" s="713">
        <f t="shared" si="16"/>
        <v>141761311.78999987</v>
      </c>
      <c r="G105" s="98">
        <f t="shared" si="29"/>
        <v>141761311.7899999</v>
      </c>
      <c r="H105" s="364">
        <f t="shared" si="27"/>
        <v>590672.13245833281</v>
      </c>
      <c r="I105" s="98">
        <f t="shared" si="24"/>
        <v>-15948147.576374987</v>
      </c>
      <c r="J105" s="98">
        <f t="shared" si="20"/>
        <v>-12404114.78162499</v>
      </c>
      <c r="K105" s="98">
        <f t="shared" si="25"/>
        <v>129357197.00837491</v>
      </c>
      <c r="L105" s="1189">
        <f t="shared" si="14"/>
        <v>125813164.21362488</v>
      </c>
      <c r="M105" s="400">
        <f t="shared" si="21"/>
        <v>76943.579693749954</v>
      </c>
      <c r="N105" s="98">
        <f t="shared" ref="N105:N167" si="30">N104+M105</f>
        <v>-16388790.337768771</v>
      </c>
      <c r="O105" s="98">
        <f t="shared" si="28"/>
        <v>-16850451.815931268</v>
      </c>
      <c r="P105" s="714">
        <f t="shared" si="26"/>
        <v>112506745.19244364</v>
      </c>
      <c r="Q105" s="93"/>
      <c r="R105" s="95">
        <f t="shared" si="23"/>
        <v>109424373.8758561</v>
      </c>
      <c r="S105" s="559">
        <f>$E$79-(SUM($H$79:H105)*$U$75)</f>
        <v>52761311.789999977</v>
      </c>
      <c r="T105" s="66"/>
      <c r="U105" s="726"/>
    </row>
    <row r="106" spans="1:31" outlineLevel="1">
      <c r="A106" s="706"/>
      <c r="B106" s="108">
        <v>41698</v>
      </c>
      <c r="C106" s="108"/>
      <c r="D106" s="134"/>
      <c r="E106" s="712">
        <f t="shared" si="15"/>
        <v>52761311.789999977</v>
      </c>
      <c r="F106" s="713">
        <f t="shared" si="16"/>
        <v>141761311.78999987</v>
      </c>
      <c r="G106" s="98">
        <f t="shared" si="29"/>
        <v>141761311.7899999</v>
      </c>
      <c r="H106" s="364">
        <f t="shared" si="27"/>
        <v>590672.13245833281</v>
      </c>
      <c r="I106" s="98">
        <f t="shared" si="24"/>
        <v>-16538819.70883332</v>
      </c>
      <c r="J106" s="98">
        <f t="shared" si="20"/>
        <v>-12994786.914083323</v>
      </c>
      <c r="K106" s="98">
        <f t="shared" si="25"/>
        <v>128766524.87591659</v>
      </c>
      <c r="L106" s="1189">
        <f t="shared" si="14"/>
        <v>125222492.08116655</v>
      </c>
      <c r="M106" s="400">
        <f t="shared" si="21"/>
        <v>76943.579693749954</v>
      </c>
      <c r="N106" s="98">
        <f t="shared" si="30"/>
        <v>-16311846.758075021</v>
      </c>
      <c r="O106" s="98">
        <f t="shared" si="28"/>
        <v>-16773508.236237518</v>
      </c>
      <c r="P106" s="714">
        <f t="shared" si="26"/>
        <v>111993016.63967907</v>
      </c>
      <c r="Q106" s="93"/>
      <c r="R106" s="95">
        <f t="shared" si="23"/>
        <v>108910645.32309154</v>
      </c>
      <c r="S106" s="559">
        <f>$E$79-(SUM($H$79:H106)*$U$75)</f>
        <v>52761311.789999977</v>
      </c>
      <c r="T106" s="66"/>
      <c r="U106" s="726"/>
    </row>
    <row r="107" spans="1:31" outlineLevel="1">
      <c r="A107" s="706"/>
      <c r="B107" s="108">
        <v>41729</v>
      </c>
      <c r="C107" s="108"/>
      <c r="D107" s="134"/>
      <c r="E107" s="712">
        <f t="shared" si="15"/>
        <v>52761311.789999977</v>
      </c>
      <c r="F107" s="713">
        <f t="shared" si="16"/>
        <v>141761311.78999987</v>
      </c>
      <c r="G107" s="98">
        <f t="shared" si="29"/>
        <v>141761311.7899999</v>
      </c>
      <c r="H107" s="364">
        <f t="shared" si="27"/>
        <v>590672.13245833281</v>
      </c>
      <c r="I107" s="98">
        <f t="shared" si="24"/>
        <v>-17129491.841291651</v>
      </c>
      <c r="J107" s="98">
        <f t="shared" si="20"/>
        <v>-13585459.046541655</v>
      </c>
      <c r="K107" s="98">
        <f t="shared" si="25"/>
        <v>128175852.74345824</v>
      </c>
      <c r="L107" s="1189">
        <f t="shared" si="14"/>
        <v>124631819.94870822</v>
      </c>
      <c r="M107" s="400">
        <f t="shared" si="21"/>
        <v>76943.579693749954</v>
      </c>
      <c r="N107" s="98">
        <f t="shared" si="30"/>
        <v>-16234903.178381272</v>
      </c>
      <c r="O107" s="98">
        <f t="shared" si="28"/>
        <v>-16696564.656543769</v>
      </c>
      <c r="P107" s="714">
        <f t="shared" si="26"/>
        <v>111479288.08691448</v>
      </c>
      <c r="Q107" s="93"/>
      <c r="R107" s="95">
        <f t="shared" si="23"/>
        <v>108396916.77032694</v>
      </c>
      <c r="S107" s="559">
        <f>$E$79-(SUM($H$79:H107)*$U$75)</f>
        <v>52761311.789999977</v>
      </c>
      <c r="T107" s="66"/>
      <c r="U107" s="726"/>
    </row>
    <row r="108" spans="1:31" ht="12.75" customHeight="1" outlineLevel="1">
      <c r="A108" s="706"/>
      <c r="B108" s="108">
        <v>41759</v>
      </c>
      <c r="C108" s="108"/>
      <c r="D108" s="134"/>
      <c r="E108" s="712">
        <f t="shared" si="15"/>
        <v>52761311.789999977</v>
      </c>
      <c r="F108" s="713">
        <f t="shared" si="16"/>
        <v>141761311.78999987</v>
      </c>
      <c r="G108" s="98">
        <f t="shared" si="29"/>
        <v>141761311.7899999</v>
      </c>
      <c r="H108" s="364">
        <f t="shared" si="27"/>
        <v>590672.13245833281</v>
      </c>
      <c r="I108" s="98">
        <f t="shared" si="24"/>
        <v>-17720163.973749984</v>
      </c>
      <c r="J108" s="98">
        <f t="shared" si="20"/>
        <v>-14176131.178999988</v>
      </c>
      <c r="K108" s="98">
        <f t="shared" si="25"/>
        <v>127585180.61099991</v>
      </c>
      <c r="L108" s="1189">
        <f t="shared" si="14"/>
        <v>124041147.81624989</v>
      </c>
      <c r="M108" s="400">
        <f t="shared" si="21"/>
        <v>76943.579693749954</v>
      </c>
      <c r="N108" s="98">
        <f t="shared" si="30"/>
        <v>-16157959.598687522</v>
      </c>
      <c r="O108" s="98">
        <f t="shared" si="28"/>
        <v>-16619621.076850019</v>
      </c>
      <c r="P108" s="714">
        <f t="shared" si="26"/>
        <v>110965559.53414989</v>
      </c>
      <c r="Q108" s="93"/>
      <c r="R108" s="95">
        <f t="shared" si="23"/>
        <v>107883188.21756238</v>
      </c>
      <c r="S108" s="559">
        <f>$E$79-(SUM($H$79:H108)*$U$75)</f>
        <v>52761311.789999977</v>
      </c>
      <c r="T108" s="66"/>
      <c r="U108" s="726"/>
    </row>
    <row r="109" spans="1:31" s="65" customFormat="1" outlineLevel="1">
      <c r="A109" s="706"/>
      <c r="B109" s="108">
        <v>41790</v>
      </c>
      <c r="C109" s="108"/>
      <c r="D109" s="134"/>
      <c r="E109" s="712">
        <f t="shared" si="15"/>
        <v>52761311.789999977</v>
      </c>
      <c r="F109" s="713">
        <f t="shared" si="16"/>
        <v>141761311.78999987</v>
      </c>
      <c r="G109" s="98">
        <f t="shared" si="29"/>
        <v>141761311.7899999</v>
      </c>
      <c r="H109" s="364">
        <f t="shared" si="27"/>
        <v>590672.13245833281</v>
      </c>
      <c r="I109" s="98">
        <f t="shared" si="24"/>
        <v>-18310836.106208317</v>
      </c>
      <c r="J109" s="98">
        <f t="shared" si="20"/>
        <v>-14766803.311458321</v>
      </c>
      <c r="K109" s="98">
        <f t="shared" si="25"/>
        <v>126994508.47854158</v>
      </c>
      <c r="L109" s="1189">
        <f t="shared" si="14"/>
        <v>123450475.68379155</v>
      </c>
      <c r="M109" s="400">
        <f t="shared" si="21"/>
        <v>76943.579693749954</v>
      </c>
      <c r="N109" s="98">
        <f t="shared" si="30"/>
        <v>-16081016.018993773</v>
      </c>
      <c r="O109" s="98">
        <f t="shared" si="28"/>
        <v>-16542677.49715627</v>
      </c>
      <c r="P109" s="714">
        <f t="shared" si="26"/>
        <v>110451830.98138532</v>
      </c>
      <c r="Q109" s="93"/>
      <c r="R109" s="95">
        <f t="shared" si="23"/>
        <v>107369459.66479778</v>
      </c>
      <c r="S109" s="559">
        <f>$E$79-(SUM($H$79:H109)*$U$75)</f>
        <v>52761311.789999977</v>
      </c>
      <c r="T109" s="66"/>
      <c r="U109" s="726"/>
    </row>
    <row r="110" spans="1:31" s="65" customFormat="1" outlineLevel="1">
      <c r="A110" s="706"/>
      <c r="B110" s="108">
        <v>41820</v>
      </c>
      <c r="C110" s="108"/>
      <c r="D110" s="134"/>
      <c r="E110" s="712">
        <f t="shared" si="15"/>
        <v>52761311.789999977</v>
      </c>
      <c r="F110" s="713">
        <f t="shared" si="16"/>
        <v>141761311.78999987</v>
      </c>
      <c r="G110" s="98">
        <f t="shared" si="29"/>
        <v>141761311.7899999</v>
      </c>
      <c r="H110" s="364">
        <f t="shared" si="27"/>
        <v>590672.13245833281</v>
      </c>
      <c r="I110" s="98">
        <f t="shared" si="24"/>
        <v>-18901508.23866665</v>
      </c>
      <c r="J110" s="98">
        <f t="shared" si="20"/>
        <v>-15357475.443916654</v>
      </c>
      <c r="K110" s="98">
        <f t="shared" si="25"/>
        <v>126403836.34608325</v>
      </c>
      <c r="L110" s="1189">
        <f t="shared" si="14"/>
        <v>122859803.55133322</v>
      </c>
      <c r="M110" s="400">
        <f t="shared" si="21"/>
        <v>76943.579693749954</v>
      </c>
      <c r="N110" s="98">
        <f t="shared" si="30"/>
        <v>-16004072.439300023</v>
      </c>
      <c r="O110" s="98">
        <f t="shared" si="28"/>
        <v>-16465733.91746252</v>
      </c>
      <c r="P110" s="714">
        <f t="shared" si="26"/>
        <v>109938102.42862073</v>
      </c>
      <c r="Q110" s="93"/>
      <c r="R110" s="95">
        <f t="shared" si="23"/>
        <v>106855731.11203319</v>
      </c>
      <c r="S110" s="559">
        <f>$E$79-(SUM($H$79:H110)*$U$75)</f>
        <v>52761311.789999977</v>
      </c>
      <c r="T110" s="66"/>
      <c r="U110" s="726"/>
    </row>
    <row r="111" spans="1:31" s="65" customFormat="1" outlineLevel="1">
      <c r="A111" s="706"/>
      <c r="B111" s="108">
        <v>41851</v>
      </c>
      <c r="C111" s="108"/>
      <c r="D111" s="134"/>
      <c r="E111" s="712">
        <f t="shared" si="15"/>
        <v>52761311.789999977</v>
      </c>
      <c r="F111" s="713">
        <f t="shared" si="16"/>
        <v>141761311.78999987</v>
      </c>
      <c r="G111" s="98">
        <f t="shared" si="29"/>
        <v>141761311.7899999</v>
      </c>
      <c r="H111" s="364">
        <f t="shared" si="27"/>
        <v>590672.13245833281</v>
      </c>
      <c r="I111" s="98">
        <f t="shared" si="24"/>
        <v>-19492180.371124983</v>
      </c>
      <c r="J111" s="98">
        <f t="shared" si="20"/>
        <v>-15948147.576374987</v>
      </c>
      <c r="K111" s="98">
        <f t="shared" si="25"/>
        <v>125813164.21362491</v>
      </c>
      <c r="L111" s="1189">
        <f t="shared" si="14"/>
        <v>122269131.41887489</v>
      </c>
      <c r="M111" s="400">
        <f t="shared" si="21"/>
        <v>76943.579693749954</v>
      </c>
      <c r="N111" s="98">
        <f t="shared" si="30"/>
        <v>-15927128.859606273</v>
      </c>
      <c r="O111" s="98">
        <f t="shared" si="28"/>
        <v>-16388790.337768771</v>
      </c>
      <c r="P111" s="714">
        <f t="shared" si="26"/>
        <v>109424373.87585613</v>
      </c>
      <c r="Q111" s="93"/>
      <c r="R111" s="95">
        <f t="shared" si="23"/>
        <v>106342002.55926862</v>
      </c>
      <c r="S111" s="559">
        <f>$E$79-(SUM($H$79:H111)*$U$75)</f>
        <v>52761311.789999977</v>
      </c>
      <c r="T111" s="66"/>
      <c r="U111" s="726"/>
    </row>
    <row r="112" spans="1:31" s="65" customFormat="1" outlineLevel="1">
      <c r="A112" s="706"/>
      <c r="B112" s="108">
        <v>41882</v>
      </c>
      <c r="C112" s="108"/>
      <c r="D112" s="134"/>
      <c r="E112" s="712">
        <f t="shared" si="15"/>
        <v>52761311.789999977</v>
      </c>
      <c r="F112" s="713">
        <f t="shared" si="16"/>
        <v>141761311.78999987</v>
      </c>
      <c r="G112" s="98">
        <f t="shared" si="29"/>
        <v>141761311.7899999</v>
      </c>
      <c r="H112" s="364">
        <f t="shared" si="27"/>
        <v>590672.13245833281</v>
      </c>
      <c r="I112" s="98">
        <f t="shared" si="24"/>
        <v>-20082852.503583316</v>
      </c>
      <c r="J112" s="98">
        <f t="shared" si="20"/>
        <v>-16538819.70883332</v>
      </c>
      <c r="K112" s="98">
        <f t="shared" si="25"/>
        <v>125222492.08116658</v>
      </c>
      <c r="L112" s="1189">
        <f t="shared" si="14"/>
        <v>121678459.28641656</v>
      </c>
      <c r="M112" s="400">
        <f t="shared" si="21"/>
        <v>76943.579693749954</v>
      </c>
      <c r="N112" s="98">
        <f t="shared" si="30"/>
        <v>-15850185.279912524</v>
      </c>
      <c r="O112" s="98">
        <f t="shared" si="28"/>
        <v>-16311846.758075021</v>
      </c>
      <c r="P112" s="714">
        <f>O112+K112</f>
        <v>108910645.32309157</v>
      </c>
      <c r="Q112" s="93"/>
      <c r="R112" s="95">
        <f t="shared" si="23"/>
        <v>105828274.00650403</v>
      </c>
      <c r="S112" s="559">
        <f>$E$79-(SUM($H$79:H112)*$U$75)</f>
        <v>52761311.789999977</v>
      </c>
      <c r="T112" s="66"/>
      <c r="U112" s="726"/>
    </row>
    <row r="113" spans="1:21" s="65" customFormat="1" outlineLevel="1">
      <c r="A113" s="706"/>
      <c r="B113" s="108">
        <v>41912</v>
      </c>
      <c r="C113" s="108"/>
      <c r="D113" s="134"/>
      <c r="E113" s="712">
        <f t="shared" si="15"/>
        <v>52761311.789999977</v>
      </c>
      <c r="F113" s="713">
        <f t="shared" si="16"/>
        <v>141761311.78999987</v>
      </c>
      <c r="G113" s="98">
        <f t="shared" si="29"/>
        <v>141761311.7899999</v>
      </c>
      <c r="H113" s="364">
        <f t="shared" si="27"/>
        <v>590672.13245833281</v>
      </c>
      <c r="I113" s="98">
        <f t="shared" si="24"/>
        <v>-20673524.636041649</v>
      </c>
      <c r="J113" s="98">
        <f t="shared" si="20"/>
        <v>-17129491.841291651</v>
      </c>
      <c r="K113" s="98">
        <f t="shared" si="25"/>
        <v>124631819.94870825</v>
      </c>
      <c r="L113" s="1189">
        <f t="shared" si="14"/>
        <v>121087787.15395823</v>
      </c>
      <c r="M113" s="400">
        <f t="shared" si="21"/>
        <v>76943.579693749954</v>
      </c>
      <c r="N113" s="98">
        <f t="shared" si="30"/>
        <v>-15773241.700218774</v>
      </c>
      <c r="O113" s="98">
        <f t="shared" si="28"/>
        <v>-16234903.178381272</v>
      </c>
      <c r="P113" s="714">
        <f t="shared" si="26"/>
        <v>108396916.77032697</v>
      </c>
      <c r="Q113" s="93"/>
      <c r="R113" s="95">
        <f t="shared" si="23"/>
        <v>105314545.45373946</v>
      </c>
      <c r="S113" s="559">
        <f>$E$79-(SUM($H$79:H113)*$U$75)</f>
        <v>52761311.789999977</v>
      </c>
      <c r="T113" s="66"/>
      <c r="U113" s="726"/>
    </row>
    <row r="114" spans="1:21" s="65" customFormat="1" outlineLevel="1">
      <c r="A114" s="706"/>
      <c r="B114" s="108">
        <v>41943</v>
      </c>
      <c r="C114" s="108"/>
      <c r="D114" s="134"/>
      <c r="E114" s="712">
        <f t="shared" si="15"/>
        <v>52761311.789999977</v>
      </c>
      <c r="F114" s="713">
        <f t="shared" si="16"/>
        <v>141761311.78999987</v>
      </c>
      <c r="G114" s="98">
        <f t="shared" si="29"/>
        <v>141761311.7899999</v>
      </c>
      <c r="H114" s="364">
        <f t="shared" si="27"/>
        <v>590672.13245833281</v>
      </c>
      <c r="I114" s="98">
        <f t="shared" si="24"/>
        <v>-21264196.768499982</v>
      </c>
      <c r="J114" s="98">
        <f t="shared" si="20"/>
        <v>-17720163.973749984</v>
      </c>
      <c r="K114" s="98">
        <f t="shared" si="25"/>
        <v>124041147.81624992</v>
      </c>
      <c r="L114" s="1189">
        <f t="shared" si="14"/>
        <v>120497115.02149989</v>
      </c>
      <c r="M114" s="400">
        <f t="shared" si="21"/>
        <v>76943.579693749954</v>
      </c>
      <c r="N114" s="98">
        <f t="shared" si="30"/>
        <v>-15696298.120525025</v>
      </c>
      <c r="O114" s="98">
        <f t="shared" si="28"/>
        <v>-16157959.598687522</v>
      </c>
      <c r="P114" s="714">
        <f t="shared" si="26"/>
        <v>107883188.21756241</v>
      </c>
      <c r="Q114" s="93"/>
      <c r="R114" s="95">
        <f t="shared" si="23"/>
        <v>104800816.90097487</v>
      </c>
      <c r="S114" s="559">
        <f>$E$79-(SUM($H$79:H114)*$U$75)</f>
        <v>52761311.789999977</v>
      </c>
      <c r="T114" s="66"/>
      <c r="U114" s="726"/>
    </row>
    <row r="115" spans="1:21" s="65" customFormat="1" outlineLevel="1">
      <c r="A115" s="706"/>
      <c r="B115" s="108">
        <v>41973</v>
      </c>
      <c r="C115" s="108"/>
      <c r="D115" s="134"/>
      <c r="E115" s="712">
        <f t="shared" si="15"/>
        <v>52761311.789999977</v>
      </c>
      <c r="F115" s="713">
        <f t="shared" si="16"/>
        <v>141761311.78999987</v>
      </c>
      <c r="G115" s="98">
        <f t="shared" si="29"/>
        <v>141761311.7899999</v>
      </c>
      <c r="H115" s="364">
        <f t="shared" si="27"/>
        <v>590672.13245833281</v>
      </c>
      <c r="I115" s="98">
        <f t="shared" si="24"/>
        <v>-21854868.900958315</v>
      </c>
      <c r="J115" s="98">
        <f t="shared" si="20"/>
        <v>-18310836.106208317</v>
      </c>
      <c r="K115" s="98">
        <f t="shared" si="25"/>
        <v>123450475.68379158</v>
      </c>
      <c r="L115" s="1189">
        <f t="shared" si="14"/>
        <v>119906442.88904156</v>
      </c>
      <c r="M115" s="400">
        <f t="shared" si="21"/>
        <v>76943.579693749954</v>
      </c>
      <c r="N115" s="98">
        <f t="shared" si="30"/>
        <v>-15619354.540831275</v>
      </c>
      <c r="O115" s="98">
        <f t="shared" si="28"/>
        <v>-16081016.018993773</v>
      </c>
      <c r="P115" s="714">
        <f t="shared" si="26"/>
        <v>107369459.66479781</v>
      </c>
      <c r="Q115" s="93"/>
      <c r="R115" s="95">
        <f t="shared" si="23"/>
        <v>104287088.34821028</v>
      </c>
      <c r="S115" s="559">
        <f>$E$79-(SUM($H$79:H115)*$U$75)</f>
        <v>52761311.789999977</v>
      </c>
      <c r="T115" s="66"/>
      <c r="U115" s="726"/>
    </row>
    <row r="116" spans="1:21" s="65" customFormat="1" ht="12.75" customHeight="1" outlineLevel="1">
      <c r="A116" s="706"/>
      <c r="B116" s="108">
        <v>42004</v>
      </c>
      <c r="C116" s="108"/>
      <c r="D116" s="134"/>
      <c r="E116" s="712">
        <f t="shared" si="15"/>
        <v>52761311.789999977</v>
      </c>
      <c r="F116" s="713">
        <f t="shared" si="16"/>
        <v>141761311.78999987</v>
      </c>
      <c r="G116" s="98">
        <f t="shared" si="29"/>
        <v>141761311.7899999</v>
      </c>
      <c r="H116" s="364">
        <f t="shared" si="27"/>
        <v>590672.13245833281</v>
      </c>
      <c r="I116" s="98">
        <f t="shared" si="24"/>
        <v>-22445541.033416647</v>
      </c>
      <c r="J116" s="98">
        <f t="shared" si="20"/>
        <v>-18901508.23866665</v>
      </c>
      <c r="K116" s="98">
        <f t="shared" si="25"/>
        <v>122859803.55133325</v>
      </c>
      <c r="L116" s="1189">
        <f t="shared" si="14"/>
        <v>119315770.75658323</v>
      </c>
      <c r="M116" s="400">
        <f t="shared" si="21"/>
        <v>76943.579693749954</v>
      </c>
      <c r="N116" s="98">
        <f t="shared" si="30"/>
        <v>-15542410.961137526</v>
      </c>
      <c r="O116" s="98">
        <f t="shared" si="28"/>
        <v>-16004072.439300023</v>
      </c>
      <c r="P116" s="714">
        <f t="shared" si="26"/>
        <v>106855731.11203322</v>
      </c>
      <c r="Q116" s="93"/>
      <c r="R116" s="95">
        <f t="shared" si="23"/>
        <v>103773359.79544571</v>
      </c>
      <c r="S116" s="559">
        <f>$E$79-(SUM($H$79:H116)*$U$75)</f>
        <v>52761311.789999977</v>
      </c>
      <c r="T116" s="66"/>
      <c r="U116" s="726"/>
    </row>
    <row r="117" spans="1:21" s="65" customFormat="1" ht="12.75" customHeight="1" outlineLevel="1">
      <c r="A117" s="706"/>
      <c r="B117" s="108">
        <v>42035</v>
      </c>
      <c r="C117" s="108"/>
      <c r="D117" s="134"/>
      <c r="E117" s="712">
        <f t="shared" si="15"/>
        <v>52761311.789999977</v>
      </c>
      <c r="F117" s="713">
        <f t="shared" si="16"/>
        <v>141761311.78999987</v>
      </c>
      <c r="G117" s="98">
        <f t="shared" si="29"/>
        <v>141761311.7899999</v>
      </c>
      <c r="H117" s="364">
        <f t="shared" si="27"/>
        <v>590672.13245833281</v>
      </c>
      <c r="I117" s="98">
        <f>I116-H117</f>
        <v>-23036213.16587498</v>
      </c>
      <c r="J117" s="98">
        <f t="shared" si="20"/>
        <v>-19492180.371124979</v>
      </c>
      <c r="K117" s="98">
        <f t="shared" si="25"/>
        <v>122269131.41887492</v>
      </c>
      <c r="L117" s="1189">
        <f t="shared" si="14"/>
        <v>118725098.62412488</v>
      </c>
      <c r="M117" s="400">
        <f t="shared" si="21"/>
        <v>76943.579693749954</v>
      </c>
      <c r="N117" s="98">
        <f t="shared" si="30"/>
        <v>-15465467.381443776</v>
      </c>
      <c r="O117" s="98">
        <f t="shared" si="28"/>
        <v>-15927128.859606273</v>
      </c>
      <c r="P117" s="714">
        <f t="shared" si="26"/>
        <v>106342002.55926865</v>
      </c>
      <c r="Q117" s="93"/>
      <c r="R117" s="95">
        <f t="shared" si="23"/>
        <v>103259631.24268112</v>
      </c>
      <c r="S117" s="559">
        <f>$E$79-(SUM($H$79:H117)*$U$75)</f>
        <v>52761311.789999977</v>
      </c>
      <c r="T117" s="66"/>
      <c r="U117" s="726"/>
    </row>
    <row r="118" spans="1:21" s="65" customFormat="1" outlineLevel="1">
      <c r="A118" s="706"/>
      <c r="B118" s="108">
        <v>42063</v>
      </c>
      <c r="C118" s="108"/>
      <c r="D118" s="134"/>
      <c r="E118" s="712">
        <f t="shared" si="15"/>
        <v>52761311.789999977</v>
      </c>
      <c r="F118" s="713">
        <f t="shared" si="16"/>
        <v>141761311.78999987</v>
      </c>
      <c r="G118" s="98">
        <f t="shared" si="29"/>
        <v>141761311.7899999</v>
      </c>
      <c r="H118" s="364">
        <f t="shared" si="27"/>
        <v>590672.13245833281</v>
      </c>
      <c r="I118" s="98">
        <f t="shared" si="24"/>
        <v>-23626885.298333313</v>
      </c>
      <c r="J118" s="98">
        <f t="shared" si="20"/>
        <v>-20082852.503583316</v>
      </c>
      <c r="K118" s="98">
        <f t="shared" si="25"/>
        <v>121678459.28641659</v>
      </c>
      <c r="L118" s="1189">
        <f t="shared" si="14"/>
        <v>118134426.49166656</v>
      </c>
      <c r="M118" s="400">
        <f t="shared" si="21"/>
        <v>76943.579693749954</v>
      </c>
      <c r="N118" s="98">
        <f t="shared" si="30"/>
        <v>-15388523.801750027</v>
      </c>
      <c r="O118" s="98">
        <f t="shared" si="28"/>
        <v>-15850185.279912524</v>
      </c>
      <c r="P118" s="714">
        <f t="shared" si="26"/>
        <v>105828274.00650406</v>
      </c>
      <c r="Q118" s="93"/>
      <c r="R118" s="95">
        <f t="shared" si="23"/>
        <v>102745902.68991652</v>
      </c>
      <c r="S118" s="559">
        <f>$E$79-(SUM($H$79:H118)*$U$75)</f>
        <v>52761311.789999977</v>
      </c>
      <c r="T118" s="66"/>
      <c r="U118" s="726"/>
    </row>
    <row r="119" spans="1:21" s="65" customFormat="1" outlineLevel="1">
      <c r="A119" s="706"/>
      <c r="B119" s="108">
        <v>42094</v>
      </c>
      <c r="C119" s="108"/>
      <c r="D119" s="134"/>
      <c r="E119" s="712">
        <f t="shared" si="15"/>
        <v>52761311.789999977</v>
      </c>
      <c r="F119" s="713">
        <f t="shared" si="16"/>
        <v>141761311.78999987</v>
      </c>
      <c r="G119" s="98">
        <f t="shared" si="29"/>
        <v>141761311.7899999</v>
      </c>
      <c r="H119" s="364">
        <f t="shared" si="27"/>
        <v>590672.13245833281</v>
      </c>
      <c r="I119" s="98">
        <f t="shared" si="24"/>
        <v>-24217557.430791646</v>
      </c>
      <c r="J119" s="98">
        <f t="shared" si="20"/>
        <v>-20673524.636041649</v>
      </c>
      <c r="K119" s="98">
        <f t="shared" si="25"/>
        <v>121087787.15395826</v>
      </c>
      <c r="L119" s="1189">
        <f t="shared" si="14"/>
        <v>117543754.35920823</v>
      </c>
      <c r="M119" s="400">
        <f t="shared" si="21"/>
        <v>76943.579693749954</v>
      </c>
      <c r="N119" s="98">
        <f t="shared" si="30"/>
        <v>-15311580.222056277</v>
      </c>
      <c r="O119" s="98">
        <f t="shared" si="28"/>
        <v>-15773241.700218774</v>
      </c>
      <c r="P119" s="714">
        <f t="shared" si="26"/>
        <v>105314545.45373949</v>
      </c>
      <c r="Q119" s="93"/>
      <c r="R119" s="95">
        <f t="shared" si="23"/>
        <v>102232174.13715196</v>
      </c>
      <c r="S119" s="559">
        <f>$E$79-(SUM($H$79:H119)*$U$75)</f>
        <v>52761311.789999977</v>
      </c>
      <c r="T119" s="66"/>
      <c r="U119" s="726"/>
    </row>
    <row r="120" spans="1:21" s="65" customFormat="1" ht="12.75" customHeight="1" outlineLevel="1">
      <c r="A120" s="706"/>
      <c r="B120" s="108">
        <v>42124</v>
      </c>
      <c r="C120" s="108"/>
      <c r="D120" s="134"/>
      <c r="E120" s="712">
        <f t="shared" si="15"/>
        <v>52761311.789999977</v>
      </c>
      <c r="F120" s="713">
        <f t="shared" si="16"/>
        <v>141761311.78999987</v>
      </c>
      <c r="G120" s="98">
        <f t="shared" si="29"/>
        <v>141761311.7899999</v>
      </c>
      <c r="H120" s="364">
        <f t="shared" si="27"/>
        <v>590672.13245833281</v>
      </c>
      <c r="I120" s="98">
        <f t="shared" si="24"/>
        <v>-24808229.563249979</v>
      </c>
      <c r="J120" s="98">
        <f t="shared" si="20"/>
        <v>-21264196.768499982</v>
      </c>
      <c r="K120" s="98">
        <f t="shared" si="25"/>
        <v>120497115.02149992</v>
      </c>
      <c r="L120" s="1189">
        <f t="shared" si="14"/>
        <v>116953082.2267499</v>
      </c>
      <c r="M120" s="400">
        <f t="shared" si="21"/>
        <v>76943.579693749954</v>
      </c>
      <c r="N120" s="98">
        <f t="shared" si="30"/>
        <v>-15234636.642362528</v>
      </c>
      <c r="O120" s="98">
        <f t="shared" si="28"/>
        <v>-15696298.120525025</v>
      </c>
      <c r="P120" s="714">
        <f t="shared" si="26"/>
        <v>104800816.9009749</v>
      </c>
      <c r="Q120" s="93"/>
      <c r="R120" s="95">
        <f t="shared" si="23"/>
        <v>101718445.58438736</v>
      </c>
      <c r="S120" s="559">
        <f>$E$79-(SUM($H$79:H120)*$U$75)</f>
        <v>52761311.789999977</v>
      </c>
      <c r="T120" s="66"/>
      <c r="U120" s="726"/>
    </row>
    <row r="121" spans="1:21" s="65" customFormat="1" outlineLevel="1">
      <c r="A121" s="706"/>
      <c r="B121" s="108">
        <v>42155</v>
      </c>
      <c r="C121" s="108"/>
      <c r="D121" s="134"/>
      <c r="E121" s="712">
        <f t="shared" si="15"/>
        <v>52761311.789999977</v>
      </c>
      <c r="F121" s="713">
        <f t="shared" si="16"/>
        <v>141761311.78999987</v>
      </c>
      <c r="G121" s="98">
        <f t="shared" si="29"/>
        <v>141761311.7899999</v>
      </c>
      <c r="H121" s="364">
        <f t="shared" si="27"/>
        <v>590672.13245833281</v>
      </c>
      <c r="I121" s="98">
        <f t="shared" si="24"/>
        <v>-25398901.695708312</v>
      </c>
      <c r="J121" s="98">
        <f t="shared" si="20"/>
        <v>-21854868.900958315</v>
      </c>
      <c r="K121" s="98">
        <f t="shared" si="25"/>
        <v>119906442.88904159</v>
      </c>
      <c r="L121" s="1189">
        <f t="shared" si="14"/>
        <v>116362410.09429157</v>
      </c>
      <c r="M121" s="400">
        <f t="shared" si="21"/>
        <v>76943.579693749954</v>
      </c>
      <c r="N121" s="98">
        <f t="shared" si="30"/>
        <v>-15157693.062668778</v>
      </c>
      <c r="O121" s="98">
        <f t="shared" si="28"/>
        <v>-15619354.540831275</v>
      </c>
      <c r="P121" s="714">
        <f>O121+K121</f>
        <v>104287088.3482103</v>
      </c>
      <c r="Q121" s="93"/>
      <c r="R121" s="95">
        <f t="shared" si="23"/>
        <v>101204717.0316228</v>
      </c>
      <c r="S121" s="559">
        <f>$E$79-(SUM($H$79:H121)*$U$75)</f>
        <v>52761311.789999977</v>
      </c>
      <c r="T121" s="66"/>
      <c r="U121" s="726"/>
    </row>
    <row r="122" spans="1:21" s="65" customFormat="1" outlineLevel="1">
      <c r="A122" s="706"/>
      <c r="B122" s="108">
        <v>42185</v>
      </c>
      <c r="C122" s="108"/>
      <c r="D122" s="134"/>
      <c r="E122" s="712">
        <f t="shared" si="15"/>
        <v>52761311.789999977</v>
      </c>
      <c r="F122" s="713">
        <f t="shared" si="16"/>
        <v>141761311.78999987</v>
      </c>
      <c r="G122" s="98">
        <f t="shared" si="29"/>
        <v>141761311.7899999</v>
      </c>
      <c r="H122" s="364">
        <f t="shared" si="27"/>
        <v>590672.13245833281</v>
      </c>
      <c r="I122" s="98">
        <f t="shared" si="24"/>
        <v>-25989573.828166645</v>
      </c>
      <c r="J122" s="98">
        <f t="shared" si="20"/>
        <v>-22445541.033416644</v>
      </c>
      <c r="K122" s="98">
        <f t="shared" si="25"/>
        <v>119315770.75658326</v>
      </c>
      <c r="L122" s="1189">
        <f t="shared" si="14"/>
        <v>115771737.96183322</v>
      </c>
      <c r="M122" s="400">
        <f t="shared" si="21"/>
        <v>76943.579693749954</v>
      </c>
      <c r="N122" s="98">
        <f t="shared" si="30"/>
        <v>-15080749.482975028</v>
      </c>
      <c r="O122" s="98">
        <f t="shared" si="28"/>
        <v>-15542410.961137526</v>
      </c>
      <c r="P122" s="714">
        <f t="shared" si="26"/>
        <v>103773359.79544574</v>
      </c>
      <c r="Q122" s="93"/>
      <c r="R122" s="95">
        <f t="shared" si="23"/>
        <v>100690988.4788582</v>
      </c>
      <c r="S122" s="559">
        <f>$E$79-(SUM($H$79:H122)*$U$75)</f>
        <v>52761311.789999977</v>
      </c>
      <c r="T122" s="66"/>
      <c r="U122" s="726"/>
    </row>
    <row r="123" spans="1:21" s="65" customFormat="1">
      <c r="A123" s="706"/>
      <c r="B123" s="108">
        <v>42216</v>
      </c>
      <c r="C123" s="108"/>
      <c r="D123" s="134"/>
      <c r="E123" s="712">
        <f t="shared" si="15"/>
        <v>52761311.789999977</v>
      </c>
      <c r="F123" s="713">
        <f t="shared" si="16"/>
        <v>141761311.78999987</v>
      </c>
      <c r="G123" s="98">
        <f t="shared" si="29"/>
        <v>141761311.7899999</v>
      </c>
      <c r="H123" s="364">
        <f t="shared" si="27"/>
        <v>590672.13245833281</v>
      </c>
      <c r="I123" s="98">
        <f t="shared" si="24"/>
        <v>-26580245.960624978</v>
      </c>
      <c r="J123" s="98">
        <f t="shared" si="20"/>
        <v>-23036213.165874977</v>
      </c>
      <c r="K123" s="98">
        <f t="shared" si="25"/>
        <v>118725098.62412493</v>
      </c>
      <c r="L123" s="1189">
        <f t="shared" si="14"/>
        <v>115181065.82937489</v>
      </c>
      <c r="M123" s="400">
        <f t="shared" si="21"/>
        <v>76943.579693749954</v>
      </c>
      <c r="N123" s="98">
        <f t="shared" si="30"/>
        <v>-15003805.903281279</v>
      </c>
      <c r="O123" s="98">
        <f t="shared" si="28"/>
        <v>-15465467.381443776</v>
      </c>
      <c r="P123" s="714">
        <f t="shared" si="26"/>
        <v>103259631.24268115</v>
      </c>
      <c r="Q123" s="93"/>
      <c r="R123" s="95">
        <f t="shared" si="23"/>
        <v>100177259.92609361</v>
      </c>
      <c r="S123" s="559">
        <f>$E$79-(SUM($H$79:H123)*$U$75)</f>
        <v>52761311.789999977</v>
      </c>
      <c r="T123" s="66"/>
      <c r="U123" s="726"/>
    </row>
    <row r="124" spans="1:21" s="65" customFormat="1">
      <c r="A124" s="706"/>
      <c r="B124" s="108">
        <v>42247</v>
      </c>
      <c r="C124" s="108"/>
      <c r="D124" s="134"/>
      <c r="E124" s="712">
        <f t="shared" si="15"/>
        <v>52761311.789999977</v>
      </c>
      <c r="F124" s="713">
        <f t="shared" si="16"/>
        <v>141761311.78999987</v>
      </c>
      <c r="G124" s="98">
        <f t="shared" si="29"/>
        <v>141761311.7899999</v>
      </c>
      <c r="H124" s="364">
        <f t="shared" si="27"/>
        <v>590672.13245833281</v>
      </c>
      <c r="I124" s="98">
        <f t="shared" si="24"/>
        <v>-27170918.093083311</v>
      </c>
      <c r="J124" s="98">
        <f t="shared" si="20"/>
        <v>-23626885.298333306</v>
      </c>
      <c r="K124" s="98">
        <f t="shared" si="25"/>
        <v>118134426.4916666</v>
      </c>
      <c r="L124" s="1189">
        <f t="shared" si="14"/>
        <v>114590393.69691657</v>
      </c>
      <c r="M124" s="400">
        <f t="shared" si="21"/>
        <v>76943.579693749954</v>
      </c>
      <c r="N124" s="98">
        <f t="shared" si="30"/>
        <v>-14926862.323587529</v>
      </c>
      <c r="O124" s="98">
        <f t="shared" si="28"/>
        <v>-15388523.801750027</v>
      </c>
      <c r="P124" s="714">
        <f t="shared" si="26"/>
        <v>102745902.68991658</v>
      </c>
      <c r="Q124" s="93"/>
      <c r="R124" s="95">
        <f t="shared" si="23"/>
        <v>99663531.373329043</v>
      </c>
      <c r="S124" s="559">
        <f>$E$79-(SUM($H$79:H124)*$U$75)</f>
        <v>52761311.789999977</v>
      </c>
      <c r="T124" s="66"/>
      <c r="U124" s="726"/>
    </row>
    <row r="125" spans="1:21" s="65" customFormat="1">
      <c r="A125" s="706"/>
      <c r="B125" s="108">
        <v>42277</v>
      </c>
      <c r="C125" s="108"/>
      <c r="D125" s="134"/>
      <c r="E125" s="712">
        <f t="shared" si="15"/>
        <v>52761311.789999977</v>
      </c>
      <c r="F125" s="713">
        <f t="shared" si="16"/>
        <v>141761311.78999987</v>
      </c>
      <c r="G125" s="98">
        <f t="shared" si="29"/>
        <v>141761311.7899999</v>
      </c>
      <c r="H125" s="364">
        <f t="shared" si="27"/>
        <v>590672.13245833281</v>
      </c>
      <c r="I125" s="98">
        <f t="shared" si="24"/>
        <v>-27761590.225541644</v>
      </c>
      <c r="J125" s="98">
        <f t="shared" si="20"/>
        <v>-24217557.430791646</v>
      </c>
      <c r="K125" s="98">
        <f t="shared" si="25"/>
        <v>117543754.35920826</v>
      </c>
      <c r="L125" s="1189">
        <f t="shared" si="14"/>
        <v>113999721.56445822</v>
      </c>
      <c r="M125" s="400">
        <f t="shared" si="21"/>
        <v>76943.579693749954</v>
      </c>
      <c r="N125" s="98">
        <f t="shared" si="30"/>
        <v>-14849918.74389378</v>
      </c>
      <c r="O125" s="98">
        <f t="shared" si="28"/>
        <v>-15311580.222056277</v>
      </c>
      <c r="P125" s="714">
        <f t="shared" si="26"/>
        <v>102232174.13715199</v>
      </c>
      <c r="Q125" s="93"/>
      <c r="R125" s="95">
        <f t="shared" si="23"/>
        <v>99149802.820564449</v>
      </c>
      <c r="S125" s="559">
        <f>$E$79-(SUM($H$79:H125)*$U$75)</f>
        <v>52761311.789999977</v>
      </c>
      <c r="T125" s="66"/>
      <c r="U125" s="726"/>
    </row>
    <row r="126" spans="1:21" s="65" customFormat="1">
      <c r="A126" s="706"/>
      <c r="B126" s="108">
        <v>42308</v>
      </c>
      <c r="C126" s="108"/>
      <c r="D126" s="134"/>
      <c r="E126" s="712">
        <f t="shared" si="15"/>
        <v>52761311.789999977</v>
      </c>
      <c r="F126" s="713">
        <f t="shared" si="16"/>
        <v>141761311.78999987</v>
      </c>
      <c r="G126" s="98">
        <f t="shared" si="29"/>
        <v>141761311.7899999</v>
      </c>
      <c r="H126" s="364">
        <f t="shared" si="27"/>
        <v>590672.13245833281</v>
      </c>
      <c r="I126" s="98">
        <f t="shared" si="24"/>
        <v>-28352262.357999977</v>
      </c>
      <c r="J126" s="98">
        <f t="shared" si="20"/>
        <v>-24808229.563249979</v>
      </c>
      <c r="K126" s="98">
        <f t="shared" si="25"/>
        <v>116953082.22674993</v>
      </c>
      <c r="L126" s="1189">
        <f t="shared" si="14"/>
        <v>113409049.43199989</v>
      </c>
      <c r="M126" s="400">
        <f t="shared" si="21"/>
        <v>76943.579693749954</v>
      </c>
      <c r="N126" s="98">
        <f t="shared" si="30"/>
        <v>-14772975.16420003</v>
      </c>
      <c r="O126" s="98">
        <f t="shared" si="28"/>
        <v>-15234636.642362528</v>
      </c>
      <c r="P126" s="714">
        <f t="shared" si="26"/>
        <v>101718445.58438739</v>
      </c>
      <c r="Q126" s="93"/>
      <c r="R126" s="95">
        <f t="shared" si="23"/>
        <v>98636074.267799854</v>
      </c>
      <c r="S126" s="559">
        <f>$E$79-(SUM($H$79:H126)*$U$75)</f>
        <v>52761311.789999977</v>
      </c>
      <c r="T126" s="66"/>
      <c r="U126" s="726"/>
    </row>
    <row r="127" spans="1:21" s="65" customFormat="1">
      <c r="A127" s="706"/>
      <c r="B127" s="108">
        <v>42338</v>
      </c>
      <c r="C127" s="108"/>
      <c r="D127" s="134"/>
      <c r="E127" s="712">
        <f t="shared" si="15"/>
        <v>52761311.789999977</v>
      </c>
      <c r="F127" s="713">
        <f t="shared" si="16"/>
        <v>141761311.78999987</v>
      </c>
      <c r="G127" s="98">
        <f t="shared" si="29"/>
        <v>141761311.7899999</v>
      </c>
      <c r="H127" s="364">
        <f t="shared" si="27"/>
        <v>590672.13245833281</v>
      </c>
      <c r="I127" s="98">
        <f t="shared" si="24"/>
        <v>-28942934.49045831</v>
      </c>
      <c r="J127" s="98">
        <f t="shared" si="20"/>
        <v>-25398901.695708316</v>
      </c>
      <c r="K127" s="98">
        <f t="shared" si="25"/>
        <v>116362410.09429158</v>
      </c>
      <c r="L127" s="1189">
        <f t="shared" si="14"/>
        <v>112818377.29954156</v>
      </c>
      <c r="M127" s="400">
        <f t="shared" si="21"/>
        <v>76943.579693749954</v>
      </c>
      <c r="N127" s="98">
        <f t="shared" si="30"/>
        <v>-14696031.584506281</v>
      </c>
      <c r="O127" s="98">
        <f t="shared" si="28"/>
        <v>-15157693.062668778</v>
      </c>
      <c r="P127" s="714">
        <f t="shared" si="26"/>
        <v>101204717.0316228</v>
      </c>
      <c r="Q127" s="93"/>
      <c r="R127" s="95">
        <f t="shared" si="23"/>
        <v>98122345.71503529</v>
      </c>
      <c r="S127" s="559">
        <f>$E$79-(SUM($H$79:H127)*$U$75)</f>
        <v>52761311.789999977</v>
      </c>
      <c r="T127" s="66"/>
      <c r="U127" s="726"/>
    </row>
    <row r="128" spans="1:21" s="65" customFormat="1">
      <c r="A128" s="706"/>
      <c r="B128" s="108">
        <v>42369</v>
      </c>
      <c r="C128" s="108"/>
      <c r="D128" s="134"/>
      <c r="E128" s="712">
        <f t="shared" si="15"/>
        <v>52761311.789999977</v>
      </c>
      <c r="F128" s="713">
        <f t="shared" si="16"/>
        <v>141761311.78999987</v>
      </c>
      <c r="G128" s="98">
        <f t="shared" si="29"/>
        <v>141761311.7899999</v>
      </c>
      <c r="H128" s="364">
        <f t="shared" si="27"/>
        <v>590672.13245833281</v>
      </c>
      <c r="I128" s="98">
        <f t="shared" si="24"/>
        <v>-29533606.622916643</v>
      </c>
      <c r="J128" s="98">
        <f t="shared" si="20"/>
        <v>-25989573.828166649</v>
      </c>
      <c r="K128" s="98">
        <f t="shared" si="25"/>
        <v>115771737.96183325</v>
      </c>
      <c r="L128" s="1189">
        <f t="shared" si="14"/>
        <v>112227705.16708323</v>
      </c>
      <c r="M128" s="400">
        <f t="shared" si="21"/>
        <v>76943.579693749954</v>
      </c>
      <c r="N128" s="98">
        <f t="shared" si="30"/>
        <v>-14619088.004812531</v>
      </c>
      <c r="O128" s="98">
        <f t="shared" si="28"/>
        <v>-15080749.482975028</v>
      </c>
      <c r="P128" s="714">
        <f t="shared" si="26"/>
        <v>100690988.47885823</v>
      </c>
      <c r="Q128" s="93"/>
      <c r="R128" s="95">
        <f t="shared" si="23"/>
        <v>97608617.162270695</v>
      </c>
      <c r="S128" s="559">
        <f>$E$79-(SUM($H$79:H128)*$U$75)</f>
        <v>52761311.789999977</v>
      </c>
      <c r="T128" s="66"/>
      <c r="U128" s="726"/>
    </row>
    <row r="129" spans="1:21" s="1165" customFormat="1">
      <c r="A129" s="1151"/>
      <c r="B129" s="1152">
        <v>42400</v>
      </c>
      <c r="C129" s="1152"/>
      <c r="D129" s="1153"/>
      <c r="E129" s="1154">
        <f>D129+E128</f>
        <v>52761311.789999977</v>
      </c>
      <c r="F129" s="1155">
        <f>F128+D129</f>
        <v>141761311.78999987</v>
      </c>
      <c r="G129" s="1156">
        <f t="shared" si="29"/>
        <v>141761311.7899999</v>
      </c>
      <c r="H129" s="1157">
        <f t="shared" si="27"/>
        <v>590672.13245833281</v>
      </c>
      <c r="I129" s="1156">
        <f t="shared" si="24"/>
        <v>-30124278.755374976</v>
      </c>
      <c r="J129" s="1156">
        <f t="shared" si="20"/>
        <v>-26580245.960624982</v>
      </c>
      <c r="K129" s="1156">
        <f t="shared" si="25"/>
        <v>115181065.82937492</v>
      </c>
      <c r="L129" s="1189">
        <f t="shared" si="14"/>
        <v>111637033.0346249</v>
      </c>
      <c r="M129" s="1158">
        <f t="shared" si="21"/>
        <v>76943.579693749954</v>
      </c>
      <c r="N129" s="1156">
        <f t="shared" si="30"/>
        <v>-14542144.425118782</v>
      </c>
      <c r="O129" s="1156">
        <f t="shared" si="28"/>
        <v>-15003805.903281279</v>
      </c>
      <c r="P129" s="1159">
        <f t="shared" si="26"/>
        <v>100177259.92609364</v>
      </c>
      <c r="Q129" s="1167"/>
      <c r="R129" s="1161">
        <f t="shared" si="23"/>
        <v>97094888.60950613</v>
      </c>
      <c r="S129" s="1162">
        <f>$E$79-(SUM($H$79:H129)*$U$75)</f>
        <v>52761311.789999977</v>
      </c>
      <c r="T129" s="1163"/>
      <c r="U129" s="1164"/>
    </row>
    <row r="130" spans="1:21" s="65" customFormat="1">
      <c r="A130" s="706"/>
      <c r="B130" s="108">
        <v>42428</v>
      </c>
      <c r="C130" s="108"/>
      <c r="D130" s="134"/>
      <c r="E130" s="712">
        <f t="shared" si="15"/>
        <v>52761311.789999977</v>
      </c>
      <c r="F130" s="713">
        <f t="shared" si="16"/>
        <v>141761311.78999987</v>
      </c>
      <c r="G130" s="98">
        <f t="shared" si="29"/>
        <v>141761311.7899999</v>
      </c>
      <c r="H130" s="364">
        <f t="shared" si="27"/>
        <v>590672.13245833281</v>
      </c>
      <c r="I130" s="98">
        <f t="shared" si="24"/>
        <v>-30714950.887833308</v>
      </c>
      <c r="J130" s="98">
        <f t="shared" si="20"/>
        <v>-27170918.093083311</v>
      </c>
      <c r="K130" s="98">
        <f t="shared" si="25"/>
        <v>114590393.6969166</v>
      </c>
      <c r="L130" s="1189">
        <f t="shared" si="14"/>
        <v>111046360.90216656</v>
      </c>
      <c r="M130" s="400">
        <f t="shared" si="21"/>
        <v>76943.579693749954</v>
      </c>
      <c r="N130" s="98">
        <f t="shared" si="30"/>
        <v>-14465200.845425032</v>
      </c>
      <c r="O130" s="98">
        <f t="shared" si="28"/>
        <v>-14926862.323587529</v>
      </c>
      <c r="P130" s="714">
        <f t="shared" si="26"/>
        <v>99663531.373329073</v>
      </c>
      <c r="Q130" s="93"/>
      <c r="R130" s="95">
        <f t="shared" si="23"/>
        <v>96581160.056741536</v>
      </c>
      <c r="S130" s="559">
        <f>$E$79-(SUM($H$79:H130)*$U$75)</f>
        <v>52761311.789999977</v>
      </c>
      <c r="T130" s="66"/>
      <c r="U130" s="726"/>
    </row>
    <row r="131" spans="1:21" s="65" customFormat="1">
      <c r="A131" s="706"/>
      <c r="B131" s="108">
        <v>42460</v>
      </c>
      <c r="C131" s="108"/>
      <c r="D131" s="134"/>
      <c r="E131" s="712">
        <f t="shared" si="15"/>
        <v>52761311.789999977</v>
      </c>
      <c r="F131" s="713">
        <f t="shared" si="16"/>
        <v>141761311.78999987</v>
      </c>
      <c r="G131" s="98">
        <f t="shared" si="29"/>
        <v>141761311.7899999</v>
      </c>
      <c r="H131" s="364">
        <f t="shared" si="27"/>
        <v>590672.13245833281</v>
      </c>
      <c r="I131" s="98">
        <f t="shared" si="24"/>
        <v>-31305623.020291641</v>
      </c>
      <c r="J131" s="98">
        <f t="shared" si="20"/>
        <v>-27761590.225541648</v>
      </c>
      <c r="K131" s="98">
        <f t="shared" si="25"/>
        <v>113999721.56445825</v>
      </c>
      <c r="L131" s="1189">
        <f t="shared" si="14"/>
        <v>110455688.76970823</v>
      </c>
      <c r="M131" s="400">
        <f t="shared" si="21"/>
        <v>76943.579693749954</v>
      </c>
      <c r="N131" s="98">
        <f t="shared" si="30"/>
        <v>-14388257.265731283</v>
      </c>
      <c r="O131" s="98">
        <f t="shared" si="28"/>
        <v>-14849918.74389378</v>
      </c>
      <c r="P131" s="714">
        <f t="shared" si="26"/>
        <v>99149802.820564479</v>
      </c>
      <c r="Q131" s="93"/>
      <c r="R131" s="95">
        <f t="shared" si="23"/>
        <v>96067431.503976941</v>
      </c>
      <c r="S131" s="559">
        <f>$E$79-(SUM($H$79:H131)*$U$75)</f>
        <v>52761311.789999977</v>
      </c>
      <c r="T131" s="66"/>
      <c r="U131" s="726"/>
    </row>
    <row r="132" spans="1:21" s="65" customFormat="1">
      <c r="A132" s="706"/>
      <c r="B132" s="108">
        <v>42490</v>
      </c>
      <c r="C132" s="108"/>
      <c r="D132" s="134"/>
      <c r="E132" s="712">
        <f t="shared" si="15"/>
        <v>52761311.789999977</v>
      </c>
      <c r="F132" s="713">
        <f t="shared" si="16"/>
        <v>141761311.78999987</v>
      </c>
      <c r="G132" s="98">
        <f t="shared" si="29"/>
        <v>141761311.7899999</v>
      </c>
      <c r="H132" s="364">
        <f t="shared" si="27"/>
        <v>590672.13245833281</v>
      </c>
      <c r="I132" s="98">
        <f t="shared" si="24"/>
        <v>-31896295.152749974</v>
      </c>
      <c r="J132" s="98">
        <f t="shared" si="20"/>
        <v>-28352262.357999977</v>
      </c>
      <c r="K132" s="98">
        <f t="shared" si="25"/>
        <v>113409049.43199992</v>
      </c>
      <c r="L132" s="1189">
        <f t="shared" si="14"/>
        <v>109865016.6372499</v>
      </c>
      <c r="M132" s="400">
        <f t="shared" si="21"/>
        <v>76943.579693749954</v>
      </c>
      <c r="N132" s="98">
        <f t="shared" si="30"/>
        <v>-14311313.686037533</v>
      </c>
      <c r="O132" s="98">
        <f t="shared" si="28"/>
        <v>-14772975.16420003</v>
      </c>
      <c r="P132" s="714">
        <f t="shared" si="26"/>
        <v>98636074.267799884</v>
      </c>
      <c r="Q132" s="93"/>
      <c r="R132" s="95">
        <f t="shared" si="23"/>
        <v>95553702.951212376</v>
      </c>
      <c r="S132" s="559">
        <f>$E$79-(SUM($H$79:H132)*$U$75)</f>
        <v>52761311.789999977</v>
      </c>
      <c r="T132" s="66"/>
      <c r="U132" s="726"/>
    </row>
    <row r="133" spans="1:21" s="65" customFormat="1">
      <c r="A133" s="706"/>
      <c r="B133" s="108">
        <v>42521</v>
      </c>
      <c r="C133" s="108"/>
      <c r="D133" s="134"/>
      <c r="E133" s="712">
        <f t="shared" si="15"/>
        <v>52761311.789999977</v>
      </c>
      <c r="F133" s="713">
        <f t="shared" si="16"/>
        <v>141761311.78999987</v>
      </c>
      <c r="G133" s="98">
        <f t="shared" si="29"/>
        <v>141761311.7899999</v>
      </c>
      <c r="H133" s="364">
        <f t="shared" si="27"/>
        <v>590672.13245833281</v>
      </c>
      <c r="I133" s="98">
        <f t="shared" si="24"/>
        <v>-32486967.285208307</v>
      </c>
      <c r="J133" s="98">
        <f t="shared" si="20"/>
        <v>-28942934.490458306</v>
      </c>
      <c r="K133" s="98">
        <f t="shared" si="25"/>
        <v>112818377.29954159</v>
      </c>
      <c r="L133" s="1189">
        <f t="shared" si="14"/>
        <v>109274344.50479156</v>
      </c>
      <c r="M133" s="400">
        <f t="shared" si="21"/>
        <v>76943.579693749954</v>
      </c>
      <c r="N133" s="98">
        <f t="shared" si="30"/>
        <v>-14234370.106343783</v>
      </c>
      <c r="O133" s="98">
        <f t="shared" si="28"/>
        <v>-14696031.584506281</v>
      </c>
      <c r="P133" s="714">
        <f t="shared" si="26"/>
        <v>98122345.715035319</v>
      </c>
      <c r="Q133" s="93"/>
      <c r="R133" s="95">
        <f t="shared" si="23"/>
        <v>95039974.398447782</v>
      </c>
      <c r="S133" s="559">
        <f>$E$79-(SUM($H$79:H133)*$U$75)</f>
        <v>52761311.789999977</v>
      </c>
      <c r="T133" s="66"/>
      <c r="U133" s="726"/>
    </row>
    <row r="134" spans="1:21" s="65" customFormat="1">
      <c r="A134" s="706"/>
      <c r="B134" s="108">
        <v>42551</v>
      </c>
      <c r="C134" s="108"/>
      <c r="D134" s="134"/>
      <c r="E134" s="712">
        <f t="shared" si="15"/>
        <v>52761311.789999977</v>
      </c>
      <c r="F134" s="713">
        <f t="shared" si="16"/>
        <v>141761311.78999987</v>
      </c>
      <c r="G134" s="98">
        <f t="shared" si="29"/>
        <v>141761311.7899999</v>
      </c>
      <c r="H134" s="364">
        <f t="shared" si="27"/>
        <v>590672.13245833281</v>
      </c>
      <c r="I134" s="98">
        <f t="shared" si="24"/>
        <v>-33077639.41766664</v>
      </c>
      <c r="J134" s="98">
        <f t="shared" si="20"/>
        <v>-29533606.622916639</v>
      </c>
      <c r="K134" s="98">
        <f t="shared" si="25"/>
        <v>112227705.16708326</v>
      </c>
      <c r="L134" s="1189">
        <f t="shared" si="14"/>
        <v>108683672.37233323</v>
      </c>
      <c r="M134" s="400">
        <f t="shared" si="21"/>
        <v>76943.579693749954</v>
      </c>
      <c r="N134" s="98">
        <f t="shared" si="30"/>
        <v>-14157426.526650034</v>
      </c>
      <c r="O134" s="98">
        <f t="shared" si="28"/>
        <v>-14619088.004812531</v>
      </c>
      <c r="P134" s="714">
        <f t="shared" si="26"/>
        <v>97608617.162270725</v>
      </c>
      <c r="Q134" s="93"/>
      <c r="R134" s="95">
        <f t="shared" si="23"/>
        <v>94526245.845683187</v>
      </c>
      <c r="S134" s="559">
        <f>$E$79-(SUM($H$79:H134)*$U$75)</f>
        <v>52761311.789999977</v>
      </c>
      <c r="T134" s="66"/>
      <c r="U134" s="726"/>
    </row>
    <row r="135" spans="1:21" s="65" customFormat="1">
      <c r="A135" s="706"/>
      <c r="B135" s="108">
        <v>42582</v>
      </c>
      <c r="C135" s="108"/>
      <c r="D135" s="134"/>
      <c r="E135" s="712">
        <f t="shared" si="15"/>
        <v>52761311.789999977</v>
      </c>
      <c r="F135" s="713">
        <f t="shared" si="16"/>
        <v>141761311.78999987</v>
      </c>
      <c r="G135" s="98">
        <f t="shared" si="29"/>
        <v>141761311.7899999</v>
      </c>
      <c r="H135" s="364">
        <f t="shared" si="27"/>
        <v>590672.13245833281</v>
      </c>
      <c r="I135" s="98">
        <f t="shared" si="24"/>
        <v>-33668311.550124973</v>
      </c>
      <c r="J135" s="98">
        <f t="shared" si="20"/>
        <v>-30124278.755374972</v>
      </c>
      <c r="K135" s="98">
        <f t="shared" si="25"/>
        <v>111637033.03462493</v>
      </c>
      <c r="L135" s="1189">
        <f t="shared" si="14"/>
        <v>108093000.2398749</v>
      </c>
      <c r="M135" s="400">
        <f t="shared" si="21"/>
        <v>76943.579693749954</v>
      </c>
      <c r="N135" s="98">
        <f t="shared" si="30"/>
        <v>-14080482.946956284</v>
      </c>
      <c r="O135" s="98">
        <f t="shared" si="28"/>
        <v>-14542144.425118782</v>
      </c>
      <c r="P135" s="714">
        <f t="shared" si="26"/>
        <v>97094888.60950616</v>
      </c>
      <c r="Q135" s="93"/>
      <c r="R135" s="95">
        <f t="shared" si="23"/>
        <v>94012517.292918622</v>
      </c>
      <c r="S135" s="559">
        <f>$E$79-(SUM($H$79:H135)*$U$75)</f>
        <v>52761311.789999977</v>
      </c>
      <c r="T135" s="66"/>
      <c r="U135" s="726"/>
    </row>
    <row r="136" spans="1:21" s="65" customFormat="1">
      <c r="A136" s="706"/>
      <c r="B136" s="108">
        <v>42613</v>
      </c>
      <c r="C136" s="108"/>
      <c r="D136" s="134"/>
      <c r="E136" s="712">
        <f t="shared" si="15"/>
        <v>52761311.789999977</v>
      </c>
      <c r="F136" s="713">
        <f t="shared" si="16"/>
        <v>141761311.78999987</v>
      </c>
      <c r="G136" s="98">
        <f t="shared" si="29"/>
        <v>141761311.7899999</v>
      </c>
      <c r="H136" s="364">
        <f t="shared" si="27"/>
        <v>590672.13245833281</v>
      </c>
      <c r="I136" s="98">
        <f t="shared" si="24"/>
        <v>-34258983.682583302</v>
      </c>
      <c r="J136" s="98">
        <f t="shared" si="20"/>
        <v>-30714950.887833301</v>
      </c>
      <c r="K136" s="98">
        <f t="shared" si="25"/>
        <v>111046360.9021666</v>
      </c>
      <c r="L136" s="1189">
        <f t="shared" si="14"/>
        <v>107502328.10741657</v>
      </c>
      <c r="M136" s="400">
        <f t="shared" si="21"/>
        <v>76943.579693749954</v>
      </c>
      <c r="N136" s="98">
        <f t="shared" si="30"/>
        <v>-14003539.367262535</v>
      </c>
      <c r="O136" s="98">
        <f t="shared" si="28"/>
        <v>-14465200.845425032</v>
      </c>
      <c r="P136" s="714">
        <f t="shared" si="26"/>
        <v>96581160.056741565</v>
      </c>
      <c r="Q136" s="104"/>
      <c r="R136" s="95">
        <f t="shared" si="23"/>
        <v>93498788.740154028</v>
      </c>
      <c r="S136" s="559">
        <f>$E$79-(SUM($H$79:H136)*$U$75)</f>
        <v>52761311.789999977</v>
      </c>
      <c r="T136" s="66"/>
      <c r="U136" s="726"/>
    </row>
    <row r="137" spans="1:21" s="65" customFormat="1">
      <c r="A137" s="706"/>
      <c r="B137" s="108">
        <v>42643</v>
      </c>
      <c r="C137" s="108"/>
      <c r="D137" s="134"/>
      <c r="E137" s="712">
        <f t="shared" si="15"/>
        <v>52761311.789999977</v>
      </c>
      <c r="F137" s="713">
        <f t="shared" si="16"/>
        <v>141761311.78999987</v>
      </c>
      <c r="G137" s="98">
        <f t="shared" si="29"/>
        <v>141761311.7899999</v>
      </c>
      <c r="H137" s="364">
        <f t="shared" si="27"/>
        <v>590672.13245833281</v>
      </c>
      <c r="I137" s="98">
        <f t="shared" si="24"/>
        <v>-34849655.815041631</v>
      </c>
      <c r="J137" s="98">
        <f t="shared" si="20"/>
        <v>-31305623.020291641</v>
      </c>
      <c r="K137" s="98">
        <f t="shared" si="25"/>
        <v>110455688.76970826</v>
      </c>
      <c r="L137" s="1189">
        <f t="shared" si="14"/>
        <v>106911655.97495824</v>
      </c>
      <c r="M137" s="400">
        <f t="shared" si="21"/>
        <v>76943.579693749954</v>
      </c>
      <c r="N137" s="98">
        <f t="shared" si="30"/>
        <v>-13926595.787568785</v>
      </c>
      <c r="O137" s="98">
        <f t="shared" si="28"/>
        <v>-14388257.265731283</v>
      </c>
      <c r="P137" s="714">
        <f t="shared" si="26"/>
        <v>96067431.503976971</v>
      </c>
      <c r="Q137" s="104"/>
      <c r="R137" s="95">
        <f t="shared" si="23"/>
        <v>92985060.187389463</v>
      </c>
      <c r="S137" s="559">
        <f>$E$79-(SUM($H$79:H137)*$U$75)</f>
        <v>52761311.789999977</v>
      </c>
      <c r="T137" s="66"/>
      <c r="U137" s="726"/>
    </row>
    <row r="138" spans="1:21" s="65" customFormat="1">
      <c r="A138" s="706"/>
      <c r="B138" s="108">
        <v>42674</v>
      </c>
      <c r="C138" s="108"/>
      <c r="D138" s="134"/>
      <c r="E138" s="712">
        <f t="shared" si="15"/>
        <v>52761311.789999977</v>
      </c>
      <c r="F138" s="713">
        <f t="shared" si="16"/>
        <v>141761311.78999987</v>
      </c>
      <c r="G138" s="98">
        <f t="shared" si="29"/>
        <v>141761311.7899999</v>
      </c>
      <c r="H138" s="364">
        <f t="shared" si="27"/>
        <v>590672.13245833281</v>
      </c>
      <c r="I138" s="98">
        <f t="shared" si="24"/>
        <v>-35440327.947499961</v>
      </c>
      <c r="J138" s="98">
        <f t="shared" si="20"/>
        <v>-31896295.152749982</v>
      </c>
      <c r="K138" s="98">
        <f t="shared" si="25"/>
        <v>109865016.63724992</v>
      </c>
      <c r="L138" s="1189">
        <f t="shared" si="14"/>
        <v>106320983.84249991</v>
      </c>
      <c r="M138" s="400">
        <f t="shared" si="21"/>
        <v>76943.579693749954</v>
      </c>
      <c r="N138" s="98">
        <f t="shared" si="30"/>
        <v>-13849652.207875036</v>
      </c>
      <c r="O138" s="98">
        <f t="shared" si="28"/>
        <v>-14311313.686037533</v>
      </c>
      <c r="P138" s="714">
        <f t="shared" si="26"/>
        <v>95553702.951212376</v>
      </c>
      <c r="Q138" s="104"/>
      <c r="R138" s="95">
        <f t="shared" si="23"/>
        <v>92471331.634624869</v>
      </c>
      <c r="S138" s="559">
        <f>$E$79-(SUM($H$79:H138)*$U$75)</f>
        <v>52761311.789999977</v>
      </c>
      <c r="T138" s="66"/>
      <c r="U138" s="726"/>
    </row>
    <row r="139" spans="1:21" s="65" customFormat="1">
      <c r="A139" s="706"/>
      <c r="B139" s="108">
        <v>42704</v>
      </c>
      <c r="C139" s="108"/>
      <c r="D139" s="134"/>
      <c r="E139" s="712">
        <f t="shared" si="15"/>
        <v>52761311.789999977</v>
      </c>
      <c r="F139" s="713">
        <f t="shared" si="16"/>
        <v>141761311.78999987</v>
      </c>
      <c r="G139" s="98">
        <f t="shared" si="29"/>
        <v>141761311.7899999</v>
      </c>
      <c r="H139" s="364">
        <f t="shared" si="27"/>
        <v>590672.13245833281</v>
      </c>
      <c r="I139" s="98">
        <f t="shared" ref="I139:I202" si="31">I138-H139</f>
        <v>-36031000.07995829</v>
      </c>
      <c r="J139" s="98">
        <f t="shared" si="20"/>
        <v>-32486967.285208311</v>
      </c>
      <c r="K139" s="98">
        <f t="shared" si="25"/>
        <v>109274344.50479159</v>
      </c>
      <c r="L139" s="1189">
        <f t="shared" si="14"/>
        <v>105730311.71004158</v>
      </c>
      <c r="M139" s="400">
        <f t="shared" si="21"/>
        <v>76943.579693749954</v>
      </c>
      <c r="N139" s="98">
        <f t="shared" si="30"/>
        <v>-13772708.628181286</v>
      </c>
      <c r="O139" s="98">
        <f t="shared" si="28"/>
        <v>-14234370.106343783</v>
      </c>
      <c r="P139" s="714">
        <f t="shared" si="26"/>
        <v>95039974.398447812</v>
      </c>
      <c r="Q139" s="104"/>
      <c r="R139" s="95">
        <f t="shared" si="23"/>
        <v>91957603.081860304</v>
      </c>
      <c r="S139" s="559">
        <f>$E$79-(SUM($H$79:H139)*$U$75)</f>
        <v>52761311.789999977</v>
      </c>
      <c r="T139" s="66"/>
      <c r="U139" s="726"/>
    </row>
    <row r="140" spans="1:21" s="65" customFormat="1">
      <c r="A140" s="706"/>
      <c r="B140" s="108">
        <v>42735</v>
      </c>
      <c r="C140" s="108"/>
      <c r="D140" s="134"/>
      <c r="E140" s="712">
        <f t="shared" si="15"/>
        <v>52761311.789999977</v>
      </c>
      <c r="F140" s="713">
        <f t="shared" si="16"/>
        <v>141761311.78999987</v>
      </c>
      <c r="G140" s="98">
        <f t="shared" si="29"/>
        <v>141761311.7899999</v>
      </c>
      <c r="H140" s="364">
        <f t="shared" si="27"/>
        <v>590672.13245833281</v>
      </c>
      <c r="I140" s="98">
        <f t="shared" si="31"/>
        <v>-36621672.212416619</v>
      </c>
      <c r="J140" s="98">
        <f t="shared" si="20"/>
        <v>-33077639.41766664</v>
      </c>
      <c r="K140" s="98">
        <f t="shared" si="25"/>
        <v>108683672.37233326</v>
      </c>
      <c r="L140" s="1189">
        <f t="shared" si="14"/>
        <v>105139639.57758325</v>
      </c>
      <c r="M140" s="400">
        <f t="shared" si="21"/>
        <v>76943.579693749954</v>
      </c>
      <c r="N140" s="98">
        <f t="shared" si="30"/>
        <v>-13695765.048487537</v>
      </c>
      <c r="O140" s="98">
        <f t="shared" si="28"/>
        <v>-14157426.526650034</v>
      </c>
      <c r="P140" s="714">
        <f t="shared" si="26"/>
        <v>94526245.845683217</v>
      </c>
      <c r="Q140" s="104"/>
      <c r="R140" s="95">
        <f t="shared" si="23"/>
        <v>91443874.529095709</v>
      </c>
      <c r="S140" s="559">
        <f>$E$79-(SUM($H$79:H140)*$U$75)</f>
        <v>52761311.789999977</v>
      </c>
      <c r="T140" s="66"/>
      <c r="U140" s="726"/>
    </row>
    <row r="141" spans="1:21" s="1165" customFormat="1">
      <c r="A141" s="1151"/>
      <c r="B141" s="1152">
        <v>42766</v>
      </c>
      <c r="C141" s="1152"/>
      <c r="D141" s="1153"/>
      <c r="E141" s="1154">
        <f t="shared" si="15"/>
        <v>52761311.789999977</v>
      </c>
      <c r="F141" s="1155">
        <f t="shared" si="16"/>
        <v>141761311.78999987</v>
      </c>
      <c r="G141" s="1156">
        <f t="shared" si="29"/>
        <v>141761311.7899999</v>
      </c>
      <c r="H141" s="1157">
        <f t="shared" si="27"/>
        <v>590672.13245833281</v>
      </c>
      <c r="I141" s="1156">
        <f t="shared" si="31"/>
        <v>-37212344.344874948</v>
      </c>
      <c r="J141" s="1156">
        <f t="shared" si="20"/>
        <v>-33668311.550124966</v>
      </c>
      <c r="K141" s="1156">
        <f t="shared" si="25"/>
        <v>108093000.23987493</v>
      </c>
      <c r="L141" s="1189">
        <f t="shared" ref="L141:L204" si="32">F141+I141</f>
        <v>104548967.44512492</v>
      </c>
      <c r="M141" s="1158">
        <f t="shared" si="21"/>
        <v>76943.579693749954</v>
      </c>
      <c r="N141" s="1156">
        <f t="shared" si="30"/>
        <v>-13618821.468793787</v>
      </c>
      <c r="O141" s="1156">
        <f t="shared" si="28"/>
        <v>-14080482.946956284</v>
      </c>
      <c r="P141" s="1159">
        <f t="shared" si="26"/>
        <v>94012517.292918652</v>
      </c>
      <c r="Q141" s="1160"/>
      <c r="R141" s="1161">
        <f t="shared" si="23"/>
        <v>90930145.976331145</v>
      </c>
      <c r="S141" s="1162">
        <f>$E$79-(SUM($H$79:H141)*$U$75)</f>
        <v>52761311.789999977</v>
      </c>
      <c r="T141" s="1163"/>
      <c r="U141" s="1164"/>
    </row>
    <row r="142" spans="1:21" s="65" customFormat="1" ht="12.75" customHeight="1">
      <c r="A142" s="706"/>
      <c r="B142" s="108">
        <v>42794</v>
      </c>
      <c r="C142" s="108"/>
      <c r="D142" s="134"/>
      <c r="E142" s="712">
        <f t="shared" ref="E142:E205" si="33">D142+E141</f>
        <v>52761311.789999977</v>
      </c>
      <c r="F142" s="713">
        <f t="shared" ref="F142:F205" si="34">F141+D142</f>
        <v>141761311.78999987</v>
      </c>
      <c r="G142" s="98">
        <f t="shared" si="29"/>
        <v>141761311.7899999</v>
      </c>
      <c r="H142" s="364">
        <f t="shared" si="27"/>
        <v>590672.13245833281</v>
      </c>
      <c r="I142" s="98">
        <f t="shared" si="31"/>
        <v>-37803016.477333277</v>
      </c>
      <c r="J142" s="98">
        <f t="shared" si="20"/>
        <v>-34258983.682583295</v>
      </c>
      <c r="K142" s="98">
        <f t="shared" si="25"/>
        <v>107502328.1074166</v>
      </c>
      <c r="L142" s="1189">
        <f t="shared" si="32"/>
        <v>103958295.31266659</v>
      </c>
      <c r="M142" s="400">
        <f t="shared" si="21"/>
        <v>76943.579693749954</v>
      </c>
      <c r="N142" s="98">
        <f t="shared" si="30"/>
        <v>-13541877.889100038</v>
      </c>
      <c r="O142" s="98">
        <f t="shared" si="28"/>
        <v>-14003539.367262535</v>
      </c>
      <c r="P142" s="714">
        <f t="shared" si="26"/>
        <v>93498788.740154058</v>
      </c>
      <c r="Q142" s="104"/>
      <c r="R142" s="95">
        <f t="shared" si="23"/>
        <v>90416417.42356655</v>
      </c>
      <c r="S142" s="559">
        <f>$E$79-(SUM($H$79:H142)*$U$75)</f>
        <v>52761311.789999977</v>
      </c>
      <c r="T142" s="66"/>
      <c r="U142" s="726"/>
    </row>
    <row r="143" spans="1:21" s="65" customFormat="1" ht="12.75" customHeight="1">
      <c r="A143" s="706"/>
      <c r="B143" s="108">
        <v>42825</v>
      </c>
      <c r="C143" s="108"/>
      <c r="D143" s="134"/>
      <c r="E143" s="712">
        <f t="shared" si="33"/>
        <v>52761311.789999977</v>
      </c>
      <c r="F143" s="713">
        <f t="shared" si="34"/>
        <v>141761311.78999987</v>
      </c>
      <c r="G143" s="98">
        <f t="shared" si="29"/>
        <v>141761311.7899999</v>
      </c>
      <c r="H143" s="364">
        <f t="shared" si="27"/>
        <v>590672.13245833281</v>
      </c>
      <c r="I143" s="98">
        <f t="shared" si="31"/>
        <v>-38393688.609791607</v>
      </c>
      <c r="J143" s="98">
        <f t="shared" si="20"/>
        <v>-34849655.815041639</v>
      </c>
      <c r="K143" s="98">
        <f t="shared" si="25"/>
        <v>106911655.97495827</v>
      </c>
      <c r="L143" s="1189">
        <f t="shared" si="32"/>
        <v>103367623.18020827</v>
      </c>
      <c r="M143" s="400">
        <f t="shared" si="21"/>
        <v>76943.579693749954</v>
      </c>
      <c r="N143" s="98">
        <f t="shared" si="30"/>
        <v>-13464934.309406288</v>
      </c>
      <c r="O143" s="98">
        <f t="shared" si="28"/>
        <v>-13926595.787568785</v>
      </c>
      <c r="P143" s="714">
        <f t="shared" si="26"/>
        <v>92985060.187389493</v>
      </c>
      <c r="Q143" s="104"/>
      <c r="R143" s="95">
        <f t="shared" si="23"/>
        <v>89902688.870801985</v>
      </c>
      <c r="S143" s="559">
        <f>$E$79-(SUM($H$79:H143)*$U$75)</f>
        <v>52761311.789999977</v>
      </c>
      <c r="T143" s="66"/>
      <c r="U143" s="726"/>
    </row>
    <row r="144" spans="1:21" s="65" customFormat="1">
      <c r="A144" s="706"/>
      <c r="B144" s="108">
        <v>42855</v>
      </c>
      <c r="C144" s="108"/>
      <c r="D144" s="134"/>
      <c r="E144" s="712">
        <f t="shared" si="33"/>
        <v>52761311.789999977</v>
      </c>
      <c r="F144" s="713">
        <f t="shared" si="34"/>
        <v>141761311.78999987</v>
      </c>
      <c r="G144" s="98">
        <f t="shared" si="29"/>
        <v>141761311.7899999</v>
      </c>
      <c r="H144" s="364">
        <f t="shared" si="27"/>
        <v>590672.13245833281</v>
      </c>
      <c r="I144" s="98">
        <f t="shared" si="31"/>
        <v>-38984360.742249936</v>
      </c>
      <c r="J144" s="98">
        <f t="shared" ref="J144:J207" si="35">(I132+I144+SUM(I133:I143)*2)/24</f>
        <v>-35440327.947499968</v>
      </c>
      <c r="K144" s="98">
        <f t="shared" si="25"/>
        <v>106320983.84249994</v>
      </c>
      <c r="L144" s="1189">
        <f t="shared" si="32"/>
        <v>102776951.04774994</v>
      </c>
      <c r="M144" s="400">
        <f t="shared" ref="M144:M207" si="36">(E144/240*0.35)</f>
        <v>76943.579693749954</v>
      </c>
      <c r="N144" s="98">
        <f t="shared" si="30"/>
        <v>-13387990.729712538</v>
      </c>
      <c r="O144" s="98">
        <f t="shared" si="28"/>
        <v>-13849652.207875036</v>
      </c>
      <c r="P144" s="714">
        <f t="shared" si="26"/>
        <v>92471331.634624898</v>
      </c>
      <c r="Q144" s="104"/>
      <c r="R144" s="95">
        <f t="shared" si="23"/>
        <v>89388960.318037391</v>
      </c>
      <c r="S144" s="559">
        <f>$E$79-(SUM($H$79:H144)*$U$75)</f>
        <v>52761311.789999977</v>
      </c>
      <c r="T144" s="66"/>
      <c r="U144" s="726"/>
    </row>
    <row r="145" spans="1:21" s="65" customFormat="1">
      <c r="A145" s="706"/>
      <c r="B145" s="108">
        <v>42886</v>
      </c>
      <c r="C145" s="108"/>
      <c r="D145" s="134"/>
      <c r="E145" s="712">
        <f t="shared" si="33"/>
        <v>52761311.789999977</v>
      </c>
      <c r="F145" s="713">
        <f t="shared" si="34"/>
        <v>141761311.78999987</v>
      </c>
      <c r="G145" s="98">
        <f t="shared" si="29"/>
        <v>141761311.7899999</v>
      </c>
      <c r="H145" s="364">
        <f t="shared" si="27"/>
        <v>590672.13245833281</v>
      </c>
      <c r="I145" s="98">
        <f t="shared" si="31"/>
        <v>-39575032.874708265</v>
      </c>
      <c r="J145" s="98">
        <f t="shared" si="35"/>
        <v>-36031000.079958297</v>
      </c>
      <c r="K145" s="98">
        <f t="shared" si="25"/>
        <v>105730311.71004161</v>
      </c>
      <c r="L145" s="1189">
        <f t="shared" si="32"/>
        <v>102186278.91529161</v>
      </c>
      <c r="M145" s="400">
        <f t="shared" si="36"/>
        <v>76943.579693749954</v>
      </c>
      <c r="N145" s="98">
        <f>N144+M145</f>
        <v>-13311047.150018789</v>
      </c>
      <c r="O145" s="98">
        <f t="shared" si="28"/>
        <v>-13772708.628181286</v>
      </c>
      <c r="P145" s="714">
        <f t="shared" si="26"/>
        <v>91957603.081860334</v>
      </c>
      <c r="Q145" s="104"/>
      <c r="R145" s="95">
        <f t="shared" ref="R145:R208" si="37">F145+I145+N145</f>
        <v>88875231.765272826</v>
      </c>
      <c r="S145" s="559">
        <f>$E$79-(SUM($H$79:H145)*$U$75)</f>
        <v>52761311.789999977</v>
      </c>
      <c r="T145" s="66"/>
      <c r="U145" s="726"/>
    </row>
    <row r="146" spans="1:21" s="65" customFormat="1" ht="12.75" customHeight="1">
      <c r="A146" s="706"/>
      <c r="B146" s="108">
        <v>42916</v>
      </c>
      <c r="C146" s="108"/>
      <c r="D146" s="134"/>
      <c r="E146" s="712">
        <f t="shared" si="33"/>
        <v>52761311.789999977</v>
      </c>
      <c r="F146" s="713">
        <f t="shared" si="34"/>
        <v>141761311.78999987</v>
      </c>
      <c r="G146" s="98">
        <f t="shared" si="29"/>
        <v>141761311.7899999</v>
      </c>
      <c r="H146" s="364">
        <f t="shared" si="27"/>
        <v>590672.13245833281</v>
      </c>
      <c r="I146" s="98">
        <f t="shared" si="31"/>
        <v>-40165705.007166594</v>
      </c>
      <c r="J146" s="98">
        <f t="shared" si="35"/>
        <v>-36621672.212416627</v>
      </c>
      <c r="K146" s="98">
        <f t="shared" si="25"/>
        <v>105139639.57758328</v>
      </c>
      <c r="L146" s="1189">
        <f t="shared" si="32"/>
        <v>101595606.78283328</v>
      </c>
      <c r="M146" s="400">
        <f t="shared" si="36"/>
        <v>76943.579693749954</v>
      </c>
      <c r="N146" s="98">
        <f t="shared" si="30"/>
        <v>-13234103.570325039</v>
      </c>
      <c r="O146" s="98">
        <f t="shared" si="28"/>
        <v>-13695765.048487537</v>
      </c>
      <c r="P146" s="714">
        <f t="shared" si="26"/>
        <v>91443874.529095739</v>
      </c>
      <c r="Q146" s="104"/>
      <c r="R146" s="95">
        <f t="shared" si="37"/>
        <v>88361503.212508231</v>
      </c>
      <c r="S146" s="559">
        <f>$E$79-(SUM($H$79:H146)*$U$75)</f>
        <v>52761311.789999977</v>
      </c>
      <c r="T146" s="66"/>
      <c r="U146" s="726"/>
    </row>
    <row r="147" spans="1:21" s="65" customFormat="1">
      <c r="A147" s="706"/>
      <c r="B147" s="108">
        <v>42947</v>
      </c>
      <c r="C147" s="108"/>
      <c r="D147" s="134"/>
      <c r="E147" s="712">
        <f t="shared" si="33"/>
        <v>52761311.789999977</v>
      </c>
      <c r="F147" s="713">
        <f t="shared" si="34"/>
        <v>141761311.78999987</v>
      </c>
      <c r="G147" s="98">
        <f t="shared" si="29"/>
        <v>141761311.7899999</v>
      </c>
      <c r="H147" s="364">
        <f t="shared" si="27"/>
        <v>590672.13245833281</v>
      </c>
      <c r="I147" s="98">
        <f t="shared" si="31"/>
        <v>-40756377.139624923</v>
      </c>
      <c r="J147" s="98">
        <f t="shared" si="35"/>
        <v>-37212344.344874956</v>
      </c>
      <c r="K147" s="98">
        <f t="shared" si="25"/>
        <v>104548967.44512495</v>
      </c>
      <c r="L147" s="1189">
        <f t="shared" si="32"/>
        <v>101004934.65037495</v>
      </c>
      <c r="M147" s="400">
        <f t="shared" si="36"/>
        <v>76943.579693749954</v>
      </c>
      <c r="N147" s="98">
        <f t="shared" si="30"/>
        <v>-13157159.99063129</v>
      </c>
      <c r="O147" s="98">
        <f t="shared" si="28"/>
        <v>-13618821.468793787</v>
      </c>
      <c r="P147" s="714">
        <f t="shared" si="26"/>
        <v>90930145.976331174</v>
      </c>
      <c r="Q147" s="104"/>
      <c r="R147" s="95">
        <f t="shared" si="37"/>
        <v>87847774.659743667</v>
      </c>
      <c r="S147" s="559">
        <f>$E$79-(SUM($H$79:H147)*$U$75)</f>
        <v>52761311.789999977</v>
      </c>
      <c r="T147" s="66"/>
      <c r="U147" s="726"/>
    </row>
    <row r="148" spans="1:21" s="65" customFormat="1">
      <c r="A148" s="706"/>
      <c r="B148" s="108">
        <v>42978</v>
      </c>
      <c r="C148" s="108"/>
      <c r="D148" s="134"/>
      <c r="E148" s="712">
        <f t="shared" si="33"/>
        <v>52761311.789999977</v>
      </c>
      <c r="F148" s="713">
        <f t="shared" si="34"/>
        <v>141761311.78999987</v>
      </c>
      <c r="G148" s="98">
        <f t="shared" si="29"/>
        <v>141761311.7899999</v>
      </c>
      <c r="H148" s="364">
        <f t="shared" si="27"/>
        <v>590672.13245833281</v>
      </c>
      <c r="I148" s="98">
        <f t="shared" si="31"/>
        <v>-41347049.272083253</v>
      </c>
      <c r="J148" s="98">
        <f t="shared" si="35"/>
        <v>-37803016.477333285</v>
      </c>
      <c r="K148" s="98">
        <f t="shared" si="25"/>
        <v>103958295.31266662</v>
      </c>
      <c r="L148" s="1189">
        <f t="shared" si="32"/>
        <v>100414262.51791662</v>
      </c>
      <c r="M148" s="400">
        <f t="shared" si="36"/>
        <v>76943.579693749954</v>
      </c>
      <c r="N148" s="98">
        <f t="shared" si="30"/>
        <v>-13080216.41093754</v>
      </c>
      <c r="O148" s="98">
        <f t="shared" ref="O148:O211" si="38">(N136+N148+SUM(N137:N147)*2)/24</f>
        <v>-13541877.889100038</v>
      </c>
      <c r="P148" s="714">
        <f t="shared" ref="P148:P211" si="39">O148+K148</f>
        <v>90416417.42356658</v>
      </c>
      <c r="Q148" s="104"/>
      <c r="R148" s="95">
        <f t="shared" si="37"/>
        <v>87334046.106979072</v>
      </c>
      <c r="S148" s="559">
        <f>$E$79-(SUM($H$79:H148)*$U$75)</f>
        <v>52761311.789999977</v>
      </c>
      <c r="T148" s="66"/>
      <c r="U148" s="726"/>
    </row>
    <row r="149" spans="1:21" s="65" customFormat="1">
      <c r="A149" s="706"/>
      <c r="B149" s="108">
        <v>43008</v>
      </c>
      <c r="C149" s="108"/>
      <c r="D149" s="134"/>
      <c r="E149" s="712">
        <f t="shared" si="33"/>
        <v>52761311.789999977</v>
      </c>
      <c r="F149" s="713">
        <f t="shared" si="34"/>
        <v>141761311.78999987</v>
      </c>
      <c r="G149" s="98">
        <f t="shared" si="29"/>
        <v>141761311.7899999</v>
      </c>
      <c r="H149" s="364">
        <f t="shared" si="27"/>
        <v>590672.13245833281</v>
      </c>
      <c r="I149" s="98">
        <f t="shared" si="31"/>
        <v>-41937721.404541582</v>
      </c>
      <c r="J149" s="98">
        <f t="shared" si="35"/>
        <v>-38393688.609791614</v>
      </c>
      <c r="K149" s="98">
        <f t="shared" ref="K149:K212" si="40">G149+J149</f>
        <v>103367623.1802083</v>
      </c>
      <c r="L149" s="1189">
        <f t="shared" si="32"/>
        <v>99823590.385458291</v>
      </c>
      <c r="M149" s="400">
        <f t="shared" si="36"/>
        <v>76943.579693749954</v>
      </c>
      <c r="N149" s="98">
        <f t="shared" si="30"/>
        <v>-13003272.831243791</v>
      </c>
      <c r="O149" s="98">
        <f t="shared" si="38"/>
        <v>-13464934.309406288</v>
      </c>
      <c r="P149" s="714">
        <f t="shared" si="39"/>
        <v>89902688.870802015</v>
      </c>
      <c r="Q149" s="104"/>
      <c r="R149" s="95">
        <f t="shared" si="37"/>
        <v>86820317.554214507</v>
      </c>
      <c r="S149" s="559">
        <f>$E$79-(SUM($H$79:H149)*$U$75)</f>
        <v>52761311.789999977</v>
      </c>
      <c r="T149" s="66"/>
      <c r="U149" s="726"/>
    </row>
    <row r="150" spans="1:21" s="65" customFormat="1">
      <c r="A150" s="706"/>
      <c r="B150" s="108">
        <v>43039</v>
      </c>
      <c r="C150" s="108"/>
      <c r="D150" s="134"/>
      <c r="E150" s="712">
        <f t="shared" si="33"/>
        <v>52761311.789999977</v>
      </c>
      <c r="F150" s="713">
        <f t="shared" si="34"/>
        <v>141761311.78999987</v>
      </c>
      <c r="G150" s="98">
        <f t="shared" si="29"/>
        <v>141761311.7899999</v>
      </c>
      <c r="H150" s="364">
        <f t="shared" si="27"/>
        <v>590672.13245833281</v>
      </c>
      <c r="I150" s="98">
        <f t="shared" si="31"/>
        <v>-42528393.536999911</v>
      </c>
      <c r="J150" s="98">
        <f t="shared" si="35"/>
        <v>-38984360.742249943</v>
      </c>
      <c r="K150" s="98">
        <f t="shared" si="40"/>
        <v>102776951.04774997</v>
      </c>
      <c r="L150" s="1189">
        <f t="shared" si="32"/>
        <v>99232918.252999961</v>
      </c>
      <c r="M150" s="400">
        <f t="shared" si="36"/>
        <v>76943.579693749954</v>
      </c>
      <c r="N150" s="98">
        <f t="shared" si="30"/>
        <v>-12926329.251550041</v>
      </c>
      <c r="O150" s="98">
        <f t="shared" si="38"/>
        <v>-13387990.729712538</v>
      </c>
      <c r="P150" s="714">
        <f t="shared" si="39"/>
        <v>89388960.318037421</v>
      </c>
      <c r="Q150" s="104"/>
      <c r="R150" s="95">
        <f t="shared" si="37"/>
        <v>86306589.001449913</v>
      </c>
      <c r="S150" s="559">
        <f>$E$79-(SUM($H$79:H150)*$U$75)</f>
        <v>52761311.789999977</v>
      </c>
      <c r="T150" s="66"/>
      <c r="U150" s="726"/>
    </row>
    <row r="151" spans="1:21" s="65" customFormat="1">
      <c r="A151" s="706"/>
      <c r="B151" s="108">
        <v>43069</v>
      </c>
      <c r="C151" s="108"/>
      <c r="D151" s="134"/>
      <c r="E151" s="712">
        <f t="shared" si="33"/>
        <v>52761311.789999977</v>
      </c>
      <c r="F151" s="713">
        <f t="shared" si="34"/>
        <v>141761311.78999987</v>
      </c>
      <c r="G151" s="98">
        <f t="shared" si="29"/>
        <v>141761311.7899999</v>
      </c>
      <c r="H151" s="364">
        <f t="shared" ref="H151:H214" si="41">F150/240</f>
        <v>590672.13245833281</v>
      </c>
      <c r="I151" s="98">
        <f t="shared" si="31"/>
        <v>-43119065.66945824</v>
      </c>
      <c r="J151" s="98">
        <f t="shared" si="35"/>
        <v>-39575032.874708273</v>
      </c>
      <c r="K151" s="98">
        <f t="shared" si="40"/>
        <v>102186278.91529164</v>
      </c>
      <c r="L151" s="1189">
        <f t="shared" si="32"/>
        <v>98642246.120541632</v>
      </c>
      <c r="M151" s="400">
        <f t="shared" si="36"/>
        <v>76943.579693749954</v>
      </c>
      <c r="N151" s="98">
        <f t="shared" si="30"/>
        <v>-12849385.671856292</v>
      </c>
      <c r="O151" s="98">
        <f t="shared" si="38"/>
        <v>-13311047.150018789</v>
      </c>
      <c r="P151" s="714">
        <f t="shared" si="39"/>
        <v>88875231.765272856</v>
      </c>
      <c r="Q151" s="104"/>
      <c r="R151" s="95">
        <f t="shared" si="37"/>
        <v>85792860.448685348</v>
      </c>
      <c r="S151" s="559">
        <f>$E$79-(SUM($H$79:H151)*$U$75)</f>
        <v>52761311.789999977</v>
      </c>
      <c r="T151" s="66"/>
      <c r="U151" s="726"/>
    </row>
    <row r="152" spans="1:21" s="65" customFormat="1">
      <c r="A152" s="706"/>
      <c r="B152" s="108">
        <v>43100</v>
      </c>
      <c r="C152" s="108"/>
      <c r="D152" s="134"/>
      <c r="E152" s="712">
        <f t="shared" si="33"/>
        <v>52761311.789999977</v>
      </c>
      <c r="F152" s="713">
        <f t="shared" si="34"/>
        <v>141761311.78999987</v>
      </c>
      <c r="G152" s="98">
        <f t="shared" si="29"/>
        <v>141761311.7899999</v>
      </c>
      <c r="H152" s="364">
        <f t="shared" si="41"/>
        <v>590672.13245833281</v>
      </c>
      <c r="I152" s="98">
        <f t="shared" si="31"/>
        <v>-43709737.801916569</v>
      </c>
      <c r="J152" s="98">
        <f t="shared" si="35"/>
        <v>-40165705.007166602</v>
      </c>
      <c r="K152" s="98">
        <f t="shared" si="40"/>
        <v>101595606.78283331</v>
      </c>
      <c r="L152" s="1189">
        <f t="shared" si="32"/>
        <v>98051573.988083303</v>
      </c>
      <c r="M152" s="400">
        <f t="shared" si="36"/>
        <v>76943.579693749954</v>
      </c>
      <c r="N152" s="98">
        <f t="shared" si="30"/>
        <v>-12772442.092162542</v>
      </c>
      <c r="O152" s="98">
        <f t="shared" si="38"/>
        <v>-13234103.570325039</v>
      </c>
      <c r="P152" s="714">
        <f t="shared" si="39"/>
        <v>88361503.212508261</v>
      </c>
      <c r="Q152" s="104"/>
      <c r="R152" s="95">
        <f t="shared" si="37"/>
        <v>85279131.895920753</v>
      </c>
      <c r="S152" s="559">
        <f>$E$79-(SUM($H$79:H152)*$U$75)</f>
        <v>52761311.789999977</v>
      </c>
      <c r="T152" s="66"/>
      <c r="U152" s="726"/>
    </row>
    <row r="153" spans="1:21" s="1165" customFormat="1">
      <c r="A153" s="1151"/>
      <c r="B153" s="1152">
        <v>43131</v>
      </c>
      <c r="C153" s="1152"/>
      <c r="D153" s="1153"/>
      <c r="E153" s="1154">
        <f t="shared" si="33"/>
        <v>52761311.789999977</v>
      </c>
      <c r="F153" s="1155">
        <f t="shared" si="34"/>
        <v>141761311.78999987</v>
      </c>
      <c r="G153" s="1156">
        <f t="shared" ref="G153:G216" si="42">(F141+F153+SUM(F142:F152)*2)/24</f>
        <v>141761311.7899999</v>
      </c>
      <c r="H153" s="1157">
        <f t="shared" si="41"/>
        <v>590672.13245833281</v>
      </c>
      <c r="I153" s="1156">
        <f t="shared" si="31"/>
        <v>-44300409.934374899</v>
      </c>
      <c r="J153" s="1156">
        <f t="shared" si="35"/>
        <v>-40756377.139624931</v>
      </c>
      <c r="K153" s="1156">
        <f t="shared" si="40"/>
        <v>101004934.65037498</v>
      </c>
      <c r="L153" s="1189">
        <f t="shared" si="32"/>
        <v>97460901.855624974</v>
      </c>
      <c r="M153" s="1158">
        <f>(E153/240*0.21)</f>
        <v>46166.147816249977</v>
      </c>
      <c r="N153" s="1156">
        <f t="shared" si="30"/>
        <v>-12726275.944346292</v>
      </c>
      <c r="O153" s="1156">
        <f t="shared" si="38"/>
        <v>-13158442.383626185</v>
      </c>
      <c r="P153" s="1159">
        <f t="shared" si="39"/>
        <v>87846492.266748786</v>
      </c>
      <c r="Q153" s="1160"/>
      <c r="R153" s="1161">
        <f t="shared" si="37"/>
        <v>84734625.91127868</v>
      </c>
      <c r="S153" s="1162">
        <f>$E$79-(SUM($H$79:H153)*$U$75)</f>
        <v>52761311.789999977</v>
      </c>
      <c r="T153" s="1163"/>
      <c r="U153" s="1164"/>
    </row>
    <row r="154" spans="1:21" s="65" customFormat="1" ht="12.75" customHeight="1">
      <c r="A154" s="706"/>
      <c r="B154" s="108">
        <v>43159</v>
      </c>
      <c r="C154" s="108"/>
      <c r="D154" s="134"/>
      <c r="E154" s="712">
        <f t="shared" si="33"/>
        <v>52761311.789999977</v>
      </c>
      <c r="F154" s="713">
        <f t="shared" si="34"/>
        <v>141761311.78999987</v>
      </c>
      <c r="G154" s="98">
        <f t="shared" si="42"/>
        <v>141761311.7899999</v>
      </c>
      <c r="H154" s="364">
        <f t="shared" si="41"/>
        <v>590672.13245833281</v>
      </c>
      <c r="I154" s="98">
        <f t="shared" si="31"/>
        <v>-44891082.066833228</v>
      </c>
      <c r="J154" s="98">
        <f t="shared" si="35"/>
        <v>-41347049.27208326</v>
      </c>
      <c r="K154" s="98">
        <f t="shared" si="40"/>
        <v>100414262.51791665</v>
      </c>
      <c r="L154" s="1189">
        <f t="shared" si="32"/>
        <v>96870229.723166645</v>
      </c>
      <c r="M154" s="1158">
        <f t="shared" ref="M154:M164" si="43">(E154/240*0.21)</f>
        <v>46166.147816249977</v>
      </c>
      <c r="N154" s="98">
        <f t="shared" si="30"/>
        <v>-12680109.796530042</v>
      </c>
      <c r="O154" s="98">
        <f t="shared" si="38"/>
        <v>-13085345.982917123</v>
      </c>
      <c r="P154" s="714">
        <f t="shared" si="39"/>
        <v>87328916.53499952</v>
      </c>
      <c r="Q154" s="104"/>
      <c r="R154" s="95">
        <f t="shared" si="37"/>
        <v>84190119.926636606</v>
      </c>
      <c r="S154" s="559">
        <f>$E$79-(SUM($H$79:H154)*$U$75)</f>
        <v>52761311.789999977</v>
      </c>
      <c r="T154" s="66"/>
      <c r="U154" s="726"/>
    </row>
    <row r="155" spans="1:21" s="65" customFormat="1" ht="12.75" customHeight="1">
      <c r="A155" s="706"/>
      <c r="B155" s="108">
        <v>43190</v>
      </c>
      <c r="C155" s="108"/>
      <c r="D155" s="134"/>
      <c r="E155" s="712">
        <f t="shared" si="33"/>
        <v>52761311.789999977</v>
      </c>
      <c r="F155" s="713">
        <f t="shared" si="34"/>
        <v>141761311.78999987</v>
      </c>
      <c r="G155" s="98">
        <f t="shared" si="42"/>
        <v>141761311.7899999</v>
      </c>
      <c r="H155" s="364">
        <f t="shared" si="41"/>
        <v>590672.13245833281</v>
      </c>
      <c r="I155" s="98">
        <f t="shared" si="31"/>
        <v>-45481754.199291557</v>
      </c>
      <c r="J155" s="98">
        <f t="shared" si="35"/>
        <v>-41937721.404541589</v>
      </c>
      <c r="K155" s="98">
        <f t="shared" si="40"/>
        <v>99823590.38545832</v>
      </c>
      <c r="L155" s="1189">
        <f t="shared" si="32"/>
        <v>96279557.590708315</v>
      </c>
      <c r="M155" s="1158">
        <f t="shared" si="43"/>
        <v>46166.147816249977</v>
      </c>
      <c r="N155" s="98">
        <f t="shared" si="30"/>
        <v>-12633943.648713792</v>
      </c>
      <c r="O155" s="98">
        <f t="shared" si="38"/>
        <v>-13014814.368197853</v>
      </c>
      <c r="P155" s="714">
        <f t="shared" si="39"/>
        <v>86808776.017260462</v>
      </c>
      <c r="Q155" s="104"/>
      <c r="R155" s="95">
        <f t="shared" si="37"/>
        <v>83645613.941994518</v>
      </c>
      <c r="S155" s="559">
        <f>$E$79-(SUM($H$79:H155)*$U$75)</f>
        <v>52761311.789999977</v>
      </c>
      <c r="T155" s="66"/>
      <c r="U155" s="726"/>
    </row>
    <row r="156" spans="1:21" s="65" customFormat="1">
      <c r="A156" s="706"/>
      <c r="B156" s="108">
        <v>43220</v>
      </c>
      <c r="C156" s="108"/>
      <c r="D156" s="134"/>
      <c r="E156" s="712">
        <f t="shared" si="33"/>
        <v>52761311.789999977</v>
      </c>
      <c r="F156" s="713">
        <f t="shared" si="34"/>
        <v>141761311.78999987</v>
      </c>
      <c r="G156" s="98">
        <f t="shared" si="42"/>
        <v>141761311.7899999</v>
      </c>
      <c r="H156" s="364">
        <f t="shared" si="41"/>
        <v>590672.13245833281</v>
      </c>
      <c r="I156" s="98">
        <f t="shared" si="31"/>
        <v>-46072426.331749886</v>
      </c>
      <c r="J156" s="98">
        <f t="shared" si="35"/>
        <v>-42528393.536999919</v>
      </c>
      <c r="K156" s="98">
        <f t="shared" si="40"/>
        <v>99232918.252999991</v>
      </c>
      <c r="L156" s="1189">
        <f t="shared" si="32"/>
        <v>95688885.458249986</v>
      </c>
      <c r="M156" s="1158">
        <f t="shared" si="43"/>
        <v>46166.147816249977</v>
      </c>
      <c r="N156" s="98">
        <f t="shared" si="30"/>
        <v>-12587777.500897542</v>
      </c>
      <c r="O156" s="98">
        <f t="shared" si="38"/>
        <v>-12946847.539468372</v>
      </c>
      <c r="P156" s="714">
        <f t="shared" si="39"/>
        <v>86286070.713531613</v>
      </c>
      <c r="Q156" s="104"/>
      <c r="R156" s="95">
        <f t="shared" si="37"/>
        <v>83101107.957352445</v>
      </c>
      <c r="S156" s="559">
        <f>$E$79-(SUM($H$79:H156)*$U$75)</f>
        <v>52761311.789999977</v>
      </c>
      <c r="T156" s="66"/>
      <c r="U156" s="726"/>
    </row>
    <row r="157" spans="1:21" s="65" customFormat="1">
      <c r="A157" s="706"/>
      <c r="B157" s="108">
        <v>43251</v>
      </c>
      <c r="C157" s="108"/>
      <c r="D157" s="134"/>
      <c r="E157" s="712">
        <f t="shared" si="33"/>
        <v>52761311.789999977</v>
      </c>
      <c r="F157" s="713">
        <f t="shared" si="34"/>
        <v>141761311.78999987</v>
      </c>
      <c r="G157" s="98">
        <f t="shared" si="42"/>
        <v>141761311.7899999</v>
      </c>
      <c r="H157" s="364">
        <f t="shared" si="41"/>
        <v>590672.13245833281</v>
      </c>
      <c r="I157" s="98">
        <f t="shared" si="31"/>
        <v>-46663098.464208215</v>
      </c>
      <c r="J157" s="98">
        <f t="shared" si="35"/>
        <v>-43119065.669458248</v>
      </c>
      <c r="K157" s="98">
        <f t="shared" si="40"/>
        <v>98642246.120541662</v>
      </c>
      <c r="L157" s="1189">
        <f t="shared" si="32"/>
        <v>95098213.325791657</v>
      </c>
      <c r="M157" s="1158">
        <f t="shared" si="43"/>
        <v>46166.147816249977</v>
      </c>
      <c r="N157" s="98">
        <f t="shared" si="30"/>
        <v>-12541611.353081292</v>
      </c>
      <c r="O157" s="98">
        <f t="shared" si="38"/>
        <v>-12881445.496728688</v>
      </c>
      <c r="P157" s="714">
        <f t="shared" si="39"/>
        <v>85760800.623812973</v>
      </c>
      <c r="Q157" s="104"/>
      <c r="R157" s="95">
        <f t="shared" si="37"/>
        <v>82556601.972710371</v>
      </c>
      <c r="S157" s="559">
        <f>$E$79-(SUM($H$79:H157)*$U$75)</f>
        <v>52761311.789999977</v>
      </c>
      <c r="T157" s="66"/>
      <c r="U157" s="726"/>
    </row>
    <row r="158" spans="1:21" s="1165" customFormat="1" ht="12.75" customHeight="1">
      <c r="A158" s="1151"/>
      <c r="B158" s="1152">
        <v>43281</v>
      </c>
      <c r="C158" s="1152"/>
      <c r="D158" s="1153"/>
      <c r="E158" s="1154">
        <f t="shared" si="33"/>
        <v>52761311.789999977</v>
      </c>
      <c r="F158" s="1155">
        <f t="shared" si="34"/>
        <v>141761311.78999987</v>
      </c>
      <c r="G158" s="1156">
        <f t="shared" si="42"/>
        <v>141761311.7899999</v>
      </c>
      <c r="H158" s="1157">
        <f t="shared" si="41"/>
        <v>590672.13245833281</v>
      </c>
      <c r="I158" s="1156">
        <f t="shared" si="31"/>
        <v>-47253770.596666545</v>
      </c>
      <c r="J158" s="1156">
        <f t="shared" si="35"/>
        <v>-43709737.801916577</v>
      </c>
      <c r="K158" s="1156">
        <f t="shared" si="40"/>
        <v>98051573.988083333</v>
      </c>
      <c r="L158" s="1189">
        <f t="shared" si="32"/>
        <v>94507541.193333328</v>
      </c>
      <c r="M158" s="1158">
        <f t="shared" si="43"/>
        <v>46166.147816249977</v>
      </c>
      <c r="N158" s="1156">
        <f t="shared" si="30"/>
        <v>-12495445.205265041</v>
      </c>
      <c r="O158" s="1156">
        <f t="shared" si="38"/>
        <v>-12818608.23997879</v>
      </c>
      <c r="P158" s="1159">
        <f t="shared" si="39"/>
        <v>85232965.748104542</v>
      </c>
      <c r="Q158" s="1160"/>
      <c r="R158" s="1161">
        <f t="shared" si="37"/>
        <v>82012095.988068283</v>
      </c>
      <c r="S158" s="1162">
        <f>$E$79-(SUM($H$79:H158)*$U$75)</f>
        <v>52761311.789999977</v>
      </c>
      <c r="T158" s="1163"/>
      <c r="U158" s="1164"/>
    </row>
    <row r="159" spans="1:21" s="65" customFormat="1">
      <c r="A159" s="706"/>
      <c r="B159" s="108">
        <v>43312</v>
      </c>
      <c r="C159" s="108"/>
      <c r="D159" s="134"/>
      <c r="E159" s="712">
        <f t="shared" si="33"/>
        <v>52761311.789999977</v>
      </c>
      <c r="F159" s="713">
        <f t="shared" si="34"/>
        <v>141761311.78999987</v>
      </c>
      <c r="G159" s="98">
        <f t="shared" si="42"/>
        <v>141761311.7899999</v>
      </c>
      <c r="H159" s="364">
        <f t="shared" si="41"/>
        <v>590672.13245833281</v>
      </c>
      <c r="I159" s="98">
        <f t="shared" si="31"/>
        <v>-47844442.729124874</v>
      </c>
      <c r="J159" s="98">
        <f t="shared" si="35"/>
        <v>-44300409.934374906</v>
      </c>
      <c r="K159" s="98">
        <f t="shared" si="40"/>
        <v>97460901.855625004</v>
      </c>
      <c r="L159" s="1189">
        <f t="shared" si="32"/>
        <v>93916869.060874999</v>
      </c>
      <c r="M159" s="1158">
        <f t="shared" si="43"/>
        <v>46166.147816249977</v>
      </c>
      <c r="N159" s="98">
        <f>N158+M159</f>
        <v>-12449279.057448791</v>
      </c>
      <c r="O159" s="98">
        <f t="shared" si="38"/>
        <v>-12758335.769218685</v>
      </c>
      <c r="P159" s="714">
        <f t="shared" si="39"/>
        <v>84702566.08640632</v>
      </c>
      <c r="Q159" s="104"/>
      <c r="R159" s="95">
        <f t="shared" si="37"/>
        <v>81467590.003426209</v>
      </c>
      <c r="S159" s="559">
        <f>$E$79-(SUM($H$79:H159)*$U$75)</f>
        <v>52761311.789999977</v>
      </c>
      <c r="T159" s="66"/>
      <c r="U159" s="726"/>
    </row>
    <row r="160" spans="1:21" s="65" customFormat="1">
      <c r="A160" s="706"/>
      <c r="B160" s="108">
        <v>43343</v>
      </c>
      <c r="C160" s="108"/>
      <c r="D160" s="134"/>
      <c r="E160" s="712">
        <f t="shared" si="33"/>
        <v>52761311.789999977</v>
      </c>
      <c r="F160" s="713">
        <f t="shared" si="34"/>
        <v>141761311.78999987</v>
      </c>
      <c r="G160" s="98">
        <f t="shared" si="42"/>
        <v>141761311.7899999</v>
      </c>
      <c r="H160" s="364">
        <f t="shared" si="41"/>
        <v>590672.13245833281</v>
      </c>
      <c r="I160" s="98">
        <f t="shared" si="31"/>
        <v>-48435114.861583203</v>
      </c>
      <c r="J160" s="98">
        <f t="shared" si="35"/>
        <v>-44891082.066833235</v>
      </c>
      <c r="K160" s="98">
        <f t="shared" si="40"/>
        <v>96870229.723166674</v>
      </c>
      <c r="L160" s="1189">
        <f t="shared" si="32"/>
        <v>93326196.928416669</v>
      </c>
      <c r="M160" s="1158">
        <f t="shared" si="43"/>
        <v>46166.147816249977</v>
      </c>
      <c r="N160" s="98">
        <f t="shared" si="30"/>
        <v>-12403112.909632541</v>
      </c>
      <c r="O160" s="98">
        <f>(N148+N160+SUM(N149:N159)*2)/24</f>
        <v>-12700628.084448377</v>
      </c>
      <c r="P160" s="714">
        <f t="shared" si="39"/>
        <v>84169601.638718292</v>
      </c>
      <c r="Q160" s="104"/>
      <c r="R160" s="95">
        <f t="shared" si="37"/>
        <v>80923084.018784136</v>
      </c>
      <c r="S160" s="559">
        <f>$E$79-(SUM($H$79:H160)*$U$75)</f>
        <v>52761311.789999977</v>
      </c>
      <c r="T160" s="66"/>
      <c r="U160" s="726"/>
    </row>
    <row r="161" spans="1:21" s="65" customFormat="1">
      <c r="A161" s="706"/>
      <c r="B161" s="108">
        <v>43373</v>
      </c>
      <c r="C161" s="108"/>
      <c r="D161" s="134"/>
      <c r="E161" s="712">
        <f t="shared" si="33"/>
        <v>52761311.789999977</v>
      </c>
      <c r="F161" s="713">
        <f t="shared" si="34"/>
        <v>141761311.78999987</v>
      </c>
      <c r="G161" s="98">
        <f t="shared" si="42"/>
        <v>141761311.7899999</v>
      </c>
      <c r="H161" s="364">
        <f t="shared" si="41"/>
        <v>590672.13245833281</v>
      </c>
      <c r="I161" s="98">
        <f t="shared" si="31"/>
        <v>-49025786.994041532</v>
      </c>
      <c r="J161" s="98">
        <f t="shared" si="35"/>
        <v>-45481754.199291565</v>
      </c>
      <c r="K161" s="98">
        <f t="shared" si="40"/>
        <v>96279557.590708345</v>
      </c>
      <c r="L161" s="1189">
        <f t="shared" si="32"/>
        <v>92735524.79595834</v>
      </c>
      <c r="M161" s="1158">
        <f t="shared" si="43"/>
        <v>46166.147816249977</v>
      </c>
      <c r="N161" s="98">
        <f t="shared" si="30"/>
        <v>-12356946.761816291</v>
      </c>
      <c r="O161" s="98">
        <f t="shared" si="38"/>
        <v>-12645485.185667856</v>
      </c>
      <c r="P161" s="714">
        <f t="shared" si="39"/>
        <v>83634072.405040488</v>
      </c>
      <c r="Q161" s="104"/>
      <c r="R161" s="95">
        <f t="shared" si="37"/>
        <v>80378578.034142047</v>
      </c>
      <c r="S161" s="559">
        <f>$E$79-(SUM($H$79:H161)*$U$75)</f>
        <v>52761311.789999977</v>
      </c>
      <c r="T161" s="66"/>
      <c r="U161" s="726"/>
    </row>
    <row r="162" spans="1:21" s="65" customFormat="1">
      <c r="A162" s="706"/>
      <c r="B162" s="108">
        <v>43404</v>
      </c>
      <c r="C162" s="108"/>
      <c r="D162" s="134"/>
      <c r="E162" s="712">
        <f t="shared" si="33"/>
        <v>52761311.789999977</v>
      </c>
      <c r="F162" s="713">
        <f t="shared" si="34"/>
        <v>141761311.78999987</v>
      </c>
      <c r="G162" s="98">
        <f t="shared" si="42"/>
        <v>141761311.7899999</v>
      </c>
      <c r="H162" s="364">
        <f t="shared" si="41"/>
        <v>590672.13245833281</v>
      </c>
      <c r="I162" s="98">
        <f t="shared" si="31"/>
        <v>-49616459.126499861</v>
      </c>
      <c r="J162" s="98">
        <f t="shared" si="35"/>
        <v>-46072426.331749894</v>
      </c>
      <c r="K162" s="98">
        <f t="shared" si="40"/>
        <v>95688885.458250016</v>
      </c>
      <c r="L162" s="1189">
        <f t="shared" si="32"/>
        <v>92144852.663500011</v>
      </c>
      <c r="M162" s="1158">
        <f t="shared" si="43"/>
        <v>46166.147816249977</v>
      </c>
      <c r="N162" s="98">
        <f>N161+M162</f>
        <v>-12310780.614000041</v>
      </c>
      <c r="O162" s="98">
        <f t="shared" si="38"/>
        <v>-12592907.072877126</v>
      </c>
      <c r="P162" s="714">
        <f t="shared" si="39"/>
        <v>83095978.385372892</v>
      </c>
      <c r="Q162" s="104"/>
      <c r="R162" s="95">
        <f t="shared" si="37"/>
        <v>79834072.049499974</v>
      </c>
      <c r="S162" s="559">
        <f>$E$79-(SUM($H$79:H162)*$U$75)</f>
        <v>52761311.789999977</v>
      </c>
      <c r="T162" s="66"/>
      <c r="U162" s="726"/>
    </row>
    <row r="163" spans="1:21" s="65" customFormat="1">
      <c r="A163" s="706"/>
      <c r="B163" s="108">
        <v>43434</v>
      </c>
      <c r="C163" s="108"/>
      <c r="D163" s="134"/>
      <c r="E163" s="712">
        <f t="shared" si="33"/>
        <v>52761311.789999977</v>
      </c>
      <c r="F163" s="713">
        <f t="shared" si="34"/>
        <v>141761311.78999987</v>
      </c>
      <c r="G163" s="98">
        <f t="shared" si="42"/>
        <v>141761311.7899999</v>
      </c>
      <c r="H163" s="364">
        <f t="shared" si="41"/>
        <v>590672.13245833281</v>
      </c>
      <c r="I163" s="98">
        <f t="shared" si="31"/>
        <v>-50207131.258958191</v>
      </c>
      <c r="J163" s="98">
        <f t="shared" si="35"/>
        <v>-46663098.464208223</v>
      </c>
      <c r="K163" s="98">
        <f t="shared" si="40"/>
        <v>95098213.325791687</v>
      </c>
      <c r="L163" s="1189">
        <f t="shared" si="32"/>
        <v>91554180.531041682</v>
      </c>
      <c r="M163" s="1158">
        <f t="shared" si="43"/>
        <v>46166.147816249977</v>
      </c>
      <c r="N163" s="98">
        <f>N162+M163</f>
        <v>-12264614.466183791</v>
      </c>
      <c r="O163" s="98">
        <f t="shared" si="38"/>
        <v>-12542893.746076189</v>
      </c>
      <c r="P163" s="714">
        <f t="shared" si="39"/>
        <v>82555319.57971549</v>
      </c>
      <c r="Q163" s="104"/>
      <c r="R163" s="95">
        <f t="shared" si="37"/>
        <v>79289566.064857885</v>
      </c>
      <c r="S163" s="559">
        <f>$E$79-(SUM($H$79:H163)*$U$75)</f>
        <v>52761311.789999977</v>
      </c>
      <c r="T163" s="66"/>
      <c r="U163" s="726"/>
    </row>
    <row r="164" spans="1:21" s="1165" customFormat="1">
      <c r="A164" s="1151"/>
      <c r="B164" s="1152">
        <v>43465</v>
      </c>
      <c r="C164" s="1152"/>
      <c r="D164" s="1153"/>
      <c r="E164" s="1154">
        <f t="shared" si="33"/>
        <v>52761311.789999977</v>
      </c>
      <c r="F164" s="1155">
        <f t="shared" si="34"/>
        <v>141761311.78999987</v>
      </c>
      <c r="G164" s="1156">
        <f t="shared" si="42"/>
        <v>141761311.7899999</v>
      </c>
      <c r="H164" s="1157">
        <f t="shared" si="41"/>
        <v>590672.13245833281</v>
      </c>
      <c r="I164" s="1156">
        <f t="shared" si="31"/>
        <v>-50797803.39141652</v>
      </c>
      <c r="J164" s="1156">
        <f t="shared" si="35"/>
        <v>-47253770.596666552</v>
      </c>
      <c r="K164" s="1156">
        <f t="shared" si="40"/>
        <v>94507541.193333358</v>
      </c>
      <c r="L164" s="1189">
        <f t="shared" si="32"/>
        <v>90963508.398583353</v>
      </c>
      <c r="M164" s="1158">
        <f t="shared" si="43"/>
        <v>46166.147816249977</v>
      </c>
      <c r="N164" s="1156">
        <f t="shared" si="30"/>
        <v>-12218448.318367541</v>
      </c>
      <c r="O164" s="1156">
        <f t="shared" si="38"/>
        <v>-12495445.205265043</v>
      </c>
      <c r="P164" s="1166">
        <f t="shared" si="39"/>
        <v>82012095.988068312</v>
      </c>
      <c r="Q164" s="1160"/>
      <c r="R164" s="1161">
        <f t="shared" si="37"/>
        <v>78745060.080215812</v>
      </c>
      <c r="S164" s="1162">
        <f>$E$79-(SUM($H$79:H164)*$U$75)</f>
        <v>52761311.789999977</v>
      </c>
      <c r="T164" s="1163"/>
      <c r="U164" s="1164"/>
    </row>
    <row r="165" spans="1:21" s="65" customFormat="1" hidden="1" outlineLevel="1">
      <c r="A165" s="706"/>
      <c r="B165" s="108">
        <v>43496</v>
      </c>
      <c r="C165" s="108"/>
      <c r="D165" s="134"/>
      <c r="E165" s="712">
        <f t="shared" si="33"/>
        <v>52761311.789999977</v>
      </c>
      <c r="F165" s="713">
        <f t="shared" si="34"/>
        <v>141761311.78999987</v>
      </c>
      <c r="G165" s="98">
        <f t="shared" si="42"/>
        <v>141761311.7899999</v>
      </c>
      <c r="H165" s="364">
        <f t="shared" si="41"/>
        <v>590672.13245833281</v>
      </c>
      <c r="I165" s="98">
        <f t="shared" si="31"/>
        <v>-51388475.523874849</v>
      </c>
      <c r="J165" s="98">
        <f t="shared" si="35"/>
        <v>-47844442.729124881</v>
      </c>
      <c r="K165" s="98">
        <f t="shared" si="40"/>
        <v>93916869.060875028</v>
      </c>
      <c r="L165" s="1189">
        <f t="shared" si="32"/>
        <v>90372836.266125023</v>
      </c>
      <c r="M165" s="400">
        <f t="shared" si="36"/>
        <v>76943.579693749954</v>
      </c>
      <c r="N165" s="98">
        <f>N164+M165</f>
        <v>-12141504.738673791</v>
      </c>
      <c r="O165" s="98">
        <f t="shared" si="38"/>
        <v>-12447996.664453894</v>
      </c>
      <c r="P165" s="714">
        <f t="shared" si="39"/>
        <v>81468872.396421134</v>
      </c>
      <c r="Q165" s="104"/>
      <c r="R165" s="95">
        <f t="shared" si="37"/>
        <v>78231331.527451232</v>
      </c>
      <c r="S165" s="559">
        <f>$E$79-(SUM($H$79:H165)*$U$75)</f>
        <v>52761311.789999977</v>
      </c>
      <c r="T165" s="66"/>
      <c r="U165" s="726"/>
    </row>
    <row r="166" spans="1:21" s="65" customFormat="1" ht="12.75" hidden="1" customHeight="1" outlineLevel="1">
      <c r="A166" s="706"/>
      <c r="B166" s="108">
        <v>43524</v>
      </c>
      <c r="C166" s="108"/>
      <c r="D166" s="134"/>
      <c r="E166" s="712">
        <f t="shared" si="33"/>
        <v>52761311.789999977</v>
      </c>
      <c r="F166" s="713">
        <f t="shared" si="34"/>
        <v>141761311.78999987</v>
      </c>
      <c r="G166" s="98">
        <f t="shared" si="42"/>
        <v>141761311.7899999</v>
      </c>
      <c r="H166" s="364">
        <f t="shared" si="41"/>
        <v>590672.13245833281</v>
      </c>
      <c r="I166" s="98">
        <f t="shared" si="31"/>
        <v>-51979147.656333178</v>
      </c>
      <c r="J166" s="98">
        <f t="shared" si="35"/>
        <v>-48435114.861583211</v>
      </c>
      <c r="K166" s="98">
        <f t="shared" si="40"/>
        <v>93326196.928416699</v>
      </c>
      <c r="L166" s="1189">
        <f t="shared" si="32"/>
        <v>89782164.133666694</v>
      </c>
      <c r="M166" s="400">
        <f t="shared" si="36"/>
        <v>76943.579693749954</v>
      </c>
      <c r="N166" s="98">
        <f t="shared" si="30"/>
        <v>-12064561.158980042</v>
      </c>
      <c r="O166" s="98">
        <f t="shared" si="38"/>
        <v>-12397983.337652959</v>
      </c>
      <c r="P166" s="714">
        <f t="shared" si="39"/>
        <v>80928213.590763748</v>
      </c>
      <c r="Q166" s="104"/>
      <c r="R166" s="95">
        <f t="shared" si="37"/>
        <v>77717602.974686652</v>
      </c>
      <c r="S166" s="559">
        <f>$E$79-(SUM($H$79:H166)*$U$75)</f>
        <v>52761311.789999977</v>
      </c>
      <c r="T166" s="66"/>
      <c r="U166" s="726"/>
    </row>
    <row r="167" spans="1:21" s="65" customFormat="1" ht="12.75" hidden="1" customHeight="1" outlineLevel="1">
      <c r="A167" s="706"/>
      <c r="B167" s="108">
        <v>43555</v>
      </c>
      <c r="C167" s="108"/>
      <c r="D167" s="134"/>
      <c r="E167" s="712">
        <f t="shared" si="33"/>
        <v>52761311.789999977</v>
      </c>
      <c r="F167" s="713">
        <f t="shared" si="34"/>
        <v>141761311.78999987</v>
      </c>
      <c r="G167" s="98">
        <f t="shared" si="42"/>
        <v>141761311.7899999</v>
      </c>
      <c r="H167" s="364">
        <f t="shared" si="41"/>
        <v>590672.13245833281</v>
      </c>
      <c r="I167" s="98">
        <f t="shared" si="31"/>
        <v>-52569819.788791507</v>
      </c>
      <c r="J167" s="98">
        <f t="shared" si="35"/>
        <v>-49025786.99404154</v>
      </c>
      <c r="K167" s="98">
        <f t="shared" si="40"/>
        <v>92735524.79595837</v>
      </c>
      <c r="L167" s="1189">
        <f t="shared" si="32"/>
        <v>89191492.001208365</v>
      </c>
      <c r="M167" s="400">
        <f t="shared" si="36"/>
        <v>76943.579693749954</v>
      </c>
      <c r="N167" s="98">
        <f t="shared" si="30"/>
        <v>-11987617.579286292</v>
      </c>
      <c r="O167" s="98">
        <f t="shared" si="38"/>
        <v>-12345405.224862231</v>
      </c>
      <c r="P167" s="714">
        <f t="shared" si="39"/>
        <v>80390119.571096137</v>
      </c>
      <c r="Q167" s="104"/>
      <c r="R167" s="95">
        <f t="shared" si="37"/>
        <v>77203874.421922073</v>
      </c>
      <c r="S167" s="559">
        <f>$E$79-(SUM($H$79:H167)*$U$75)</f>
        <v>52761311.789999977</v>
      </c>
      <c r="T167" s="66"/>
      <c r="U167" s="726"/>
    </row>
    <row r="168" spans="1:21" s="65" customFormat="1" hidden="1" outlineLevel="1">
      <c r="A168" s="706"/>
      <c r="B168" s="108">
        <v>43585</v>
      </c>
      <c r="C168" s="108"/>
      <c r="D168" s="134"/>
      <c r="E168" s="712">
        <f t="shared" si="33"/>
        <v>52761311.789999977</v>
      </c>
      <c r="F168" s="713">
        <f t="shared" si="34"/>
        <v>141761311.78999987</v>
      </c>
      <c r="G168" s="98">
        <f t="shared" si="42"/>
        <v>141761311.7899999</v>
      </c>
      <c r="H168" s="364">
        <f t="shared" si="41"/>
        <v>590672.13245833281</v>
      </c>
      <c r="I168" s="98">
        <f t="shared" si="31"/>
        <v>-53160491.921249837</v>
      </c>
      <c r="J168" s="98">
        <f t="shared" si="35"/>
        <v>-49616459.126499869</v>
      </c>
      <c r="K168" s="98">
        <f t="shared" si="40"/>
        <v>92144852.663500041</v>
      </c>
      <c r="L168" s="1189">
        <f t="shared" si="32"/>
        <v>88600819.868750036</v>
      </c>
      <c r="M168" s="400">
        <f t="shared" si="36"/>
        <v>76943.579693749954</v>
      </c>
      <c r="N168" s="98">
        <f>N167+M168</f>
        <v>-11910673.999592543</v>
      </c>
      <c r="O168" s="98">
        <f t="shared" si="38"/>
        <v>-12290262.326081708</v>
      </c>
      <c r="P168" s="714">
        <f t="shared" si="39"/>
        <v>79854590.337418333</v>
      </c>
      <c r="Q168" s="104"/>
      <c r="R168" s="95">
        <f t="shared" si="37"/>
        <v>76690145.869157493</v>
      </c>
      <c r="S168" s="559">
        <f>$E$79-(SUM($H$79:H168)*$U$75)</f>
        <v>52761311.789999977</v>
      </c>
      <c r="T168" s="66"/>
      <c r="U168" s="726"/>
    </row>
    <row r="169" spans="1:21" s="65" customFormat="1" hidden="1" outlineLevel="1">
      <c r="A169" s="706"/>
      <c r="B169" s="108">
        <v>43616</v>
      </c>
      <c r="C169" s="108"/>
      <c r="D169" s="134"/>
      <c r="E169" s="712">
        <f t="shared" si="33"/>
        <v>52761311.789999977</v>
      </c>
      <c r="F169" s="713">
        <f t="shared" si="34"/>
        <v>141761311.78999987</v>
      </c>
      <c r="G169" s="98">
        <f t="shared" si="42"/>
        <v>141761311.7899999</v>
      </c>
      <c r="H169" s="364">
        <f t="shared" si="41"/>
        <v>590672.13245833281</v>
      </c>
      <c r="I169" s="98">
        <f t="shared" si="31"/>
        <v>-53751164.053708166</v>
      </c>
      <c r="J169" s="98">
        <f t="shared" si="35"/>
        <v>-50207131.258958198</v>
      </c>
      <c r="K169" s="98">
        <f t="shared" si="40"/>
        <v>91554180.531041712</v>
      </c>
      <c r="L169" s="1189">
        <f t="shared" si="32"/>
        <v>88010147.736291707</v>
      </c>
      <c r="M169" s="400">
        <f t="shared" si="36"/>
        <v>76943.579693749954</v>
      </c>
      <c r="N169" s="98">
        <f>N168+M169</f>
        <v>-11833730.419898793</v>
      </c>
      <c r="O169" s="98">
        <f t="shared" si="38"/>
        <v>-12232554.641311398</v>
      </c>
      <c r="P169" s="714">
        <f t="shared" si="39"/>
        <v>79321625.889730319</v>
      </c>
      <c r="Q169" s="104"/>
      <c r="R169" s="95">
        <f t="shared" si="37"/>
        <v>76176417.316392913</v>
      </c>
      <c r="S169" s="559">
        <f>$E$79-(SUM($H$79:H169)*$U$75)</f>
        <v>52761311.789999977</v>
      </c>
      <c r="T169" s="66"/>
      <c r="U169" s="726"/>
    </row>
    <row r="170" spans="1:21" s="65" customFormat="1" ht="12.75" hidden="1" customHeight="1" outlineLevel="1">
      <c r="A170" s="706"/>
      <c r="B170" s="108">
        <v>43646</v>
      </c>
      <c r="C170" s="108"/>
      <c r="D170" s="134"/>
      <c r="E170" s="712">
        <f t="shared" si="33"/>
        <v>52761311.789999977</v>
      </c>
      <c r="F170" s="713">
        <f t="shared" si="34"/>
        <v>141761311.78999987</v>
      </c>
      <c r="G170" s="98">
        <f t="shared" si="42"/>
        <v>141761311.7899999</v>
      </c>
      <c r="H170" s="364">
        <f t="shared" si="41"/>
        <v>590672.13245833281</v>
      </c>
      <c r="I170" s="98">
        <f t="shared" si="31"/>
        <v>-54341836.186166495</v>
      </c>
      <c r="J170" s="98">
        <f t="shared" si="35"/>
        <v>-50797803.391416527</v>
      </c>
      <c r="K170" s="98">
        <f t="shared" si="40"/>
        <v>90963508.398583382</v>
      </c>
      <c r="L170" s="1189">
        <f t="shared" si="32"/>
        <v>87419475.603833377</v>
      </c>
      <c r="M170" s="400">
        <f t="shared" si="36"/>
        <v>76943.579693749954</v>
      </c>
      <c r="N170" s="98">
        <f t="shared" ref="N170:N232" si="44">N169+M170</f>
        <v>-11756786.840205044</v>
      </c>
      <c r="O170" s="98">
        <f t="shared" si="38"/>
        <v>-12172282.170551293</v>
      </c>
      <c r="P170" s="714">
        <f t="shared" si="39"/>
        <v>78791226.228032082</v>
      </c>
      <c r="Q170" s="104"/>
      <c r="R170" s="95">
        <f t="shared" si="37"/>
        <v>75662688.763628334</v>
      </c>
      <c r="S170" s="559">
        <f>$E$79-(SUM($H$79:H170)*$U$75)</f>
        <v>52761311.789999977</v>
      </c>
      <c r="T170" s="66"/>
      <c r="U170" s="726"/>
    </row>
    <row r="171" spans="1:21" s="65" customFormat="1" hidden="1" outlineLevel="1">
      <c r="A171" s="706"/>
      <c r="B171" s="108">
        <v>43677</v>
      </c>
      <c r="C171" s="108"/>
      <c r="D171" s="134"/>
      <c r="E171" s="712">
        <f t="shared" si="33"/>
        <v>52761311.789999977</v>
      </c>
      <c r="F171" s="713">
        <f t="shared" si="34"/>
        <v>141761311.78999987</v>
      </c>
      <c r="G171" s="98">
        <f t="shared" si="42"/>
        <v>141761311.7899999</v>
      </c>
      <c r="H171" s="364">
        <f t="shared" si="41"/>
        <v>590672.13245833281</v>
      </c>
      <c r="I171" s="98">
        <f t="shared" si="31"/>
        <v>-54932508.318624824</v>
      </c>
      <c r="J171" s="98">
        <f t="shared" si="35"/>
        <v>-51388475.523874857</v>
      </c>
      <c r="K171" s="98">
        <f t="shared" si="40"/>
        <v>90372836.266125053</v>
      </c>
      <c r="L171" s="1189">
        <f t="shared" si="32"/>
        <v>86828803.471375048</v>
      </c>
      <c r="M171" s="400">
        <f t="shared" si="36"/>
        <v>76943.579693749954</v>
      </c>
      <c r="N171" s="98">
        <f t="shared" si="44"/>
        <v>-11679843.260511294</v>
      </c>
      <c r="O171" s="98">
        <f t="shared" si="38"/>
        <v>-12109444.913801396</v>
      </c>
      <c r="P171" s="714">
        <f t="shared" si="39"/>
        <v>78263391.352323651</v>
      </c>
      <c r="Q171" s="104"/>
      <c r="R171" s="95">
        <f t="shared" si="37"/>
        <v>75148960.210863754</v>
      </c>
      <c r="S171" s="559">
        <f>$E$79-(SUM($H$79:H171)*$U$75)</f>
        <v>52761311.789999977</v>
      </c>
      <c r="T171" s="66"/>
      <c r="U171" s="726"/>
    </row>
    <row r="172" spans="1:21" s="65" customFormat="1" hidden="1" outlineLevel="1">
      <c r="A172" s="706"/>
      <c r="B172" s="108">
        <v>43708</v>
      </c>
      <c r="C172" s="108"/>
      <c r="D172" s="134"/>
      <c r="E172" s="712">
        <f t="shared" si="33"/>
        <v>52761311.789999977</v>
      </c>
      <c r="F172" s="713">
        <f t="shared" si="34"/>
        <v>141761311.78999987</v>
      </c>
      <c r="G172" s="98">
        <f t="shared" si="42"/>
        <v>141761311.7899999</v>
      </c>
      <c r="H172" s="364">
        <f t="shared" si="41"/>
        <v>590672.13245833281</v>
      </c>
      <c r="I172" s="98">
        <f t="shared" si="31"/>
        <v>-55523180.451083153</v>
      </c>
      <c r="J172" s="98">
        <f t="shared" si="35"/>
        <v>-51979147.656333186</v>
      </c>
      <c r="K172" s="98">
        <f t="shared" si="40"/>
        <v>89782164.133666724</v>
      </c>
      <c r="L172" s="1189">
        <f t="shared" si="32"/>
        <v>86238131.338916719</v>
      </c>
      <c r="M172" s="400">
        <f t="shared" si="36"/>
        <v>76943.579693749954</v>
      </c>
      <c r="N172" s="98">
        <f t="shared" si="44"/>
        <v>-11602899.680817544</v>
      </c>
      <c r="O172" s="98">
        <f t="shared" si="38"/>
        <v>-12044042.871061707</v>
      </c>
      <c r="P172" s="714">
        <f t="shared" si="39"/>
        <v>77738121.262605011</v>
      </c>
      <c r="Q172" s="104"/>
      <c r="R172" s="95">
        <f t="shared" si="37"/>
        <v>74635231.658099174</v>
      </c>
      <c r="S172" s="559">
        <f>$E$79-(SUM($H$79:H172)*$U$75)</f>
        <v>52761311.789999977</v>
      </c>
      <c r="T172" s="66"/>
      <c r="U172" s="726"/>
    </row>
    <row r="173" spans="1:21" hidden="1" outlineLevel="1">
      <c r="A173" s="706"/>
      <c r="B173" s="108">
        <v>43738</v>
      </c>
      <c r="C173" s="108"/>
      <c r="D173" s="134"/>
      <c r="E173" s="712">
        <f t="shared" si="33"/>
        <v>52761311.789999977</v>
      </c>
      <c r="F173" s="713">
        <f t="shared" si="34"/>
        <v>141761311.78999987</v>
      </c>
      <c r="G173" s="98">
        <f t="shared" si="42"/>
        <v>141761311.7899999</v>
      </c>
      <c r="H173" s="364">
        <f t="shared" si="41"/>
        <v>590672.13245833281</v>
      </c>
      <c r="I173" s="98">
        <f t="shared" si="31"/>
        <v>-56113852.583541483</v>
      </c>
      <c r="J173" s="98">
        <f t="shared" si="35"/>
        <v>-52569819.788791515</v>
      </c>
      <c r="K173" s="98">
        <f t="shared" si="40"/>
        <v>89191492.001208395</v>
      </c>
      <c r="L173" s="1189">
        <f t="shared" si="32"/>
        <v>85647459.20645839</v>
      </c>
      <c r="M173" s="400">
        <f t="shared" si="36"/>
        <v>76943.579693749954</v>
      </c>
      <c r="N173" s="98">
        <f t="shared" si="44"/>
        <v>-11525956.101123795</v>
      </c>
      <c r="O173" s="98">
        <f t="shared" si="38"/>
        <v>-11976076.04233223</v>
      </c>
      <c r="P173" s="714">
        <f t="shared" si="39"/>
        <v>77215415.958876163</v>
      </c>
      <c r="Q173" s="104"/>
      <c r="R173" s="95">
        <f t="shared" si="37"/>
        <v>74121503.105334595</v>
      </c>
      <c r="S173" s="559">
        <f>$E$79-(SUM($H$79:H173)*$U$75)</f>
        <v>52761311.789999977</v>
      </c>
      <c r="T173" s="66"/>
      <c r="U173" s="726"/>
    </row>
    <row r="174" spans="1:21" hidden="1" outlineLevel="1">
      <c r="A174" s="706"/>
      <c r="B174" s="108">
        <v>43769</v>
      </c>
      <c r="C174" s="108"/>
      <c r="D174" s="134"/>
      <c r="E174" s="712">
        <f t="shared" si="33"/>
        <v>52761311.789999977</v>
      </c>
      <c r="F174" s="713">
        <f t="shared" si="34"/>
        <v>141761311.78999987</v>
      </c>
      <c r="G174" s="98">
        <f t="shared" si="42"/>
        <v>141761311.7899999</v>
      </c>
      <c r="H174" s="364">
        <f t="shared" si="41"/>
        <v>590672.13245833281</v>
      </c>
      <c r="I174" s="98">
        <f t="shared" si="31"/>
        <v>-56704524.715999812</v>
      </c>
      <c r="J174" s="98">
        <f t="shared" si="35"/>
        <v>-53160491.921249844</v>
      </c>
      <c r="K174" s="98">
        <f t="shared" si="40"/>
        <v>88600819.868750066</v>
      </c>
      <c r="L174" s="1189">
        <f t="shared" si="32"/>
        <v>85056787.074000061</v>
      </c>
      <c r="M174" s="400">
        <f t="shared" si="36"/>
        <v>76943.579693749954</v>
      </c>
      <c r="N174" s="98">
        <f t="shared" si="44"/>
        <v>-11449012.521430045</v>
      </c>
      <c r="O174" s="98">
        <f t="shared" si="38"/>
        <v>-11905544.427612958</v>
      </c>
      <c r="P174" s="714">
        <f t="shared" si="39"/>
        <v>76695275.441137105</v>
      </c>
      <c r="Q174" s="104"/>
      <c r="R174" s="95">
        <f t="shared" si="37"/>
        <v>73607774.552570015</v>
      </c>
      <c r="S174" s="559">
        <f>$E$79-(SUM($H$79:H174)*$U$75)</f>
        <v>52761311.789999977</v>
      </c>
      <c r="T174" s="66"/>
      <c r="U174" s="726"/>
    </row>
    <row r="175" spans="1:21" hidden="1" outlineLevel="1">
      <c r="A175" s="706"/>
      <c r="B175" s="108">
        <v>43799</v>
      </c>
      <c r="C175" s="108"/>
      <c r="D175" s="134"/>
      <c r="E175" s="712">
        <f t="shared" si="33"/>
        <v>52761311.789999977</v>
      </c>
      <c r="F175" s="713">
        <f t="shared" si="34"/>
        <v>141761311.78999987</v>
      </c>
      <c r="G175" s="98">
        <f t="shared" si="42"/>
        <v>141761311.7899999</v>
      </c>
      <c r="H175" s="364">
        <f t="shared" si="41"/>
        <v>590672.13245833281</v>
      </c>
      <c r="I175" s="98">
        <f t="shared" si="31"/>
        <v>-57295196.848458141</v>
      </c>
      <c r="J175" s="98">
        <f t="shared" si="35"/>
        <v>-53751164.053708173</v>
      </c>
      <c r="K175" s="98">
        <f t="shared" si="40"/>
        <v>88010147.736291736</v>
      </c>
      <c r="L175" s="1189">
        <f t="shared" si="32"/>
        <v>84466114.941541731</v>
      </c>
      <c r="M175" s="400">
        <f t="shared" si="36"/>
        <v>76943.579693749954</v>
      </c>
      <c r="N175" s="98">
        <f t="shared" si="44"/>
        <v>-11372068.941736296</v>
      </c>
      <c r="O175" s="98">
        <f t="shared" si="38"/>
        <v>-11832448.026903898</v>
      </c>
      <c r="P175" s="714">
        <f t="shared" si="39"/>
        <v>76177699.709387839</v>
      </c>
      <c r="Q175" s="104"/>
      <c r="R175" s="95">
        <f t="shared" si="37"/>
        <v>73094045.999805436</v>
      </c>
      <c r="S175" s="559">
        <f>$E$79-(SUM($H$79:H175)*$U$75)</f>
        <v>52761311.789999977</v>
      </c>
      <c r="T175" s="66"/>
      <c r="U175" s="726"/>
    </row>
    <row r="176" spans="1:21" hidden="1" outlineLevel="1">
      <c r="A176" s="706"/>
      <c r="B176" s="108">
        <v>43830</v>
      </c>
      <c r="C176" s="108"/>
      <c r="D176" s="134"/>
      <c r="E176" s="712">
        <f t="shared" si="33"/>
        <v>52761311.789999977</v>
      </c>
      <c r="F176" s="713">
        <f t="shared" si="34"/>
        <v>141761311.78999987</v>
      </c>
      <c r="G176" s="98">
        <f t="shared" si="42"/>
        <v>141761311.7899999</v>
      </c>
      <c r="H176" s="364">
        <f t="shared" si="41"/>
        <v>590672.13245833281</v>
      </c>
      <c r="I176" s="98">
        <f t="shared" si="31"/>
        <v>-57885868.98091647</v>
      </c>
      <c r="J176" s="98">
        <f t="shared" si="35"/>
        <v>-54341836.186166503</v>
      </c>
      <c r="K176" s="98">
        <f t="shared" si="40"/>
        <v>87419475.603833407</v>
      </c>
      <c r="L176" s="1189">
        <f>F176+I176</f>
        <v>83875442.809083402</v>
      </c>
      <c r="M176" s="400">
        <f t="shared" si="36"/>
        <v>76943.579693749954</v>
      </c>
      <c r="N176" s="98">
        <f t="shared" si="44"/>
        <v>-11295125.362042546</v>
      </c>
      <c r="O176" s="98">
        <f t="shared" si="38"/>
        <v>-11756786.840205044</v>
      </c>
      <c r="P176" s="714">
        <f t="shared" si="39"/>
        <v>75662688.763628364</v>
      </c>
      <c r="Q176" s="104"/>
      <c r="R176" s="95">
        <f t="shared" si="37"/>
        <v>72580317.447040856</v>
      </c>
      <c r="S176" s="559">
        <f>$E$79-(SUM($H$79:H176)*$U$75)</f>
        <v>52761311.789999977</v>
      </c>
      <c r="T176" s="66"/>
      <c r="U176" s="726"/>
    </row>
    <row r="177" spans="1:21" hidden="1" outlineLevel="1">
      <c r="A177" s="706"/>
      <c r="B177" s="108">
        <v>43861</v>
      </c>
      <c r="C177" s="108"/>
      <c r="D177" s="134"/>
      <c r="E177" s="712">
        <f t="shared" si="33"/>
        <v>52761311.789999977</v>
      </c>
      <c r="F177" s="713">
        <f t="shared" si="34"/>
        <v>141761311.78999987</v>
      </c>
      <c r="G177" s="98">
        <f t="shared" si="42"/>
        <v>141761311.7899999</v>
      </c>
      <c r="H177" s="364">
        <f t="shared" si="41"/>
        <v>590672.13245833281</v>
      </c>
      <c r="I177" s="98">
        <f t="shared" si="31"/>
        <v>-58476541.113374799</v>
      </c>
      <c r="J177" s="98">
        <f t="shared" si="35"/>
        <v>-54932508.318624832</v>
      </c>
      <c r="K177" s="98">
        <f t="shared" si="40"/>
        <v>86828803.471375078</v>
      </c>
      <c r="L177" s="1189">
        <f t="shared" si="32"/>
        <v>83284770.676625073</v>
      </c>
      <c r="M177" s="400">
        <f t="shared" si="36"/>
        <v>76943.579693749954</v>
      </c>
      <c r="N177" s="98">
        <f t="shared" si="44"/>
        <v>-11218181.782348797</v>
      </c>
      <c r="O177" s="98">
        <f t="shared" si="38"/>
        <v>-11679843.260511294</v>
      </c>
      <c r="P177" s="714">
        <f t="shared" si="39"/>
        <v>75148960.210863784</v>
      </c>
      <c r="Q177" s="104"/>
      <c r="R177" s="95">
        <f t="shared" si="37"/>
        <v>72066588.894276276</v>
      </c>
      <c r="S177" s="559">
        <f>$E$79-(SUM($H$79:H177)*$U$75)</f>
        <v>52761311.789999977</v>
      </c>
      <c r="T177" s="66"/>
      <c r="U177" s="726"/>
    </row>
    <row r="178" spans="1:21" ht="12.75" hidden="1" customHeight="1" outlineLevel="1">
      <c r="A178" s="706"/>
      <c r="B178" s="108">
        <v>43889</v>
      </c>
      <c r="C178" s="108"/>
      <c r="D178" s="134"/>
      <c r="E178" s="712">
        <f t="shared" si="33"/>
        <v>52761311.789999977</v>
      </c>
      <c r="F178" s="713">
        <f t="shared" si="34"/>
        <v>141761311.78999987</v>
      </c>
      <c r="G178" s="98">
        <f t="shared" si="42"/>
        <v>141761311.7899999</v>
      </c>
      <c r="H178" s="364">
        <f t="shared" si="41"/>
        <v>590672.13245833281</v>
      </c>
      <c r="I178" s="98">
        <f t="shared" si="31"/>
        <v>-59067213.245833129</v>
      </c>
      <c r="J178" s="98">
        <f t="shared" si="35"/>
        <v>-55523180.451083176</v>
      </c>
      <c r="K178" s="98">
        <f t="shared" si="40"/>
        <v>86238131.338916719</v>
      </c>
      <c r="L178" s="1189">
        <f t="shared" si="32"/>
        <v>82694098.544166744</v>
      </c>
      <c r="M178" s="400">
        <f t="shared" si="36"/>
        <v>76943.579693749954</v>
      </c>
      <c r="N178" s="98">
        <f t="shared" si="44"/>
        <v>-11141238.202655047</v>
      </c>
      <c r="O178" s="98">
        <f t="shared" si="38"/>
        <v>-11602899.680817544</v>
      </c>
      <c r="P178" s="714">
        <f t="shared" si="39"/>
        <v>74635231.658099174</v>
      </c>
      <c r="Q178" s="104"/>
      <c r="R178" s="95">
        <f t="shared" si="37"/>
        <v>71552860.341511697</v>
      </c>
      <c r="S178" s="559">
        <f>$E$79-(SUM($H$79:H178)*$U$75)</f>
        <v>52761311.789999977</v>
      </c>
      <c r="T178" s="66"/>
      <c r="U178" s="726"/>
    </row>
    <row r="179" spans="1:21" ht="12.75" hidden="1" customHeight="1" outlineLevel="1">
      <c r="A179" s="706"/>
      <c r="B179" s="108">
        <v>43921</v>
      </c>
      <c r="C179" s="108"/>
      <c r="D179" s="134"/>
      <c r="E179" s="712">
        <f t="shared" si="33"/>
        <v>52761311.789999977</v>
      </c>
      <c r="F179" s="713">
        <f t="shared" si="34"/>
        <v>141761311.78999987</v>
      </c>
      <c r="G179" s="98">
        <f t="shared" si="42"/>
        <v>141761311.7899999</v>
      </c>
      <c r="H179" s="364">
        <f t="shared" si="41"/>
        <v>590672.13245833281</v>
      </c>
      <c r="I179" s="98">
        <f t="shared" si="31"/>
        <v>-59657885.378291458</v>
      </c>
      <c r="J179" s="98">
        <f t="shared" si="35"/>
        <v>-56113852.583541505</v>
      </c>
      <c r="K179" s="98">
        <f t="shared" si="40"/>
        <v>85647459.20645839</v>
      </c>
      <c r="L179" s="1189">
        <f t="shared" si="32"/>
        <v>82103426.411708415</v>
      </c>
      <c r="M179" s="400">
        <f t="shared" si="36"/>
        <v>76943.579693749954</v>
      </c>
      <c r="N179" s="98">
        <f t="shared" si="44"/>
        <v>-11064294.622961298</v>
      </c>
      <c r="O179" s="98">
        <f t="shared" si="38"/>
        <v>-11525956.101123795</v>
      </c>
      <c r="P179" s="714">
        <f t="shared" si="39"/>
        <v>74121503.105334595</v>
      </c>
      <c r="Q179" s="104"/>
      <c r="R179" s="95">
        <f t="shared" si="37"/>
        <v>71039131.788747117</v>
      </c>
      <c r="S179" s="559">
        <f>$E$79-(SUM($H$79:H179)*$U$75)</f>
        <v>52761311.789999977</v>
      </c>
      <c r="T179" s="66"/>
      <c r="U179" s="726"/>
    </row>
    <row r="180" spans="1:21" hidden="1" outlineLevel="1">
      <c r="A180" s="706"/>
      <c r="B180" s="108">
        <v>43951</v>
      </c>
      <c r="C180" s="108"/>
      <c r="D180" s="134"/>
      <c r="E180" s="712">
        <f t="shared" si="33"/>
        <v>52761311.789999977</v>
      </c>
      <c r="F180" s="713">
        <f t="shared" si="34"/>
        <v>141761311.78999987</v>
      </c>
      <c r="G180" s="98">
        <f t="shared" si="42"/>
        <v>141761311.7899999</v>
      </c>
      <c r="H180" s="364">
        <f t="shared" si="41"/>
        <v>590672.13245833281</v>
      </c>
      <c r="I180" s="98">
        <f t="shared" si="31"/>
        <v>-60248557.510749787</v>
      </c>
      <c r="J180" s="98">
        <f t="shared" si="35"/>
        <v>-56704524.715999834</v>
      </c>
      <c r="K180" s="98">
        <f t="shared" si="40"/>
        <v>85056787.074000061</v>
      </c>
      <c r="L180" s="1189">
        <f t="shared" si="32"/>
        <v>81512754.279250085</v>
      </c>
      <c r="M180" s="400">
        <f t="shared" si="36"/>
        <v>76943.579693749954</v>
      </c>
      <c r="N180" s="98">
        <f t="shared" si="44"/>
        <v>-10987351.043267548</v>
      </c>
      <c r="O180" s="98">
        <f t="shared" si="38"/>
        <v>-11449012.521430045</v>
      </c>
      <c r="P180" s="714">
        <f t="shared" si="39"/>
        <v>73607774.552570015</v>
      </c>
      <c r="Q180" s="104"/>
      <c r="R180" s="95">
        <f t="shared" si="37"/>
        <v>70525403.235982537</v>
      </c>
      <c r="S180" s="559">
        <f>$E$79-(SUM($H$79:H180)*$U$75)</f>
        <v>52761311.789999977</v>
      </c>
      <c r="T180" s="66"/>
      <c r="U180" s="726"/>
    </row>
    <row r="181" spans="1:21" hidden="1" outlineLevel="1">
      <c r="A181" s="706"/>
      <c r="B181" s="108">
        <v>43982</v>
      </c>
      <c r="C181" s="108"/>
      <c r="D181" s="134"/>
      <c r="E181" s="712">
        <f t="shared" si="33"/>
        <v>52761311.789999977</v>
      </c>
      <c r="F181" s="713">
        <f t="shared" si="34"/>
        <v>141761311.78999987</v>
      </c>
      <c r="G181" s="98">
        <f t="shared" si="42"/>
        <v>141761311.7899999</v>
      </c>
      <c r="H181" s="364">
        <f t="shared" si="41"/>
        <v>590672.13245833281</v>
      </c>
      <c r="I181" s="98">
        <f t="shared" si="31"/>
        <v>-60839229.643208116</v>
      </c>
      <c r="J181" s="98">
        <f t="shared" si="35"/>
        <v>-57295196.848458163</v>
      </c>
      <c r="K181" s="98">
        <f t="shared" si="40"/>
        <v>84466114.941541731</v>
      </c>
      <c r="L181" s="1189">
        <f t="shared" si="32"/>
        <v>80922082.146791756</v>
      </c>
      <c r="M181" s="400">
        <f t="shared" si="36"/>
        <v>76943.579693749954</v>
      </c>
      <c r="N181" s="98">
        <f t="shared" si="44"/>
        <v>-10910407.463573799</v>
      </c>
      <c r="O181" s="98">
        <f>(N169+N181+SUM(N170:N180)*2)/24</f>
        <v>-11372068.941736296</v>
      </c>
      <c r="P181" s="714">
        <f t="shared" si="39"/>
        <v>73094045.999805436</v>
      </c>
      <c r="Q181" s="104"/>
      <c r="R181" s="95">
        <f t="shared" si="37"/>
        <v>70011674.683217958</v>
      </c>
      <c r="S181" s="559">
        <f>$E$79-(SUM($H$79:H181)*$U$75)</f>
        <v>52761311.789999977</v>
      </c>
      <c r="T181" s="66"/>
      <c r="U181" s="726"/>
    </row>
    <row r="182" spans="1:21" ht="12.75" hidden="1" customHeight="1" outlineLevel="1">
      <c r="A182" s="706"/>
      <c r="B182" s="108">
        <v>44012</v>
      </c>
      <c r="C182" s="108"/>
      <c r="D182" s="134"/>
      <c r="E182" s="712">
        <f t="shared" si="33"/>
        <v>52761311.789999977</v>
      </c>
      <c r="F182" s="713">
        <f t="shared" si="34"/>
        <v>141761311.78999987</v>
      </c>
      <c r="G182" s="98">
        <f t="shared" si="42"/>
        <v>141761311.7899999</v>
      </c>
      <c r="H182" s="364">
        <f t="shared" si="41"/>
        <v>590672.13245833281</v>
      </c>
      <c r="I182" s="98">
        <f t="shared" si="31"/>
        <v>-61429901.775666445</v>
      </c>
      <c r="J182" s="98">
        <f t="shared" si="35"/>
        <v>-57885868.980916493</v>
      </c>
      <c r="K182" s="98">
        <f t="shared" si="40"/>
        <v>83875442.809083402</v>
      </c>
      <c r="L182" s="1189">
        <f t="shared" si="32"/>
        <v>80331410.014333427</v>
      </c>
      <c r="M182" s="400">
        <f t="shared" si="36"/>
        <v>76943.579693749954</v>
      </c>
      <c r="N182" s="98">
        <f t="shared" si="44"/>
        <v>-10833463.883880049</v>
      </c>
      <c r="O182" s="98">
        <f t="shared" si="38"/>
        <v>-11295125.362042546</v>
      </c>
      <c r="P182" s="714">
        <f t="shared" si="39"/>
        <v>72580317.447040856</v>
      </c>
      <c r="Q182" s="104"/>
      <c r="R182" s="95">
        <f t="shared" si="37"/>
        <v>69497946.130453378</v>
      </c>
      <c r="S182" s="559">
        <f>$E$79-(SUM($H$79:H182)*$U$75)</f>
        <v>52761311.789999977</v>
      </c>
      <c r="T182" s="66"/>
      <c r="U182" s="726"/>
    </row>
    <row r="183" spans="1:21" hidden="1" outlineLevel="1">
      <c r="A183" s="706"/>
      <c r="B183" s="108">
        <v>44043</v>
      </c>
      <c r="C183" s="108"/>
      <c r="D183" s="134"/>
      <c r="E183" s="712">
        <f t="shared" si="33"/>
        <v>52761311.789999977</v>
      </c>
      <c r="F183" s="713">
        <f t="shared" si="34"/>
        <v>141761311.78999987</v>
      </c>
      <c r="G183" s="98">
        <f t="shared" si="42"/>
        <v>141761311.7899999</v>
      </c>
      <c r="H183" s="364">
        <f t="shared" si="41"/>
        <v>590672.13245833281</v>
      </c>
      <c r="I183" s="98">
        <f t="shared" si="31"/>
        <v>-62020573.908124775</v>
      </c>
      <c r="J183" s="98">
        <f t="shared" si="35"/>
        <v>-58476541.113374822</v>
      </c>
      <c r="K183" s="98">
        <f t="shared" si="40"/>
        <v>83284770.676625073</v>
      </c>
      <c r="L183" s="1189">
        <f t="shared" si="32"/>
        <v>79740737.881875098</v>
      </c>
      <c r="M183" s="400">
        <f t="shared" si="36"/>
        <v>76943.579693749954</v>
      </c>
      <c r="N183" s="98">
        <f t="shared" si="44"/>
        <v>-10756520.304186299</v>
      </c>
      <c r="O183" s="98">
        <f t="shared" si="38"/>
        <v>-11218181.782348797</v>
      </c>
      <c r="P183" s="714">
        <f t="shared" si="39"/>
        <v>72066588.894276276</v>
      </c>
      <c r="Q183" s="104"/>
      <c r="R183" s="95">
        <f t="shared" si="37"/>
        <v>68984217.577688798</v>
      </c>
      <c r="S183" s="559">
        <f>$E$79-(SUM($H$79:H183)*$U$75)</f>
        <v>52761311.789999977</v>
      </c>
      <c r="T183" s="66"/>
      <c r="U183" s="726"/>
    </row>
    <row r="184" spans="1:21" hidden="1" outlineLevel="1">
      <c r="A184" s="706"/>
      <c r="B184" s="108">
        <v>44074</v>
      </c>
      <c r="C184" s="108"/>
      <c r="D184" s="134"/>
      <c r="E184" s="712">
        <f t="shared" si="33"/>
        <v>52761311.789999977</v>
      </c>
      <c r="F184" s="713">
        <f t="shared" si="34"/>
        <v>141761311.78999987</v>
      </c>
      <c r="G184" s="98">
        <f t="shared" si="42"/>
        <v>141761311.7899999</v>
      </c>
      <c r="H184" s="364">
        <f t="shared" si="41"/>
        <v>590672.13245833281</v>
      </c>
      <c r="I184" s="98">
        <f t="shared" si="31"/>
        <v>-62611246.040583104</v>
      </c>
      <c r="J184" s="98">
        <f t="shared" si="35"/>
        <v>-59067213.245833151</v>
      </c>
      <c r="K184" s="98">
        <f t="shared" si="40"/>
        <v>82694098.544166744</v>
      </c>
      <c r="L184" s="1189">
        <f t="shared" si="32"/>
        <v>79150065.749416769</v>
      </c>
      <c r="M184" s="400">
        <f t="shared" si="36"/>
        <v>76943.579693749954</v>
      </c>
      <c r="N184" s="98">
        <f t="shared" si="44"/>
        <v>-10679576.72449255</v>
      </c>
      <c r="O184" s="98">
        <f t="shared" si="38"/>
        <v>-11141238.202655047</v>
      </c>
      <c r="P184" s="714">
        <f t="shared" si="39"/>
        <v>71552860.341511697</v>
      </c>
      <c r="Q184" s="104"/>
      <c r="R184" s="95">
        <f t="shared" si="37"/>
        <v>68470489.024924219</v>
      </c>
      <c r="S184" s="559">
        <f>$E$79-(SUM($H$79:H184)*$U$75)</f>
        <v>52761311.789999977</v>
      </c>
      <c r="T184" s="66"/>
      <c r="U184" s="726"/>
    </row>
    <row r="185" spans="1:21" hidden="1" outlineLevel="1">
      <c r="A185" s="706"/>
      <c r="B185" s="108">
        <v>44104</v>
      </c>
      <c r="C185" s="108"/>
      <c r="D185" s="134"/>
      <c r="E185" s="712">
        <f t="shared" si="33"/>
        <v>52761311.789999977</v>
      </c>
      <c r="F185" s="713">
        <f t="shared" si="34"/>
        <v>141761311.78999987</v>
      </c>
      <c r="G185" s="98">
        <f t="shared" si="42"/>
        <v>141761311.7899999</v>
      </c>
      <c r="H185" s="364">
        <f t="shared" si="41"/>
        <v>590672.13245833281</v>
      </c>
      <c r="I185" s="98">
        <f t="shared" si="31"/>
        <v>-63201918.173041433</v>
      </c>
      <c r="J185" s="98">
        <f t="shared" si="35"/>
        <v>-59657885.37829148</v>
      </c>
      <c r="K185" s="98">
        <f t="shared" si="40"/>
        <v>82103426.411708415</v>
      </c>
      <c r="L185" s="1189">
        <f t="shared" si="32"/>
        <v>78559393.616958439</v>
      </c>
      <c r="M185" s="400">
        <f t="shared" si="36"/>
        <v>76943.579693749954</v>
      </c>
      <c r="N185" s="98">
        <f t="shared" si="44"/>
        <v>-10602633.1447988</v>
      </c>
      <c r="O185" s="98">
        <f t="shared" si="38"/>
        <v>-11064294.622961298</v>
      </c>
      <c r="P185" s="714">
        <f t="shared" si="39"/>
        <v>71039131.788747117</v>
      </c>
      <c r="Q185" s="104"/>
      <c r="R185" s="95">
        <f t="shared" si="37"/>
        <v>67956760.472159639</v>
      </c>
      <c r="S185" s="559">
        <f>$E$79-(SUM($H$79:H185)*$U$75)</f>
        <v>52761311.789999977</v>
      </c>
      <c r="T185" s="66"/>
      <c r="U185" s="726"/>
    </row>
    <row r="186" spans="1:21" hidden="1" outlineLevel="1">
      <c r="A186" s="706"/>
      <c r="B186" s="108">
        <v>44135</v>
      </c>
      <c r="C186" s="108"/>
      <c r="D186" s="134"/>
      <c r="E186" s="712">
        <f t="shared" si="33"/>
        <v>52761311.789999977</v>
      </c>
      <c r="F186" s="713">
        <f t="shared" si="34"/>
        <v>141761311.78999987</v>
      </c>
      <c r="G186" s="98">
        <f t="shared" si="42"/>
        <v>141761311.7899999</v>
      </c>
      <c r="H186" s="364">
        <f t="shared" si="41"/>
        <v>590672.13245833281</v>
      </c>
      <c r="I186" s="98">
        <f t="shared" si="31"/>
        <v>-63792590.305499762</v>
      </c>
      <c r="J186" s="98">
        <f t="shared" si="35"/>
        <v>-60248557.510749809</v>
      </c>
      <c r="K186" s="98">
        <f t="shared" si="40"/>
        <v>81512754.279250085</v>
      </c>
      <c r="L186" s="1189">
        <f t="shared" si="32"/>
        <v>77968721.48450011</v>
      </c>
      <c r="M186" s="400">
        <f t="shared" si="36"/>
        <v>76943.579693749954</v>
      </c>
      <c r="N186" s="98">
        <f t="shared" si="44"/>
        <v>-10525689.565105051</v>
      </c>
      <c r="O186" s="98">
        <f t="shared" si="38"/>
        <v>-10987351.043267548</v>
      </c>
      <c r="P186" s="714">
        <f t="shared" si="39"/>
        <v>70525403.235982537</v>
      </c>
      <c r="Q186" s="104"/>
      <c r="R186" s="95">
        <f t="shared" si="37"/>
        <v>67443031.919395059</v>
      </c>
      <c r="S186" s="559">
        <f>$E$79-(SUM($H$79:H186)*$U$75)</f>
        <v>52761311.789999977</v>
      </c>
      <c r="T186" s="66"/>
      <c r="U186" s="726"/>
    </row>
    <row r="187" spans="1:21" hidden="1" outlineLevel="1">
      <c r="A187" s="706"/>
      <c r="B187" s="108">
        <v>44165</v>
      </c>
      <c r="C187" s="108"/>
      <c r="D187" s="134"/>
      <c r="E187" s="712">
        <f t="shared" si="33"/>
        <v>52761311.789999977</v>
      </c>
      <c r="F187" s="713">
        <f t="shared" si="34"/>
        <v>141761311.78999987</v>
      </c>
      <c r="G187" s="98">
        <f t="shared" si="42"/>
        <v>141761311.7899999</v>
      </c>
      <c r="H187" s="364">
        <f t="shared" si="41"/>
        <v>590672.13245833281</v>
      </c>
      <c r="I187" s="98">
        <f t="shared" si="31"/>
        <v>-64383262.437958091</v>
      </c>
      <c r="J187" s="98">
        <f t="shared" si="35"/>
        <v>-60839229.643208139</v>
      </c>
      <c r="K187" s="98">
        <f t="shared" si="40"/>
        <v>80922082.146791756</v>
      </c>
      <c r="L187" s="1189">
        <f t="shared" si="32"/>
        <v>77378049.352041781</v>
      </c>
      <c r="M187" s="400">
        <f t="shared" si="36"/>
        <v>76943.579693749954</v>
      </c>
      <c r="N187" s="98">
        <f t="shared" si="44"/>
        <v>-10448745.985411301</v>
      </c>
      <c r="O187" s="98">
        <f t="shared" si="38"/>
        <v>-10910407.463573799</v>
      </c>
      <c r="P187" s="714">
        <f t="shared" si="39"/>
        <v>70011674.683217958</v>
      </c>
      <c r="Q187" s="104"/>
      <c r="R187" s="95">
        <f t="shared" si="37"/>
        <v>66929303.36663048</v>
      </c>
      <c r="S187" s="559">
        <f>$E$79-(SUM($H$79:H187)*$U$75)</f>
        <v>52761311.789999977</v>
      </c>
      <c r="T187" s="66"/>
      <c r="U187" s="726"/>
    </row>
    <row r="188" spans="1:21" hidden="1" outlineLevel="1">
      <c r="A188" s="706"/>
      <c r="B188" s="108">
        <v>44196</v>
      </c>
      <c r="C188" s="108"/>
      <c r="D188" s="134"/>
      <c r="E188" s="712">
        <f t="shared" si="33"/>
        <v>52761311.789999977</v>
      </c>
      <c r="F188" s="713">
        <f t="shared" si="34"/>
        <v>141761311.78999987</v>
      </c>
      <c r="G188" s="98">
        <f t="shared" si="42"/>
        <v>141761311.7899999</v>
      </c>
      <c r="H188" s="364">
        <f t="shared" si="41"/>
        <v>590672.13245833281</v>
      </c>
      <c r="I188" s="98">
        <f t="shared" si="31"/>
        <v>-64973934.570416421</v>
      </c>
      <c r="J188" s="98">
        <f t="shared" si="35"/>
        <v>-61429901.775666468</v>
      </c>
      <c r="K188" s="98">
        <f t="shared" si="40"/>
        <v>80331410.014333427</v>
      </c>
      <c r="L188" s="1189">
        <f t="shared" si="32"/>
        <v>76787377.219583452</v>
      </c>
      <c r="M188" s="400">
        <f t="shared" si="36"/>
        <v>76943.579693749954</v>
      </c>
      <c r="N188" s="98">
        <f t="shared" si="44"/>
        <v>-10371802.405717552</v>
      </c>
      <c r="O188" s="98">
        <f t="shared" si="38"/>
        <v>-10833463.883880049</v>
      </c>
      <c r="P188" s="714">
        <f t="shared" si="39"/>
        <v>69497946.130453378</v>
      </c>
      <c r="Q188" s="104"/>
      <c r="R188" s="95">
        <f t="shared" si="37"/>
        <v>66415574.8138659</v>
      </c>
      <c r="S188" s="559">
        <f>$E$79-(SUM($H$79:H188)*$U$75)</f>
        <v>52761311.789999977</v>
      </c>
      <c r="T188" s="66"/>
      <c r="U188" s="726"/>
    </row>
    <row r="189" spans="1:21" hidden="1" outlineLevel="1">
      <c r="A189" s="706"/>
      <c r="B189" s="108">
        <v>44227</v>
      </c>
      <c r="C189" s="108"/>
      <c r="D189" s="134"/>
      <c r="E189" s="712">
        <f t="shared" si="33"/>
        <v>52761311.789999977</v>
      </c>
      <c r="F189" s="713">
        <f t="shared" si="34"/>
        <v>141761311.78999987</v>
      </c>
      <c r="G189" s="98">
        <f t="shared" si="42"/>
        <v>141761311.7899999</v>
      </c>
      <c r="H189" s="364">
        <f t="shared" si="41"/>
        <v>590672.13245833281</v>
      </c>
      <c r="I189" s="98">
        <f t="shared" si="31"/>
        <v>-65564606.70287475</v>
      </c>
      <c r="J189" s="98">
        <f t="shared" si="35"/>
        <v>-62020573.908124797</v>
      </c>
      <c r="K189" s="98">
        <f t="shared" si="40"/>
        <v>79740737.881875098</v>
      </c>
      <c r="L189" s="1189">
        <f t="shared" si="32"/>
        <v>76196705.087125123</v>
      </c>
      <c r="M189" s="400">
        <f t="shared" si="36"/>
        <v>76943.579693749954</v>
      </c>
      <c r="N189" s="98">
        <f t="shared" si="44"/>
        <v>-10294858.826023802</v>
      </c>
      <c r="O189" s="98">
        <f t="shared" si="38"/>
        <v>-10756520.304186299</v>
      </c>
      <c r="P189" s="714">
        <f t="shared" si="39"/>
        <v>68984217.577688798</v>
      </c>
      <c r="Q189" s="104"/>
      <c r="R189" s="95">
        <f t="shared" si="37"/>
        <v>65901846.26110132</v>
      </c>
      <c r="S189" s="559">
        <f>$E$79-(SUM($H$79:H189)*$U$75)</f>
        <v>52761311.789999977</v>
      </c>
      <c r="T189" s="66"/>
      <c r="U189" s="726"/>
    </row>
    <row r="190" spans="1:21" ht="12.75" hidden="1" customHeight="1" outlineLevel="1">
      <c r="A190" s="706"/>
      <c r="B190" s="108">
        <v>44255</v>
      </c>
      <c r="C190" s="108"/>
      <c r="D190" s="134"/>
      <c r="E190" s="712">
        <f t="shared" si="33"/>
        <v>52761311.789999977</v>
      </c>
      <c r="F190" s="713">
        <f t="shared" si="34"/>
        <v>141761311.78999987</v>
      </c>
      <c r="G190" s="98">
        <f t="shared" si="42"/>
        <v>141761311.7899999</v>
      </c>
      <c r="H190" s="364">
        <f t="shared" si="41"/>
        <v>590672.13245833281</v>
      </c>
      <c r="I190" s="98">
        <f t="shared" si="31"/>
        <v>-66155278.835333079</v>
      </c>
      <c r="J190" s="98">
        <f t="shared" si="35"/>
        <v>-62611246.040583126</v>
      </c>
      <c r="K190" s="98">
        <f t="shared" si="40"/>
        <v>79150065.749416769</v>
      </c>
      <c r="L190" s="1189">
        <f t="shared" si="32"/>
        <v>75606032.954666793</v>
      </c>
      <c r="M190" s="400">
        <f t="shared" si="36"/>
        <v>76943.579693749954</v>
      </c>
      <c r="N190" s="98">
        <f t="shared" si="44"/>
        <v>-10217915.246330053</v>
      </c>
      <c r="O190" s="98">
        <f t="shared" si="38"/>
        <v>-10679576.72449255</v>
      </c>
      <c r="P190" s="714">
        <f t="shared" si="39"/>
        <v>68470489.024924219</v>
      </c>
      <c r="Q190" s="104"/>
      <c r="R190" s="95">
        <f t="shared" si="37"/>
        <v>65388117.708336741</v>
      </c>
      <c r="S190" s="559">
        <f>$E$79-(SUM($H$79:H190)*$U$75)</f>
        <v>52761311.789999977</v>
      </c>
      <c r="T190" s="66"/>
      <c r="U190" s="726"/>
    </row>
    <row r="191" spans="1:21" ht="12.75" hidden="1" customHeight="1" outlineLevel="1">
      <c r="A191" s="706"/>
      <c r="B191" s="108">
        <v>44286</v>
      </c>
      <c r="C191" s="108"/>
      <c r="D191" s="134"/>
      <c r="E191" s="712">
        <f t="shared" si="33"/>
        <v>52761311.789999977</v>
      </c>
      <c r="F191" s="713">
        <f t="shared" si="34"/>
        <v>141761311.78999987</v>
      </c>
      <c r="G191" s="98">
        <f t="shared" si="42"/>
        <v>141761311.7899999</v>
      </c>
      <c r="H191" s="364">
        <f t="shared" si="41"/>
        <v>590672.13245833281</v>
      </c>
      <c r="I191" s="98">
        <f t="shared" si="31"/>
        <v>-66745950.967791408</v>
      </c>
      <c r="J191" s="98">
        <f t="shared" si="35"/>
        <v>-63201918.173041455</v>
      </c>
      <c r="K191" s="98">
        <f t="shared" si="40"/>
        <v>78559393.616958439</v>
      </c>
      <c r="L191" s="1189">
        <f t="shared" si="32"/>
        <v>75015360.822208464</v>
      </c>
      <c r="M191" s="400">
        <f t="shared" si="36"/>
        <v>76943.579693749954</v>
      </c>
      <c r="N191" s="98">
        <f t="shared" si="44"/>
        <v>-10140971.666636303</v>
      </c>
      <c r="O191" s="98">
        <f t="shared" si="38"/>
        <v>-10602633.1447988</v>
      </c>
      <c r="P191" s="714">
        <f t="shared" si="39"/>
        <v>67956760.472159639</v>
      </c>
      <c r="Q191" s="104"/>
      <c r="R191" s="95">
        <f t="shared" si="37"/>
        <v>64874389.155572161</v>
      </c>
      <c r="S191" s="559">
        <f>$E$79-(SUM($H$79:H191)*$U$75)</f>
        <v>52761311.789999977</v>
      </c>
      <c r="T191" s="66"/>
      <c r="U191" s="726"/>
    </row>
    <row r="192" spans="1:21" hidden="1" outlineLevel="1">
      <c r="A192" s="706"/>
      <c r="B192" s="108">
        <v>44316</v>
      </c>
      <c r="C192" s="108"/>
      <c r="D192" s="134"/>
      <c r="E192" s="712">
        <f t="shared" si="33"/>
        <v>52761311.789999977</v>
      </c>
      <c r="F192" s="713">
        <f t="shared" si="34"/>
        <v>141761311.78999987</v>
      </c>
      <c r="G192" s="98">
        <f t="shared" si="42"/>
        <v>141761311.7899999</v>
      </c>
      <c r="H192" s="364">
        <f t="shared" si="41"/>
        <v>590672.13245833281</v>
      </c>
      <c r="I192" s="98">
        <f t="shared" si="31"/>
        <v>-67336623.100249738</v>
      </c>
      <c r="J192" s="98">
        <f t="shared" si="35"/>
        <v>-63792590.305499785</v>
      </c>
      <c r="K192" s="98">
        <f t="shared" si="40"/>
        <v>77968721.48450011</v>
      </c>
      <c r="L192" s="1189">
        <f t="shared" si="32"/>
        <v>74424688.689750135</v>
      </c>
      <c r="M192" s="400">
        <f t="shared" si="36"/>
        <v>76943.579693749954</v>
      </c>
      <c r="N192" s="98">
        <f t="shared" si="44"/>
        <v>-10064028.086942554</v>
      </c>
      <c r="O192" s="98">
        <f t="shared" si="38"/>
        <v>-10525689.565105051</v>
      </c>
      <c r="P192" s="714">
        <f t="shared" si="39"/>
        <v>67443031.919395059</v>
      </c>
      <c r="Q192" s="104"/>
      <c r="R192" s="95">
        <f t="shared" si="37"/>
        <v>64360660.602807581</v>
      </c>
      <c r="S192" s="559">
        <f>$E$79-(SUM($H$79:H192)*$U$75)</f>
        <v>52761311.789999977</v>
      </c>
      <c r="T192" s="66"/>
      <c r="U192" s="726"/>
    </row>
    <row r="193" spans="1:21" s="65" customFormat="1" hidden="1" outlineLevel="1">
      <c r="A193" s="706"/>
      <c r="B193" s="108">
        <v>44347</v>
      </c>
      <c r="C193" s="108"/>
      <c r="D193" s="134"/>
      <c r="E193" s="712">
        <f t="shared" si="33"/>
        <v>52761311.789999977</v>
      </c>
      <c r="F193" s="713">
        <f t="shared" si="34"/>
        <v>141761311.78999987</v>
      </c>
      <c r="G193" s="98">
        <f t="shared" si="42"/>
        <v>141761311.7899999</v>
      </c>
      <c r="H193" s="364">
        <f t="shared" si="41"/>
        <v>590672.13245833281</v>
      </c>
      <c r="I193" s="98">
        <f t="shared" si="31"/>
        <v>-67927295.232708067</v>
      </c>
      <c r="J193" s="98">
        <f t="shared" si="35"/>
        <v>-64383262.437958114</v>
      </c>
      <c r="K193" s="98">
        <f t="shared" si="40"/>
        <v>77378049.352041781</v>
      </c>
      <c r="L193" s="1189">
        <f t="shared" si="32"/>
        <v>73834016.557291806</v>
      </c>
      <c r="M193" s="400">
        <f t="shared" si="36"/>
        <v>76943.579693749954</v>
      </c>
      <c r="N193" s="98">
        <f t="shared" si="44"/>
        <v>-9987084.507248804</v>
      </c>
      <c r="O193" s="98">
        <f t="shared" si="38"/>
        <v>-10448745.985411301</v>
      </c>
      <c r="P193" s="714">
        <f t="shared" si="39"/>
        <v>66929303.36663048</v>
      </c>
      <c r="Q193" s="104"/>
      <c r="R193" s="95">
        <f t="shared" si="37"/>
        <v>63846932.050043002</v>
      </c>
      <c r="S193" s="559">
        <f>$E$79-(SUM($H$79:H193)*$U$75)</f>
        <v>52761311.789999977</v>
      </c>
      <c r="T193" s="66"/>
      <c r="U193" s="726"/>
    </row>
    <row r="194" spans="1:21" s="65" customFormat="1" ht="12.75" hidden="1" customHeight="1" outlineLevel="1">
      <c r="A194" s="706"/>
      <c r="B194" s="108">
        <v>44377</v>
      </c>
      <c r="C194" s="108"/>
      <c r="D194" s="134"/>
      <c r="E194" s="712">
        <f t="shared" si="33"/>
        <v>52761311.789999977</v>
      </c>
      <c r="F194" s="713">
        <f t="shared" si="34"/>
        <v>141761311.78999987</v>
      </c>
      <c r="G194" s="98">
        <f t="shared" si="42"/>
        <v>141761311.7899999</v>
      </c>
      <c r="H194" s="364">
        <f t="shared" si="41"/>
        <v>590672.13245833281</v>
      </c>
      <c r="I194" s="98">
        <f t="shared" si="31"/>
        <v>-68517967.365166396</v>
      </c>
      <c r="J194" s="98">
        <f t="shared" si="35"/>
        <v>-64973934.570416443</v>
      </c>
      <c r="K194" s="98">
        <f t="shared" si="40"/>
        <v>76787377.219583452</v>
      </c>
      <c r="L194" s="1189">
        <f t="shared" si="32"/>
        <v>73243344.424833477</v>
      </c>
      <c r="M194" s="400">
        <f t="shared" si="36"/>
        <v>76943.579693749954</v>
      </c>
      <c r="N194" s="98">
        <f t="shared" si="44"/>
        <v>-9910140.9275550544</v>
      </c>
      <c r="O194" s="98">
        <f t="shared" si="38"/>
        <v>-10371802.405717552</v>
      </c>
      <c r="P194" s="714">
        <f t="shared" si="39"/>
        <v>66415574.8138659</v>
      </c>
      <c r="Q194" s="104"/>
      <c r="R194" s="95">
        <f t="shared" si="37"/>
        <v>63333203.497278422</v>
      </c>
      <c r="S194" s="559">
        <f>$E$79-(SUM($H$79:H194)*$U$75)</f>
        <v>52761311.789999977</v>
      </c>
      <c r="T194" s="66"/>
      <c r="U194" s="726"/>
    </row>
    <row r="195" spans="1:21" s="65" customFormat="1" hidden="1" outlineLevel="1">
      <c r="A195" s="706"/>
      <c r="B195" s="108">
        <v>44408</v>
      </c>
      <c r="C195" s="108"/>
      <c r="D195" s="134"/>
      <c r="E195" s="712">
        <f t="shared" si="33"/>
        <v>52761311.789999977</v>
      </c>
      <c r="F195" s="713">
        <f t="shared" si="34"/>
        <v>141761311.78999987</v>
      </c>
      <c r="G195" s="98">
        <f t="shared" si="42"/>
        <v>141761311.7899999</v>
      </c>
      <c r="H195" s="364">
        <f t="shared" si="41"/>
        <v>590672.13245833281</v>
      </c>
      <c r="I195" s="98">
        <f t="shared" si="31"/>
        <v>-69108639.497624725</v>
      </c>
      <c r="J195" s="98">
        <f t="shared" si="35"/>
        <v>-65564606.702874772</v>
      </c>
      <c r="K195" s="98">
        <f t="shared" si="40"/>
        <v>76196705.087125123</v>
      </c>
      <c r="L195" s="1189">
        <f t="shared" si="32"/>
        <v>72652672.292375147</v>
      </c>
      <c r="M195" s="400">
        <f t="shared" si="36"/>
        <v>76943.579693749954</v>
      </c>
      <c r="N195" s="98">
        <f t="shared" si="44"/>
        <v>-9833197.3478613049</v>
      </c>
      <c r="O195" s="98">
        <f t="shared" si="38"/>
        <v>-10294858.826023802</v>
      </c>
      <c r="P195" s="714">
        <f t="shared" si="39"/>
        <v>65901846.26110132</v>
      </c>
      <c r="Q195" s="104"/>
      <c r="R195" s="95">
        <f t="shared" si="37"/>
        <v>62819474.944513842</v>
      </c>
      <c r="S195" s="559">
        <f>$E$79-(SUM($H$79:H195)*$U$75)</f>
        <v>52761311.789999977</v>
      </c>
      <c r="T195" s="66"/>
      <c r="U195" s="726"/>
    </row>
    <row r="196" spans="1:21" s="65" customFormat="1" hidden="1" outlineLevel="1">
      <c r="A196" s="706"/>
      <c r="B196" s="108">
        <v>44439</v>
      </c>
      <c r="C196" s="108"/>
      <c r="D196" s="134"/>
      <c r="E196" s="712">
        <f t="shared" si="33"/>
        <v>52761311.789999977</v>
      </c>
      <c r="F196" s="713">
        <f t="shared" si="34"/>
        <v>141761311.78999987</v>
      </c>
      <c r="G196" s="98">
        <f t="shared" si="42"/>
        <v>141761311.7899999</v>
      </c>
      <c r="H196" s="364">
        <f t="shared" si="41"/>
        <v>590672.13245833281</v>
      </c>
      <c r="I196" s="98">
        <f t="shared" si="31"/>
        <v>-69699311.630083054</v>
      </c>
      <c r="J196" s="98">
        <f t="shared" si="35"/>
        <v>-66155278.835333101</v>
      </c>
      <c r="K196" s="98">
        <f t="shared" si="40"/>
        <v>75606032.954666793</v>
      </c>
      <c r="L196" s="1189">
        <f t="shared" si="32"/>
        <v>72062000.159916818</v>
      </c>
      <c r="M196" s="400">
        <f t="shared" si="36"/>
        <v>76943.579693749954</v>
      </c>
      <c r="N196" s="98">
        <f t="shared" si="44"/>
        <v>-9756253.7681675553</v>
      </c>
      <c r="O196" s="98">
        <f t="shared" si="38"/>
        <v>-10217915.246330053</v>
      </c>
      <c r="P196" s="714">
        <f t="shared" si="39"/>
        <v>65388117.708336741</v>
      </c>
      <c r="Q196" s="104"/>
      <c r="R196" s="95">
        <f t="shared" si="37"/>
        <v>62305746.391749263</v>
      </c>
      <c r="S196" s="559">
        <f>$E$79-(SUM($H$79:H196)*$U$75)</f>
        <v>52761311.789999977</v>
      </c>
      <c r="T196" s="66"/>
      <c r="U196" s="726"/>
    </row>
    <row r="197" spans="1:21" s="65" customFormat="1" hidden="1" outlineLevel="1">
      <c r="A197" s="706"/>
      <c r="B197" s="108">
        <v>44469</v>
      </c>
      <c r="C197" s="108"/>
      <c r="D197" s="134"/>
      <c r="E197" s="712">
        <f t="shared" si="33"/>
        <v>52761311.789999977</v>
      </c>
      <c r="F197" s="713">
        <f t="shared" si="34"/>
        <v>141761311.78999987</v>
      </c>
      <c r="G197" s="98">
        <f t="shared" si="42"/>
        <v>141761311.7899999</v>
      </c>
      <c r="H197" s="364">
        <f t="shared" si="41"/>
        <v>590672.13245833281</v>
      </c>
      <c r="I197" s="98">
        <f t="shared" si="31"/>
        <v>-70289983.762541384</v>
      </c>
      <c r="J197" s="98">
        <f t="shared" si="35"/>
        <v>-66745950.967791431</v>
      </c>
      <c r="K197" s="98">
        <f t="shared" si="40"/>
        <v>75015360.822208464</v>
      </c>
      <c r="L197" s="1189">
        <f t="shared" si="32"/>
        <v>71471328.027458489</v>
      </c>
      <c r="M197" s="400">
        <f t="shared" si="36"/>
        <v>76943.579693749954</v>
      </c>
      <c r="N197" s="98">
        <f t="shared" si="44"/>
        <v>-9679310.1884738058</v>
      </c>
      <c r="O197" s="98">
        <f t="shared" si="38"/>
        <v>-10140971.666636303</v>
      </c>
      <c r="P197" s="714">
        <f t="shared" si="39"/>
        <v>64874389.155572161</v>
      </c>
      <c r="Q197" s="104"/>
      <c r="R197" s="95">
        <f t="shared" si="37"/>
        <v>61792017.838984683</v>
      </c>
      <c r="S197" s="559">
        <f>$E$79-(SUM($H$79:H197)*$U$75)</f>
        <v>52761311.789999977</v>
      </c>
      <c r="T197" s="66"/>
      <c r="U197" s="726"/>
    </row>
    <row r="198" spans="1:21" s="65" customFormat="1" hidden="1" outlineLevel="1">
      <c r="A198" s="706"/>
      <c r="B198" s="108">
        <v>44500</v>
      </c>
      <c r="C198" s="108"/>
      <c r="D198" s="134"/>
      <c r="E198" s="712">
        <f t="shared" si="33"/>
        <v>52761311.789999977</v>
      </c>
      <c r="F198" s="713">
        <f t="shared" si="34"/>
        <v>141761311.78999987</v>
      </c>
      <c r="G198" s="98">
        <f t="shared" si="42"/>
        <v>141761311.7899999</v>
      </c>
      <c r="H198" s="364">
        <f t="shared" si="41"/>
        <v>590672.13245833281</v>
      </c>
      <c r="I198" s="98">
        <f t="shared" si="31"/>
        <v>-70880655.894999713</v>
      </c>
      <c r="J198" s="98">
        <f t="shared" si="35"/>
        <v>-67336623.100249752</v>
      </c>
      <c r="K198" s="98">
        <f t="shared" si="40"/>
        <v>74424688.68975015</v>
      </c>
      <c r="L198" s="1189">
        <f t="shared" si="32"/>
        <v>70880655.89500016</v>
      </c>
      <c r="M198" s="400">
        <f t="shared" si="36"/>
        <v>76943.579693749954</v>
      </c>
      <c r="N198" s="98">
        <f t="shared" si="44"/>
        <v>-9602366.6087800562</v>
      </c>
      <c r="O198" s="98">
        <f t="shared" si="38"/>
        <v>-10064028.086942554</v>
      </c>
      <c r="P198" s="714">
        <f t="shared" si="39"/>
        <v>64360660.602807596</v>
      </c>
      <c r="Q198" s="104"/>
      <c r="R198" s="95">
        <f t="shared" si="37"/>
        <v>61278289.286220104</v>
      </c>
      <c r="S198" s="559">
        <f>$E$79-(SUM($H$79:H198)*$U$75)</f>
        <v>52761311.789999977</v>
      </c>
      <c r="T198" s="66"/>
      <c r="U198" s="726"/>
    </row>
    <row r="199" spans="1:21" s="65" customFormat="1" hidden="1" outlineLevel="1">
      <c r="A199" s="706"/>
      <c r="B199" s="108">
        <v>44530</v>
      </c>
      <c r="C199" s="108"/>
      <c r="D199" s="134"/>
      <c r="E199" s="712">
        <f t="shared" si="33"/>
        <v>52761311.789999977</v>
      </c>
      <c r="F199" s="713">
        <f t="shared" si="34"/>
        <v>141761311.78999987</v>
      </c>
      <c r="G199" s="98">
        <f t="shared" si="42"/>
        <v>141761311.7899999</v>
      </c>
      <c r="H199" s="364">
        <f t="shared" si="41"/>
        <v>590672.13245833281</v>
      </c>
      <c r="I199" s="98">
        <f t="shared" si="31"/>
        <v>-71471328.027458042</v>
      </c>
      <c r="J199" s="98">
        <f t="shared" si="35"/>
        <v>-67927295.232708082</v>
      </c>
      <c r="K199" s="98">
        <f t="shared" si="40"/>
        <v>73834016.557291821</v>
      </c>
      <c r="L199" s="1189">
        <f t="shared" si="32"/>
        <v>70289983.762541831</v>
      </c>
      <c r="M199" s="400">
        <f t="shared" si="36"/>
        <v>76943.579693749954</v>
      </c>
      <c r="N199" s="98">
        <f t="shared" si="44"/>
        <v>-9525423.0290863067</v>
      </c>
      <c r="O199" s="98">
        <f t="shared" si="38"/>
        <v>-9987084.507248804</v>
      </c>
      <c r="P199" s="714">
        <f t="shared" si="39"/>
        <v>63846932.050043017</v>
      </c>
      <c r="Q199" s="104"/>
      <c r="R199" s="95">
        <f t="shared" si="37"/>
        <v>60764560.733455524</v>
      </c>
      <c r="S199" s="559">
        <f>$E$79-(SUM($H$79:H199)*$U$75)</f>
        <v>52761311.789999977</v>
      </c>
      <c r="T199" s="66"/>
      <c r="U199" s="726"/>
    </row>
    <row r="200" spans="1:21" s="65" customFormat="1" hidden="1" outlineLevel="1">
      <c r="A200" s="706"/>
      <c r="B200" s="108">
        <v>44561</v>
      </c>
      <c r="C200" s="108"/>
      <c r="D200" s="134"/>
      <c r="E200" s="712">
        <f t="shared" si="33"/>
        <v>52761311.789999977</v>
      </c>
      <c r="F200" s="713">
        <f t="shared" si="34"/>
        <v>141761311.78999987</v>
      </c>
      <c r="G200" s="98">
        <f t="shared" si="42"/>
        <v>141761311.7899999</v>
      </c>
      <c r="H200" s="364">
        <f t="shared" si="41"/>
        <v>590672.13245833281</v>
      </c>
      <c r="I200" s="98">
        <f t="shared" si="31"/>
        <v>-72062000.159916371</v>
      </c>
      <c r="J200" s="98">
        <f t="shared" si="35"/>
        <v>-68517967.365166411</v>
      </c>
      <c r="K200" s="98">
        <f t="shared" si="40"/>
        <v>73243344.424833491</v>
      </c>
      <c r="L200" s="1189">
        <f t="shared" si="32"/>
        <v>69699311.630083501</v>
      </c>
      <c r="M200" s="400">
        <f t="shared" si="36"/>
        <v>76943.579693749954</v>
      </c>
      <c r="N200" s="98">
        <f>N199+M200</f>
        <v>-9448479.4493925571</v>
      </c>
      <c r="O200" s="98">
        <f t="shared" si="38"/>
        <v>-9910140.9275550544</v>
      </c>
      <c r="P200" s="714">
        <f t="shared" si="39"/>
        <v>63333203.497278437</v>
      </c>
      <c r="Q200" s="104"/>
      <c r="R200" s="95">
        <f t="shared" si="37"/>
        <v>60250832.180690944</v>
      </c>
      <c r="S200" s="559">
        <f>$E$79-(SUM($H$79:H200)*$U$75)</f>
        <v>52761311.789999977</v>
      </c>
      <c r="T200" s="66"/>
      <c r="U200" s="726"/>
    </row>
    <row r="201" spans="1:21" s="65" customFormat="1" hidden="1" outlineLevel="1">
      <c r="A201" s="706"/>
      <c r="B201" s="108">
        <v>44592</v>
      </c>
      <c r="C201" s="108"/>
      <c r="D201" s="134"/>
      <c r="E201" s="712">
        <f t="shared" si="33"/>
        <v>52761311.789999977</v>
      </c>
      <c r="F201" s="713">
        <f t="shared" si="34"/>
        <v>141761311.78999987</v>
      </c>
      <c r="G201" s="98">
        <f t="shared" si="42"/>
        <v>141761311.7899999</v>
      </c>
      <c r="H201" s="364">
        <f t="shared" si="41"/>
        <v>590672.13245833281</v>
      </c>
      <c r="I201" s="98">
        <f t="shared" si="31"/>
        <v>-72652672.2923747</v>
      </c>
      <c r="J201" s="98">
        <f t="shared" si="35"/>
        <v>-69108639.49762474</v>
      </c>
      <c r="K201" s="98">
        <f t="shared" si="40"/>
        <v>72652672.292375162</v>
      </c>
      <c r="L201" s="1189">
        <f t="shared" si="32"/>
        <v>69108639.497625172</v>
      </c>
      <c r="M201" s="400">
        <f t="shared" si="36"/>
        <v>76943.579693749954</v>
      </c>
      <c r="N201" s="98">
        <f t="shared" si="44"/>
        <v>-9371535.8696988076</v>
      </c>
      <c r="O201" s="98">
        <f t="shared" si="38"/>
        <v>-9833197.3478613049</v>
      </c>
      <c r="P201" s="714">
        <f t="shared" si="39"/>
        <v>62819474.944513857</v>
      </c>
      <c r="Q201" s="104"/>
      <c r="R201" s="95">
        <f t="shared" si="37"/>
        <v>59737103.627926365</v>
      </c>
      <c r="S201" s="559">
        <f>$E$79-(SUM($H$79:H201)*$U$75)</f>
        <v>52761311.789999977</v>
      </c>
      <c r="T201" s="66"/>
      <c r="U201" s="726"/>
    </row>
    <row r="202" spans="1:21" s="65" customFormat="1" hidden="1" outlineLevel="1">
      <c r="A202" s="706"/>
      <c r="B202" s="108">
        <v>44620</v>
      </c>
      <c r="C202" s="108"/>
      <c r="D202" s="134"/>
      <c r="E202" s="712">
        <f t="shared" si="33"/>
        <v>52761311.789999977</v>
      </c>
      <c r="F202" s="713">
        <f t="shared" si="34"/>
        <v>141761311.78999987</v>
      </c>
      <c r="G202" s="98">
        <f t="shared" si="42"/>
        <v>141761311.7899999</v>
      </c>
      <c r="H202" s="364">
        <f t="shared" si="41"/>
        <v>590672.13245833281</v>
      </c>
      <c r="I202" s="98">
        <f t="shared" si="31"/>
        <v>-73243344.42483303</v>
      </c>
      <c r="J202" s="98">
        <f t="shared" si="35"/>
        <v>-69699311.630083069</v>
      </c>
      <c r="K202" s="98">
        <f t="shared" si="40"/>
        <v>72062000.159916833</v>
      </c>
      <c r="L202" s="1189">
        <f t="shared" si="32"/>
        <v>68517967.365166843</v>
      </c>
      <c r="M202" s="400">
        <f t="shared" si="36"/>
        <v>76943.579693749954</v>
      </c>
      <c r="N202" s="98">
        <f t="shared" si="44"/>
        <v>-9294592.2900050581</v>
      </c>
      <c r="O202" s="98">
        <f t="shared" si="38"/>
        <v>-9756253.7681675553</v>
      </c>
      <c r="P202" s="714">
        <f t="shared" si="39"/>
        <v>62305746.391749278</v>
      </c>
      <c r="Q202" s="104"/>
      <c r="R202" s="95">
        <f t="shared" si="37"/>
        <v>59223375.075161785</v>
      </c>
      <c r="S202" s="559">
        <f>$E$79-(SUM($H$79:H202)*$U$75)</f>
        <v>52761311.789999977</v>
      </c>
      <c r="T202" s="66"/>
      <c r="U202" s="726"/>
    </row>
    <row r="203" spans="1:21" s="65" customFormat="1" hidden="1" outlineLevel="1">
      <c r="A203" s="706"/>
      <c r="B203" s="108">
        <v>44651</v>
      </c>
      <c r="C203" s="108"/>
      <c r="D203" s="134"/>
      <c r="E203" s="712">
        <f t="shared" si="33"/>
        <v>52761311.789999977</v>
      </c>
      <c r="F203" s="713">
        <f t="shared" si="34"/>
        <v>141761311.78999987</v>
      </c>
      <c r="G203" s="98">
        <f t="shared" si="42"/>
        <v>141761311.7899999</v>
      </c>
      <c r="H203" s="364">
        <f t="shared" si="41"/>
        <v>590672.13245833281</v>
      </c>
      <c r="I203" s="98">
        <f t="shared" ref="I203:I266" si="45">I202-H203</f>
        <v>-73834016.557291359</v>
      </c>
      <c r="J203" s="98">
        <f t="shared" si="35"/>
        <v>-70289983.762541398</v>
      </c>
      <c r="K203" s="98">
        <f t="shared" si="40"/>
        <v>71471328.027458504</v>
      </c>
      <c r="L203" s="1189">
        <f t="shared" si="32"/>
        <v>67927295.232708514</v>
      </c>
      <c r="M203" s="400">
        <f t="shared" si="36"/>
        <v>76943.579693749954</v>
      </c>
      <c r="N203" s="98">
        <f t="shared" si="44"/>
        <v>-9217648.7103113085</v>
      </c>
      <c r="O203" s="98">
        <f t="shared" si="38"/>
        <v>-9679310.1884738058</v>
      </c>
      <c r="P203" s="714">
        <f t="shared" si="39"/>
        <v>61792017.838984698</v>
      </c>
      <c r="Q203" s="104"/>
      <c r="R203" s="95">
        <f t="shared" si="37"/>
        <v>58709646.522397205</v>
      </c>
      <c r="S203" s="559">
        <f>$E$79-(SUM($H$79:H203)*$U$75)</f>
        <v>52761311.789999977</v>
      </c>
      <c r="T203" s="66"/>
      <c r="U203" s="726"/>
    </row>
    <row r="204" spans="1:21" s="65" customFormat="1" hidden="1" outlineLevel="1">
      <c r="A204" s="706"/>
      <c r="B204" s="108">
        <v>44681</v>
      </c>
      <c r="C204" s="108"/>
      <c r="D204" s="134"/>
      <c r="E204" s="712">
        <f t="shared" si="33"/>
        <v>52761311.789999977</v>
      </c>
      <c r="F204" s="713">
        <f t="shared" si="34"/>
        <v>141761311.78999987</v>
      </c>
      <c r="G204" s="98">
        <f t="shared" si="42"/>
        <v>141761311.7899999</v>
      </c>
      <c r="H204" s="364">
        <f t="shared" si="41"/>
        <v>590672.13245833281</v>
      </c>
      <c r="I204" s="98">
        <f t="shared" si="45"/>
        <v>-74424688.689749688</v>
      </c>
      <c r="J204" s="98">
        <f t="shared" si="35"/>
        <v>-70880655.894999728</v>
      </c>
      <c r="K204" s="98">
        <f t="shared" si="40"/>
        <v>70880655.895000175</v>
      </c>
      <c r="L204" s="1189">
        <f t="shared" si="32"/>
        <v>67336623.100250185</v>
      </c>
      <c r="M204" s="400">
        <f t="shared" si="36"/>
        <v>76943.579693749954</v>
      </c>
      <c r="N204" s="98">
        <f t="shared" si="44"/>
        <v>-9140705.130617559</v>
      </c>
      <c r="O204" s="98">
        <f t="shared" si="38"/>
        <v>-9602366.6087800562</v>
      </c>
      <c r="P204" s="714">
        <f t="shared" si="39"/>
        <v>61278289.286220118</v>
      </c>
      <c r="Q204" s="104"/>
      <c r="R204" s="95">
        <f t="shared" si="37"/>
        <v>58195917.969632626</v>
      </c>
      <c r="S204" s="559">
        <f>$E$79-(SUM($H$79:H204)*$U$75)</f>
        <v>52761311.789999977</v>
      </c>
      <c r="T204" s="66"/>
      <c r="U204" s="726"/>
    </row>
    <row r="205" spans="1:21" s="65" customFormat="1" hidden="1" outlineLevel="1">
      <c r="A205" s="706"/>
      <c r="B205" s="108">
        <v>44712</v>
      </c>
      <c r="C205" s="108"/>
      <c r="D205" s="134"/>
      <c r="E205" s="712">
        <f t="shared" si="33"/>
        <v>52761311.789999977</v>
      </c>
      <c r="F205" s="713">
        <f t="shared" si="34"/>
        <v>141761311.78999987</v>
      </c>
      <c r="G205" s="98">
        <f t="shared" si="42"/>
        <v>141761311.7899999</v>
      </c>
      <c r="H205" s="364">
        <f t="shared" si="41"/>
        <v>590672.13245833281</v>
      </c>
      <c r="I205" s="98">
        <f t="shared" si="45"/>
        <v>-75015360.822208017</v>
      </c>
      <c r="J205" s="98">
        <f t="shared" si="35"/>
        <v>-71471328.027458057</v>
      </c>
      <c r="K205" s="98">
        <f t="shared" si="40"/>
        <v>70289983.762541845</v>
      </c>
      <c r="L205" s="1189">
        <f t="shared" ref="L205:L268" si="46">F205+I205</f>
        <v>66745950.967791855</v>
      </c>
      <c r="M205" s="400">
        <f t="shared" si="36"/>
        <v>76943.579693749954</v>
      </c>
      <c r="N205" s="98">
        <f t="shared" si="44"/>
        <v>-9063761.5509238094</v>
      </c>
      <c r="O205" s="98">
        <f t="shared" si="38"/>
        <v>-9525423.0290863067</v>
      </c>
      <c r="P205" s="714">
        <f t="shared" si="39"/>
        <v>60764560.733455539</v>
      </c>
      <c r="Q205" s="104"/>
      <c r="R205" s="95">
        <f t="shared" si="37"/>
        <v>57682189.416868046</v>
      </c>
      <c r="S205" s="559">
        <f>$E$79-(SUM($H$79:H205)*$U$75)</f>
        <v>52761311.789999977</v>
      </c>
      <c r="T205" s="66"/>
      <c r="U205" s="726"/>
    </row>
    <row r="206" spans="1:21" s="65" customFormat="1" hidden="1" outlineLevel="1">
      <c r="A206" s="706"/>
      <c r="B206" s="108">
        <v>44742</v>
      </c>
      <c r="D206" s="134"/>
      <c r="E206" s="712">
        <f t="shared" ref="E206:E269" si="47">D206+E205</f>
        <v>52761311.789999977</v>
      </c>
      <c r="F206" s="713">
        <f t="shared" ref="F206:F269" si="48">F205+D206</f>
        <v>141761311.78999987</v>
      </c>
      <c r="G206" s="98">
        <f t="shared" si="42"/>
        <v>141761311.7899999</v>
      </c>
      <c r="H206" s="364">
        <f t="shared" si="41"/>
        <v>590672.13245833281</v>
      </c>
      <c r="I206" s="98">
        <f t="shared" si="45"/>
        <v>-75606032.954666346</v>
      </c>
      <c r="J206" s="98">
        <f t="shared" si="35"/>
        <v>-72062000.159916386</v>
      </c>
      <c r="K206" s="98">
        <f t="shared" si="40"/>
        <v>69699311.630083516</v>
      </c>
      <c r="L206" s="1189">
        <f t="shared" si="46"/>
        <v>66155278.835333526</v>
      </c>
      <c r="M206" s="400">
        <f t="shared" si="36"/>
        <v>76943.579693749954</v>
      </c>
      <c r="N206" s="98">
        <f t="shared" si="44"/>
        <v>-8986817.9712300599</v>
      </c>
      <c r="O206" s="98">
        <f t="shared" si="38"/>
        <v>-9448479.4493925571</v>
      </c>
      <c r="P206" s="714">
        <f t="shared" si="39"/>
        <v>60250832.180690959</v>
      </c>
      <c r="R206" s="95">
        <f t="shared" si="37"/>
        <v>57168460.864103466</v>
      </c>
      <c r="S206" s="559">
        <f>$E$79-(SUM($H$79:H206)*$U$75)</f>
        <v>52761311.789999977</v>
      </c>
      <c r="T206" s="66"/>
      <c r="U206" s="726"/>
    </row>
    <row r="207" spans="1:21" s="65" customFormat="1" hidden="1" outlineLevel="1">
      <c r="A207" s="706"/>
      <c r="B207" s="108">
        <v>44773</v>
      </c>
      <c r="D207" s="134"/>
      <c r="E207" s="712">
        <f t="shared" si="47"/>
        <v>52761311.789999977</v>
      </c>
      <c r="F207" s="713">
        <f t="shared" si="48"/>
        <v>141761311.78999987</v>
      </c>
      <c r="G207" s="98">
        <f t="shared" si="42"/>
        <v>141761311.7899999</v>
      </c>
      <c r="H207" s="364">
        <f t="shared" si="41"/>
        <v>590672.13245833281</v>
      </c>
      <c r="I207" s="98">
        <f t="shared" si="45"/>
        <v>-76196705.087124676</v>
      </c>
      <c r="J207" s="98">
        <f t="shared" si="35"/>
        <v>-72652672.292374715</v>
      </c>
      <c r="K207" s="98">
        <f t="shared" si="40"/>
        <v>69108639.497625187</v>
      </c>
      <c r="L207" s="1189">
        <f t="shared" si="46"/>
        <v>65564606.702875197</v>
      </c>
      <c r="M207" s="400">
        <f t="shared" si="36"/>
        <v>76943.579693749954</v>
      </c>
      <c r="N207" s="98">
        <f t="shared" si="44"/>
        <v>-8909874.3915363103</v>
      </c>
      <c r="O207" s="98">
        <f t="shared" si="38"/>
        <v>-9371535.8696988076</v>
      </c>
      <c r="P207" s="714">
        <f t="shared" si="39"/>
        <v>59737103.627926379</v>
      </c>
      <c r="R207" s="95">
        <f t="shared" si="37"/>
        <v>56654732.311338887</v>
      </c>
      <c r="S207" s="559">
        <f>$E$79-(SUM($H$79:H207)*$U$75)</f>
        <v>52761311.789999977</v>
      </c>
      <c r="T207" s="66"/>
      <c r="U207" s="726"/>
    </row>
    <row r="208" spans="1:21" s="65" customFormat="1" hidden="1" outlineLevel="1">
      <c r="A208" s="706"/>
      <c r="B208" s="108">
        <v>44804</v>
      </c>
      <c r="D208" s="134"/>
      <c r="E208" s="712">
        <f t="shared" si="47"/>
        <v>52761311.789999977</v>
      </c>
      <c r="F208" s="713">
        <f t="shared" si="48"/>
        <v>141761311.78999987</v>
      </c>
      <c r="G208" s="98">
        <f t="shared" si="42"/>
        <v>141761311.7899999</v>
      </c>
      <c r="H208" s="364">
        <f t="shared" si="41"/>
        <v>590672.13245833281</v>
      </c>
      <c r="I208" s="98">
        <f t="shared" si="45"/>
        <v>-76787377.219583005</v>
      </c>
      <c r="J208" s="98">
        <f t="shared" ref="J208:J271" si="49">(I196+I208+SUM(I197:I207)*2)/24</f>
        <v>-73243344.424833044</v>
      </c>
      <c r="K208" s="98">
        <f t="shared" si="40"/>
        <v>68517967.365166858</v>
      </c>
      <c r="L208" s="1189">
        <f t="shared" si="46"/>
        <v>64973934.570416868</v>
      </c>
      <c r="M208" s="400">
        <f t="shared" ref="M208:M271" si="50">(E208/240*0.35)</f>
        <v>76943.579693749954</v>
      </c>
      <c r="N208" s="98">
        <f t="shared" si="44"/>
        <v>-8832930.8118425608</v>
      </c>
      <c r="O208" s="98">
        <f t="shared" si="38"/>
        <v>-9294592.2900050581</v>
      </c>
      <c r="P208" s="714">
        <f t="shared" si="39"/>
        <v>59223375.0751618</v>
      </c>
      <c r="R208" s="95">
        <f t="shared" si="37"/>
        <v>56141003.758574307</v>
      </c>
      <c r="S208" s="559">
        <f>$E$79-(SUM($H$79:H208)*$U$75)</f>
        <v>52761311.789999977</v>
      </c>
      <c r="T208" s="66"/>
      <c r="U208" s="726"/>
    </row>
    <row r="209" spans="1:21" s="65" customFormat="1" hidden="1" outlineLevel="1">
      <c r="A209" s="706"/>
      <c r="B209" s="108">
        <v>44834</v>
      </c>
      <c r="D209" s="134"/>
      <c r="E209" s="712">
        <f t="shared" si="47"/>
        <v>52761311.789999977</v>
      </c>
      <c r="F209" s="713">
        <f t="shared" si="48"/>
        <v>141761311.78999987</v>
      </c>
      <c r="G209" s="98">
        <f t="shared" si="42"/>
        <v>141761311.7899999</v>
      </c>
      <c r="H209" s="364">
        <f t="shared" si="41"/>
        <v>590672.13245833281</v>
      </c>
      <c r="I209" s="98">
        <f t="shared" si="45"/>
        <v>-77378049.352041334</v>
      </c>
      <c r="J209" s="98">
        <f t="shared" si="49"/>
        <v>-73834016.557291374</v>
      </c>
      <c r="K209" s="98">
        <f t="shared" si="40"/>
        <v>67927295.232708529</v>
      </c>
      <c r="L209" s="1189">
        <f t="shared" si="46"/>
        <v>64383262.437958539</v>
      </c>
      <c r="M209" s="400">
        <f t="shared" si="50"/>
        <v>76943.579693749954</v>
      </c>
      <c r="N209" s="98">
        <f t="shared" si="44"/>
        <v>-8755987.2321488112</v>
      </c>
      <c r="O209" s="98">
        <f t="shared" si="38"/>
        <v>-9217648.7103113085</v>
      </c>
      <c r="P209" s="714">
        <f t="shared" si="39"/>
        <v>58709646.52239722</v>
      </c>
      <c r="R209" s="95">
        <f t="shared" ref="R209:R237" si="51">F209+I209+N209</f>
        <v>55627275.205809727</v>
      </c>
      <c r="S209" s="559">
        <f>$E$79-(SUM($H$79:H209)*$U$75)</f>
        <v>52761311.789999977</v>
      </c>
      <c r="T209" s="66"/>
      <c r="U209" s="726"/>
    </row>
    <row r="210" spans="1:21" s="65" customFormat="1" hidden="1" outlineLevel="1">
      <c r="A210" s="706"/>
      <c r="B210" s="108">
        <v>44865</v>
      </c>
      <c r="D210" s="134"/>
      <c r="E210" s="712">
        <f t="shared" si="47"/>
        <v>52761311.789999977</v>
      </c>
      <c r="F210" s="713">
        <f t="shared" si="48"/>
        <v>141761311.78999987</v>
      </c>
      <c r="G210" s="98">
        <f t="shared" si="42"/>
        <v>141761311.7899999</v>
      </c>
      <c r="H210" s="364">
        <f t="shared" si="41"/>
        <v>590672.13245833281</v>
      </c>
      <c r="I210" s="98">
        <f t="shared" si="45"/>
        <v>-77968721.484499663</v>
      </c>
      <c r="J210" s="98">
        <f t="shared" si="49"/>
        <v>-74424688.689749703</v>
      </c>
      <c r="K210" s="98">
        <f t="shared" si="40"/>
        <v>67336623.100250199</v>
      </c>
      <c r="L210" s="1189">
        <f t="shared" si="46"/>
        <v>63792590.305500209</v>
      </c>
      <c r="M210" s="400">
        <f t="shared" si="50"/>
        <v>76943.579693749954</v>
      </c>
      <c r="N210" s="98">
        <f t="shared" si="44"/>
        <v>-8679043.6524550617</v>
      </c>
      <c r="O210" s="98">
        <f t="shared" si="38"/>
        <v>-9140705.130617559</v>
      </c>
      <c r="P210" s="714">
        <f t="shared" si="39"/>
        <v>58195917.96963264</v>
      </c>
      <c r="R210" s="95">
        <f t="shared" si="51"/>
        <v>55113546.653045148</v>
      </c>
      <c r="S210" s="559">
        <f>$E$79-(SUM($H$79:H210)*$U$75)</f>
        <v>52761311.789999977</v>
      </c>
      <c r="T210" s="66"/>
      <c r="U210" s="726"/>
    </row>
    <row r="211" spans="1:21" s="65" customFormat="1" hidden="1" outlineLevel="1">
      <c r="A211" s="706"/>
      <c r="B211" s="108">
        <v>44895</v>
      </c>
      <c r="D211" s="134"/>
      <c r="E211" s="712">
        <f t="shared" si="47"/>
        <v>52761311.789999977</v>
      </c>
      <c r="F211" s="713">
        <f t="shared" si="48"/>
        <v>141761311.78999987</v>
      </c>
      <c r="G211" s="98">
        <f t="shared" si="42"/>
        <v>141761311.7899999</v>
      </c>
      <c r="H211" s="364">
        <f t="shared" si="41"/>
        <v>590672.13245833281</v>
      </c>
      <c r="I211" s="98">
        <f t="shared" si="45"/>
        <v>-78559393.616957992</v>
      </c>
      <c r="J211" s="98">
        <f t="shared" si="49"/>
        <v>-75015360.822208032</v>
      </c>
      <c r="K211" s="98">
        <f t="shared" si="40"/>
        <v>66745950.96779187</v>
      </c>
      <c r="L211" s="1189">
        <f t="shared" si="46"/>
        <v>63201918.17304188</v>
      </c>
      <c r="M211" s="400">
        <f t="shared" si="50"/>
        <v>76943.579693749954</v>
      </c>
      <c r="N211" s="98">
        <f t="shared" si="44"/>
        <v>-8602100.0727613121</v>
      </c>
      <c r="O211" s="98">
        <f t="shared" si="38"/>
        <v>-9063761.5509238094</v>
      </c>
      <c r="P211" s="714">
        <f t="shared" si="39"/>
        <v>57682189.416868061</v>
      </c>
      <c r="R211" s="95">
        <f t="shared" si="51"/>
        <v>54599818.100280568</v>
      </c>
      <c r="S211" s="559">
        <f>$E$79-(SUM($H$79:H211)*$U$75)</f>
        <v>52761311.789999977</v>
      </c>
      <c r="T211" s="66"/>
      <c r="U211" s="726"/>
    </row>
    <row r="212" spans="1:21" s="65" customFormat="1" hidden="1" outlineLevel="1">
      <c r="A212" s="706"/>
      <c r="B212" s="108">
        <v>44926</v>
      </c>
      <c r="D212" s="134"/>
      <c r="E212" s="712">
        <f t="shared" si="47"/>
        <v>52761311.789999977</v>
      </c>
      <c r="F212" s="713">
        <f t="shared" si="48"/>
        <v>141761311.78999987</v>
      </c>
      <c r="G212" s="98">
        <f t="shared" si="42"/>
        <v>141761311.7899999</v>
      </c>
      <c r="H212" s="364">
        <f t="shared" si="41"/>
        <v>590672.13245833281</v>
      </c>
      <c r="I212" s="98">
        <f t="shared" si="45"/>
        <v>-79150065.749416322</v>
      </c>
      <c r="J212" s="98">
        <f t="shared" si="49"/>
        <v>-75606032.954666361</v>
      </c>
      <c r="K212" s="98">
        <f t="shared" si="40"/>
        <v>66155278.835333541</v>
      </c>
      <c r="L212" s="1189">
        <f t="shared" si="46"/>
        <v>62611246.040583551</v>
      </c>
      <c r="M212" s="400">
        <f t="shared" si="50"/>
        <v>76943.579693749954</v>
      </c>
      <c r="N212" s="98">
        <f t="shared" si="44"/>
        <v>-8525156.4930675626</v>
      </c>
      <c r="O212" s="98">
        <f t="shared" ref="O212:O268" si="52">(N200+N212+SUM(N201:N211)*2)/24</f>
        <v>-8986817.9712300599</v>
      </c>
      <c r="P212" s="714">
        <f t="shared" ref="P212:P268" si="53">O212+K212</f>
        <v>57168460.864103481</v>
      </c>
      <c r="R212" s="95">
        <f t="shared" si="51"/>
        <v>54086089.547515988</v>
      </c>
      <c r="S212" s="559">
        <f>$E$79-(SUM($H$79:H212)*$U$75)</f>
        <v>52761311.789999977</v>
      </c>
      <c r="T212" s="66"/>
      <c r="U212" s="726"/>
    </row>
    <row r="213" spans="1:21" s="65" customFormat="1" hidden="1" outlineLevel="1">
      <c r="A213" s="706"/>
      <c r="B213" s="108">
        <v>44957</v>
      </c>
      <c r="D213" s="134"/>
      <c r="E213" s="712">
        <f t="shared" si="47"/>
        <v>52761311.789999977</v>
      </c>
      <c r="F213" s="713">
        <f t="shared" si="48"/>
        <v>141761311.78999987</v>
      </c>
      <c r="G213" s="98">
        <f t="shared" si="42"/>
        <v>141761311.7899999</v>
      </c>
      <c r="H213" s="364">
        <f t="shared" si="41"/>
        <v>590672.13245833281</v>
      </c>
      <c r="I213" s="98">
        <f t="shared" si="45"/>
        <v>-79740737.881874651</v>
      </c>
      <c r="J213" s="98">
        <f t="shared" si="49"/>
        <v>-76196705.08712469</v>
      </c>
      <c r="K213" s="98">
        <f t="shared" ref="K213:K276" si="54">G213+J213</f>
        <v>65564606.702875212</v>
      </c>
      <c r="L213" s="1189">
        <f t="shared" si="46"/>
        <v>62020573.908125222</v>
      </c>
      <c r="M213" s="400">
        <f t="shared" si="50"/>
        <v>76943.579693749954</v>
      </c>
      <c r="N213" s="98">
        <f t="shared" si="44"/>
        <v>-8448212.913373813</v>
      </c>
      <c r="O213" s="98">
        <f t="shared" si="52"/>
        <v>-8909874.3915363103</v>
      </c>
      <c r="P213" s="714">
        <f t="shared" si="53"/>
        <v>56654732.311338902</v>
      </c>
      <c r="R213" s="95">
        <f t="shared" si="51"/>
        <v>53572360.994751409</v>
      </c>
      <c r="S213" s="559">
        <f>$E$79-(SUM($H$79:H213)*$U$75)</f>
        <v>52761311.789999977</v>
      </c>
      <c r="T213" s="66"/>
      <c r="U213" s="726"/>
    </row>
    <row r="214" spans="1:21" s="65" customFormat="1" hidden="1" outlineLevel="1">
      <c r="A214" s="706"/>
      <c r="B214" s="108">
        <v>44985</v>
      </c>
      <c r="D214" s="134"/>
      <c r="E214" s="712">
        <f t="shared" si="47"/>
        <v>52761311.789999977</v>
      </c>
      <c r="F214" s="713">
        <f t="shared" si="48"/>
        <v>141761311.78999987</v>
      </c>
      <c r="G214" s="98">
        <f t="shared" si="42"/>
        <v>141761311.7899999</v>
      </c>
      <c r="H214" s="364">
        <f t="shared" si="41"/>
        <v>590672.13245833281</v>
      </c>
      <c r="I214" s="98">
        <f t="shared" si="45"/>
        <v>-80331410.01433298</v>
      </c>
      <c r="J214" s="98">
        <f t="shared" si="49"/>
        <v>-76787377.21958302</v>
      </c>
      <c r="K214" s="98">
        <f t="shared" si="54"/>
        <v>64973934.570416883</v>
      </c>
      <c r="L214" s="1189">
        <f t="shared" si="46"/>
        <v>61429901.775666893</v>
      </c>
      <c r="M214" s="400">
        <f t="shared" si="50"/>
        <v>76943.579693749954</v>
      </c>
      <c r="N214" s="98">
        <f t="shared" si="44"/>
        <v>-8371269.3336800635</v>
      </c>
      <c r="O214" s="98">
        <f t="shared" si="52"/>
        <v>-8832930.8118425608</v>
      </c>
      <c r="P214" s="714">
        <f t="shared" si="53"/>
        <v>56141003.758574322</v>
      </c>
      <c r="R214" s="95">
        <f t="shared" si="51"/>
        <v>53058632.441986829</v>
      </c>
      <c r="S214" s="559">
        <f>$E$79-(SUM($H$79:H214)*$U$75)</f>
        <v>52761311.789999977</v>
      </c>
      <c r="T214" s="66"/>
      <c r="U214" s="726"/>
    </row>
    <row r="215" spans="1:21" s="65" customFormat="1" hidden="1" outlineLevel="1">
      <c r="A215" s="706"/>
      <c r="B215" s="108">
        <v>45016</v>
      </c>
      <c r="D215" s="134"/>
      <c r="E215" s="712">
        <f t="shared" si="47"/>
        <v>52761311.789999977</v>
      </c>
      <c r="F215" s="713">
        <f t="shared" si="48"/>
        <v>141761311.78999987</v>
      </c>
      <c r="G215" s="98">
        <f t="shared" si="42"/>
        <v>141761311.7899999</v>
      </c>
      <c r="H215" s="364">
        <f t="shared" ref="H215:H278" si="55">F214/240</f>
        <v>590672.13245833281</v>
      </c>
      <c r="I215" s="98">
        <f t="shared" si="45"/>
        <v>-80922082.146791309</v>
      </c>
      <c r="J215" s="98">
        <f t="shared" si="49"/>
        <v>-77378049.352041349</v>
      </c>
      <c r="K215" s="98">
        <f t="shared" si="54"/>
        <v>64383262.437958553</v>
      </c>
      <c r="L215" s="1189">
        <f t="shared" si="46"/>
        <v>60839229.643208563</v>
      </c>
      <c r="M215" s="400">
        <f t="shared" si="50"/>
        <v>76943.579693749954</v>
      </c>
      <c r="N215" s="98">
        <f t="shared" si="44"/>
        <v>-8294325.7539863139</v>
      </c>
      <c r="O215" s="98">
        <f t="shared" si="52"/>
        <v>-8755987.2321488112</v>
      </c>
      <c r="P215" s="714">
        <f t="shared" si="53"/>
        <v>55627275.205809742</v>
      </c>
      <c r="R215" s="95">
        <f t="shared" si="51"/>
        <v>52544903.889222249</v>
      </c>
      <c r="S215" s="559">
        <f>$E$79-(SUM($H$79:H215)*$U$75)</f>
        <v>52761311.789999977</v>
      </c>
      <c r="T215" s="66"/>
      <c r="U215" s="726"/>
    </row>
    <row r="216" spans="1:21" s="65" customFormat="1" hidden="1" outlineLevel="1">
      <c r="A216" s="706"/>
      <c r="B216" s="108">
        <v>45046</v>
      </c>
      <c r="D216" s="134"/>
      <c r="E216" s="712">
        <f t="shared" si="47"/>
        <v>52761311.789999977</v>
      </c>
      <c r="F216" s="713">
        <f t="shared" si="48"/>
        <v>141761311.78999987</v>
      </c>
      <c r="G216" s="98">
        <f t="shared" si="42"/>
        <v>141761311.7899999</v>
      </c>
      <c r="H216" s="364">
        <f t="shared" si="55"/>
        <v>590672.13245833281</v>
      </c>
      <c r="I216" s="98">
        <f t="shared" si="45"/>
        <v>-81512754.279249638</v>
      </c>
      <c r="J216" s="98">
        <f t="shared" si="49"/>
        <v>-77968721.484499678</v>
      </c>
      <c r="K216" s="98">
        <f t="shared" si="54"/>
        <v>63792590.305500224</v>
      </c>
      <c r="L216" s="1189">
        <f t="shared" si="46"/>
        <v>60248557.510750234</v>
      </c>
      <c r="M216" s="400">
        <f t="shared" si="50"/>
        <v>76943.579693749954</v>
      </c>
      <c r="N216" s="98">
        <f t="shared" si="44"/>
        <v>-8217382.1742925644</v>
      </c>
      <c r="O216" s="98">
        <f t="shared" si="52"/>
        <v>-8679043.6524550617</v>
      </c>
      <c r="P216" s="714">
        <f t="shared" si="53"/>
        <v>55113546.653045163</v>
      </c>
      <c r="R216" s="95">
        <f t="shared" si="51"/>
        <v>52031175.33645767</v>
      </c>
      <c r="S216" s="559">
        <f>$E$79-(SUM($H$79:H216)*$U$75)</f>
        <v>52761311.789999977</v>
      </c>
      <c r="T216" s="66"/>
      <c r="U216" s="726"/>
    </row>
    <row r="217" spans="1:21" s="65" customFormat="1" hidden="1" outlineLevel="1">
      <c r="A217" s="706"/>
      <c r="B217" s="108">
        <v>45077</v>
      </c>
      <c r="D217" s="134"/>
      <c r="E217" s="712">
        <f t="shared" si="47"/>
        <v>52761311.789999977</v>
      </c>
      <c r="F217" s="713">
        <f t="shared" si="48"/>
        <v>141761311.78999987</v>
      </c>
      <c r="G217" s="98">
        <f t="shared" ref="G217:G280" si="56">(F205+F217+SUM(F206:F216)*2)/24</f>
        <v>141761311.7899999</v>
      </c>
      <c r="H217" s="364">
        <f t="shared" si="55"/>
        <v>590672.13245833281</v>
      </c>
      <c r="I217" s="98">
        <f t="shared" si="45"/>
        <v>-82103426.411707968</v>
      </c>
      <c r="J217" s="98">
        <f t="shared" si="49"/>
        <v>-78559393.616958007</v>
      </c>
      <c r="K217" s="98">
        <f t="shared" si="54"/>
        <v>63201918.173041895</v>
      </c>
      <c r="L217" s="1189">
        <f t="shared" si="46"/>
        <v>59657885.378291905</v>
      </c>
      <c r="M217" s="400">
        <f t="shared" si="50"/>
        <v>76943.579693749954</v>
      </c>
      <c r="N217" s="98">
        <f t="shared" si="44"/>
        <v>-8140438.5945988148</v>
      </c>
      <c r="O217" s="98">
        <f t="shared" si="52"/>
        <v>-8602100.0727613121</v>
      </c>
      <c r="P217" s="714">
        <f t="shared" si="53"/>
        <v>54599818.100280583</v>
      </c>
      <c r="R217" s="95">
        <f t="shared" si="51"/>
        <v>51517446.78369309</v>
      </c>
      <c r="S217" s="559">
        <f>$E$79-(SUM($H$79:H217)*$U$75)</f>
        <v>52761311.789999977</v>
      </c>
      <c r="T217" s="66"/>
      <c r="U217" s="726"/>
    </row>
    <row r="218" spans="1:21" s="65" customFormat="1" hidden="1" outlineLevel="1">
      <c r="A218" s="706"/>
      <c r="B218" s="108">
        <v>45107</v>
      </c>
      <c r="D218" s="134"/>
      <c r="E218" s="712">
        <f t="shared" si="47"/>
        <v>52761311.789999977</v>
      </c>
      <c r="F218" s="713">
        <f t="shared" si="48"/>
        <v>141761311.78999987</v>
      </c>
      <c r="G218" s="98">
        <f t="shared" si="56"/>
        <v>141761311.7899999</v>
      </c>
      <c r="H218" s="364">
        <f t="shared" si="55"/>
        <v>590672.13245833281</v>
      </c>
      <c r="I218" s="98">
        <f t="shared" si="45"/>
        <v>-82694098.544166297</v>
      </c>
      <c r="J218" s="98">
        <f t="shared" si="49"/>
        <v>-79150065.749416336</v>
      </c>
      <c r="K218" s="98">
        <f t="shared" si="54"/>
        <v>62611246.040583566</v>
      </c>
      <c r="L218" s="1189">
        <f t="shared" si="46"/>
        <v>59067213.245833576</v>
      </c>
      <c r="M218" s="400">
        <f t="shared" si="50"/>
        <v>76943.579693749954</v>
      </c>
      <c r="N218" s="98">
        <f t="shared" si="44"/>
        <v>-8063495.0149050653</v>
      </c>
      <c r="O218" s="98">
        <f t="shared" si="52"/>
        <v>-8525156.4930675626</v>
      </c>
      <c r="P218" s="714">
        <f t="shared" si="53"/>
        <v>54086089.547516003</v>
      </c>
      <c r="R218" s="95">
        <f t="shared" si="51"/>
        <v>51003718.23092851</v>
      </c>
      <c r="S218" s="559">
        <f>$E$79-(SUM($H$79:H218)*$U$75)</f>
        <v>52761311.789999977</v>
      </c>
      <c r="T218" s="66"/>
      <c r="U218" s="726"/>
    </row>
    <row r="219" spans="1:21" s="65" customFormat="1" hidden="1" outlineLevel="1">
      <c r="A219" s="706"/>
      <c r="B219" s="108">
        <v>45138</v>
      </c>
      <c r="D219" s="134"/>
      <c r="E219" s="712">
        <f t="shared" si="47"/>
        <v>52761311.789999977</v>
      </c>
      <c r="F219" s="713">
        <f t="shared" si="48"/>
        <v>141761311.78999987</v>
      </c>
      <c r="G219" s="98">
        <f t="shared" si="56"/>
        <v>141761311.7899999</v>
      </c>
      <c r="H219" s="364">
        <f t="shared" si="55"/>
        <v>590672.13245833281</v>
      </c>
      <c r="I219" s="98">
        <f t="shared" si="45"/>
        <v>-83284770.676624626</v>
      </c>
      <c r="J219" s="98">
        <f t="shared" si="49"/>
        <v>-79740737.881874666</v>
      </c>
      <c r="K219" s="98">
        <f t="shared" si="54"/>
        <v>62020573.908125237</v>
      </c>
      <c r="L219" s="1189">
        <f t="shared" si="46"/>
        <v>58476541.113375247</v>
      </c>
      <c r="M219" s="400">
        <f t="shared" si="50"/>
        <v>76943.579693749954</v>
      </c>
      <c r="N219" s="98">
        <f t="shared" si="44"/>
        <v>-7986551.4352113158</v>
      </c>
      <c r="O219" s="98">
        <f t="shared" si="52"/>
        <v>-8448212.913373813</v>
      </c>
      <c r="P219" s="714">
        <f t="shared" si="53"/>
        <v>53572360.994751424</v>
      </c>
      <c r="R219" s="95">
        <f t="shared" si="51"/>
        <v>50489989.678163931</v>
      </c>
      <c r="S219" s="559">
        <f>$E$79-(SUM($H$79:H219)*$U$75)</f>
        <v>52761311.789999977</v>
      </c>
      <c r="T219" s="66"/>
      <c r="U219" s="726"/>
    </row>
    <row r="220" spans="1:21" s="65" customFormat="1" hidden="1" outlineLevel="1">
      <c r="A220" s="706"/>
      <c r="B220" s="108">
        <v>45169</v>
      </c>
      <c r="D220" s="134"/>
      <c r="E220" s="712">
        <f t="shared" si="47"/>
        <v>52761311.789999977</v>
      </c>
      <c r="F220" s="713">
        <f t="shared" si="48"/>
        <v>141761311.78999987</v>
      </c>
      <c r="G220" s="98">
        <f t="shared" si="56"/>
        <v>141761311.7899999</v>
      </c>
      <c r="H220" s="364">
        <f t="shared" si="55"/>
        <v>590672.13245833281</v>
      </c>
      <c r="I220" s="98">
        <f t="shared" si="45"/>
        <v>-83875442.809082955</v>
      </c>
      <c r="J220" s="98">
        <f t="shared" si="49"/>
        <v>-80331410.014332995</v>
      </c>
      <c r="K220" s="98">
        <f t="shared" si="54"/>
        <v>61429901.775666907</v>
      </c>
      <c r="L220" s="1189">
        <f t="shared" si="46"/>
        <v>57885868.980916917</v>
      </c>
      <c r="M220" s="400">
        <f t="shared" si="50"/>
        <v>76943.579693749954</v>
      </c>
      <c r="N220" s="98">
        <f t="shared" si="44"/>
        <v>-7909607.8555175662</v>
      </c>
      <c r="O220" s="98">
        <f t="shared" si="52"/>
        <v>-8371269.3336800635</v>
      </c>
      <c r="P220" s="714">
        <f t="shared" si="53"/>
        <v>53058632.441986844</v>
      </c>
      <c r="R220" s="95">
        <f t="shared" si="51"/>
        <v>49976261.125399351</v>
      </c>
      <c r="S220" s="559">
        <f>$E$79-(SUM($H$79:H220)*$U$75)</f>
        <v>52761311.789999977</v>
      </c>
      <c r="T220" s="66"/>
      <c r="U220" s="726"/>
    </row>
    <row r="221" spans="1:21" s="65" customFormat="1" hidden="1" outlineLevel="1">
      <c r="A221" s="706"/>
      <c r="B221" s="108">
        <v>45199</v>
      </c>
      <c r="D221" s="134"/>
      <c r="E221" s="712">
        <f t="shared" si="47"/>
        <v>52761311.789999977</v>
      </c>
      <c r="F221" s="713">
        <f t="shared" si="48"/>
        <v>141761311.78999987</v>
      </c>
      <c r="G221" s="98">
        <f t="shared" si="56"/>
        <v>141761311.7899999</v>
      </c>
      <c r="H221" s="364">
        <f t="shared" si="55"/>
        <v>590672.13245833281</v>
      </c>
      <c r="I221" s="98">
        <f t="shared" si="45"/>
        <v>-84466114.941541284</v>
      </c>
      <c r="J221" s="98">
        <f t="shared" si="49"/>
        <v>-80922082.146791324</v>
      </c>
      <c r="K221" s="98">
        <f t="shared" si="54"/>
        <v>60839229.643208578</v>
      </c>
      <c r="L221" s="1189">
        <f t="shared" si="46"/>
        <v>57295196.848458588</v>
      </c>
      <c r="M221" s="400">
        <f t="shared" si="50"/>
        <v>76943.579693749954</v>
      </c>
      <c r="N221" s="98">
        <f t="shared" si="44"/>
        <v>-7832664.2758238167</v>
      </c>
      <c r="O221" s="98">
        <f t="shared" si="52"/>
        <v>-8294325.7539863139</v>
      </c>
      <c r="P221" s="714">
        <f t="shared" si="53"/>
        <v>52544903.889222264</v>
      </c>
      <c r="R221" s="95">
        <f t="shared" si="51"/>
        <v>49462532.572634771</v>
      </c>
      <c r="S221" s="559">
        <f>$E$79-(SUM($H$79:H221)*$U$75)</f>
        <v>52761311.789999977</v>
      </c>
      <c r="T221" s="66"/>
      <c r="U221" s="726"/>
    </row>
    <row r="222" spans="1:21" s="65" customFormat="1" hidden="1" outlineLevel="1">
      <c r="A222" s="706"/>
      <c r="B222" s="108">
        <v>45230</v>
      </c>
      <c r="D222" s="134"/>
      <c r="E222" s="712">
        <f t="shared" si="47"/>
        <v>52761311.789999977</v>
      </c>
      <c r="F222" s="713">
        <f t="shared" si="48"/>
        <v>141761311.78999987</v>
      </c>
      <c r="G222" s="98">
        <f t="shared" si="56"/>
        <v>141761311.7899999</v>
      </c>
      <c r="H222" s="364">
        <f t="shared" si="55"/>
        <v>590672.13245833281</v>
      </c>
      <c r="I222" s="98">
        <f t="shared" si="45"/>
        <v>-85056787.073999614</v>
      </c>
      <c r="J222" s="98">
        <f t="shared" si="49"/>
        <v>-81512754.279249653</v>
      </c>
      <c r="K222" s="98">
        <f t="shared" si="54"/>
        <v>60248557.510750249</v>
      </c>
      <c r="L222" s="1189">
        <f t="shared" si="46"/>
        <v>56704524.716000259</v>
      </c>
      <c r="M222" s="400">
        <f t="shared" si="50"/>
        <v>76943.579693749954</v>
      </c>
      <c r="N222" s="98">
        <f t="shared" si="44"/>
        <v>-7755720.6961300671</v>
      </c>
      <c r="O222" s="98">
        <f t="shared" si="52"/>
        <v>-8217382.1742925644</v>
      </c>
      <c r="P222" s="714">
        <f t="shared" si="53"/>
        <v>52031175.336457685</v>
      </c>
      <c r="R222" s="95">
        <f t="shared" si="51"/>
        <v>48948804.019870192</v>
      </c>
      <c r="S222" s="559">
        <f>$E$79-(SUM($H$79:H222)*$U$75)</f>
        <v>52761311.789999977</v>
      </c>
      <c r="T222" s="66"/>
      <c r="U222" s="726"/>
    </row>
    <row r="223" spans="1:21" s="65" customFormat="1" hidden="1" outlineLevel="1">
      <c r="A223" s="706"/>
      <c r="B223" s="108">
        <v>45260</v>
      </c>
      <c r="D223" s="134"/>
      <c r="E223" s="712">
        <f t="shared" si="47"/>
        <v>52761311.789999977</v>
      </c>
      <c r="F223" s="713">
        <f t="shared" si="48"/>
        <v>141761311.78999987</v>
      </c>
      <c r="G223" s="98">
        <f t="shared" si="56"/>
        <v>141761311.7899999</v>
      </c>
      <c r="H223" s="364">
        <f t="shared" si="55"/>
        <v>590672.13245833281</v>
      </c>
      <c r="I223" s="98">
        <f t="shared" si="45"/>
        <v>-85647459.206457943</v>
      </c>
      <c r="J223" s="98">
        <f t="shared" si="49"/>
        <v>-82103426.411707982</v>
      </c>
      <c r="K223" s="98">
        <f t="shared" si="54"/>
        <v>59657885.37829192</v>
      </c>
      <c r="L223" s="1189">
        <f t="shared" si="46"/>
        <v>56113852.58354193</v>
      </c>
      <c r="M223" s="400">
        <f t="shared" si="50"/>
        <v>76943.579693749954</v>
      </c>
      <c r="N223" s="98">
        <f t="shared" si="44"/>
        <v>-7678777.1164363176</v>
      </c>
      <c r="O223" s="98">
        <f t="shared" si="52"/>
        <v>-8140438.5945988148</v>
      </c>
      <c r="P223" s="714">
        <f t="shared" si="53"/>
        <v>51517446.783693105</v>
      </c>
      <c r="R223" s="95">
        <f t="shared" si="51"/>
        <v>48435075.467105612</v>
      </c>
      <c r="S223" s="559">
        <f>$E$79-(SUM($H$79:H223)*$U$75)</f>
        <v>52761311.789999977</v>
      </c>
      <c r="T223" s="66"/>
      <c r="U223" s="726"/>
    </row>
    <row r="224" spans="1:21" s="65" customFormat="1" hidden="1" outlineLevel="1">
      <c r="A224" s="706"/>
      <c r="B224" s="108">
        <v>45291</v>
      </c>
      <c r="D224" s="134"/>
      <c r="E224" s="712">
        <f t="shared" si="47"/>
        <v>52761311.789999977</v>
      </c>
      <c r="F224" s="713">
        <f t="shared" si="48"/>
        <v>141761311.78999987</v>
      </c>
      <c r="G224" s="98">
        <f t="shared" si="56"/>
        <v>141761311.7899999</v>
      </c>
      <c r="H224" s="364">
        <f t="shared" si="55"/>
        <v>590672.13245833281</v>
      </c>
      <c r="I224" s="98">
        <f t="shared" si="45"/>
        <v>-86238131.338916272</v>
      </c>
      <c r="J224" s="98">
        <f t="shared" si="49"/>
        <v>-82694098.544166312</v>
      </c>
      <c r="K224" s="98">
        <f t="shared" si="54"/>
        <v>59067213.245833591</v>
      </c>
      <c r="L224" s="1189">
        <f t="shared" si="46"/>
        <v>55523180.451083601</v>
      </c>
      <c r="M224" s="400">
        <f t="shared" si="50"/>
        <v>76943.579693749954</v>
      </c>
      <c r="N224" s="98">
        <f t="shared" si="44"/>
        <v>-7601833.536742568</v>
      </c>
      <c r="O224" s="98">
        <f t="shared" si="52"/>
        <v>-8063495.0149050653</v>
      </c>
      <c r="P224" s="714">
        <f t="shared" si="53"/>
        <v>51003718.230928525</v>
      </c>
      <c r="R224" s="95">
        <f t="shared" si="51"/>
        <v>47921346.914341033</v>
      </c>
      <c r="S224" s="559">
        <f>$E$79-(SUM($H$79:H224)*$U$75)</f>
        <v>52761311.789999977</v>
      </c>
      <c r="T224" s="66"/>
      <c r="U224" s="726"/>
    </row>
    <row r="225" spans="1:21" s="65" customFormat="1" hidden="1" outlineLevel="1">
      <c r="A225" s="706"/>
      <c r="B225" s="108">
        <v>45322</v>
      </c>
      <c r="D225" s="134"/>
      <c r="E225" s="712">
        <f t="shared" si="47"/>
        <v>52761311.789999977</v>
      </c>
      <c r="F225" s="713">
        <f t="shared" si="48"/>
        <v>141761311.78999987</v>
      </c>
      <c r="G225" s="98">
        <f t="shared" si="56"/>
        <v>141761311.7899999</v>
      </c>
      <c r="H225" s="364">
        <f t="shared" si="55"/>
        <v>590672.13245833281</v>
      </c>
      <c r="I225" s="98">
        <f t="shared" si="45"/>
        <v>-86828803.471374601</v>
      </c>
      <c r="J225" s="98">
        <f t="shared" si="49"/>
        <v>-83284770.676624641</v>
      </c>
      <c r="K225" s="98">
        <f t="shared" si="54"/>
        <v>58476541.113375261</v>
      </c>
      <c r="L225" s="1189">
        <f t="shared" si="46"/>
        <v>54932508.318625271</v>
      </c>
      <c r="M225" s="400">
        <f t="shared" si="50"/>
        <v>76943.579693749954</v>
      </c>
      <c r="N225" s="98">
        <f t="shared" si="44"/>
        <v>-7524889.9570488185</v>
      </c>
      <c r="O225" s="98">
        <f t="shared" si="52"/>
        <v>-7986551.4352113158</v>
      </c>
      <c r="P225" s="714">
        <f t="shared" si="53"/>
        <v>50489989.678163946</v>
      </c>
      <c r="R225" s="95">
        <f t="shared" si="51"/>
        <v>47407618.361576453</v>
      </c>
      <c r="S225" s="559">
        <f>$E$79-(SUM($H$79:H225)*$U$75)</f>
        <v>52761311.789999977</v>
      </c>
      <c r="T225" s="66"/>
      <c r="U225" s="726"/>
    </row>
    <row r="226" spans="1:21" s="65" customFormat="1" hidden="1" outlineLevel="1">
      <c r="A226" s="706"/>
      <c r="B226" s="108">
        <v>45350</v>
      </c>
      <c r="D226" s="134"/>
      <c r="E226" s="712">
        <f t="shared" si="47"/>
        <v>52761311.789999977</v>
      </c>
      <c r="F226" s="713">
        <f t="shared" si="48"/>
        <v>141761311.78999987</v>
      </c>
      <c r="G226" s="98">
        <f t="shared" si="56"/>
        <v>141761311.7899999</v>
      </c>
      <c r="H226" s="364">
        <f t="shared" si="55"/>
        <v>590672.13245833281</v>
      </c>
      <c r="I226" s="98">
        <f t="shared" si="45"/>
        <v>-87419475.60383293</v>
      </c>
      <c r="J226" s="98">
        <f t="shared" si="49"/>
        <v>-83875442.80908297</v>
      </c>
      <c r="K226" s="98">
        <f t="shared" si="54"/>
        <v>57885868.980916932</v>
      </c>
      <c r="L226" s="1189">
        <f t="shared" si="46"/>
        <v>54341836.186166942</v>
      </c>
      <c r="M226" s="400">
        <f t="shared" si="50"/>
        <v>76943.579693749954</v>
      </c>
      <c r="N226" s="98">
        <f t="shared" si="44"/>
        <v>-7447946.3773550689</v>
      </c>
      <c r="O226" s="98">
        <f t="shared" si="52"/>
        <v>-7909607.8555175662</v>
      </c>
      <c r="P226" s="714">
        <f t="shared" si="53"/>
        <v>49976261.125399366</v>
      </c>
      <c r="R226" s="95">
        <f t="shared" si="51"/>
        <v>46893889.808811873</v>
      </c>
      <c r="S226" s="559">
        <f>$E$79-(SUM($H$79:H226)*$U$75)</f>
        <v>52761311.789999977</v>
      </c>
      <c r="T226" s="66"/>
      <c r="U226" s="726"/>
    </row>
    <row r="227" spans="1:21" s="65" customFormat="1" hidden="1" outlineLevel="1">
      <c r="A227" s="706"/>
      <c r="B227" s="108">
        <v>45382</v>
      </c>
      <c r="D227" s="134"/>
      <c r="E227" s="712">
        <f t="shared" si="47"/>
        <v>52761311.789999977</v>
      </c>
      <c r="F227" s="713">
        <f t="shared" si="48"/>
        <v>141761311.78999987</v>
      </c>
      <c r="G227" s="98">
        <f t="shared" si="56"/>
        <v>141761311.7899999</v>
      </c>
      <c r="H227" s="364">
        <f t="shared" si="55"/>
        <v>590672.13245833281</v>
      </c>
      <c r="I227" s="98">
        <f t="shared" si="45"/>
        <v>-88010147.73629126</v>
      </c>
      <c r="J227" s="98">
        <f t="shared" si="49"/>
        <v>-84466114.941541299</v>
      </c>
      <c r="K227" s="98">
        <f t="shared" si="54"/>
        <v>57295196.848458603</v>
      </c>
      <c r="L227" s="1189">
        <f t="shared" si="46"/>
        <v>53751164.053708613</v>
      </c>
      <c r="M227" s="400">
        <f t="shared" si="50"/>
        <v>76943.579693749954</v>
      </c>
      <c r="N227" s="98">
        <f t="shared" si="44"/>
        <v>-7371002.7976613194</v>
      </c>
      <c r="O227" s="98">
        <f t="shared" si="52"/>
        <v>-7832664.2758238167</v>
      </c>
      <c r="P227" s="714">
        <f t="shared" si="53"/>
        <v>49462532.572634786</v>
      </c>
      <c r="R227" s="95">
        <f t="shared" si="51"/>
        <v>46380161.256047294</v>
      </c>
      <c r="S227" s="559">
        <f>$E$79-(SUM($H$79:H227)*$U$75)</f>
        <v>52761311.789999977</v>
      </c>
      <c r="T227" s="66"/>
      <c r="U227" s="726"/>
    </row>
    <row r="228" spans="1:21" s="65" customFormat="1" hidden="1" outlineLevel="1">
      <c r="A228" s="706"/>
      <c r="B228" s="108">
        <v>45412</v>
      </c>
      <c r="D228" s="134"/>
      <c r="E228" s="712">
        <f t="shared" si="47"/>
        <v>52761311.789999977</v>
      </c>
      <c r="F228" s="713">
        <f t="shared" si="48"/>
        <v>141761311.78999987</v>
      </c>
      <c r="G228" s="98">
        <f t="shared" si="56"/>
        <v>141761311.7899999</v>
      </c>
      <c r="H228" s="364">
        <f t="shared" si="55"/>
        <v>590672.13245833281</v>
      </c>
      <c r="I228" s="98">
        <f t="shared" si="45"/>
        <v>-88600819.868749589</v>
      </c>
      <c r="J228" s="98">
        <f t="shared" si="49"/>
        <v>-85056787.073999628</v>
      </c>
      <c r="K228" s="98">
        <f t="shared" si="54"/>
        <v>56704524.716000274</v>
      </c>
      <c r="L228" s="1189">
        <f t="shared" si="46"/>
        <v>53160491.921250284</v>
      </c>
      <c r="M228" s="400">
        <f t="shared" si="50"/>
        <v>76943.579693749954</v>
      </c>
      <c r="N228" s="98">
        <f t="shared" si="44"/>
        <v>-7294059.2179675698</v>
      </c>
      <c r="O228" s="98">
        <f t="shared" si="52"/>
        <v>-7755720.6961300671</v>
      </c>
      <c r="P228" s="714">
        <f t="shared" si="53"/>
        <v>48948804.019870207</v>
      </c>
      <c r="R228" s="95">
        <f t="shared" si="51"/>
        <v>45866432.703282714</v>
      </c>
      <c r="S228" s="559">
        <f>$E$79-(SUM($H$79:H228)*$U$75)</f>
        <v>52761311.789999977</v>
      </c>
      <c r="T228" s="66"/>
      <c r="U228" s="726"/>
    </row>
    <row r="229" spans="1:21" s="65" customFormat="1" hidden="1" outlineLevel="1">
      <c r="A229" s="706"/>
      <c r="B229" s="108">
        <v>45443</v>
      </c>
      <c r="D229" s="134"/>
      <c r="E229" s="712">
        <f t="shared" si="47"/>
        <v>52761311.789999977</v>
      </c>
      <c r="F229" s="713">
        <f t="shared" si="48"/>
        <v>141761311.78999987</v>
      </c>
      <c r="G229" s="98">
        <f t="shared" si="56"/>
        <v>141761311.7899999</v>
      </c>
      <c r="H229" s="364">
        <f t="shared" si="55"/>
        <v>590672.13245833281</v>
      </c>
      <c r="I229" s="98">
        <f t="shared" si="45"/>
        <v>-89191492.001207918</v>
      </c>
      <c r="J229" s="98">
        <f t="shared" si="49"/>
        <v>-85647459.206457958</v>
      </c>
      <c r="K229" s="98">
        <f t="shared" si="54"/>
        <v>56113852.583541945</v>
      </c>
      <c r="L229" s="1189">
        <f t="shared" si="46"/>
        <v>52569819.788791955</v>
      </c>
      <c r="M229" s="400">
        <f t="shared" si="50"/>
        <v>76943.579693749954</v>
      </c>
      <c r="N229" s="98">
        <f t="shared" si="44"/>
        <v>-7217115.6382738203</v>
      </c>
      <c r="O229" s="98">
        <f t="shared" si="52"/>
        <v>-7678777.1164363176</v>
      </c>
      <c r="P229" s="714">
        <f t="shared" si="53"/>
        <v>48435075.467105627</v>
      </c>
      <c r="R229" s="95">
        <f t="shared" si="51"/>
        <v>45352704.150518134</v>
      </c>
      <c r="S229" s="559">
        <f>$E$79-(SUM($H$79:H229)*$U$75)</f>
        <v>52761311.789999977</v>
      </c>
      <c r="T229" s="66"/>
      <c r="U229" s="726"/>
    </row>
    <row r="230" spans="1:21" s="65" customFormat="1" hidden="1" outlineLevel="1">
      <c r="A230" s="706"/>
      <c r="B230" s="108">
        <v>45473</v>
      </c>
      <c r="D230" s="134"/>
      <c r="E230" s="712">
        <f t="shared" si="47"/>
        <v>52761311.789999977</v>
      </c>
      <c r="F230" s="713">
        <f t="shared" si="48"/>
        <v>141761311.78999987</v>
      </c>
      <c r="G230" s="98">
        <f t="shared" si="56"/>
        <v>141761311.7899999</v>
      </c>
      <c r="H230" s="364">
        <f t="shared" si="55"/>
        <v>590672.13245833281</v>
      </c>
      <c r="I230" s="98">
        <f t="shared" si="45"/>
        <v>-89782164.133666247</v>
      </c>
      <c r="J230" s="98">
        <f t="shared" si="49"/>
        <v>-86238131.338916287</v>
      </c>
      <c r="K230" s="98">
        <f t="shared" si="54"/>
        <v>55523180.451083615</v>
      </c>
      <c r="L230" s="1189">
        <f t="shared" si="46"/>
        <v>51979147.656333625</v>
      </c>
      <c r="M230" s="400">
        <f t="shared" si="50"/>
        <v>76943.579693749954</v>
      </c>
      <c r="N230" s="98">
        <f t="shared" si="44"/>
        <v>-7140172.0585800707</v>
      </c>
      <c r="O230" s="98">
        <f t="shared" si="52"/>
        <v>-7601833.536742568</v>
      </c>
      <c r="P230" s="714">
        <f t="shared" si="53"/>
        <v>47921346.914341047</v>
      </c>
      <c r="R230" s="95">
        <f t="shared" si="51"/>
        <v>44838975.597753555</v>
      </c>
      <c r="S230" s="559">
        <f>$E$79-(SUM($H$79:H230)*$U$75)</f>
        <v>52761311.789999977</v>
      </c>
      <c r="T230" s="66"/>
      <c r="U230" s="726"/>
    </row>
    <row r="231" spans="1:21" s="65" customFormat="1" hidden="1" outlineLevel="1">
      <c r="A231" s="706"/>
      <c r="B231" s="108">
        <v>45504</v>
      </c>
      <c r="D231" s="134"/>
      <c r="E231" s="712">
        <f t="shared" si="47"/>
        <v>52761311.789999977</v>
      </c>
      <c r="F231" s="713">
        <f t="shared" si="48"/>
        <v>141761311.78999987</v>
      </c>
      <c r="G231" s="98">
        <f t="shared" si="56"/>
        <v>141761311.7899999</v>
      </c>
      <c r="H231" s="364">
        <f t="shared" si="55"/>
        <v>590672.13245833281</v>
      </c>
      <c r="I231" s="98">
        <f t="shared" si="45"/>
        <v>-90372836.266124576</v>
      </c>
      <c r="J231" s="98">
        <f t="shared" si="49"/>
        <v>-86828803.471374616</v>
      </c>
      <c r="K231" s="98">
        <f t="shared" si="54"/>
        <v>54932508.318625286</v>
      </c>
      <c r="L231" s="1189">
        <f t="shared" si="46"/>
        <v>51388475.523875296</v>
      </c>
      <c r="M231" s="400">
        <f t="shared" si="50"/>
        <v>76943.579693749954</v>
      </c>
      <c r="N231" s="98">
        <f t="shared" si="44"/>
        <v>-7063228.4788863212</v>
      </c>
      <c r="O231" s="98">
        <f t="shared" si="52"/>
        <v>-7524889.9570488185</v>
      </c>
      <c r="P231" s="714">
        <f t="shared" si="53"/>
        <v>47407618.361576468</v>
      </c>
      <c r="R231" s="95">
        <f t="shared" si="51"/>
        <v>44325247.044988975</v>
      </c>
      <c r="S231" s="559">
        <f>$E$79-(SUM($H$79:H231)*$U$75)</f>
        <v>52761311.789999977</v>
      </c>
      <c r="T231" s="66"/>
      <c r="U231" s="726"/>
    </row>
    <row r="232" spans="1:21" s="65" customFormat="1" hidden="1" outlineLevel="1">
      <c r="A232" s="706"/>
      <c r="B232" s="108">
        <v>45535</v>
      </c>
      <c r="D232" s="134"/>
      <c r="E232" s="712">
        <f t="shared" si="47"/>
        <v>52761311.789999977</v>
      </c>
      <c r="F232" s="713">
        <f t="shared" si="48"/>
        <v>141761311.78999987</v>
      </c>
      <c r="G232" s="98">
        <f t="shared" si="56"/>
        <v>141761311.7899999</v>
      </c>
      <c r="H232" s="364">
        <f t="shared" si="55"/>
        <v>590672.13245833281</v>
      </c>
      <c r="I232" s="98">
        <f t="shared" si="45"/>
        <v>-90963508.398582906</v>
      </c>
      <c r="J232" s="98">
        <f t="shared" si="49"/>
        <v>-87419475.603832945</v>
      </c>
      <c r="K232" s="98">
        <f t="shared" si="54"/>
        <v>54341836.186166957</v>
      </c>
      <c r="L232" s="1189">
        <f t="shared" si="46"/>
        <v>50797803.391416967</v>
      </c>
      <c r="M232" s="400">
        <f t="shared" si="50"/>
        <v>76943.579693749954</v>
      </c>
      <c r="N232" s="98">
        <f t="shared" si="44"/>
        <v>-6986284.8991925716</v>
      </c>
      <c r="O232" s="98">
        <f t="shared" si="52"/>
        <v>-7447946.3773550689</v>
      </c>
      <c r="P232" s="714">
        <f t="shared" si="53"/>
        <v>46893889.808811888</v>
      </c>
      <c r="R232" s="95">
        <f t="shared" si="51"/>
        <v>43811518.492224395</v>
      </c>
      <c r="S232" s="559">
        <f>$E$79-(SUM($H$79:H232)*$U$75)</f>
        <v>52761311.789999977</v>
      </c>
      <c r="T232" s="66"/>
      <c r="U232" s="726"/>
    </row>
    <row r="233" spans="1:21" s="65" customFormat="1" hidden="1" outlineLevel="1">
      <c r="A233" s="706"/>
      <c r="B233" s="108">
        <v>45565</v>
      </c>
      <c r="D233" s="134"/>
      <c r="E233" s="712">
        <f t="shared" si="47"/>
        <v>52761311.789999977</v>
      </c>
      <c r="F233" s="713">
        <f t="shared" si="48"/>
        <v>141761311.78999987</v>
      </c>
      <c r="G233" s="98">
        <f t="shared" si="56"/>
        <v>141761311.7899999</v>
      </c>
      <c r="H233" s="364">
        <f t="shared" si="55"/>
        <v>590672.13245833281</v>
      </c>
      <c r="I233" s="98">
        <f t="shared" si="45"/>
        <v>-91554180.531041235</v>
      </c>
      <c r="J233" s="98">
        <f t="shared" si="49"/>
        <v>-88010147.736291274</v>
      </c>
      <c r="K233" s="98">
        <f t="shared" si="54"/>
        <v>53751164.053708628</v>
      </c>
      <c r="L233" s="1189">
        <f t="shared" si="46"/>
        <v>50207131.258958638</v>
      </c>
      <c r="M233" s="400">
        <f t="shared" si="50"/>
        <v>76943.579693749954</v>
      </c>
      <c r="N233" s="98">
        <f t="shared" ref="N233:N296" si="57">N232+M233</f>
        <v>-6909341.3194988221</v>
      </c>
      <c r="O233" s="98">
        <f t="shared" si="52"/>
        <v>-7371002.7976613194</v>
      </c>
      <c r="P233" s="714">
        <f t="shared" si="53"/>
        <v>46380161.256047308</v>
      </c>
      <c r="R233" s="95">
        <f t="shared" si="51"/>
        <v>43297789.939459816</v>
      </c>
      <c r="S233" s="559">
        <f>$E$79-(SUM($H$79:H233)*$U$75)</f>
        <v>52761311.789999977</v>
      </c>
      <c r="T233" s="66"/>
      <c r="U233" s="726"/>
    </row>
    <row r="234" spans="1:21" s="65" customFormat="1" hidden="1" outlineLevel="1">
      <c r="A234" s="706"/>
      <c r="B234" s="108">
        <v>45596</v>
      </c>
      <c r="D234" s="134"/>
      <c r="E234" s="712">
        <f t="shared" si="47"/>
        <v>52761311.789999977</v>
      </c>
      <c r="F234" s="713">
        <f t="shared" si="48"/>
        <v>141761311.78999987</v>
      </c>
      <c r="G234" s="98">
        <f t="shared" si="56"/>
        <v>141761311.7899999</v>
      </c>
      <c r="H234" s="364">
        <f t="shared" si="55"/>
        <v>590672.13245833281</v>
      </c>
      <c r="I234" s="98">
        <f t="shared" si="45"/>
        <v>-92144852.663499564</v>
      </c>
      <c r="J234" s="98">
        <f t="shared" si="49"/>
        <v>-88600819.868749604</v>
      </c>
      <c r="K234" s="98">
        <f t="shared" si="54"/>
        <v>53160491.921250299</v>
      </c>
      <c r="L234" s="1189">
        <f t="shared" si="46"/>
        <v>49616459.126500309</v>
      </c>
      <c r="M234" s="400">
        <f t="shared" si="50"/>
        <v>76943.579693749954</v>
      </c>
      <c r="N234" s="98">
        <f t="shared" si="57"/>
        <v>-6832397.7398050725</v>
      </c>
      <c r="O234" s="98">
        <f t="shared" si="52"/>
        <v>-7294059.2179675698</v>
      </c>
      <c r="P234" s="714">
        <f t="shared" si="53"/>
        <v>45866432.703282729</v>
      </c>
      <c r="R234" s="95">
        <f t="shared" si="51"/>
        <v>42784061.386695236</v>
      </c>
      <c r="S234" s="559">
        <f>$E$79-(SUM($H$79:H234)*$U$75)</f>
        <v>52761311.789999977</v>
      </c>
      <c r="T234" s="66"/>
      <c r="U234" s="726"/>
    </row>
    <row r="235" spans="1:21" s="65" customFormat="1" hidden="1" outlineLevel="1">
      <c r="A235" s="706"/>
      <c r="B235" s="108">
        <v>45626</v>
      </c>
      <c r="D235" s="134"/>
      <c r="E235" s="712">
        <f t="shared" si="47"/>
        <v>52761311.789999977</v>
      </c>
      <c r="F235" s="713">
        <f t="shared" si="48"/>
        <v>141761311.78999987</v>
      </c>
      <c r="G235" s="98">
        <f t="shared" si="56"/>
        <v>141761311.7899999</v>
      </c>
      <c r="H235" s="364">
        <f t="shared" si="55"/>
        <v>590672.13245833281</v>
      </c>
      <c r="I235" s="98">
        <f t="shared" si="45"/>
        <v>-92735524.795957893</v>
      </c>
      <c r="J235" s="98">
        <f t="shared" si="49"/>
        <v>-89191492.001207933</v>
      </c>
      <c r="K235" s="98">
        <f t="shared" si="54"/>
        <v>52569819.788791969</v>
      </c>
      <c r="L235" s="1189">
        <f t="shared" si="46"/>
        <v>49025786.994041979</v>
      </c>
      <c r="M235" s="400">
        <f t="shared" si="50"/>
        <v>76943.579693749954</v>
      </c>
      <c r="N235" s="98">
        <f t="shared" si="57"/>
        <v>-6755454.160111323</v>
      </c>
      <c r="O235" s="98">
        <f t="shared" si="52"/>
        <v>-7217115.6382738203</v>
      </c>
      <c r="P235" s="714">
        <f t="shared" si="53"/>
        <v>45352704.150518149</v>
      </c>
      <c r="R235" s="95">
        <f t="shared" si="51"/>
        <v>42270332.833930656</v>
      </c>
      <c r="S235" s="559">
        <f>$E$79-(SUM($H$79:H235)*$U$75)</f>
        <v>52761311.789999977</v>
      </c>
      <c r="T235" s="66"/>
      <c r="U235" s="726"/>
    </row>
    <row r="236" spans="1:21" s="65" customFormat="1" hidden="1" outlineLevel="1">
      <c r="A236" s="706"/>
      <c r="B236" s="108">
        <v>45657</v>
      </c>
      <c r="D236" s="134"/>
      <c r="E236" s="712">
        <f t="shared" si="47"/>
        <v>52761311.789999977</v>
      </c>
      <c r="F236" s="713">
        <f t="shared" si="48"/>
        <v>141761311.78999987</v>
      </c>
      <c r="G236" s="98">
        <f t="shared" si="56"/>
        <v>141761311.7899999</v>
      </c>
      <c r="H236" s="364">
        <f t="shared" si="55"/>
        <v>590672.13245833281</v>
      </c>
      <c r="I236" s="98">
        <f t="shared" si="45"/>
        <v>-93326196.928416222</v>
      </c>
      <c r="J236" s="98">
        <f t="shared" si="49"/>
        <v>-89782164.133666262</v>
      </c>
      <c r="K236" s="98">
        <f t="shared" si="54"/>
        <v>51979147.65633364</v>
      </c>
      <c r="L236" s="1189">
        <f t="shared" si="46"/>
        <v>48435114.86158365</v>
      </c>
      <c r="M236" s="400">
        <f t="shared" si="50"/>
        <v>76943.579693749954</v>
      </c>
      <c r="N236" s="98">
        <f t="shared" si="57"/>
        <v>-6678510.5804175735</v>
      </c>
      <c r="O236" s="98">
        <f t="shared" si="52"/>
        <v>-7140172.0585800707</v>
      </c>
      <c r="P236" s="714">
        <f t="shared" si="53"/>
        <v>44838975.597753569</v>
      </c>
      <c r="R236" s="95">
        <f t="shared" si="51"/>
        <v>41756604.281166077</v>
      </c>
      <c r="S236" s="559">
        <f>$E$79-(SUM($H$79:H236)*$U$75)</f>
        <v>52761311.789999977</v>
      </c>
      <c r="T236" s="66"/>
      <c r="U236" s="726"/>
    </row>
    <row r="237" spans="1:21" s="65" customFormat="1" hidden="1" outlineLevel="1">
      <c r="A237" s="706"/>
      <c r="B237" s="108">
        <v>45688</v>
      </c>
      <c r="D237" s="134"/>
      <c r="E237" s="712">
        <f t="shared" si="47"/>
        <v>52761311.789999977</v>
      </c>
      <c r="F237" s="713">
        <f t="shared" si="48"/>
        <v>141761311.78999987</v>
      </c>
      <c r="G237" s="98">
        <f t="shared" si="56"/>
        <v>141761311.7899999</v>
      </c>
      <c r="H237" s="364">
        <f t="shared" si="55"/>
        <v>590672.13245833281</v>
      </c>
      <c r="I237" s="98">
        <f t="shared" si="45"/>
        <v>-93916869.060874552</v>
      </c>
      <c r="J237" s="98">
        <f t="shared" si="49"/>
        <v>-90372836.266124591</v>
      </c>
      <c r="K237" s="98">
        <f t="shared" si="54"/>
        <v>51388475.523875311</v>
      </c>
      <c r="L237" s="1189">
        <f t="shared" si="46"/>
        <v>47844442.729125321</v>
      </c>
      <c r="M237" s="400">
        <f t="shared" si="50"/>
        <v>76943.579693749954</v>
      </c>
      <c r="N237" s="98">
        <f t="shared" si="57"/>
        <v>-6601567.0007238239</v>
      </c>
      <c r="O237" s="98">
        <f t="shared" si="52"/>
        <v>-7063228.4788863212</v>
      </c>
      <c r="P237" s="714">
        <f t="shared" si="53"/>
        <v>44325247.04498899</v>
      </c>
      <c r="R237" s="95">
        <f t="shared" si="51"/>
        <v>41242875.728401497</v>
      </c>
      <c r="S237" s="559">
        <f>$E$79-(SUM($H$79:H237)*$U$75)</f>
        <v>52761311.789999977</v>
      </c>
      <c r="T237" s="66"/>
      <c r="U237" s="726"/>
    </row>
    <row r="238" spans="1:21" s="65" customFormat="1" hidden="1" outlineLevel="1">
      <c r="A238" s="706"/>
      <c r="B238" s="108">
        <v>45716</v>
      </c>
      <c r="D238" s="134"/>
      <c r="E238" s="712">
        <f t="shared" si="47"/>
        <v>52761311.789999977</v>
      </c>
      <c r="F238" s="713">
        <f t="shared" si="48"/>
        <v>141761311.78999987</v>
      </c>
      <c r="G238" s="98">
        <f t="shared" si="56"/>
        <v>141761311.7899999</v>
      </c>
      <c r="H238" s="364">
        <f t="shared" si="55"/>
        <v>590672.13245833281</v>
      </c>
      <c r="I238" s="98">
        <f t="shared" si="45"/>
        <v>-94507541.193332881</v>
      </c>
      <c r="J238" s="98">
        <f t="shared" si="49"/>
        <v>-90963508.39858292</v>
      </c>
      <c r="K238" s="98">
        <f t="shared" si="54"/>
        <v>50797803.391416982</v>
      </c>
      <c r="L238" s="1189">
        <f t="shared" si="46"/>
        <v>47253770.596666992</v>
      </c>
      <c r="M238" s="400">
        <f t="shared" si="50"/>
        <v>76943.579693749954</v>
      </c>
      <c r="N238" s="98">
        <f t="shared" si="57"/>
        <v>-6524623.4210300744</v>
      </c>
      <c r="O238" s="98">
        <f t="shared" si="52"/>
        <v>-6986284.8991925716</v>
      </c>
      <c r="P238" s="714">
        <f t="shared" si="53"/>
        <v>43811518.49222441</v>
      </c>
      <c r="R238" s="66"/>
      <c r="S238" s="559">
        <f>$E$79-(SUM($H$79:H238)*$U$75)</f>
        <v>52761311.789999977</v>
      </c>
      <c r="T238" s="66"/>
      <c r="U238" s="726"/>
    </row>
    <row r="239" spans="1:21" s="65" customFormat="1" hidden="1" outlineLevel="1">
      <c r="A239" s="706"/>
      <c r="B239" s="108">
        <v>45747</v>
      </c>
      <c r="D239" s="134"/>
      <c r="E239" s="712">
        <f t="shared" si="47"/>
        <v>52761311.789999977</v>
      </c>
      <c r="F239" s="713">
        <f t="shared" si="48"/>
        <v>141761311.78999987</v>
      </c>
      <c r="G239" s="98">
        <f t="shared" si="56"/>
        <v>141761311.7899999</v>
      </c>
      <c r="H239" s="364">
        <f t="shared" si="55"/>
        <v>590672.13245833281</v>
      </c>
      <c r="I239" s="98">
        <f t="shared" si="45"/>
        <v>-95098213.32579121</v>
      </c>
      <c r="J239" s="98">
        <f t="shared" si="49"/>
        <v>-91554180.53104125</v>
      </c>
      <c r="K239" s="98">
        <f t="shared" si="54"/>
        <v>50207131.258958653</v>
      </c>
      <c r="L239" s="1189">
        <f t="shared" si="46"/>
        <v>46663098.464208663</v>
      </c>
      <c r="M239" s="400">
        <f t="shared" si="50"/>
        <v>76943.579693749954</v>
      </c>
      <c r="N239" s="98">
        <f t="shared" si="57"/>
        <v>-6447679.8413363248</v>
      </c>
      <c r="O239" s="98">
        <f t="shared" si="52"/>
        <v>-6909341.3194988221</v>
      </c>
      <c r="P239" s="714">
        <f t="shared" si="53"/>
        <v>43297789.939459831</v>
      </c>
      <c r="R239" s="66"/>
      <c r="S239" s="559">
        <f>$E$79-(SUM($H$79:H239)*$U$75)</f>
        <v>52761311.789999977</v>
      </c>
      <c r="T239" s="66"/>
      <c r="U239" s="726"/>
    </row>
    <row r="240" spans="1:21" s="65" customFormat="1" hidden="1" outlineLevel="1">
      <c r="A240" s="706"/>
      <c r="B240" s="108">
        <v>45777</v>
      </c>
      <c r="D240" s="134"/>
      <c r="E240" s="712">
        <f t="shared" si="47"/>
        <v>52761311.789999977</v>
      </c>
      <c r="F240" s="713">
        <f t="shared" si="48"/>
        <v>141761311.78999987</v>
      </c>
      <c r="G240" s="98">
        <f t="shared" si="56"/>
        <v>141761311.7899999</v>
      </c>
      <c r="H240" s="364">
        <f t="shared" si="55"/>
        <v>590672.13245833281</v>
      </c>
      <c r="I240" s="98">
        <f t="shared" si="45"/>
        <v>-95688885.458249539</v>
      </c>
      <c r="J240" s="98">
        <f t="shared" si="49"/>
        <v>-92144852.663499579</v>
      </c>
      <c r="K240" s="98">
        <f t="shared" si="54"/>
        <v>49616459.126500323</v>
      </c>
      <c r="L240" s="1189">
        <f t="shared" si="46"/>
        <v>46072426.331750333</v>
      </c>
      <c r="M240" s="400">
        <f t="shared" si="50"/>
        <v>76943.579693749954</v>
      </c>
      <c r="N240" s="98">
        <f t="shared" si="57"/>
        <v>-6370736.2616425753</v>
      </c>
      <c r="O240" s="98">
        <f t="shared" si="52"/>
        <v>-6832397.7398050725</v>
      </c>
      <c r="P240" s="714">
        <f t="shared" si="53"/>
        <v>42784061.386695251</v>
      </c>
      <c r="R240" s="66"/>
      <c r="S240" s="559">
        <f>$E$79-(SUM($H$79:H240)*$U$75)</f>
        <v>52761311.789999977</v>
      </c>
      <c r="T240" s="66"/>
      <c r="U240" s="726"/>
    </row>
    <row r="241" spans="1:21" s="65" customFormat="1" hidden="1" outlineLevel="1">
      <c r="A241" s="706"/>
      <c r="B241" s="108">
        <v>45808</v>
      </c>
      <c r="D241" s="134"/>
      <c r="E241" s="712">
        <f t="shared" si="47"/>
        <v>52761311.789999977</v>
      </c>
      <c r="F241" s="713">
        <f t="shared" si="48"/>
        <v>141761311.78999987</v>
      </c>
      <c r="G241" s="98">
        <f t="shared" si="56"/>
        <v>141761311.7899999</v>
      </c>
      <c r="H241" s="364">
        <f t="shared" si="55"/>
        <v>590672.13245833281</v>
      </c>
      <c r="I241" s="98">
        <f t="shared" si="45"/>
        <v>-96279557.590707868</v>
      </c>
      <c r="J241" s="98">
        <f t="shared" si="49"/>
        <v>-92735524.795957908</v>
      </c>
      <c r="K241" s="98">
        <f t="shared" si="54"/>
        <v>49025786.994041994</v>
      </c>
      <c r="L241" s="1189">
        <f t="shared" si="46"/>
        <v>45481754.199292004</v>
      </c>
      <c r="M241" s="400">
        <f t="shared" si="50"/>
        <v>76943.579693749954</v>
      </c>
      <c r="N241" s="98">
        <f t="shared" si="57"/>
        <v>-6293792.6819488257</v>
      </c>
      <c r="O241" s="98">
        <f t="shared" si="52"/>
        <v>-6755454.160111323</v>
      </c>
      <c r="P241" s="714">
        <f t="shared" si="53"/>
        <v>42270332.833930671</v>
      </c>
      <c r="R241" s="66"/>
      <c r="S241" s="559">
        <f>$E$79-(SUM($H$79:H241)*$U$75)</f>
        <v>52761311.789999977</v>
      </c>
      <c r="T241" s="66"/>
      <c r="U241" s="726"/>
    </row>
    <row r="242" spans="1:21" s="65" customFormat="1" hidden="1" outlineLevel="1">
      <c r="A242" s="706"/>
      <c r="B242" s="108">
        <v>45838</v>
      </c>
      <c r="D242" s="134"/>
      <c r="E242" s="712">
        <f t="shared" si="47"/>
        <v>52761311.789999977</v>
      </c>
      <c r="F242" s="713">
        <f t="shared" si="48"/>
        <v>141761311.78999987</v>
      </c>
      <c r="G242" s="98">
        <f t="shared" si="56"/>
        <v>141761311.7899999</v>
      </c>
      <c r="H242" s="364">
        <f t="shared" si="55"/>
        <v>590672.13245833281</v>
      </c>
      <c r="I242" s="98">
        <f t="shared" si="45"/>
        <v>-96870229.723166198</v>
      </c>
      <c r="J242" s="98">
        <f t="shared" si="49"/>
        <v>-93326196.928416237</v>
      </c>
      <c r="K242" s="98">
        <f t="shared" si="54"/>
        <v>48435114.861583665</v>
      </c>
      <c r="L242" s="1189">
        <f t="shared" si="46"/>
        <v>44891082.066833675</v>
      </c>
      <c r="M242" s="400">
        <f t="shared" si="50"/>
        <v>76943.579693749954</v>
      </c>
      <c r="N242" s="98">
        <f t="shared" si="57"/>
        <v>-6216849.1022550762</v>
      </c>
      <c r="O242" s="98">
        <f t="shared" si="52"/>
        <v>-6678510.5804175735</v>
      </c>
      <c r="P242" s="714">
        <f t="shared" si="53"/>
        <v>41756604.281166092</v>
      </c>
      <c r="R242" s="66"/>
      <c r="S242" s="559">
        <f>$E$79-(SUM($H$79:H242)*$U$75)</f>
        <v>52761311.789999977</v>
      </c>
      <c r="T242" s="66"/>
      <c r="U242" s="726"/>
    </row>
    <row r="243" spans="1:21" s="65" customFormat="1" hidden="1" outlineLevel="1">
      <c r="A243" s="706"/>
      <c r="B243" s="108">
        <v>45869</v>
      </c>
      <c r="D243" s="134"/>
      <c r="E243" s="712">
        <f t="shared" si="47"/>
        <v>52761311.789999977</v>
      </c>
      <c r="F243" s="713">
        <f t="shared" si="48"/>
        <v>141761311.78999987</v>
      </c>
      <c r="G243" s="98">
        <f t="shared" si="56"/>
        <v>141761311.7899999</v>
      </c>
      <c r="H243" s="364">
        <f t="shared" si="55"/>
        <v>590672.13245833281</v>
      </c>
      <c r="I243" s="98">
        <f t="shared" si="45"/>
        <v>-97460901.855624527</v>
      </c>
      <c r="J243" s="98">
        <f t="shared" si="49"/>
        <v>-93916869.060874566</v>
      </c>
      <c r="K243" s="98">
        <f t="shared" si="54"/>
        <v>47844442.729125336</v>
      </c>
      <c r="L243" s="1189">
        <f t="shared" si="46"/>
        <v>44300409.934375346</v>
      </c>
      <c r="M243" s="400">
        <f t="shared" si="50"/>
        <v>76943.579693749954</v>
      </c>
      <c r="N243" s="98">
        <f t="shared" si="57"/>
        <v>-6139905.5225613266</v>
      </c>
      <c r="O243" s="98">
        <f t="shared" si="52"/>
        <v>-6601567.0007238239</v>
      </c>
      <c r="P243" s="714">
        <f t="shared" si="53"/>
        <v>41242875.728401512</v>
      </c>
      <c r="R243" s="66"/>
      <c r="S243" s="559">
        <f>$E$79-(SUM($H$79:H243)*$U$75)</f>
        <v>52761311.789999977</v>
      </c>
      <c r="T243" s="66"/>
      <c r="U243" s="726"/>
    </row>
    <row r="244" spans="1:21" s="65" customFormat="1" hidden="1" outlineLevel="1">
      <c r="A244" s="706"/>
      <c r="B244" s="108">
        <v>45900</v>
      </c>
      <c r="D244" s="134"/>
      <c r="E244" s="712">
        <f t="shared" si="47"/>
        <v>52761311.789999977</v>
      </c>
      <c r="F244" s="713">
        <f t="shared" si="48"/>
        <v>141761311.78999987</v>
      </c>
      <c r="G244" s="98">
        <f t="shared" si="56"/>
        <v>141761311.7899999</v>
      </c>
      <c r="H244" s="364">
        <f t="shared" si="55"/>
        <v>590672.13245833281</v>
      </c>
      <c r="I244" s="98">
        <f t="shared" si="45"/>
        <v>-98051573.988082856</v>
      </c>
      <c r="J244" s="98">
        <f t="shared" si="49"/>
        <v>-94507541.193332896</v>
      </c>
      <c r="K244" s="98">
        <f t="shared" si="54"/>
        <v>47253770.596667007</v>
      </c>
      <c r="L244" s="1189">
        <f t="shared" si="46"/>
        <v>43709737.801917017</v>
      </c>
      <c r="M244" s="400">
        <f t="shared" si="50"/>
        <v>76943.579693749954</v>
      </c>
      <c r="N244" s="98">
        <f t="shared" si="57"/>
        <v>-6062961.9428675771</v>
      </c>
      <c r="O244" s="98">
        <f t="shared" si="52"/>
        <v>-6524623.4210300744</v>
      </c>
      <c r="P244" s="714">
        <f t="shared" si="53"/>
        <v>40729147.175636932</v>
      </c>
      <c r="R244" s="66"/>
      <c r="S244" s="559">
        <f>$E$79-(SUM($H$79:H244)*$U$75)</f>
        <v>52761311.789999977</v>
      </c>
      <c r="T244" s="66"/>
      <c r="U244" s="726"/>
    </row>
    <row r="245" spans="1:21" s="65" customFormat="1" hidden="1" outlineLevel="1">
      <c r="A245" s="706"/>
      <c r="B245" s="108">
        <v>45930</v>
      </c>
      <c r="D245" s="134"/>
      <c r="E245" s="712">
        <f t="shared" si="47"/>
        <v>52761311.789999977</v>
      </c>
      <c r="F245" s="713">
        <f t="shared" si="48"/>
        <v>141761311.78999987</v>
      </c>
      <c r="G245" s="98">
        <f t="shared" si="56"/>
        <v>141761311.7899999</v>
      </c>
      <c r="H245" s="364">
        <f t="shared" si="55"/>
        <v>590672.13245833281</v>
      </c>
      <c r="I245" s="98">
        <f t="shared" si="45"/>
        <v>-98642246.120541185</v>
      </c>
      <c r="J245" s="98">
        <f t="shared" si="49"/>
        <v>-95098213.325791225</v>
      </c>
      <c r="K245" s="98">
        <f t="shared" si="54"/>
        <v>46663098.464208677</v>
      </c>
      <c r="L245" s="1189">
        <f t="shared" si="46"/>
        <v>43119065.669458687</v>
      </c>
      <c r="M245" s="400">
        <f t="shared" si="50"/>
        <v>76943.579693749954</v>
      </c>
      <c r="N245" s="98">
        <f t="shared" si="57"/>
        <v>-5986018.3631738275</v>
      </c>
      <c r="O245" s="98">
        <f t="shared" si="52"/>
        <v>-6447679.8413363248</v>
      </c>
      <c r="P245" s="714">
        <f t="shared" si="53"/>
        <v>40215418.622872353</v>
      </c>
      <c r="R245" s="66"/>
      <c r="S245" s="559">
        <f>$E$79-(SUM($H$79:H245)*$U$75)</f>
        <v>52761311.789999977</v>
      </c>
      <c r="T245" s="66"/>
      <c r="U245" s="726"/>
    </row>
    <row r="246" spans="1:21" s="65" customFormat="1" hidden="1" outlineLevel="1">
      <c r="A246" s="706"/>
      <c r="B246" s="108">
        <v>45961</v>
      </c>
      <c r="D246" s="134"/>
      <c r="E246" s="712">
        <f t="shared" si="47"/>
        <v>52761311.789999977</v>
      </c>
      <c r="F246" s="713">
        <f t="shared" si="48"/>
        <v>141761311.78999987</v>
      </c>
      <c r="G246" s="98">
        <f t="shared" si="56"/>
        <v>141761311.7899999</v>
      </c>
      <c r="H246" s="364">
        <f t="shared" si="55"/>
        <v>590672.13245833281</v>
      </c>
      <c r="I246" s="98">
        <f t="shared" si="45"/>
        <v>-99232918.252999514</v>
      </c>
      <c r="J246" s="98">
        <f t="shared" si="49"/>
        <v>-95688885.458249554</v>
      </c>
      <c r="K246" s="98">
        <f t="shared" si="54"/>
        <v>46072426.331750348</v>
      </c>
      <c r="L246" s="1189">
        <f t="shared" si="46"/>
        <v>42528393.537000358</v>
      </c>
      <c r="M246" s="400">
        <f t="shared" si="50"/>
        <v>76943.579693749954</v>
      </c>
      <c r="N246" s="98">
        <f t="shared" si="57"/>
        <v>-5909074.783480078</v>
      </c>
      <c r="O246" s="98">
        <f t="shared" si="52"/>
        <v>-6370736.2616425753</v>
      </c>
      <c r="P246" s="714">
        <f t="shared" si="53"/>
        <v>39701690.070107773</v>
      </c>
      <c r="R246" s="66"/>
      <c r="S246" s="559">
        <f>$E$79-(SUM($H$79:H246)*$U$75)</f>
        <v>52761311.789999977</v>
      </c>
      <c r="T246" s="66"/>
      <c r="U246" s="726"/>
    </row>
    <row r="247" spans="1:21" s="65" customFormat="1" hidden="1" outlineLevel="1">
      <c r="A247" s="706"/>
      <c r="B247" s="108">
        <v>45991</v>
      </c>
      <c r="D247" s="134"/>
      <c r="E247" s="712">
        <f t="shared" si="47"/>
        <v>52761311.789999977</v>
      </c>
      <c r="F247" s="713">
        <f t="shared" si="48"/>
        <v>141761311.78999987</v>
      </c>
      <c r="G247" s="98">
        <f t="shared" si="56"/>
        <v>141761311.7899999</v>
      </c>
      <c r="H247" s="364">
        <f t="shared" si="55"/>
        <v>590672.13245833281</v>
      </c>
      <c r="I247" s="98">
        <f t="shared" si="45"/>
        <v>-99823590.385457844</v>
      </c>
      <c r="J247" s="98">
        <f t="shared" si="49"/>
        <v>-96279557.590707883</v>
      </c>
      <c r="K247" s="98">
        <f t="shared" si="54"/>
        <v>45481754.199292019</v>
      </c>
      <c r="L247" s="1189">
        <f t="shared" si="46"/>
        <v>41937721.404542029</v>
      </c>
      <c r="M247" s="400">
        <f t="shared" si="50"/>
        <v>76943.579693749954</v>
      </c>
      <c r="N247" s="98">
        <f t="shared" si="57"/>
        <v>-5832131.2037863284</v>
      </c>
      <c r="O247" s="98">
        <f t="shared" si="52"/>
        <v>-6293792.6819488257</v>
      </c>
      <c r="P247" s="714">
        <f t="shared" si="53"/>
        <v>39187961.517343193</v>
      </c>
      <c r="R247" s="66"/>
      <c r="S247" s="559">
        <f>$E$79-(SUM($H$79:H247)*$U$75)</f>
        <v>52761311.789999977</v>
      </c>
      <c r="T247" s="66"/>
      <c r="U247" s="726"/>
    </row>
    <row r="248" spans="1:21" hidden="1" outlineLevel="1">
      <c r="A248" s="706"/>
      <c r="B248" s="108">
        <v>46022</v>
      </c>
      <c r="C248" s="65"/>
      <c r="D248" s="134"/>
      <c r="E248" s="712">
        <f t="shared" si="47"/>
        <v>52761311.789999977</v>
      </c>
      <c r="F248" s="713">
        <f t="shared" si="48"/>
        <v>141761311.78999987</v>
      </c>
      <c r="G248" s="98">
        <f t="shared" si="56"/>
        <v>141761311.7899999</v>
      </c>
      <c r="H248" s="364">
        <f t="shared" si="55"/>
        <v>590672.13245833281</v>
      </c>
      <c r="I248" s="98">
        <f t="shared" si="45"/>
        <v>-100414262.51791617</v>
      </c>
      <c r="J248" s="98">
        <f t="shared" si="49"/>
        <v>-96870229.723166212</v>
      </c>
      <c r="K248" s="98">
        <f t="shared" si="54"/>
        <v>44891082.06683369</v>
      </c>
      <c r="L248" s="1189">
        <f t="shared" si="46"/>
        <v>41347049.2720837</v>
      </c>
      <c r="M248" s="400">
        <f t="shared" si="50"/>
        <v>76943.579693749954</v>
      </c>
      <c r="N248" s="98">
        <f t="shared" si="57"/>
        <v>-5755187.6240925789</v>
      </c>
      <c r="O248" s="98">
        <f t="shared" si="52"/>
        <v>-6216849.1022550762</v>
      </c>
      <c r="P248" s="714">
        <f t="shared" si="53"/>
        <v>38674232.964578614</v>
      </c>
      <c r="S248" s="559">
        <f>$E$79-(SUM($H$79:H248)*$U$75)</f>
        <v>52761311.789999977</v>
      </c>
      <c r="T248" s="66"/>
      <c r="U248" s="726"/>
    </row>
    <row r="249" spans="1:21" hidden="1" outlineLevel="1">
      <c r="A249" s="706"/>
      <c r="B249" s="108">
        <v>46053</v>
      </c>
      <c r="C249" s="65"/>
      <c r="D249" s="134"/>
      <c r="E249" s="712">
        <f t="shared" si="47"/>
        <v>52761311.789999977</v>
      </c>
      <c r="F249" s="713">
        <f t="shared" si="48"/>
        <v>141761311.78999987</v>
      </c>
      <c r="G249" s="98">
        <f t="shared" si="56"/>
        <v>141761311.7899999</v>
      </c>
      <c r="H249" s="364">
        <f t="shared" si="55"/>
        <v>590672.13245833281</v>
      </c>
      <c r="I249" s="98">
        <f t="shared" si="45"/>
        <v>-101004934.6503745</v>
      </c>
      <c r="J249" s="98">
        <f t="shared" si="49"/>
        <v>-97460901.855624542</v>
      </c>
      <c r="K249" s="98">
        <f t="shared" si="54"/>
        <v>44300409.934375361</v>
      </c>
      <c r="L249" s="1189">
        <f t="shared" si="46"/>
        <v>40756377.139625371</v>
      </c>
      <c r="M249" s="400">
        <f t="shared" si="50"/>
        <v>76943.579693749954</v>
      </c>
      <c r="N249" s="98">
        <f t="shared" si="57"/>
        <v>-5678244.0443988293</v>
      </c>
      <c r="O249" s="98">
        <f t="shared" si="52"/>
        <v>-6139905.5225613266</v>
      </c>
      <c r="P249" s="714">
        <f t="shared" si="53"/>
        <v>38160504.411814034</v>
      </c>
      <c r="S249" s="559">
        <f>$E$79-(SUM($H$79:H249)*$U$75)</f>
        <v>52761311.789999977</v>
      </c>
      <c r="T249" s="66"/>
      <c r="U249" s="726"/>
    </row>
    <row r="250" spans="1:21" hidden="1" outlineLevel="1">
      <c r="A250" s="706"/>
      <c r="B250" s="108">
        <v>46081</v>
      </c>
      <c r="C250" s="65"/>
      <c r="D250" s="134"/>
      <c r="E250" s="712">
        <f t="shared" si="47"/>
        <v>52761311.789999977</v>
      </c>
      <c r="F250" s="713">
        <f t="shared" si="48"/>
        <v>141761311.78999987</v>
      </c>
      <c r="G250" s="98">
        <f t="shared" si="56"/>
        <v>141761311.7899999</v>
      </c>
      <c r="H250" s="364">
        <f t="shared" si="55"/>
        <v>590672.13245833281</v>
      </c>
      <c r="I250" s="98">
        <f t="shared" si="45"/>
        <v>-101595606.78283283</v>
      </c>
      <c r="J250" s="98">
        <f t="shared" si="49"/>
        <v>-98051573.988082871</v>
      </c>
      <c r="K250" s="98">
        <f t="shared" si="54"/>
        <v>43709737.801917031</v>
      </c>
      <c r="L250" s="1189">
        <f t="shared" si="46"/>
        <v>40165705.007167041</v>
      </c>
      <c r="M250" s="400">
        <f t="shared" si="50"/>
        <v>76943.579693749954</v>
      </c>
      <c r="N250" s="98">
        <f t="shared" si="57"/>
        <v>-5601300.4647050798</v>
      </c>
      <c r="O250" s="98">
        <f t="shared" si="52"/>
        <v>-6062961.9428675771</v>
      </c>
      <c r="P250" s="714">
        <f t="shared" si="53"/>
        <v>37646775.859049454</v>
      </c>
      <c r="S250" s="559">
        <f>$E$79-(SUM($H$79:H250)*$U$75)</f>
        <v>52761311.789999977</v>
      </c>
      <c r="T250" s="66"/>
      <c r="U250" s="726"/>
    </row>
    <row r="251" spans="1:21" hidden="1" outlineLevel="1">
      <c r="A251" s="706"/>
      <c r="B251" s="108">
        <v>46112</v>
      </c>
      <c r="C251" s="65"/>
      <c r="D251" s="134"/>
      <c r="E251" s="712">
        <f t="shared" si="47"/>
        <v>52761311.789999977</v>
      </c>
      <c r="F251" s="713">
        <f t="shared" si="48"/>
        <v>141761311.78999987</v>
      </c>
      <c r="G251" s="98">
        <f t="shared" si="56"/>
        <v>141761311.7899999</v>
      </c>
      <c r="H251" s="364">
        <f t="shared" si="55"/>
        <v>590672.13245833281</v>
      </c>
      <c r="I251" s="98">
        <f t="shared" si="45"/>
        <v>-102186278.91529116</v>
      </c>
      <c r="J251" s="98">
        <f t="shared" si="49"/>
        <v>-98642246.1205412</v>
      </c>
      <c r="K251" s="98">
        <f t="shared" si="54"/>
        <v>43119065.669458702</v>
      </c>
      <c r="L251" s="1189">
        <f t="shared" si="46"/>
        <v>39575032.874708712</v>
      </c>
      <c r="M251" s="400">
        <f t="shared" si="50"/>
        <v>76943.579693749954</v>
      </c>
      <c r="N251" s="98">
        <f t="shared" si="57"/>
        <v>-5524356.8850113302</v>
      </c>
      <c r="O251" s="98">
        <f t="shared" si="52"/>
        <v>-5986018.3631738275</v>
      </c>
      <c r="P251" s="714">
        <f t="shared" si="53"/>
        <v>37133047.306284875</v>
      </c>
      <c r="S251" s="559">
        <f>$E$79-(SUM($H$79:H251)*$U$75)</f>
        <v>52761311.789999977</v>
      </c>
      <c r="T251" s="66"/>
      <c r="U251" s="726"/>
    </row>
    <row r="252" spans="1:21" hidden="1" outlineLevel="1">
      <c r="A252" s="706"/>
      <c r="B252" s="108">
        <v>46142</v>
      </c>
      <c r="C252" s="65"/>
      <c r="D252" s="134"/>
      <c r="E252" s="712">
        <f t="shared" si="47"/>
        <v>52761311.789999977</v>
      </c>
      <c r="F252" s="713">
        <f t="shared" si="48"/>
        <v>141761311.78999987</v>
      </c>
      <c r="G252" s="98">
        <f t="shared" si="56"/>
        <v>141761311.7899999</v>
      </c>
      <c r="H252" s="364">
        <f t="shared" si="55"/>
        <v>590672.13245833281</v>
      </c>
      <c r="I252" s="98">
        <f t="shared" si="45"/>
        <v>-102776951.04774949</v>
      </c>
      <c r="J252" s="98">
        <f t="shared" si="49"/>
        <v>-99232918.252999529</v>
      </c>
      <c r="K252" s="98">
        <f t="shared" si="54"/>
        <v>42528393.537000373</v>
      </c>
      <c r="L252" s="1189">
        <f t="shared" si="46"/>
        <v>38984360.742250383</v>
      </c>
      <c r="M252" s="400">
        <f t="shared" si="50"/>
        <v>76943.579693749954</v>
      </c>
      <c r="N252" s="98">
        <f t="shared" si="57"/>
        <v>-5447413.3053175807</v>
      </c>
      <c r="O252" s="98">
        <f t="shared" si="52"/>
        <v>-5909074.783480078</v>
      </c>
      <c r="P252" s="714">
        <f t="shared" si="53"/>
        <v>36619318.753520295</v>
      </c>
      <c r="S252" s="559">
        <f>$E$79-(SUM($H$79:H252)*$U$75)</f>
        <v>52761311.789999977</v>
      </c>
      <c r="T252" s="66"/>
      <c r="U252" s="726"/>
    </row>
    <row r="253" spans="1:21" hidden="1" outlineLevel="1">
      <c r="A253" s="706"/>
      <c r="B253" s="108">
        <v>46173</v>
      </c>
      <c r="C253" s="65"/>
      <c r="D253" s="134"/>
      <c r="E253" s="712">
        <f t="shared" si="47"/>
        <v>52761311.789999977</v>
      </c>
      <c r="F253" s="713">
        <f t="shared" si="48"/>
        <v>141761311.78999987</v>
      </c>
      <c r="G253" s="98">
        <f t="shared" si="56"/>
        <v>141761311.7899999</v>
      </c>
      <c r="H253" s="364">
        <f t="shared" si="55"/>
        <v>590672.13245833281</v>
      </c>
      <c r="I253" s="98">
        <f t="shared" si="45"/>
        <v>-103367623.18020782</v>
      </c>
      <c r="J253" s="98">
        <f t="shared" si="49"/>
        <v>-99823590.385457858</v>
      </c>
      <c r="K253" s="98">
        <f t="shared" si="54"/>
        <v>41937721.404542044</v>
      </c>
      <c r="L253" s="1189">
        <f t="shared" si="46"/>
        <v>38393688.609792054</v>
      </c>
      <c r="M253" s="400">
        <f t="shared" si="50"/>
        <v>76943.579693749954</v>
      </c>
      <c r="N253" s="98">
        <f t="shared" si="57"/>
        <v>-5370469.7256238312</v>
      </c>
      <c r="O253" s="98">
        <f t="shared" si="52"/>
        <v>-5832131.2037863284</v>
      </c>
      <c r="P253" s="714">
        <f t="shared" si="53"/>
        <v>36105590.200755715</v>
      </c>
      <c r="S253" s="559">
        <f>$E$79-(SUM($H$79:H253)*$U$75)</f>
        <v>52761311.789999977</v>
      </c>
      <c r="T253" s="66"/>
      <c r="U253" s="726"/>
    </row>
    <row r="254" spans="1:21" hidden="1" outlineLevel="1">
      <c r="A254" s="706"/>
      <c r="B254" s="108">
        <v>46203</v>
      </c>
      <c r="C254" s="65"/>
      <c r="D254" s="134"/>
      <c r="E254" s="712">
        <f t="shared" si="47"/>
        <v>52761311.789999977</v>
      </c>
      <c r="F254" s="713">
        <f t="shared" si="48"/>
        <v>141761311.78999987</v>
      </c>
      <c r="G254" s="98">
        <f t="shared" si="56"/>
        <v>141761311.7899999</v>
      </c>
      <c r="H254" s="364">
        <f t="shared" si="55"/>
        <v>590672.13245833281</v>
      </c>
      <c r="I254" s="98">
        <f t="shared" si="45"/>
        <v>-103958295.31266615</v>
      </c>
      <c r="J254" s="98">
        <f t="shared" si="49"/>
        <v>-100414262.51791619</v>
      </c>
      <c r="K254" s="98">
        <f t="shared" si="54"/>
        <v>41347049.272083715</v>
      </c>
      <c r="L254" s="1189">
        <f t="shared" si="46"/>
        <v>37803016.477333724</v>
      </c>
      <c r="M254" s="400">
        <f t="shared" si="50"/>
        <v>76943.579693749954</v>
      </c>
      <c r="N254" s="98">
        <f t="shared" si="57"/>
        <v>-5293526.1459300816</v>
      </c>
      <c r="O254" s="98">
        <f t="shared" si="52"/>
        <v>-5755187.6240925789</v>
      </c>
      <c r="P254" s="714">
        <f t="shared" si="53"/>
        <v>35591861.647991136</v>
      </c>
      <c r="S254" s="559">
        <f>$E$79-(SUM($H$79:H254)*$U$75)</f>
        <v>52761311.789999977</v>
      </c>
      <c r="T254" s="66"/>
      <c r="U254" s="726"/>
    </row>
    <row r="255" spans="1:21" hidden="1" outlineLevel="1">
      <c r="A255" s="706"/>
      <c r="B255" s="108">
        <v>46234</v>
      </c>
      <c r="C255" s="65"/>
      <c r="D255" s="134"/>
      <c r="E255" s="712">
        <f t="shared" si="47"/>
        <v>52761311.789999977</v>
      </c>
      <c r="F255" s="713">
        <f t="shared" si="48"/>
        <v>141761311.78999987</v>
      </c>
      <c r="G255" s="98">
        <f t="shared" si="56"/>
        <v>141761311.7899999</v>
      </c>
      <c r="H255" s="364">
        <f t="shared" si="55"/>
        <v>590672.13245833281</v>
      </c>
      <c r="I255" s="98">
        <f t="shared" si="45"/>
        <v>-104548967.44512448</v>
      </c>
      <c r="J255" s="98">
        <f t="shared" si="49"/>
        <v>-101004934.65037452</v>
      </c>
      <c r="K255" s="98">
        <f t="shared" si="54"/>
        <v>40756377.139625385</v>
      </c>
      <c r="L255" s="1189">
        <f t="shared" si="46"/>
        <v>37212344.344875395</v>
      </c>
      <c r="M255" s="400">
        <f t="shared" si="50"/>
        <v>76943.579693749954</v>
      </c>
      <c r="N255" s="98">
        <f t="shared" si="57"/>
        <v>-5216582.5662363321</v>
      </c>
      <c r="O255" s="98">
        <f t="shared" si="52"/>
        <v>-5678244.0443988293</v>
      </c>
      <c r="P255" s="714">
        <f t="shared" si="53"/>
        <v>35078133.095226556</v>
      </c>
      <c r="S255" s="559">
        <f>$E$79-(SUM($H$79:H255)*$U$75)</f>
        <v>52761311.789999977</v>
      </c>
      <c r="T255" s="66"/>
      <c r="U255" s="726"/>
    </row>
    <row r="256" spans="1:21" hidden="1" outlineLevel="1">
      <c r="A256" s="706"/>
      <c r="B256" s="108">
        <v>46265</v>
      </c>
      <c r="C256" s="65"/>
      <c r="D256" s="134"/>
      <c r="E256" s="712">
        <f t="shared" si="47"/>
        <v>52761311.789999977</v>
      </c>
      <c r="F256" s="713">
        <f t="shared" si="48"/>
        <v>141761311.78999987</v>
      </c>
      <c r="G256" s="98">
        <f t="shared" si="56"/>
        <v>141761311.7899999</v>
      </c>
      <c r="H256" s="364">
        <f t="shared" si="55"/>
        <v>590672.13245833281</v>
      </c>
      <c r="I256" s="98">
        <f t="shared" si="45"/>
        <v>-105139639.57758281</v>
      </c>
      <c r="J256" s="98">
        <f t="shared" si="49"/>
        <v>-101595606.78283285</v>
      </c>
      <c r="K256" s="98">
        <f t="shared" si="54"/>
        <v>40165705.007167056</v>
      </c>
      <c r="L256" s="1189">
        <f t="shared" si="46"/>
        <v>36621672.212417066</v>
      </c>
      <c r="M256" s="400">
        <f t="shared" si="50"/>
        <v>76943.579693749954</v>
      </c>
      <c r="N256" s="98">
        <f t="shared" si="57"/>
        <v>-5139638.9865425825</v>
      </c>
      <c r="O256" s="98">
        <f t="shared" si="52"/>
        <v>-5601300.4647050798</v>
      </c>
      <c r="P256" s="714">
        <f t="shared" si="53"/>
        <v>34564404.542461976</v>
      </c>
      <c r="S256" s="559">
        <f>$E$79-(SUM($H$79:H256)*$U$75)</f>
        <v>52761311.789999977</v>
      </c>
      <c r="T256" s="66"/>
      <c r="U256" s="726"/>
    </row>
    <row r="257" spans="1:21" hidden="1" outlineLevel="1">
      <c r="A257" s="706"/>
      <c r="B257" s="108">
        <v>46295</v>
      </c>
      <c r="C257" s="65"/>
      <c r="D257" s="134"/>
      <c r="E257" s="712">
        <f t="shared" si="47"/>
        <v>52761311.789999977</v>
      </c>
      <c r="F257" s="713">
        <f t="shared" si="48"/>
        <v>141761311.78999987</v>
      </c>
      <c r="G257" s="98">
        <f t="shared" si="56"/>
        <v>141761311.7899999</v>
      </c>
      <c r="H257" s="364">
        <f t="shared" si="55"/>
        <v>590672.13245833281</v>
      </c>
      <c r="I257" s="98">
        <f t="shared" si="45"/>
        <v>-105730311.71004114</v>
      </c>
      <c r="J257" s="98">
        <f t="shared" si="49"/>
        <v>-102186278.91529118</v>
      </c>
      <c r="K257" s="98">
        <f t="shared" si="54"/>
        <v>39575032.874708727</v>
      </c>
      <c r="L257" s="1189">
        <f t="shared" si="46"/>
        <v>36031000.079958737</v>
      </c>
      <c r="M257" s="400">
        <f t="shared" si="50"/>
        <v>76943.579693749954</v>
      </c>
      <c r="N257" s="98">
        <f t="shared" si="57"/>
        <v>-5062695.406848833</v>
      </c>
      <c r="O257" s="98">
        <f t="shared" si="52"/>
        <v>-5524356.8850113302</v>
      </c>
      <c r="P257" s="714">
        <f t="shared" si="53"/>
        <v>34050675.989697397</v>
      </c>
      <c r="S257" s="559">
        <f>$E$79-(SUM($H$79:H257)*$U$75)</f>
        <v>52761311.789999977</v>
      </c>
      <c r="T257" s="66"/>
      <c r="U257" s="726"/>
    </row>
    <row r="258" spans="1:21" hidden="1" outlineLevel="1">
      <c r="A258" s="706"/>
      <c r="B258" s="108">
        <v>46326</v>
      </c>
      <c r="C258" s="65"/>
      <c r="D258" s="134"/>
      <c r="E258" s="712">
        <f t="shared" si="47"/>
        <v>52761311.789999977</v>
      </c>
      <c r="F258" s="713">
        <f t="shared" si="48"/>
        <v>141761311.78999987</v>
      </c>
      <c r="G258" s="98">
        <f t="shared" si="56"/>
        <v>141761311.7899999</v>
      </c>
      <c r="H258" s="364">
        <f t="shared" si="55"/>
        <v>590672.13245833281</v>
      </c>
      <c r="I258" s="98">
        <f t="shared" si="45"/>
        <v>-106320983.84249946</v>
      </c>
      <c r="J258" s="98">
        <f t="shared" si="49"/>
        <v>-102776951.0477495</v>
      </c>
      <c r="K258" s="98">
        <f t="shared" si="54"/>
        <v>38984360.742250398</v>
      </c>
      <c r="L258" s="1189">
        <f t="shared" si="46"/>
        <v>35440327.947500408</v>
      </c>
      <c r="M258" s="400">
        <f t="shared" si="50"/>
        <v>76943.579693749954</v>
      </c>
      <c r="N258" s="98">
        <f t="shared" si="57"/>
        <v>-4985751.8271550834</v>
      </c>
      <c r="O258" s="98">
        <f t="shared" si="52"/>
        <v>-5447413.3053175807</v>
      </c>
      <c r="P258" s="714">
        <f t="shared" si="53"/>
        <v>33536947.436932817</v>
      </c>
      <c r="S258" s="559">
        <f>$E$79-(SUM($H$79:H258)*$U$75)</f>
        <v>52761311.789999977</v>
      </c>
      <c r="T258" s="66"/>
      <c r="U258" s="726"/>
    </row>
    <row r="259" spans="1:21" hidden="1" outlineLevel="1">
      <c r="A259" s="706"/>
      <c r="B259" s="108">
        <v>46356</v>
      </c>
      <c r="C259" s="65"/>
      <c r="D259" s="134"/>
      <c r="E259" s="712">
        <f t="shared" si="47"/>
        <v>52761311.789999977</v>
      </c>
      <c r="F259" s="713">
        <f t="shared" si="48"/>
        <v>141761311.78999987</v>
      </c>
      <c r="G259" s="98">
        <f t="shared" si="56"/>
        <v>141761311.7899999</v>
      </c>
      <c r="H259" s="364">
        <f t="shared" si="55"/>
        <v>590672.13245833281</v>
      </c>
      <c r="I259" s="98">
        <f t="shared" si="45"/>
        <v>-106911655.97495779</v>
      </c>
      <c r="J259" s="98">
        <f t="shared" si="49"/>
        <v>-103367623.18020783</v>
      </c>
      <c r="K259" s="98">
        <f t="shared" si="54"/>
        <v>38393688.609792069</v>
      </c>
      <c r="L259" s="1189">
        <f t="shared" si="46"/>
        <v>34849655.815042078</v>
      </c>
      <c r="M259" s="400">
        <f t="shared" si="50"/>
        <v>76943.579693749954</v>
      </c>
      <c r="N259" s="98">
        <f t="shared" si="57"/>
        <v>-4908808.2474613339</v>
      </c>
      <c r="O259" s="98">
        <f t="shared" si="52"/>
        <v>-5370469.7256238312</v>
      </c>
      <c r="P259" s="714">
        <f t="shared" si="53"/>
        <v>33023218.884168237</v>
      </c>
      <c r="S259" s="559">
        <f>$E$79-(SUM($H$79:H259)*$U$75)</f>
        <v>52761311.789999977</v>
      </c>
      <c r="T259" s="66"/>
      <c r="U259" s="726"/>
    </row>
    <row r="260" spans="1:21" hidden="1" outlineLevel="1">
      <c r="A260" s="706"/>
      <c r="B260" s="108">
        <v>46387</v>
      </c>
      <c r="C260" s="65"/>
      <c r="D260" s="134"/>
      <c r="E260" s="712">
        <f t="shared" si="47"/>
        <v>52761311.789999977</v>
      </c>
      <c r="F260" s="713">
        <f t="shared" si="48"/>
        <v>141761311.78999987</v>
      </c>
      <c r="G260" s="98">
        <f t="shared" si="56"/>
        <v>141761311.7899999</v>
      </c>
      <c r="H260" s="364">
        <f t="shared" si="55"/>
        <v>590672.13245833281</v>
      </c>
      <c r="I260" s="98">
        <f t="shared" si="45"/>
        <v>-107502328.10741612</v>
      </c>
      <c r="J260" s="98">
        <f t="shared" si="49"/>
        <v>-103958295.31266616</v>
      </c>
      <c r="K260" s="98">
        <f t="shared" si="54"/>
        <v>37803016.477333739</v>
      </c>
      <c r="L260" s="1189">
        <f t="shared" si="46"/>
        <v>34258983.682583749</v>
      </c>
      <c r="M260" s="400">
        <f t="shared" si="50"/>
        <v>76943.579693749954</v>
      </c>
      <c r="N260" s="98">
        <f t="shared" si="57"/>
        <v>-4831864.6677675843</v>
      </c>
      <c r="O260" s="98">
        <f t="shared" si="52"/>
        <v>-5293526.1459300816</v>
      </c>
      <c r="P260" s="714">
        <f t="shared" si="53"/>
        <v>32509490.331403658</v>
      </c>
      <c r="S260" s="559">
        <f>$E$79-(SUM($H$79:H260)*$U$75)</f>
        <v>52761311.789999977</v>
      </c>
      <c r="T260" s="66"/>
      <c r="U260" s="726"/>
    </row>
    <row r="261" spans="1:21" hidden="1" outlineLevel="1">
      <c r="A261" s="706"/>
      <c r="B261" s="108">
        <v>46418</v>
      </c>
      <c r="C261" s="65"/>
      <c r="D261" s="134"/>
      <c r="E261" s="712">
        <f t="shared" si="47"/>
        <v>52761311.789999977</v>
      </c>
      <c r="F261" s="713">
        <f t="shared" si="48"/>
        <v>141761311.78999987</v>
      </c>
      <c r="G261" s="98">
        <f t="shared" si="56"/>
        <v>141761311.7899999</v>
      </c>
      <c r="H261" s="364">
        <f t="shared" si="55"/>
        <v>590672.13245833281</v>
      </c>
      <c r="I261" s="98">
        <f t="shared" si="45"/>
        <v>-108093000.23987445</v>
      </c>
      <c r="J261" s="98">
        <f t="shared" si="49"/>
        <v>-104548967.44512449</v>
      </c>
      <c r="K261" s="98">
        <f t="shared" si="54"/>
        <v>37212344.34487541</v>
      </c>
      <c r="L261" s="1189">
        <f t="shared" si="46"/>
        <v>33668311.55012542</v>
      </c>
      <c r="M261" s="400">
        <f t="shared" si="50"/>
        <v>76943.579693749954</v>
      </c>
      <c r="N261" s="98">
        <f t="shared" si="57"/>
        <v>-4754921.0880738348</v>
      </c>
      <c r="O261" s="98">
        <f t="shared" si="52"/>
        <v>-5216582.5662363321</v>
      </c>
      <c r="P261" s="714">
        <f t="shared" si="53"/>
        <v>31995761.778639078</v>
      </c>
      <c r="S261" s="559">
        <f>$E$79-(SUM($H$79:H261)*$U$75)</f>
        <v>52761311.789999977</v>
      </c>
      <c r="T261" s="66"/>
      <c r="U261" s="726"/>
    </row>
    <row r="262" spans="1:21" hidden="1" outlineLevel="1">
      <c r="A262" s="706"/>
      <c r="B262" s="108">
        <v>46446</v>
      </c>
      <c r="C262" s="65"/>
      <c r="D262" s="134"/>
      <c r="E262" s="712">
        <f t="shared" si="47"/>
        <v>52761311.789999977</v>
      </c>
      <c r="F262" s="713">
        <f t="shared" si="48"/>
        <v>141761311.78999987</v>
      </c>
      <c r="G262" s="98">
        <f t="shared" si="56"/>
        <v>141761311.7899999</v>
      </c>
      <c r="H262" s="364">
        <f t="shared" si="55"/>
        <v>590672.13245833281</v>
      </c>
      <c r="I262" s="98">
        <f t="shared" si="45"/>
        <v>-108683672.37233278</v>
      </c>
      <c r="J262" s="98">
        <f t="shared" si="49"/>
        <v>-105139639.57758282</v>
      </c>
      <c r="K262" s="98">
        <f t="shared" si="54"/>
        <v>36621672.212417081</v>
      </c>
      <c r="L262" s="1189">
        <f t="shared" si="46"/>
        <v>33077639.417667091</v>
      </c>
      <c r="M262" s="400">
        <f t="shared" si="50"/>
        <v>76943.579693749954</v>
      </c>
      <c r="N262" s="98">
        <f t="shared" si="57"/>
        <v>-4677977.5083800852</v>
      </c>
      <c r="O262" s="98">
        <f t="shared" si="52"/>
        <v>-5139638.9865425825</v>
      </c>
      <c r="P262" s="714">
        <f t="shared" si="53"/>
        <v>31482033.225874498</v>
      </c>
      <c r="S262" s="559">
        <f>$E$79-(SUM($H$79:H262)*$U$75)</f>
        <v>52761311.789999977</v>
      </c>
      <c r="T262" s="66"/>
      <c r="U262" s="726"/>
    </row>
    <row r="263" spans="1:21" hidden="1" outlineLevel="1">
      <c r="A263" s="706"/>
      <c r="B263" s="108">
        <v>46477</v>
      </c>
      <c r="C263" s="65"/>
      <c r="D263" s="134"/>
      <c r="E263" s="712">
        <f t="shared" si="47"/>
        <v>52761311.789999977</v>
      </c>
      <c r="F263" s="713">
        <f t="shared" si="48"/>
        <v>141761311.78999987</v>
      </c>
      <c r="G263" s="98">
        <f t="shared" si="56"/>
        <v>141761311.7899999</v>
      </c>
      <c r="H263" s="364">
        <f t="shared" si="55"/>
        <v>590672.13245833281</v>
      </c>
      <c r="I263" s="98">
        <f t="shared" si="45"/>
        <v>-109274344.50479111</v>
      </c>
      <c r="J263" s="98">
        <f t="shared" si="49"/>
        <v>-105730311.71004115</v>
      </c>
      <c r="K263" s="98">
        <f t="shared" si="54"/>
        <v>36031000.079958752</v>
      </c>
      <c r="L263" s="1189">
        <f t="shared" si="46"/>
        <v>32486967.285208762</v>
      </c>
      <c r="M263" s="400">
        <f t="shared" si="50"/>
        <v>76943.579693749954</v>
      </c>
      <c r="N263" s="98">
        <f t="shared" si="57"/>
        <v>-4601033.9286863357</v>
      </c>
      <c r="O263" s="98">
        <f t="shared" si="52"/>
        <v>-5062695.406848833</v>
      </c>
      <c r="P263" s="714">
        <f t="shared" si="53"/>
        <v>30968304.673109919</v>
      </c>
      <c r="S263" s="559">
        <f>$E$79-(SUM($H$79:H263)*$U$75)</f>
        <v>52761311.789999977</v>
      </c>
      <c r="T263" s="66"/>
      <c r="U263" s="726"/>
    </row>
    <row r="264" spans="1:21" hidden="1" outlineLevel="1">
      <c r="A264" s="706"/>
      <c r="B264" s="108">
        <v>46507</v>
      </c>
      <c r="C264" s="65"/>
      <c r="D264" s="134"/>
      <c r="E264" s="712">
        <f t="shared" si="47"/>
        <v>52761311.789999977</v>
      </c>
      <c r="F264" s="713">
        <f t="shared" si="48"/>
        <v>141761311.78999987</v>
      </c>
      <c r="G264" s="98">
        <f t="shared" si="56"/>
        <v>141761311.7899999</v>
      </c>
      <c r="H264" s="364">
        <f t="shared" si="55"/>
        <v>590672.13245833281</v>
      </c>
      <c r="I264" s="98">
        <f t="shared" si="45"/>
        <v>-109865016.63724944</v>
      </c>
      <c r="J264" s="98">
        <f t="shared" si="49"/>
        <v>-106320983.84249948</v>
      </c>
      <c r="K264" s="98">
        <f t="shared" si="54"/>
        <v>35440327.947500423</v>
      </c>
      <c r="L264" s="1189">
        <f t="shared" si="46"/>
        <v>31896295.152750432</v>
      </c>
      <c r="M264" s="400">
        <f t="shared" si="50"/>
        <v>76943.579693749954</v>
      </c>
      <c r="N264" s="98">
        <f t="shared" si="57"/>
        <v>-4524090.3489925861</v>
      </c>
      <c r="O264" s="98">
        <f t="shared" si="52"/>
        <v>-4985751.8271550834</v>
      </c>
      <c r="P264" s="714">
        <f t="shared" si="53"/>
        <v>30454576.120345339</v>
      </c>
      <c r="S264" s="559">
        <f>$E$79-(SUM($H$79:H264)*$U$75)</f>
        <v>52761311.789999977</v>
      </c>
      <c r="T264" s="66"/>
      <c r="U264" s="726"/>
    </row>
    <row r="265" spans="1:21" hidden="1" outlineLevel="1">
      <c r="A265" s="706"/>
      <c r="B265" s="108">
        <v>46538</v>
      </c>
      <c r="C265" s="65"/>
      <c r="D265" s="134"/>
      <c r="E265" s="712">
        <f t="shared" si="47"/>
        <v>52761311.789999977</v>
      </c>
      <c r="F265" s="713">
        <f t="shared" si="48"/>
        <v>141761311.78999987</v>
      </c>
      <c r="G265" s="98">
        <f t="shared" si="56"/>
        <v>141761311.7899999</v>
      </c>
      <c r="H265" s="364">
        <f t="shared" si="55"/>
        <v>590672.13245833281</v>
      </c>
      <c r="I265" s="98">
        <f t="shared" si="45"/>
        <v>-110455688.76970777</v>
      </c>
      <c r="J265" s="98">
        <f t="shared" si="49"/>
        <v>-106911655.97495781</v>
      </c>
      <c r="K265" s="98">
        <f t="shared" si="54"/>
        <v>34849655.815042093</v>
      </c>
      <c r="L265" s="1189">
        <f t="shared" si="46"/>
        <v>31305623.020292103</v>
      </c>
      <c r="M265" s="400">
        <f t="shared" si="50"/>
        <v>76943.579693749954</v>
      </c>
      <c r="N265" s="98">
        <f t="shared" si="57"/>
        <v>-4447146.7692988366</v>
      </c>
      <c r="O265" s="98">
        <f t="shared" si="52"/>
        <v>-4908808.2474613339</v>
      </c>
      <c r="P265" s="714">
        <f t="shared" si="53"/>
        <v>29940847.56758076</v>
      </c>
      <c r="S265" s="559">
        <f>$E$79-(SUM($H$79:H265)*$U$75)</f>
        <v>52761311.789999977</v>
      </c>
      <c r="T265" s="66"/>
      <c r="U265" s="726"/>
    </row>
    <row r="266" spans="1:21" hidden="1" outlineLevel="1">
      <c r="A266" s="706"/>
      <c r="B266" s="108">
        <v>46568</v>
      </c>
      <c r="C266" s="65"/>
      <c r="D266" s="134"/>
      <c r="E266" s="712">
        <f t="shared" si="47"/>
        <v>52761311.789999977</v>
      </c>
      <c r="F266" s="713">
        <f t="shared" si="48"/>
        <v>141761311.78999987</v>
      </c>
      <c r="G266" s="98">
        <f t="shared" si="56"/>
        <v>141761311.7899999</v>
      </c>
      <c r="H266" s="364">
        <f t="shared" si="55"/>
        <v>590672.13245833281</v>
      </c>
      <c r="I266" s="98">
        <f t="shared" si="45"/>
        <v>-111046360.9021661</v>
      </c>
      <c r="J266" s="98">
        <f t="shared" si="49"/>
        <v>-107502328.10741614</v>
      </c>
      <c r="K266" s="98">
        <f t="shared" si="54"/>
        <v>34258983.682583764</v>
      </c>
      <c r="L266" s="1189">
        <f t="shared" si="46"/>
        <v>30714950.887833774</v>
      </c>
      <c r="M266" s="400">
        <f t="shared" si="50"/>
        <v>76943.579693749954</v>
      </c>
      <c r="N266" s="98">
        <f t="shared" si="57"/>
        <v>-4370203.189605087</v>
      </c>
      <c r="O266" s="98">
        <f t="shared" si="52"/>
        <v>-4831864.6677675843</v>
      </c>
      <c r="P266" s="714">
        <f t="shared" si="53"/>
        <v>29427119.01481618</v>
      </c>
      <c r="S266" s="559">
        <f>$E$79-(SUM($H$79:H266)*$U$75)</f>
        <v>52761311.789999977</v>
      </c>
      <c r="T266" s="66"/>
      <c r="U266" s="726"/>
    </row>
    <row r="267" spans="1:21" hidden="1" outlineLevel="1">
      <c r="A267" s="706"/>
      <c r="B267" s="108">
        <v>46599</v>
      </c>
      <c r="C267" s="65"/>
      <c r="D267" s="134"/>
      <c r="E267" s="712">
        <f t="shared" si="47"/>
        <v>52761311.789999977</v>
      </c>
      <c r="F267" s="713">
        <f t="shared" si="48"/>
        <v>141761311.78999987</v>
      </c>
      <c r="G267" s="98">
        <f t="shared" si="56"/>
        <v>141761311.7899999</v>
      </c>
      <c r="H267" s="364">
        <f t="shared" si="55"/>
        <v>590672.13245833281</v>
      </c>
      <c r="I267" s="98">
        <f t="shared" ref="I267:I312" si="58">I266-H267</f>
        <v>-111637033.03462443</v>
      </c>
      <c r="J267" s="98">
        <f t="shared" si="49"/>
        <v>-108093000.23987447</v>
      </c>
      <c r="K267" s="98">
        <f t="shared" si="54"/>
        <v>33668311.550125435</v>
      </c>
      <c r="L267" s="1189">
        <f t="shared" si="46"/>
        <v>30124278.755375445</v>
      </c>
      <c r="M267" s="400">
        <f t="shared" si="50"/>
        <v>76943.579693749954</v>
      </c>
      <c r="N267" s="98">
        <f t="shared" si="57"/>
        <v>-4293259.6099113375</v>
      </c>
      <c r="O267" s="98">
        <f t="shared" si="52"/>
        <v>-4754921.0880738348</v>
      </c>
      <c r="P267" s="714">
        <f t="shared" si="53"/>
        <v>28913390.4620516</v>
      </c>
      <c r="S267" s="559">
        <f>$E$79-(SUM($H$79:H267)*$U$75)</f>
        <v>52761311.789999977</v>
      </c>
      <c r="T267" s="66"/>
      <c r="U267" s="726"/>
    </row>
    <row r="268" spans="1:21" hidden="1" outlineLevel="1">
      <c r="A268" s="706"/>
      <c r="B268" s="108">
        <v>46630</v>
      </c>
      <c r="C268" s="65"/>
      <c r="D268" s="134"/>
      <c r="E268" s="712">
        <f t="shared" si="47"/>
        <v>52761311.789999977</v>
      </c>
      <c r="F268" s="713">
        <f t="shared" si="48"/>
        <v>141761311.78999987</v>
      </c>
      <c r="G268" s="98">
        <f t="shared" si="56"/>
        <v>141761311.7899999</v>
      </c>
      <c r="H268" s="364">
        <f t="shared" si="55"/>
        <v>590672.13245833281</v>
      </c>
      <c r="I268" s="98">
        <f t="shared" si="58"/>
        <v>-112227705.16708276</v>
      </c>
      <c r="J268" s="98">
        <f t="shared" si="49"/>
        <v>-108683672.3723328</v>
      </c>
      <c r="K268" s="98">
        <f t="shared" si="54"/>
        <v>33077639.417667106</v>
      </c>
      <c r="L268" s="1189">
        <f t="shared" si="46"/>
        <v>29533606.622917116</v>
      </c>
      <c r="M268" s="400">
        <f t="shared" si="50"/>
        <v>76943.579693749954</v>
      </c>
      <c r="N268" s="98">
        <f t="shared" si="57"/>
        <v>-4216316.0302175879</v>
      </c>
      <c r="O268" s="98">
        <f t="shared" si="52"/>
        <v>-4677977.5083800852</v>
      </c>
      <c r="P268" s="714">
        <f t="shared" si="53"/>
        <v>28399661.909287021</v>
      </c>
      <c r="S268" s="559">
        <f>$E$79-(SUM($H$79:H268)*$U$75)</f>
        <v>52761311.789999977</v>
      </c>
      <c r="T268" s="66"/>
      <c r="U268" s="726"/>
    </row>
    <row r="269" spans="1:21" hidden="1" outlineLevel="1">
      <c r="A269" s="706"/>
      <c r="B269" s="108">
        <v>46660</v>
      </c>
      <c r="C269" s="65"/>
      <c r="D269" s="134"/>
      <c r="E269" s="712">
        <f t="shared" si="47"/>
        <v>52761311.789999977</v>
      </c>
      <c r="F269" s="713">
        <f t="shared" si="48"/>
        <v>141761311.78999987</v>
      </c>
      <c r="G269" s="98">
        <f t="shared" si="56"/>
        <v>141761311.7899999</v>
      </c>
      <c r="H269" s="364">
        <f t="shared" si="55"/>
        <v>590672.13245833281</v>
      </c>
      <c r="I269" s="98">
        <f t="shared" si="58"/>
        <v>-112818377.29954109</v>
      </c>
      <c r="J269" s="98">
        <f t="shared" si="49"/>
        <v>-109274344.50479113</v>
      </c>
      <c r="K269" s="98">
        <f t="shared" si="54"/>
        <v>32486967.285208777</v>
      </c>
      <c r="L269" s="1189">
        <f t="shared" ref="L269:L316" si="59">F269+I269</f>
        <v>28942934.490458786</v>
      </c>
      <c r="M269" s="400">
        <f t="shared" si="50"/>
        <v>76943.579693749954</v>
      </c>
      <c r="N269" s="98">
        <f t="shared" si="57"/>
        <v>-4139372.4505238379</v>
      </c>
      <c r="O269" s="98">
        <f>(N257+N269+SUM(N258:N268)*2)/24</f>
        <v>-4601033.9286863357</v>
      </c>
      <c r="P269" s="714">
        <f>O269+K269</f>
        <v>27885933.356522441</v>
      </c>
      <c r="S269" s="559">
        <f>$E$79-(SUM($H$79:H269)*$U$75)</f>
        <v>52761311.789999977</v>
      </c>
      <c r="T269" s="66"/>
      <c r="U269" s="726"/>
    </row>
    <row r="270" spans="1:21" hidden="1" outlineLevel="1">
      <c r="A270" s="706"/>
      <c r="B270" s="108">
        <v>46691</v>
      </c>
      <c r="C270" s="65"/>
      <c r="D270" s="134"/>
      <c r="E270" s="712">
        <f t="shared" ref="E270:E319" si="60">D270+E269</f>
        <v>52761311.789999977</v>
      </c>
      <c r="F270" s="713">
        <f t="shared" ref="F270:F319" si="61">F269+D270</f>
        <v>141761311.78999987</v>
      </c>
      <c r="G270" s="98">
        <f t="shared" si="56"/>
        <v>141761311.7899999</v>
      </c>
      <c r="H270" s="364">
        <f t="shared" si="55"/>
        <v>590672.13245833281</v>
      </c>
      <c r="I270" s="98">
        <f t="shared" si="58"/>
        <v>-113409049.43199942</v>
      </c>
      <c r="J270" s="98">
        <f t="shared" si="49"/>
        <v>-109865016.63724945</v>
      </c>
      <c r="K270" s="98">
        <f t="shared" si="54"/>
        <v>31896295.152750447</v>
      </c>
      <c r="L270" s="1189">
        <f t="shared" si="59"/>
        <v>28352262.358000457</v>
      </c>
      <c r="M270" s="400">
        <f t="shared" si="50"/>
        <v>76943.579693749954</v>
      </c>
      <c r="N270" s="98">
        <f t="shared" si="57"/>
        <v>-4062428.8708300879</v>
      </c>
      <c r="O270" s="98">
        <f t="shared" ref="O270:O318" si="62">(N258+N270+SUM(N259:N269)*2)/24</f>
        <v>-4524090.3489925861</v>
      </c>
      <c r="P270" s="714">
        <f t="shared" ref="P270:P317" si="63">O270+K270</f>
        <v>27372204.803757861</v>
      </c>
      <c r="S270" s="559">
        <f>$E$79-(SUM($H$79:H270)*$U$75)</f>
        <v>52761311.789999977</v>
      </c>
      <c r="T270" s="66"/>
      <c r="U270" s="726"/>
    </row>
    <row r="271" spans="1:21" hidden="1" outlineLevel="1">
      <c r="A271" s="706"/>
      <c r="B271" s="108">
        <v>46721</v>
      </c>
      <c r="C271" s="65"/>
      <c r="D271" s="134"/>
      <c r="E271" s="712">
        <f t="shared" si="60"/>
        <v>52761311.789999977</v>
      </c>
      <c r="F271" s="713">
        <f t="shared" si="61"/>
        <v>141761311.78999987</v>
      </c>
      <c r="G271" s="98">
        <f t="shared" si="56"/>
        <v>141761311.7899999</v>
      </c>
      <c r="H271" s="364">
        <f t="shared" si="55"/>
        <v>590672.13245833281</v>
      </c>
      <c r="I271" s="98">
        <f t="shared" si="58"/>
        <v>-113999721.56445774</v>
      </c>
      <c r="J271" s="98">
        <f t="shared" si="49"/>
        <v>-110455688.76970778</v>
      </c>
      <c r="K271" s="98">
        <f t="shared" si="54"/>
        <v>31305623.020292118</v>
      </c>
      <c r="L271" s="1189">
        <f t="shared" si="59"/>
        <v>27761590.225542128</v>
      </c>
      <c r="M271" s="400">
        <f t="shared" si="50"/>
        <v>76943.579693749954</v>
      </c>
      <c r="N271" s="98">
        <f t="shared" si="57"/>
        <v>-3985485.2911363379</v>
      </c>
      <c r="O271" s="98">
        <f t="shared" si="62"/>
        <v>-4447146.7692988366</v>
      </c>
      <c r="P271" s="714">
        <f t="shared" si="63"/>
        <v>26858476.250993282</v>
      </c>
      <c r="S271" s="559">
        <f>$E$79-(SUM($H$79:H271)*$U$75)</f>
        <v>52761311.789999977</v>
      </c>
      <c r="T271" s="66"/>
      <c r="U271" s="726"/>
    </row>
    <row r="272" spans="1:21" hidden="1" outlineLevel="1">
      <c r="A272" s="706"/>
      <c r="B272" s="108">
        <v>46752</v>
      </c>
      <c r="C272" s="65"/>
      <c r="D272" s="134"/>
      <c r="E272" s="712">
        <f t="shared" si="60"/>
        <v>52761311.789999977</v>
      </c>
      <c r="F272" s="713">
        <f t="shared" si="61"/>
        <v>141761311.78999987</v>
      </c>
      <c r="G272" s="98">
        <f t="shared" si="56"/>
        <v>141761311.7899999</v>
      </c>
      <c r="H272" s="364">
        <f t="shared" si="55"/>
        <v>590672.13245833281</v>
      </c>
      <c r="I272" s="98">
        <f t="shared" si="58"/>
        <v>-114590393.69691607</v>
      </c>
      <c r="J272" s="98">
        <f t="shared" ref="J272:J317" si="64">(I260+I272+SUM(I261:I271)*2)/24</f>
        <v>-111046360.90216611</v>
      </c>
      <c r="K272" s="98">
        <f t="shared" si="54"/>
        <v>30714950.887833789</v>
      </c>
      <c r="L272" s="1189">
        <f t="shared" si="59"/>
        <v>27170918.093083799</v>
      </c>
      <c r="M272" s="400">
        <f t="shared" ref="M272:M317" si="65">(E272/240*0.35)</f>
        <v>76943.579693749954</v>
      </c>
      <c r="N272" s="98">
        <f t="shared" si="57"/>
        <v>-3908541.7114425879</v>
      </c>
      <c r="O272" s="98">
        <f t="shared" si="62"/>
        <v>-4370203.189605087</v>
      </c>
      <c r="P272" s="714">
        <f t="shared" si="63"/>
        <v>26344747.698228702</v>
      </c>
      <c r="S272" s="559">
        <f>$E$79-(SUM($H$79:H272)*$U$75)</f>
        <v>52761311.789999977</v>
      </c>
      <c r="T272" s="66"/>
      <c r="U272" s="726"/>
    </row>
    <row r="273" spans="1:21" hidden="1" outlineLevel="1">
      <c r="A273" s="706"/>
      <c r="B273" s="108">
        <v>46783</v>
      </c>
      <c r="C273" s="65"/>
      <c r="D273" s="134"/>
      <c r="E273" s="712">
        <f t="shared" si="60"/>
        <v>52761311.789999977</v>
      </c>
      <c r="F273" s="713">
        <f t="shared" si="61"/>
        <v>141761311.78999987</v>
      </c>
      <c r="G273" s="98">
        <f t="shared" si="56"/>
        <v>141761311.7899999</v>
      </c>
      <c r="H273" s="364">
        <f t="shared" si="55"/>
        <v>590672.13245833281</v>
      </c>
      <c r="I273" s="98">
        <f t="shared" si="58"/>
        <v>-115181065.8293744</v>
      </c>
      <c r="J273" s="98">
        <f t="shared" si="64"/>
        <v>-111637033.03462444</v>
      </c>
      <c r="K273" s="98">
        <f t="shared" si="54"/>
        <v>30124278.75537546</v>
      </c>
      <c r="L273" s="1189">
        <f t="shared" si="59"/>
        <v>26580245.96062547</v>
      </c>
      <c r="M273" s="400">
        <f t="shared" si="65"/>
        <v>76943.579693749954</v>
      </c>
      <c r="N273" s="98">
        <f t="shared" si="57"/>
        <v>-3831598.1317488379</v>
      </c>
      <c r="O273" s="98">
        <f t="shared" si="62"/>
        <v>-4293259.6099113375</v>
      </c>
      <c r="P273" s="714">
        <f t="shared" si="63"/>
        <v>25831019.145464122</v>
      </c>
      <c r="S273" s="559">
        <f>$E$79-(SUM($H$79:H273)*$U$75)</f>
        <v>52761311.789999977</v>
      </c>
      <c r="T273" s="66"/>
      <c r="U273" s="726"/>
    </row>
    <row r="274" spans="1:21" hidden="1" outlineLevel="1">
      <c r="A274" s="706"/>
      <c r="B274" s="108">
        <v>46811</v>
      </c>
      <c r="C274" s="65"/>
      <c r="D274" s="134"/>
      <c r="E274" s="712">
        <f t="shared" si="60"/>
        <v>52761311.789999977</v>
      </c>
      <c r="F274" s="713">
        <f t="shared" si="61"/>
        <v>141761311.78999987</v>
      </c>
      <c r="G274" s="98">
        <f t="shared" si="56"/>
        <v>141761311.7899999</v>
      </c>
      <c r="H274" s="364">
        <f t="shared" si="55"/>
        <v>590672.13245833281</v>
      </c>
      <c r="I274" s="98">
        <f t="shared" si="58"/>
        <v>-115771737.96183273</v>
      </c>
      <c r="J274" s="98">
        <f t="shared" si="64"/>
        <v>-112227705.16708277</v>
      </c>
      <c r="K274" s="98">
        <f t="shared" si="54"/>
        <v>29533606.622917131</v>
      </c>
      <c r="L274" s="1189">
        <f t="shared" si="59"/>
        <v>25989573.82816714</v>
      </c>
      <c r="M274" s="400">
        <f t="shared" si="65"/>
        <v>76943.579693749954</v>
      </c>
      <c r="N274" s="98">
        <f t="shared" si="57"/>
        <v>-3754654.5520550879</v>
      </c>
      <c r="O274" s="98">
        <f t="shared" si="62"/>
        <v>-4216316.0302175879</v>
      </c>
      <c r="P274" s="714">
        <f t="shared" si="63"/>
        <v>25317290.592699543</v>
      </c>
      <c r="S274" s="559">
        <f>$E$79-(SUM($H$79:H274)*$U$75)</f>
        <v>52761311.789999977</v>
      </c>
      <c r="T274" s="66"/>
      <c r="U274" s="726"/>
    </row>
    <row r="275" spans="1:21" hidden="1" outlineLevel="1">
      <c r="A275" s="706"/>
      <c r="B275" s="108">
        <v>46843</v>
      </c>
      <c r="C275" s="65"/>
      <c r="D275" s="134"/>
      <c r="E275" s="712">
        <f t="shared" si="60"/>
        <v>52761311.789999977</v>
      </c>
      <c r="F275" s="713">
        <f t="shared" si="61"/>
        <v>141761311.78999987</v>
      </c>
      <c r="G275" s="98">
        <f t="shared" si="56"/>
        <v>141761311.7899999</v>
      </c>
      <c r="H275" s="364">
        <f t="shared" si="55"/>
        <v>590672.13245833281</v>
      </c>
      <c r="I275" s="98">
        <f t="shared" si="58"/>
        <v>-116362410.09429106</v>
      </c>
      <c r="J275" s="98">
        <f t="shared" si="64"/>
        <v>-112818377.2995411</v>
      </c>
      <c r="K275" s="98">
        <f t="shared" si="54"/>
        <v>28942934.490458801</v>
      </c>
      <c r="L275" s="1189">
        <f t="shared" si="59"/>
        <v>25398901.695708811</v>
      </c>
      <c r="M275" s="400">
        <f t="shared" si="65"/>
        <v>76943.579693749954</v>
      </c>
      <c r="N275" s="98">
        <f t="shared" si="57"/>
        <v>-3677710.9723613379</v>
      </c>
      <c r="O275" s="98">
        <f t="shared" si="62"/>
        <v>-4139372.4505238384</v>
      </c>
      <c r="P275" s="714">
        <f t="shared" si="63"/>
        <v>24803562.039934963</v>
      </c>
      <c r="S275" s="559">
        <f>$E$79-(SUM($H$79:H275)*$U$75)</f>
        <v>52761311.789999977</v>
      </c>
      <c r="T275" s="66"/>
      <c r="U275" s="726"/>
    </row>
    <row r="276" spans="1:21" hidden="1" outlineLevel="1">
      <c r="A276" s="706"/>
      <c r="B276" s="108">
        <v>46873</v>
      </c>
      <c r="C276" s="65"/>
      <c r="D276" s="134"/>
      <c r="E276" s="712">
        <f t="shared" si="60"/>
        <v>52761311.789999977</v>
      </c>
      <c r="F276" s="713">
        <f t="shared" si="61"/>
        <v>141761311.78999987</v>
      </c>
      <c r="G276" s="98">
        <f t="shared" si="56"/>
        <v>141761311.7899999</v>
      </c>
      <c r="H276" s="364">
        <f t="shared" si="55"/>
        <v>590672.13245833281</v>
      </c>
      <c r="I276" s="98">
        <f t="shared" si="58"/>
        <v>-116953082.22674939</v>
      </c>
      <c r="J276" s="98">
        <f t="shared" si="64"/>
        <v>-113409049.43199943</v>
      </c>
      <c r="K276" s="98">
        <f t="shared" si="54"/>
        <v>28352262.358000472</v>
      </c>
      <c r="L276" s="1189">
        <f t="shared" si="59"/>
        <v>24808229.563250482</v>
      </c>
      <c r="M276" s="400">
        <f t="shared" si="65"/>
        <v>76943.579693749954</v>
      </c>
      <c r="N276" s="98">
        <f t="shared" si="57"/>
        <v>-3600767.3926675878</v>
      </c>
      <c r="O276" s="98">
        <f t="shared" si="62"/>
        <v>-4062428.8708300889</v>
      </c>
      <c r="P276" s="714">
        <f t="shared" si="63"/>
        <v>24289833.487170383</v>
      </c>
      <c r="S276" s="559">
        <f>$E$79-(SUM($H$79:H276)*$U$75)</f>
        <v>52761311.789999977</v>
      </c>
      <c r="T276" s="66"/>
      <c r="U276" s="726"/>
    </row>
    <row r="277" spans="1:21" hidden="1" outlineLevel="1">
      <c r="A277" s="706"/>
      <c r="B277" s="108">
        <v>46904</v>
      </c>
      <c r="C277" s="65"/>
      <c r="D277" s="134"/>
      <c r="E277" s="712">
        <f t="shared" si="60"/>
        <v>52761311.789999977</v>
      </c>
      <c r="F277" s="713">
        <f t="shared" si="61"/>
        <v>141761311.78999987</v>
      </c>
      <c r="G277" s="98">
        <f t="shared" si="56"/>
        <v>141761311.7899999</v>
      </c>
      <c r="H277" s="364">
        <f t="shared" si="55"/>
        <v>590672.13245833281</v>
      </c>
      <c r="I277" s="98">
        <f t="shared" si="58"/>
        <v>-117543754.35920772</v>
      </c>
      <c r="J277" s="98">
        <f t="shared" si="64"/>
        <v>-113999721.56445776</v>
      </c>
      <c r="K277" s="98">
        <f t="shared" ref="K277:K318" si="66">G277+J277</f>
        <v>27761590.225542143</v>
      </c>
      <c r="L277" s="1189">
        <f t="shared" si="59"/>
        <v>24217557.430792153</v>
      </c>
      <c r="M277" s="400">
        <f t="shared" si="65"/>
        <v>76943.579693749954</v>
      </c>
      <c r="N277" s="98">
        <f t="shared" si="57"/>
        <v>-3523823.8129738378</v>
      </c>
      <c r="O277" s="98">
        <f t="shared" si="62"/>
        <v>-3985485.2911363379</v>
      </c>
      <c r="P277" s="714">
        <f t="shared" si="63"/>
        <v>23776104.934405804</v>
      </c>
      <c r="S277" s="559">
        <f>$E$79-(SUM($H$79:H277)*$U$75)</f>
        <v>52761311.789999977</v>
      </c>
      <c r="T277" s="66"/>
      <c r="U277" s="726"/>
    </row>
    <row r="278" spans="1:21" hidden="1" outlineLevel="1">
      <c r="A278" s="706"/>
      <c r="B278" s="108">
        <v>46934</v>
      </c>
      <c r="C278" s="65"/>
      <c r="D278" s="134"/>
      <c r="E278" s="712">
        <f t="shared" si="60"/>
        <v>52761311.789999977</v>
      </c>
      <c r="F278" s="713">
        <f t="shared" si="61"/>
        <v>141761311.78999987</v>
      </c>
      <c r="G278" s="98">
        <f t="shared" si="56"/>
        <v>141761311.7899999</v>
      </c>
      <c r="H278" s="364">
        <f t="shared" si="55"/>
        <v>590672.13245833281</v>
      </c>
      <c r="I278" s="98">
        <f t="shared" si="58"/>
        <v>-118134426.49166605</v>
      </c>
      <c r="J278" s="98">
        <f t="shared" si="64"/>
        <v>-114590393.69691609</v>
      </c>
      <c r="K278" s="98">
        <f t="shared" si="66"/>
        <v>27170918.093083814</v>
      </c>
      <c r="L278" s="1189">
        <f t="shared" si="59"/>
        <v>23626885.298333824</v>
      </c>
      <c r="M278" s="400">
        <f t="shared" si="65"/>
        <v>76943.579693749954</v>
      </c>
      <c r="N278" s="98">
        <f t="shared" si="57"/>
        <v>-3446880.2332800878</v>
      </c>
      <c r="O278" s="98">
        <f t="shared" si="62"/>
        <v>-3908541.7114425879</v>
      </c>
      <c r="P278" s="714">
        <f t="shared" si="63"/>
        <v>23262376.381641224</v>
      </c>
      <c r="S278" s="559">
        <f>$E$79-(SUM($H$79:H278)*$U$75)</f>
        <v>52761311.789999977</v>
      </c>
      <c r="T278" s="66"/>
      <c r="U278" s="726"/>
    </row>
    <row r="279" spans="1:21" hidden="1" outlineLevel="1">
      <c r="A279" s="706"/>
      <c r="B279" s="108">
        <v>46965</v>
      </c>
      <c r="C279" s="65"/>
      <c r="D279" s="718"/>
      <c r="E279" s="712">
        <f t="shared" si="60"/>
        <v>52761311.789999977</v>
      </c>
      <c r="F279" s="713">
        <f t="shared" si="61"/>
        <v>141761311.78999987</v>
      </c>
      <c r="G279" s="98">
        <f t="shared" si="56"/>
        <v>141761311.7899999</v>
      </c>
      <c r="H279" s="364">
        <f t="shared" ref="H279:H318" si="67">F278/240</f>
        <v>590672.13245833281</v>
      </c>
      <c r="I279" s="98">
        <f t="shared" si="58"/>
        <v>-118725098.62412438</v>
      </c>
      <c r="J279" s="98">
        <f t="shared" si="64"/>
        <v>-115181065.82937442</v>
      </c>
      <c r="K279" s="98">
        <f t="shared" si="66"/>
        <v>26580245.960625485</v>
      </c>
      <c r="L279" s="1189">
        <f t="shared" si="59"/>
        <v>23036213.165875494</v>
      </c>
      <c r="M279" s="400">
        <f t="shared" si="65"/>
        <v>76943.579693749954</v>
      </c>
      <c r="N279" s="98">
        <f t="shared" si="57"/>
        <v>-3369936.6535863378</v>
      </c>
      <c r="O279" s="98">
        <f t="shared" si="62"/>
        <v>-3831598.1317488379</v>
      </c>
      <c r="P279" s="714">
        <f t="shared" si="63"/>
        <v>22748647.828876648</v>
      </c>
      <c r="S279" s="559">
        <f>$E$79-(SUM($H$79:H279)*$U$75)</f>
        <v>52761311.789999977</v>
      </c>
      <c r="T279" s="66"/>
      <c r="U279" s="726"/>
    </row>
    <row r="280" spans="1:21" hidden="1" outlineLevel="1">
      <c r="A280" s="706"/>
      <c r="B280" s="108">
        <v>46996</v>
      </c>
      <c r="C280" s="65"/>
      <c r="D280" s="718"/>
      <c r="E280" s="712">
        <f t="shared" si="60"/>
        <v>52761311.789999977</v>
      </c>
      <c r="F280" s="713">
        <f t="shared" si="61"/>
        <v>141761311.78999987</v>
      </c>
      <c r="G280" s="98">
        <f t="shared" si="56"/>
        <v>141761311.7899999</v>
      </c>
      <c r="H280" s="364">
        <f t="shared" si="67"/>
        <v>590672.13245833281</v>
      </c>
      <c r="I280" s="98">
        <f t="shared" si="58"/>
        <v>-119315770.75658271</v>
      </c>
      <c r="J280" s="98">
        <f t="shared" si="64"/>
        <v>-115771737.96183275</v>
      </c>
      <c r="K280" s="98">
        <f t="shared" si="66"/>
        <v>25989573.828167155</v>
      </c>
      <c r="L280" s="1189">
        <f t="shared" si="59"/>
        <v>22445541.033417165</v>
      </c>
      <c r="M280" s="400">
        <f t="shared" si="65"/>
        <v>76943.579693749954</v>
      </c>
      <c r="N280" s="98">
        <f t="shared" si="57"/>
        <v>-3292993.0738925878</v>
      </c>
      <c r="O280" s="98">
        <f t="shared" si="62"/>
        <v>-3754654.5520550874</v>
      </c>
      <c r="P280" s="714">
        <f t="shared" si="63"/>
        <v>22234919.276112068</v>
      </c>
      <c r="S280" s="559">
        <f>$E$79-(SUM($H$79:H280)*$U$75)</f>
        <v>52761311.789999977</v>
      </c>
      <c r="T280" s="66"/>
      <c r="U280" s="726"/>
    </row>
    <row r="281" spans="1:21" hidden="1" outlineLevel="1">
      <c r="A281" s="706"/>
      <c r="B281" s="108">
        <v>47026</v>
      </c>
      <c r="C281" s="65"/>
      <c r="D281" s="718"/>
      <c r="E281" s="712">
        <f t="shared" si="60"/>
        <v>52761311.789999977</v>
      </c>
      <c r="F281" s="713">
        <f t="shared" si="61"/>
        <v>141761311.78999987</v>
      </c>
      <c r="G281" s="98">
        <f t="shared" ref="G281:G319" si="68">(F269+F281+SUM(F270:F280)*2)/24</f>
        <v>141761311.7899999</v>
      </c>
      <c r="H281" s="364">
        <f t="shared" si="67"/>
        <v>590672.13245833281</v>
      </c>
      <c r="I281" s="98">
        <f t="shared" si="58"/>
        <v>-119906442.88904104</v>
      </c>
      <c r="J281" s="98">
        <f t="shared" si="64"/>
        <v>-116362410.09429108</v>
      </c>
      <c r="K281" s="98">
        <f t="shared" si="66"/>
        <v>25398901.695708826</v>
      </c>
      <c r="L281" s="1189">
        <f t="shared" si="59"/>
        <v>21854868.900958836</v>
      </c>
      <c r="M281" s="400">
        <f t="shared" si="65"/>
        <v>76943.579693749954</v>
      </c>
      <c r="N281" s="98">
        <f t="shared" si="57"/>
        <v>-3216049.4941988378</v>
      </c>
      <c r="O281" s="98">
        <f t="shared" si="62"/>
        <v>-3677710.9723613379</v>
      </c>
      <c r="P281" s="714">
        <f t="shared" si="63"/>
        <v>21721190.723347489</v>
      </c>
      <c r="S281" s="559">
        <f>$E$79-(SUM($H$79:H281)*$U$75)</f>
        <v>52761311.789999977</v>
      </c>
      <c r="T281" s="66"/>
      <c r="U281" s="726"/>
    </row>
    <row r="282" spans="1:21" hidden="1" outlineLevel="1">
      <c r="A282" s="706"/>
      <c r="B282" s="108">
        <v>47057</v>
      </c>
      <c r="C282" s="65"/>
      <c r="D282" s="718"/>
      <c r="E282" s="712">
        <f t="shared" si="60"/>
        <v>52761311.789999977</v>
      </c>
      <c r="F282" s="713">
        <f t="shared" si="61"/>
        <v>141761311.78999987</v>
      </c>
      <c r="G282" s="98">
        <f t="shared" si="68"/>
        <v>141761311.7899999</v>
      </c>
      <c r="H282" s="364">
        <f t="shared" si="67"/>
        <v>590672.13245833281</v>
      </c>
      <c r="I282" s="98">
        <f t="shared" si="58"/>
        <v>-120497115.02149937</v>
      </c>
      <c r="J282" s="98">
        <f t="shared" si="64"/>
        <v>-116953082.22674941</v>
      </c>
      <c r="K282" s="98">
        <f t="shared" si="66"/>
        <v>24808229.563250497</v>
      </c>
      <c r="L282" s="1189">
        <f t="shared" si="59"/>
        <v>21264196.768500507</v>
      </c>
      <c r="M282" s="400">
        <f t="shared" si="65"/>
        <v>76943.579693749954</v>
      </c>
      <c r="N282" s="98">
        <f t="shared" si="57"/>
        <v>-3139105.9145050878</v>
      </c>
      <c r="O282" s="98">
        <f t="shared" si="62"/>
        <v>-3600767.3926675878</v>
      </c>
      <c r="P282" s="714">
        <f t="shared" si="63"/>
        <v>21207462.170582909</v>
      </c>
      <c r="S282" s="559">
        <f>$E$79-(SUM($H$79:H282)*$U$75)</f>
        <v>52761311.789999977</v>
      </c>
      <c r="T282" s="66"/>
      <c r="U282" s="726"/>
    </row>
    <row r="283" spans="1:21" hidden="1" outlineLevel="1">
      <c r="A283" s="706"/>
      <c r="B283" s="108">
        <v>47087</v>
      </c>
      <c r="C283" s="65"/>
      <c r="D283" s="718"/>
      <c r="E283" s="712">
        <f t="shared" si="60"/>
        <v>52761311.789999977</v>
      </c>
      <c r="F283" s="713">
        <f t="shared" si="61"/>
        <v>141761311.78999987</v>
      </c>
      <c r="G283" s="98">
        <f t="shared" si="68"/>
        <v>141761311.7899999</v>
      </c>
      <c r="H283" s="364">
        <f t="shared" si="67"/>
        <v>590672.13245833281</v>
      </c>
      <c r="I283" s="98">
        <f t="shared" si="58"/>
        <v>-121087787.15395769</v>
      </c>
      <c r="J283" s="98">
        <f t="shared" si="64"/>
        <v>-117543754.35920773</v>
      </c>
      <c r="K283" s="98">
        <f t="shared" si="66"/>
        <v>24217557.430792168</v>
      </c>
      <c r="L283" s="1189">
        <f t="shared" si="59"/>
        <v>20673524.636042178</v>
      </c>
      <c r="M283" s="400">
        <f t="shared" si="65"/>
        <v>76943.579693749954</v>
      </c>
      <c r="N283" s="98">
        <f t="shared" si="57"/>
        <v>-3062162.3348113378</v>
      </c>
      <c r="O283" s="98">
        <f t="shared" si="62"/>
        <v>-3523823.8129738378</v>
      </c>
      <c r="P283" s="714">
        <f t="shared" si="63"/>
        <v>20693733.617818329</v>
      </c>
      <c r="S283" s="559">
        <f>$E$79-(SUM($H$79:H283)*$U$75)</f>
        <v>52761311.789999977</v>
      </c>
      <c r="T283" s="66"/>
      <c r="U283" s="726"/>
    </row>
    <row r="284" spans="1:21" hidden="1" outlineLevel="1">
      <c r="A284" s="706"/>
      <c r="B284" s="108">
        <v>47118</v>
      </c>
      <c r="C284" s="65"/>
      <c r="D284" s="718"/>
      <c r="E284" s="712">
        <f t="shared" si="60"/>
        <v>52761311.789999977</v>
      </c>
      <c r="F284" s="713">
        <f t="shared" si="61"/>
        <v>141761311.78999987</v>
      </c>
      <c r="G284" s="98">
        <f t="shared" si="68"/>
        <v>141761311.7899999</v>
      </c>
      <c r="H284" s="364">
        <f t="shared" si="67"/>
        <v>590672.13245833281</v>
      </c>
      <c r="I284" s="98">
        <f t="shared" si="58"/>
        <v>-121678459.28641602</v>
      </c>
      <c r="J284" s="98">
        <f t="shared" si="64"/>
        <v>-118134426.49166606</v>
      </c>
      <c r="K284" s="98">
        <f t="shared" si="66"/>
        <v>23626885.298333839</v>
      </c>
      <c r="L284" s="1189">
        <f t="shared" si="59"/>
        <v>20082852.503583848</v>
      </c>
      <c r="M284" s="400">
        <f t="shared" si="65"/>
        <v>76943.579693749954</v>
      </c>
      <c r="N284" s="98">
        <f t="shared" si="57"/>
        <v>-2985218.7551175877</v>
      </c>
      <c r="O284" s="98">
        <f t="shared" si="62"/>
        <v>-3446880.2332800874</v>
      </c>
      <c r="P284" s="714">
        <f t="shared" si="63"/>
        <v>20180005.06505375</v>
      </c>
      <c r="S284" s="559">
        <f>$E$79-(SUM($H$79:H284)*$U$75)</f>
        <v>52761311.789999977</v>
      </c>
      <c r="T284" s="66"/>
      <c r="U284" s="726"/>
    </row>
    <row r="285" spans="1:21" hidden="1" outlineLevel="1">
      <c r="A285" s="706"/>
      <c r="B285" s="108">
        <v>47149</v>
      </c>
      <c r="C285" s="65"/>
      <c r="D285" s="718"/>
      <c r="E285" s="712">
        <f t="shared" si="60"/>
        <v>52761311.789999977</v>
      </c>
      <c r="F285" s="713">
        <f t="shared" si="61"/>
        <v>141761311.78999987</v>
      </c>
      <c r="G285" s="98">
        <f t="shared" si="68"/>
        <v>141761311.7899999</v>
      </c>
      <c r="H285" s="364">
        <f t="shared" si="67"/>
        <v>590672.13245833281</v>
      </c>
      <c r="I285" s="98">
        <f t="shared" si="58"/>
        <v>-122269131.41887435</v>
      </c>
      <c r="J285" s="98">
        <f t="shared" si="64"/>
        <v>-118725098.62412439</v>
      </c>
      <c r="K285" s="98">
        <f t="shared" si="66"/>
        <v>23036213.165875509</v>
      </c>
      <c r="L285" s="1189">
        <f t="shared" si="59"/>
        <v>19492180.371125519</v>
      </c>
      <c r="M285" s="400">
        <f t="shared" si="65"/>
        <v>76943.579693749954</v>
      </c>
      <c r="N285" s="98">
        <f t="shared" si="57"/>
        <v>-2908275.1754238377</v>
      </c>
      <c r="O285" s="98">
        <f t="shared" si="62"/>
        <v>-3369936.6535863373</v>
      </c>
      <c r="P285" s="714">
        <f t="shared" si="63"/>
        <v>19666276.512289174</v>
      </c>
      <c r="S285" s="559">
        <f>$E$79-(SUM($H$79:H285)*$U$75)</f>
        <v>52761311.789999977</v>
      </c>
      <c r="T285" s="66"/>
      <c r="U285" s="726"/>
    </row>
    <row r="286" spans="1:21" hidden="1" outlineLevel="1">
      <c r="A286" s="706"/>
      <c r="B286" s="108">
        <v>47177</v>
      </c>
      <c r="C286" s="65"/>
      <c r="D286" s="718"/>
      <c r="E286" s="712">
        <f t="shared" si="60"/>
        <v>52761311.789999977</v>
      </c>
      <c r="F286" s="713">
        <f t="shared" si="61"/>
        <v>141761311.78999987</v>
      </c>
      <c r="G286" s="98">
        <f t="shared" si="68"/>
        <v>141761311.7899999</v>
      </c>
      <c r="H286" s="364">
        <f t="shared" si="67"/>
        <v>590672.13245833281</v>
      </c>
      <c r="I286" s="98">
        <f t="shared" si="58"/>
        <v>-122859803.55133268</v>
      </c>
      <c r="J286" s="98">
        <f t="shared" si="64"/>
        <v>-119315770.75658272</v>
      </c>
      <c r="K286" s="98">
        <f t="shared" si="66"/>
        <v>22445541.03341718</v>
      </c>
      <c r="L286" s="1189">
        <f t="shared" si="59"/>
        <v>18901508.23866719</v>
      </c>
      <c r="M286" s="400">
        <f t="shared" si="65"/>
        <v>76943.579693749954</v>
      </c>
      <c r="N286" s="98">
        <f t="shared" si="57"/>
        <v>-2831331.5957300877</v>
      </c>
      <c r="O286" s="98">
        <f t="shared" si="62"/>
        <v>-3292993.0738925878</v>
      </c>
      <c r="P286" s="714">
        <f t="shared" si="63"/>
        <v>19152547.959524594</v>
      </c>
      <c r="S286" s="559">
        <f>$E$79-(SUM($H$79:H286)*$U$75)</f>
        <v>52761311.789999977</v>
      </c>
      <c r="T286" s="66"/>
      <c r="U286" s="726"/>
    </row>
    <row r="287" spans="1:21" hidden="1" outlineLevel="1">
      <c r="A287" s="706"/>
      <c r="B287" s="108">
        <v>47208</v>
      </c>
      <c r="C287" s="65"/>
      <c r="D287" s="718"/>
      <c r="E287" s="712">
        <f t="shared" si="60"/>
        <v>52761311.789999977</v>
      </c>
      <c r="F287" s="713">
        <f t="shared" si="61"/>
        <v>141761311.78999987</v>
      </c>
      <c r="G287" s="98">
        <f t="shared" si="68"/>
        <v>141761311.7899999</v>
      </c>
      <c r="H287" s="364">
        <f t="shared" si="67"/>
        <v>590672.13245833281</v>
      </c>
      <c r="I287" s="98">
        <f t="shared" si="58"/>
        <v>-123450475.68379101</v>
      </c>
      <c r="J287" s="98">
        <f t="shared" si="64"/>
        <v>-119906442.88904102</v>
      </c>
      <c r="K287" s="98">
        <f t="shared" si="66"/>
        <v>21854868.900958881</v>
      </c>
      <c r="L287" s="1189">
        <f t="shared" si="59"/>
        <v>18310836.106208861</v>
      </c>
      <c r="M287" s="400">
        <f t="shared" si="65"/>
        <v>76943.579693749954</v>
      </c>
      <c r="N287" s="98">
        <f t="shared" si="57"/>
        <v>-2754388.0160363377</v>
      </c>
      <c r="O287" s="98">
        <f t="shared" si="62"/>
        <v>-3216049.4941988378</v>
      </c>
      <c r="P287" s="714">
        <f t="shared" si="63"/>
        <v>18638819.406760044</v>
      </c>
      <c r="S287" s="559">
        <f>$E$79-(SUM($H$79:H287)*$U$75)</f>
        <v>52761311.789999977</v>
      </c>
      <c r="T287" s="66"/>
      <c r="U287" s="726"/>
    </row>
    <row r="288" spans="1:21" hidden="1" outlineLevel="1">
      <c r="A288" s="706"/>
      <c r="B288" s="108">
        <v>47238</v>
      </c>
      <c r="C288" s="65"/>
      <c r="D288" s="718"/>
      <c r="E288" s="712">
        <f t="shared" si="60"/>
        <v>52761311.789999977</v>
      </c>
      <c r="F288" s="713">
        <f t="shared" si="61"/>
        <v>141761311.78999987</v>
      </c>
      <c r="G288" s="98">
        <f t="shared" si="68"/>
        <v>141761311.7899999</v>
      </c>
      <c r="H288" s="364">
        <f t="shared" si="67"/>
        <v>590672.13245833281</v>
      </c>
      <c r="I288" s="98">
        <f t="shared" si="58"/>
        <v>-124041147.81624934</v>
      </c>
      <c r="J288" s="98">
        <f t="shared" si="64"/>
        <v>-120497115.02149938</v>
      </c>
      <c r="K288" s="98">
        <f t="shared" si="66"/>
        <v>21264196.768500522</v>
      </c>
      <c r="L288" s="1189">
        <f t="shared" si="59"/>
        <v>17720163.973750532</v>
      </c>
      <c r="M288" s="400">
        <f t="shared" si="65"/>
        <v>76943.579693749954</v>
      </c>
      <c r="N288" s="98">
        <f t="shared" si="57"/>
        <v>-2677444.4363425877</v>
      </c>
      <c r="O288" s="98">
        <f t="shared" si="62"/>
        <v>-3139105.9145050873</v>
      </c>
      <c r="P288" s="714">
        <f t="shared" si="63"/>
        <v>18125090.853995435</v>
      </c>
      <c r="S288" s="559">
        <f>$E$79-(SUM($H$79:H288)*$U$75)</f>
        <v>52761311.789999977</v>
      </c>
      <c r="T288" s="66"/>
      <c r="U288" s="726"/>
    </row>
    <row r="289" spans="1:21" hidden="1" outlineLevel="1">
      <c r="A289" s="706"/>
      <c r="B289" s="108">
        <v>47269</v>
      </c>
      <c r="C289" s="65"/>
      <c r="D289" s="718"/>
      <c r="E289" s="712">
        <f t="shared" si="60"/>
        <v>52761311.789999977</v>
      </c>
      <c r="F289" s="713">
        <f t="shared" si="61"/>
        <v>141761311.78999987</v>
      </c>
      <c r="G289" s="98">
        <f t="shared" si="68"/>
        <v>141761311.7899999</v>
      </c>
      <c r="H289" s="364">
        <f t="shared" si="67"/>
        <v>590672.13245833281</v>
      </c>
      <c r="I289" s="98">
        <f t="shared" si="58"/>
        <v>-124631819.94870767</v>
      </c>
      <c r="J289" s="98">
        <f t="shared" si="64"/>
        <v>-121087787.15395768</v>
      </c>
      <c r="K289" s="98">
        <f t="shared" si="66"/>
        <v>20673524.636042222</v>
      </c>
      <c r="L289" s="1189">
        <f t="shared" si="59"/>
        <v>17129491.841292202</v>
      </c>
      <c r="M289" s="400">
        <f t="shared" si="65"/>
        <v>76943.579693749954</v>
      </c>
      <c r="N289" s="98">
        <f t="shared" si="57"/>
        <v>-2600500.8566488377</v>
      </c>
      <c r="O289" s="98">
        <f t="shared" si="62"/>
        <v>-3062162.3348113378</v>
      </c>
      <c r="P289" s="714">
        <f t="shared" si="63"/>
        <v>17611362.301230885</v>
      </c>
      <c r="S289" s="559">
        <f>$E$79-(SUM($H$79:H289)*$U$75)</f>
        <v>52761311.789999977</v>
      </c>
      <c r="T289" s="66"/>
      <c r="U289" s="726"/>
    </row>
    <row r="290" spans="1:21" hidden="1" outlineLevel="1">
      <c r="A290" s="706"/>
      <c r="B290" s="108">
        <v>47299</v>
      </c>
      <c r="C290" s="65"/>
      <c r="D290" s="718"/>
      <c r="E290" s="712">
        <f t="shared" si="60"/>
        <v>52761311.789999977</v>
      </c>
      <c r="F290" s="713">
        <f t="shared" si="61"/>
        <v>141761311.78999987</v>
      </c>
      <c r="G290" s="98">
        <f t="shared" si="68"/>
        <v>141761311.7899999</v>
      </c>
      <c r="H290" s="364">
        <f t="shared" si="67"/>
        <v>590672.13245833281</v>
      </c>
      <c r="I290" s="98">
        <f t="shared" si="58"/>
        <v>-125222492.081166</v>
      </c>
      <c r="J290" s="98">
        <f t="shared" si="64"/>
        <v>-121678459.28641604</v>
      </c>
      <c r="K290" s="98">
        <f t="shared" si="66"/>
        <v>20082852.503583863</v>
      </c>
      <c r="L290" s="1189">
        <f t="shared" si="59"/>
        <v>16538819.708833873</v>
      </c>
      <c r="M290" s="400">
        <f t="shared" si="65"/>
        <v>76943.579693749954</v>
      </c>
      <c r="N290" s="98">
        <f t="shared" si="57"/>
        <v>-2523557.2769550877</v>
      </c>
      <c r="O290" s="98">
        <f t="shared" si="62"/>
        <v>-2985218.7551175877</v>
      </c>
      <c r="P290" s="714">
        <f t="shared" si="63"/>
        <v>17097633.748466276</v>
      </c>
      <c r="S290" s="559">
        <f>$E$79-(SUM($H$79:H290)*$U$75)</f>
        <v>52761311.789999977</v>
      </c>
      <c r="T290" s="66"/>
      <c r="U290" s="726"/>
    </row>
    <row r="291" spans="1:21" hidden="1" outlineLevel="1">
      <c r="A291" s="706"/>
      <c r="B291" s="108">
        <v>47330</v>
      </c>
      <c r="C291" s="65"/>
      <c r="D291" s="718"/>
      <c r="E291" s="712">
        <f t="shared" si="60"/>
        <v>52761311.789999977</v>
      </c>
      <c r="F291" s="713">
        <f t="shared" si="61"/>
        <v>141761311.78999987</v>
      </c>
      <c r="G291" s="98">
        <f t="shared" si="68"/>
        <v>141761311.7899999</v>
      </c>
      <c r="H291" s="364">
        <f t="shared" si="67"/>
        <v>590672.13245833281</v>
      </c>
      <c r="I291" s="98">
        <f t="shared" si="58"/>
        <v>-125813164.21362433</v>
      </c>
      <c r="J291" s="98">
        <f t="shared" si="64"/>
        <v>-122269131.41887434</v>
      </c>
      <c r="K291" s="98">
        <f t="shared" si="66"/>
        <v>19492180.371125564</v>
      </c>
      <c r="L291" s="1189">
        <f t="shared" si="59"/>
        <v>15948147.576375544</v>
      </c>
      <c r="M291" s="400">
        <f t="shared" si="65"/>
        <v>76943.579693749954</v>
      </c>
      <c r="N291" s="98">
        <f t="shared" si="57"/>
        <v>-2446613.6972613377</v>
      </c>
      <c r="O291" s="98">
        <f t="shared" si="62"/>
        <v>-2908275.1754238377</v>
      </c>
      <c r="P291" s="714">
        <f t="shared" si="63"/>
        <v>16583905.195701726</v>
      </c>
      <c r="S291" s="559">
        <f>$E$79-(SUM($H$79:H291)*$U$75)</f>
        <v>52761311.789999977</v>
      </c>
      <c r="T291" s="66"/>
      <c r="U291" s="726"/>
    </row>
    <row r="292" spans="1:21" hidden="1" outlineLevel="1">
      <c r="A292" s="706"/>
      <c r="B292" s="108">
        <v>47361</v>
      </c>
      <c r="C292" s="65"/>
      <c r="D292" s="718"/>
      <c r="E292" s="712">
        <f t="shared" si="60"/>
        <v>52761311.789999977</v>
      </c>
      <c r="F292" s="713">
        <f t="shared" si="61"/>
        <v>141761311.78999987</v>
      </c>
      <c r="G292" s="98">
        <f t="shared" si="68"/>
        <v>141761311.7899999</v>
      </c>
      <c r="H292" s="364">
        <f t="shared" si="67"/>
        <v>590672.13245833281</v>
      </c>
      <c r="I292" s="98">
        <f t="shared" si="58"/>
        <v>-126403836.34608266</v>
      </c>
      <c r="J292" s="98">
        <f t="shared" si="64"/>
        <v>-122859803.5513327</v>
      </c>
      <c r="K292" s="98">
        <f t="shared" si="66"/>
        <v>18901508.238667205</v>
      </c>
      <c r="L292" s="1189">
        <f t="shared" si="59"/>
        <v>15357475.443917215</v>
      </c>
      <c r="M292" s="400">
        <f t="shared" si="65"/>
        <v>76943.579693749954</v>
      </c>
      <c r="N292" s="98">
        <f t="shared" si="57"/>
        <v>-2369670.1175675876</v>
      </c>
      <c r="O292" s="98">
        <f t="shared" si="62"/>
        <v>-2831331.5957300873</v>
      </c>
      <c r="P292" s="714">
        <f t="shared" si="63"/>
        <v>16070176.642937118</v>
      </c>
      <c r="S292" s="559">
        <f>$E$79-(SUM($H$79:H292)*$U$75)</f>
        <v>52761311.789999977</v>
      </c>
      <c r="T292" s="66"/>
      <c r="U292" s="726"/>
    </row>
    <row r="293" spans="1:21" hidden="1" outlineLevel="1">
      <c r="A293" s="706"/>
      <c r="B293" s="108">
        <v>47391</v>
      </c>
      <c r="C293" s="65"/>
      <c r="D293" s="718"/>
      <c r="E293" s="712">
        <f t="shared" si="60"/>
        <v>52761311.789999977</v>
      </c>
      <c r="F293" s="713">
        <f t="shared" si="61"/>
        <v>141761311.78999987</v>
      </c>
      <c r="G293" s="98">
        <f t="shared" si="68"/>
        <v>141761311.7899999</v>
      </c>
      <c r="H293" s="364">
        <f t="shared" si="67"/>
        <v>590672.13245833281</v>
      </c>
      <c r="I293" s="98">
        <f t="shared" si="58"/>
        <v>-126994508.47854099</v>
      </c>
      <c r="J293" s="98">
        <f t="shared" si="64"/>
        <v>-123450475.683791</v>
      </c>
      <c r="K293" s="98">
        <f t="shared" si="66"/>
        <v>18310836.106208906</v>
      </c>
      <c r="L293" s="1189">
        <f t="shared" si="59"/>
        <v>14766803.311458886</v>
      </c>
      <c r="M293" s="400">
        <f t="shared" si="65"/>
        <v>76943.579693749954</v>
      </c>
      <c r="N293" s="98">
        <f t="shared" si="57"/>
        <v>-2292726.5378738376</v>
      </c>
      <c r="O293" s="98">
        <f t="shared" si="62"/>
        <v>-2754388.0160363377</v>
      </c>
      <c r="P293" s="714">
        <f t="shared" si="63"/>
        <v>15556448.090172568</v>
      </c>
      <c r="S293" s="559">
        <f>$E$79-(SUM($H$79:H293)*$U$75)</f>
        <v>52761311.789999977</v>
      </c>
      <c r="T293" s="66"/>
      <c r="U293" s="726"/>
    </row>
    <row r="294" spans="1:21" hidden="1" outlineLevel="1">
      <c r="A294" s="706"/>
      <c r="B294" s="108">
        <v>47422</v>
      </c>
      <c r="C294" s="65"/>
      <c r="D294" s="718"/>
      <c r="E294" s="712">
        <f t="shared" si="60"/>
        <v>52761311.789999977</v>
      </c>
      <c r="F294" s="713">
        <f t="shared" si="61"/>
        <v>141761311.78999987</v>
      </c>
      <c r="G294" s="98">
        <f t="shared" si="68"/>
        <v>141761311.7899999</v>
      </c>
      <c r="H294" s="364">
        <f t="shared" si="67"/>
        <v>590672.13245833281</v>
      </c>
      <c r="I294" s="98">
        <f t="shared" si="58"/>
        <v>-127585180.61099932</v>
      </c>
      <c r="J294" s="98">
        <f t="shared" si="64"/>
        <v>-124041147.81624936</v>
      </c>
      <c r="K294" s="98">
        <f t="shared" si="66"/>
        <v>17720163.973750547</v>
      </c>
      <c r="L294" s="1189">
        <f t="shared" si="59"/>
        <v>14176131.179000556</v>
      </c>
      <c r="M294" s="400">
        <f t="shared" si="65"/>
        <v>76943.579693749954</v>
      </c>
      <c r="N294" s="98">
        <f t="shared" si="57"/>
        <v>-2215782.9581800876</v>
      </c>
      <c r="O294" s="98">
        <f t="shared" si="62"/>
        <v>-2677444.4363425877</v>
      </c>
      <c r="P294" s="714">
        <f t="shared" si="63"/>
        <v>15042719.537407959</v>
      </c>
      <c r="S294" s="559">
        <f>$E$79-(SUM($H$79:H294)*$U$75)</f>
        <v>52761311.789999977</v>
      </c>
      <c r="T294" s="66"/>
      <c r="U294" s="726"/>
    </row>
    <row r="295" spans="1:21" hidden="1" outlineLevel="1">
      <c r="A295" s="706"/>
      <c r="B295" s="108">
        <v>47452</v>
      </c>
      <c r="C295" s="65"/>
      <c r="D295" s="718"/>
      <c r="E295" s="712">
        <f t="shared" si="60"/>
        <v>52761311.789999977</v>
      </c>
      <c r="F295" s="713">
        <f t="shared" si="61"/>
        <v>141761311.78999987</v>
      </c>
      <c r="G295" s="98">
        <f t="shared" si="68"/>
        <v>141761311.7899999</v>
      </c>
      <c r="H295" s="364">
        <f t="shared" si="67"/>
        <v>590672.13245833281</v>
      </c>
      <c r="I295" s="98">
        <f t="shared" si="58"/>
        <v>-128175852.74345765</v>
      </c>
      <c r="J295" s="98">
        <f t="shared" si="64"/>
        <v>-124631819.94870766</v>
      </c>
      <c r="K295" s="98">
        <f t="shared" si="66"/>
        <v>17129491.841292247</v>
      </c>
      <c r="L295" s="1189">
        <f t="shared" si="59"/>
        <v>13585459.046542227</v>
      </c>
      <c r="M295" s="400">
        <f t="shared" si="65"/>
        <v>76943.579693749954</v>
      </c>
      <c r="N295" s="98">
        <f t="shared" si="57"/>
        <v>-2138839.3784863376</v>
      </c>
      <c r="O295" s="98">
        <f t="shared" si="62"/>
        <v>-2600500.8566488377</v>
      </c>
      <c r="P295" s="714">
        <f t="shared" si="63"/>
        <v>14528990.984643409</v>
      </c>
      <c r="S295" s="559">
        <f>$E$79-(SUM($H$79:H295)*$U$75)</f>
        <v>52761311.789999977</v>
      </c>
      <c r="T295" s="66"/>
      <c r="U295" s="726"/>
    </row>
    <row r="296" spans="1:21" hidden="1" outlineLevel="1">
      <c r="A296" s="706"/>
      <c r="B296" s="108">
        <v>47483</v>
      </c>
      <c r="C296" s="65"/>
      <c r="D296" s="718"/>
      <c r="E296" s="712">
        <f t="shared" si="60"/>
        <v>52761311.789999977</v>
      </c>
      <c r="F296" s="713">
        <f t="shared" si="61"/>
        <v>141761311.78999987</v>
      </c>
      <c r="G296" s="98">
        <f t="shared" si="68"/>
        <v>141761311.7899999</v>
      </c>
      <c r="H296" s="364">
        <f t="shared" si="67"/>
        <v>590672.13245833281</v>
      </c>
      <c r="I296" s="98">
        <f t="shared" si="58"/>
        <v>-128766524.87591597</v>
      </c>
      <c r="J296" s="98">
        <f t="shared" si="64"/>
        <v>-125222492.08116601</v>
      </c>
      <c r="K296" s="98">
        <f t="shared" si="66"/>
        <v>16538819.708833888</v>
      </c>
      <c r="L296" s="1189">
        <f t="shared" si="59"/>
        <v>12994786.914083898</v>
      </c>
      <c r="M296" s="400">
        <f t="shared" si="65"/>
        <v>76943.579693749954</v>
      </c>
      <c r="N296" s="98">
        <f t="shared" si="57"/>
        <v>-2061895.7987925876</v>
      </c>
      <c r="O296" s="98">
        <f t="shared" si="62"/>
        <v>-2523557.2769550877</v>
      </c>
      <c r="P296" s="714">
        <f t="shared" si="63"/>
        <v>14015262.431878801</v>
      </c>
      <c r="S296" s="559">
        <f>$E$79-(SUM($H$79:H296)*$U$75)</f>
        <v>52761311.789999977</v>
      </c>
      <c r="T296" s="66"/>
      <c r="U296" s="726"/>
    </row>
    <row r="297" spans="1:21" hidden="1" outlineLevel="1">
      <c r="A297" s="706"/>
      <c r="B297" s="108">
        <v>47514</v>
      </c>
      <c r="C297" s="65"/>
      <c r="D297" s="718"/>
      <c r="E297" s="712">
        <f t="shared" si="60"/>
        <v>52761311.789999977</v>
      </c>
      <c r="F297" s="713">
        <f t="shared" si="61"/>
        <v>141761311.78999987</v>
      </c>
      <c r="G297" s="98">
        <f t="shared" si="68"/>
        <v>141761311.7899999</v>
      </c>
      <c r="H297" s="364">
        <f t="shared" si="67"/>
        <v>590672.13245833281</v>
      </c>
      <c r="I297" s="98">
        <f t="shared" si="58"/>
        <v>-129357197.0083743</v>
      </c>
      <c r="J297" s="98">
        <f t="shared" si="64"/>
        <v>-125813164.21362431</v>
      </c>
      <c r="K297" s="98">
        <f t="shared" si="66"/>
        <v>15948147.576375589</v>
      </c>
      <c r="L297" s="1189">
        <f t="shared" si="59"/>
        <v>12404114.781625569</v>
      </c>
      <c r="M297" s="400">
        <f t="shared" si="65"/>
        <v>76943.579693749954</v>
      </c>
      <c r="N297" s="98">
        <f t="shared" ref="N297:N316" si="69">N296+M297</f>
        <v>-1984952.2190988376</v>
      </c>
      <c r="O297" s="98">
        <f t="shared" si="62"/>
        <v>-2446613.6972613381</v>
      </c>
      <c r="P297" s="714">
        <f t="shared" si="63"/>
        <v>13501533.879114252</v>
      </c>
      <c r="S297" s="559">
        <f>$E$79-(SUM($H$79:H297)*$U$75)</f>
        <v>52761311.789999977</v>
      </c>
      <c r="T297" s="66"/>
      <c r="U297" s="726"/>
    </row>
    <row r="298" spans="1:21" hidden="1" outlineLevel="1">
      <c r="A298" s="706"/>
      <c r="B298" s="108">
        <v>47542</v>
      </c>
      <c r="C298" s="65"/>
      <c r="D298" s="718"/>
      <c r="E298" s="712">
        <f t="shared" si="60"/>
        <v>52761311.789999977</v>
      </c>
      <c r="F298" s="713">
        <f t="shared" si="61"/>
        <v>141761311.78999987</v>
      </c>
      <c r="G298" s="98">
        <f t="shared" si="68"/>
        <v>141761311.7899999</v>
      </c>
      <c r="H298" s="364">
        <f t="shared" si="67"/>
        <v>590672.13245833281</v>
      </c>
      <c r="I298" s="98">
        <f t="shared" si="58"/>
        <v>-129947869.14083263</v>
      </c>
      <c r="J298" s="98">
        <f t="shared" si="64"/>
        <v>-126403836.34608267</v>
      </c>
      <c r="K298" s="98">
        <f t="shared" si="66"/>
        <v>15357475.44391723</v>
      </c>
      <c r="L298" s="1189">
        <f t="shared" si="59"/>
        <v>11813442.64916724</v>
      </c>
      <c r="M298" s="400">
        <f t="shared" si="65"/>
        <v>76943.579693749954</v>
      </c>
      <c r="N298" s="98">
        <f t="shared" si="69"/>
        <v>-1908008.6394050876</v>
      </c>
      <c r="O298" s="98">
        <f t="shared" si="62"/>
        <v>-2369670.1175675881</v>
      </c>
      <c r="P298" s="714">
        <f t="shared" si="63"/>
        <v>12987805.326349642</v>
      </c>
      <c r="S298" s="559">
        <f>$E$79-(SUM($H$79:H298)*$U$75)</f>
        <v>52761311.789999977</v>
      </c>
      <c r="T298" s="66"/>
      <c r="U298" s="726"/>
    </row>
    <row r="299" spans="1:21" hidden="1" outlineLevel="1">
      <c r="A299" s="706"/>
      <c r="B299" s="108">
        <v>47573</v>
      </c>
      <c r="C299" s="65"/>
      <c r="D299" s="718"/>
      <c r="E299" s="712">
        <f t="shared" si="60"/>
        <v>52761311.789999977</v>
      </c>
      <c r="F299" s="713">
        <f t="shared" si="61"/>
        <v>141761311.78999987</v>
      </c>
      <c r="G299" s="98">
        <f t="shared" si="68"/>
        <v>141761311.7899999</v>
      </c>
      <c r="H299" s="364">
        <f t="shared" si="67"/>
        <v>590672.13245833281</v>
      </c>
      <c r="I299" s="98">
        <f t="shared" si="58"/>
        <v>-130538541.27329096</v>
      </c>
      <c r="J299" s="98">
        <f t="shared" si="64"/>
        <v>-126994508.47854097</v>
      </c>
      <c r="K299" s="98">
        <f t="shared" si="66"/>
        <v>14766803.31145893</v>
      </c>
      <c r="L299" s="1189">
        <f t="shared" si="59"/>
        <v>11222770.51670891</v>
      </c>
      <c r="M299" s="400">
        <f t="shared" si="65"/>
        <v>76943.579693749954</v>
      </c>
      <c r="N299" s="98">
        <f t="shared" si="69"/>
        <v>-1831065.0597113376</v>
      </c>
      <c r="O299" s="98">
        <f t="shared" si="62"/>
        <v>-2292726.5378738376</v>
      </c>
      <c r="P299" s="714">
        <f t="shared" si="63"/>
        <v>12474076.773585092</v>
      </c>
      <c r="S299" s="559">
        <f>$E$79-(SUM($H$79:H299)*$U$75)</f>
        <v>52761311.789999977</v>
      </c>
      <c r="T299" s="66"/>
      <c r="U299" s="726"/>
    </row>
    <row r="300" spans="1:21" hidden="1" outlineLevel="1">
      <c r="A300" s="706"/>
      <c r="B300" s="108">
        <v>47603</v>
      </c>
      <c r="C300" s="65"/>
      <c r="D300" s="718"/>
      <c r="E300" s="712">
        <f t="shared" si="60"/>
        <v>52761311.789999977</v>
      </c>
      <c r="F300" s="713">
        <f t="shared" si="61"/>
        <v>141761311.78999987</v>
      </c>
      <c r="G300" s="98">
        <f t="shared" si="68"/>
        <v>141761311.7899999</v>
      </c>
      <c r="H300" s="364">
        <f t="shared" si="67"/>
        <v>590672.13245833281</v>
      </c>
      <c r="I300" s="98">
        <f t="shared" si="58"/>
        <v>-131129213.40574929</v>
      </c>
      <c r="J300" s="98">
        <f t="shared" si="64"/>
        <v>-127585180.61099933</v>
      </c>
      <c r="K300" s="98">
        <f t="shared" si="66"/>
        <v>14176131.179000571</v>
      </c>
      <c r="L300" s="1189">
        <f t="shared" si="59"/>
        <v>10632098.384250581</v>
      </c>
      <c r="M300" s="400">
        <f t="shared" si="65"/>
        <v>76943.579693749954</v>
      </c>
      <c r="N300" s="98">
        <f t="shared" si="69"/>
        <v>-1754121.4800175875</v>
      </c>
      <c r="O300" s="98">
        <f t="shared" si="62"/>
        <v>-2215782.9581800872</v>
      </c>
      <c r="P300" s="714">
        <f t="shared" si="63"/>
        <v>11960348.220820485</v>
      </c>
      <c r="S300" s="559">
        <f>$E$79-(SUM($H$79:H300)*$U$75)</f>
        <v>52761311.789999977</v>
      </c>
      <c r="T300" s="66"/>
      <c r="U300" s="726"/>
    </row>
    <row r="301" spans="1:21" hidden="1" outlineLevel="1">
      <c r="A301" s="706"/>
      <c r="B301" s="108">
        <v>47634</v>
      </c>
      <c r="C301" s="65"/>
      <c r="D301" s="718"/>
      <c r="E301" s="712">
        <f t="shared" si="60"/>
        <v>52761311.789999977</v>
      </c>
      <c r="F301" s="713">
        <f t="shared" si="61"/>
        <v>141761311.78999987</v>
      </c>
      <c r="G301" s="98">
        <f t="shared" si="68"/>
        <v>141761311.7899999</v>
      </c>
      <c r="H301" s="364">
        <f t="shared" si="67"/>
        <v>590672.13245833281</v>
      </c>
      <c r="I301" s="98">
        <f t="shared" si="58"/>
        <v>-131719885.53820762</v>
      </c>
      <c r="J301" s="98">
        <f t="shared" si="64"/>
        <v>-128175852.74345763</v>
      </c>
      <c r="K301" s="98">
        <f t="shared" si="66"/>
        <v>13585459.046542272</v>
      </c>
      <c r="L301" s="1189">
        <f t="shared" si="59"/>
        <v>10041426.251792252</v>
      </c>
      <c r="M301" s="400">
        <f t="shared" si="65"/>
        <v>76943.579693749954</v>
      </c>
      <c r="N301" s="98">
        <f t="shared" si="69"/>
        <v>-1677177.9003238375</v>
      </c>
      <c r="O301" s="98">
        <f t="shared" si="62"/>
        <v>-2138839.3784863376</v>
      </c>
      <c r="P301" s="714">
        <f t="shared" si="63"/>
        <v>11446619.668055935</v>
      </c>
      <c r="S301" s="559">
        <f>$E$79-(SUM($H$79:H301)*$U$75)</f>
        <v>52761311.789999977</v>
      </c>
      <c r="T301" s="66"/>
      <c r="U301" s="726"/>
    </row>
    <row r="302" spans="1:21" hidden="1" outlineLevel="1">
      <c r="A302" s="706"/>
      <c r="B302" s="108">
        <v>47664</v>
      </c>
      <c r="C302" s="65"/>
      <c r="D302" s="718"/>
      <c r="E302" s="712">
        <f t="shared" si="60"/>
        <v>52761311.789999977</v>
      </c>
      <c r="F302" s="713">
        <f t="shared" si="61"/>
        <v>141761311.78999987</v>
      </c>
      <c r="G302" s="98">
        <f t="shared" si="68"/>
        <v>141761311.7899999</v>
      </c>
      <c r="H302" s="364">
        <f t="shared" si="67"/>
        <v>590672.13245833281</v>
      </c>
      <c r="I302" s="98">
        <f t="shared" si="58"/>
        <v>-132310557.67066595</v>
      </c>
      <c r="J302" s="98">
        <f t="shared" si="64"/>
        <v>-128766524.87591599</v>
      </c>
      <c r="K302" s="98">
        <f t="shared" si="66"/>
        <v>12994786.914083913</v>
      </c>
      <c r="L302" s="1189">
        <f t="shared" si="59"/>
        <v>9450754.1193339229</v>
      </c>
      <c r="M302" s="400">
        <f t="shared" si="65"/>
        <v>76943.579693749954</v>
      </c>
      <c r="N302" s="98">
        <f t="shared" si="69"/>
        <v>-1600234.3206300875</v>
      </c>
      <c r="O302" s="98">
        <f t="shared" si="62"/>
        <v>-2061895.7987925876</v>
      </c>
      <c r="P302" s="714">
        <f t="shared" si="63"/>
        <v>10932891.115291325</v>
      </c>
      <c r="S302" s="559">
        <f>$E$79-(SUM($H$79:H302)*$U$75)</f>
        <v>52761311.789999977</v>
      </c>
      <c r="T302" s="66"/>
      <c r="U302" s="726"/>
    </row>
    <row r="303" spans="1:21" hidden="1" outlineLevel="1">
      <c r="A303" s="706"/>
      <c r="B303" s="108">
        <v>47695</v>
      </c>
      <c r="C303" s="65"/>
      <c r="D303" s="718"/>
      <c r="E303" s="712">
        <f t="shared" si="60"/>
        <v>52761311.789999977</v>
      </c>
      <c r="F303" s="713">
        <f t="shared" si="61"/>
        <v>141761311.78999987</v>
      </c>
      <c r="G303" s="98">
        <f t="shared" si="68"/>
        <v>141761311.7899999</v>
      </c>
      <c r="H303" s="364">
        <f t="shared" si="67"/>
        <v>590672.13245833281</v>
      </c>
      <c r="I303" s="98">
        <f t="shared" si="58"/>
        <v>-132901229.80312428</v>
      </c>
      <c r="J303" s="98">
        <f t="shared" si="64"/>
        <v>-129357197.00837429</v>
      </c>
      <c r="K303" s="98">
        <f t="shared" si="66"/>
        <v>12404114.781625614</v>
      </c>
      <c r="L303" s="1189">
        <f t="shared" si="59"/>
        <v>8860081.9868755937</v>
      </c>
      <c r="M303" s="400">
        <f t="shared" si="65"/>
        <v>76943.579693749954</v>
      </c>
      <c r="N303" s="98">
        <f t="shared" si="69"/>
        <v>-1523290.7409363375</v>
      </c>
      <c r="O303" s="98">
        <f t="shared" si="62"/>
        <v>-1984952.2190988378</v>
      </c>
      <c r="P303" s="714">
        <f t="shared" si="63"/>
        <v>10419162.562526776</v>
      </c>
      <c r="S303" s="559">
        <f>$E$79-(SUM($H$79:H303)*$U$75)</f>
        <v>52761311.789999977</v>
      </c>
      <c r="T303" s="66"/>
      <c r="U303" s="726"/>
    </row>
    <row r="304" spans="1:21" hidden="1" outlineLevel="1">
      <c r="A304" s="706"/>
      <c r="B304" s="108">
        <v>47726</v>
      </c>
      <c r="C304" s="65"/>
      <c r="D304" s="718"/>
      <c r="E304" s="712">
        <f t="shared" si="60"/>
        <v>52761311.789999977</v>
      </c>
      <c r="F304" s="713">
        <f t="shared" si="61"/>
        <v>141761311.78999987</v>
      </c>
      <c r="G304" s="98">
        <f t="shared" si="68"/>
        <v>141761311.7899999</v>
      </c>
      <c r="H304" s="364">
        <f t="shared" si="67"/>
        <v>590672.13245833281</v>
      </c>
      <c r="I304" s="98">
        <f t="shared" si="58"/>
        <v>-133491901.93558261</v>
      </c>
      <c r="J304" s="98">
        <f t="shared" si="64"/>
        <v>-129947869.14083265</v>
      </c>
      <c r="K304" s="98">
        <f t="shared" si="66"/>
        <v>11813442.649167255</v>
      </c>
      <c r="L304" s="1189">
        <f t="shared" si="59"/>
        <v>8269409.8544172645</v>
      </c>
      <c r="M304" s="400">
        <f t="shared" si="65"/>
        <v>76943.579693749954</v>
      </c>
      <c r="N304" s="98">
        <f t="shared" si="69"/>
        <v>-1446347.1612425875</v>
      </c>
      <c r="O304" s="98">
        <f t="shared" si="62"/>
        <v>-1908008.6394050876</v>
      </c>
      <c r="P304" s="714">
        <f t="shared" si="63"/>
        <v>9905434.0097621679</v>
      </c>
      <c r="S304" s="559">
        <f>$E$79-(SUM($H$79:H304)*$U$75)</f>
        <v>52761311.789999977</v>
      </c>
      <c r="T304" s="66"/>
      <c r="U304" s="726"/>
    </row>
    <row r="305" spans="1:21" hidden="1" outlineLevel="1">
      <c r="A305" s="706"/>
      <c r="B305" s="108">
        <v>47756</v>
      </c>
      <c r="C305" s="65"/>
      <c r="D305" s="718"/>
      <c r="E305" s="712">
        <f t="shared" si="60"/>
        <v>52761311.789999977</v>
      </c>
      <c r="F305" s="713">
        <f t="shared" si="61"/>
        <v>141761311.78999987</v>
      </c>
      <c r="G305" s="98">
        <f t="shared" si="68"/>
        <v>141761311.7899999</v>
      </c>
      <c r="H305" s="364">
        <f t="shared" si="67"/>
        <v>590672.13245833281</v>
      </c>
      <c r="I305" s="98">
        <f t="shared" si="58"/>
        <v>-134082574.06804094</v>
      </c>
      <c r="J305" s="98">
        <f t="shared" si="64"/>
        <v>-130538541.27329095</v>
      </c>
      <c r="K305" s="98">
        <f t="shared" si="66"/>
        <v>11222770.516708955</v>
      </c>
      <c r="L305" s="1189">
        <f t="shared" si="59"/>
        <v>7678737.7219589353</v>
      </c>
      <c r="M305" s="400">
        <f t="shared" si="65"/>
        <v>76943.579693749954</v>
      </c>
      <c r="N305" s="98">
        <f t="shared" si="69"/>
        <v>-1369403.5815488375</v>
      </c>
      <c r="O305" s="98">
        <f t="shared" si="62"/>
        <v>-1831065.0597113378</v>
      </c>
      <c r="P305" s="714">
        <f t="shared" si="63"/>
        <v>9391705.4569976181</v>
      </c>
      <c r="S305" s="559">
        <f>$E$79-(SUM($H$79:H305)*$U$75)</f>
        <v>52761311.789999977</v>
      </c>
      <c r="T305" s="66"/>
      <c r="U305" s="726"/>
    </row>
    <row r="306" spans="1:21" hidden="1" outlineLevel="1">
      <c r="A306" s="706"/>
      <c r="B306" s="108">
        <v>47787</v>
      </c>
      <c r="C306" s="65"/>
      <c r="D306" s="718"/>
      <c r="E306" s="712">
        <f t="shared" si="60"/>
        <v>52761311.789999977</v>
      </c>
      <c r="F306" s="713">
        <f t="shared" si="61"/>
        <v>141761311.78999987</v>
      </c>
      <c r="G306" s="98">
        <f t="shared" si="68"/>
        <v>141761311.7899999</v>
      </c>
      <c r="H306" s="364">
        <f t="shared" si="67"/>
        <v>590672.13245833281</v>
      </c>
      <c r="I306" s="98">
        <f t="shared" si="58"/>
        <v>-134673246.20049927</v>
      </c>
      <c r="J306" s="98">
        <f t="shared" si="64"/>
        <v>-131129213.40574931</v>
      </c>
      <c r="K306" s="98">
        <f t="shared" si="66"/>
        <v>10632098.384250596</v>
      </c>
      <c r="L306" s="1189">
        <f t="shared" si="59"/>
        <v>7088065.5895006061</v>
      </c>
      <c r="M306" s="400">
        <f t="shared" si="65"/>
        <v>76943.579693749954</v>
      </c>
      <c r="N306" s="98">
        <f t="shared" si="69"/>
        <v>-1292460.0018550875</v>
      </c>
      <c r="O306" s="98">
        <f t="shared" si="62"/>
        <v>-1754121.4800175875</v>
      </c>
      <c r="P306" s="714">
        <f t="shared" si="63"/>
        <v>8877976.9042330086</v>
      </c>
      <c r="S306" s="559">
        <f>$E$79-(SUM($H$79:H306)*$U$75)</f>
        <v>52761311.789999977</v>
      </c>
      <c r="T306" s="66"/>
      <c r="U306" s="726"/>
    </row>
    <row r="307" spans="1:21" hidden="1" outlineLevel="1">
      <c r="A307" s="706"/>
      <c r="B307" s="108">
        <v>47817</v>
      </c>
      <c r="C307" s="65"/>
      <c r="D307" s="718"/>
      <c r="E307" s="712">
        <f t="shared" si="60"/>
        <v>52761311.789999977</v>
      </c>
      <c r="F307" s="713">
        <f t="shared" si="61"/>
        <v>141761311.78999987</v>
      </c>
      <c r="G307" s="98">
        <f t="shared" si="68"/>
        <v>141761311.7899999</v>
      </c>
      <c r="H307" s="364">
        <f t="shared" si="67"/>
        <v>590672.13245833281</v>
      </c>
      <c r="I307" s="98">
        <f t="shared" si="58"/>
        <v>-135263918.3329576</v>
      </c>
      <c r="J307" s="98">
        <f t="shared" si="64"/>
        <v>-131719885.53820761</v>
      </c>
      <c r="K307" s="98">
        <f t="shared" si="66"/>
        <v>10041426.251792297</v>
      </c>
      <c r="L307" s="1189">
        <f t="shared" si="59"/>
        <v>6497393.4570422769</v>
      </c>
      <c r="M307" s="400">
        <f t="shared" si="65"/>
        <v>76943.579693749954</v>
      </c>
      <c r="N307" s="98">
        <f t="shared" si="69"/>
        <v>-1215516.4221613375</v>
      </c>
      <c r="O307" s="98">
        <f t="shared" si="62"/>
        <v>-1677177.9003238373</v>
      </c>
      <c r="P307" s="714">
        <f t="shared" si="63"/>
        <v>8364248.3514684597</v>
      </c>
      <c r="S307" s="559">
        <f>$E$79-(SUM($H$79:H307)*$U$75)</f>
        <v>52761311.789999977</v>
      </c>
      <c r="T307" s="66"/>
      <c r="U307" s="726"/>
    </row>
    <row r="308" spans="1:21" hidden="1" outlineLevel="1">
      <c r="A308" s="706"/>
      <c r="B308" s="108">
        <v>47848</v>
      </c>
      <c r="C308" s="65"/>
      <c r="D308" s="718"/>
      <c r="E308" s="712">
        <f t="shared" si="60"/>
        <v>52761311.789999977</v>
      </c>
      <c r="F308" s="713">
        <f t="shared" si="61"/>
        <v>141761311.78999987</v>
      </c>
      <c r="G308" s="98">
        <f t="shared" si="68"/>
        <v>141761311.7899999</v>
      </c>
      <c r="H308" s="364">
        <f t="shared" si="67"/>
        <v>590672.13245833281</v>
      </c>
      <c r="I308" s="98">
        <f t="shared" si="58"/>
        <v>-135854590.46541592</v>
      </c>
      <c r="J308" s="98">
        <f t="shared" si="64"/>
        <v>-132310557.67066596</v>
      </c>
      <c r="K308" s="98">
        <f t="shared" si="66"/>
        <v>9450754.1193339378</v>
      </c>
      <c r="L308" s="1189">
        <f t="shared" si="59"/>
        <v>5906721.3245839477</v>
      </c>
      <c r="M308" s="400">
        <f t="shared" si="65"/>
        <v>76943.579693749954</v>
      </c>
      <c r="N308" s="98">
        <f t="shared" si="69"/>
        <v>-1138572.8424675874</v>
      </c>
      <c r="O308" s="98">
        <f t="shared" si="62"/>
        <v>-1600234.3206300875</v>
      </c>
      <c r="P308" s="714">
        <f t="shared" si="63"/>
        <v>7850519.7987038502</v>
      </c>
      <c r="S308" s="559">
        <f>$E$79-(SUM($H$79:H308)*$U$75)</f>
        <v>52761311.789999977</v>
      </c>
      <c r="T308" s="66"/>
      <c r="U308" s="726"/>
    </row>
    <row r="309" spans="1:21" hidden="1" outlineLevel="1">
      <c r="A309" s="706"/>
      <c r="B309" s="108">
        <v>47879</v>
      </c>
      <c r="C309" s="65"/>
      <c r="D309" s="718"/>
      <c r="E309" s="712">
        <f t="shared" si="60"/>
        <v>52761311.789999977</v>
      </c>
      <c r="F309" s="713">
        <f t="shared" si="61"/>
        <v>141761311.78999987</v>
      </c>
      <c r="G309" s="98">
        <f t="shared" si="68"/>
        <v>141761311.7899999</v>
      </c>
      <c r="H309" s="364">
        <f t="shared" si="67"/>
        <v>590672.13245833281</v>
      </c>
      <c r="I309" s="98">
        <f t="shared" si="58"/>
        <v>-136445262.59787425</v>
      </c>
      <c r="J309" s="98">
        <f t="shared" si="64"/>
        <v>-132901229.80312426</v>
      </c>
      <c r="K309" s="98">
        <f t="shared" si="66"/>
        <v>8860081.9868756384</v>
      </c>
      <c r="L309" s="1189">
        <f t="shared" si="59"/>
        <v>5316049.1921256185</v>
      </c>
      <c r="M309" s="400">
        <f t="shared" si="65"/>
        <v>76943.579693749954</v>
      </c>
      <c r="N309" s="98">
        <f t="shared" si="69"/>
        <v>-1061629.2627738374</v>
      </c>
      <c r="O309" s="98">
        <f t="shared" si="62"/>
        <v>-1523290.7409363377</v>
      </c>
      <c r="P309" s="714">
        <f t="shared" si="63"/>
        <v>7336791.2459393004</v>
      </c>
      <c r="S309" s="559">
        <f>$E$79-(SUM($H$79:H309)*$U$75)</f>
        <v>52761311.789999977</v>
      </c>
      <c r="T309" s="66"/>
      <c r="U309" s="726"/>
    </row>
    <row r="310" spans="1:21" hidden="1" outlineLevel="1">
      <c r="A310" s="706"/>
      <c r="B310" s="108">
        <v>47907</v>
      </c>
      <c r="C310" s="65"/>
      <c r="D310" s="718"/>
      <c r="E310" s="712">
        <f t="shared" si="60"/>
        <v>52761311.789999977</v>
      </c>
      <c r="F310" s="713">
        <f t="shared" si="61"/>
        <v>141761311.78999987</v>
      </c>
      <c r="G310" s="98">
        <f t="shared" si="68"/>
        <v>141761311.7899999</v>
      </c>
      <c r="H310" s="364">
        <f t="shared" si="67"/>
        <v>590672.13245833281</v>
      </c>
      <c r="I310" s="98">
        <f>I309-H310</f>
        <v>-137035934.73033258</v>
      </c>
      <c r="J310" s="98">
        <f t="shared" si="64"/>
        <v>-133491901.93558262</v>
      </c>
      <c r="K310" s="98">
        <f t="shared" si="66"/>
        <v>8269409.8544172794</v>
      </c>
      <c r="L310" s="1189">
        <f t="shared" si="59"/>
        <v>4725377.0596672893</v>
      </c>
      <c r="M310" s="400">
        <f t="shared" si="65"/>
        <v>76943.579693749954</v>
      </c>
      <c r="N310" s="98">
        <f t="shared" si="69"/>
        <v>-984685.68308008742</v>
      </c>
      <c r="O310" s="98">
        <f t="shared" si="62"/>
        <v>-1446347.1612425875</v>
      </c>
      <c r="P310" s="714">
        <f t="shared" si="63"/>
        <v>6823062.6931746919</v>
      </c>
      <c r="S310" s="559">
        <f>$E$79-(SUM($H$79:H310)*$U$75)</f>
        <v>52761311.789999977</v>
      </c>
      <c r="T310" s="66"/>
      <c r="U310" s="726"/>
    </row>
    <row r="311" spans="1:21" hidden="1" outlineLevel="1">
      <c r="A311" s="706"/>
      <c r="B311" s="108">
        <v>47938</v>
      </c>
      <c r="C311" s="65"/>
      <c r="D311" s="718"/>
      <c r="E311" s="712">
        <f t="shared" si="60"/>
        <v>52761311.789999977</v>
      </c>
      <c r="F311" s="713">
        <f t="shared" si="61"/>
        <v>141761311.78999987</v>
      </c>
      <c r="G311" s="98">
        <f t="shared" si="68"/>
        <v>141761311.7899999</v>
      </c>
      <c r="H311" s="364">
        <f t="shared" si="67"/>
        <v>590672.13245833281</v>
      </c>
      <c r="I311" s="98">
        <f t="shared" si="58"/>
        <v>-137626606.86279091</v>
      </c>
      <c r="J311" s="98">
        <f t="shared" si="64"/>
        <v>-134082574.06804092</v>
      </c>
      <c r="K311" s="98">
        <f t="shared" si="66"/>
        <v>7678737.72195898</v>
      </c>
      <c r="L311" s="1189">
        <f t="shared" si="59"/>
        <v>4134704.9272089601</v>
      </c>
      <c r="M311" s="400">
        <f t="shared" si="65"/>
        <v>76943.579693749954</v>
      </c>
      <c r="N311" s="98">
        <f t="shared" si="69"/>
        <v>-907742.1033863374</v>
      </c>
      <c r="O311" s="98">
        <f t="shared" si="62"/>
        <v>-1369403.5815488375</v>
      </c>
      <c r="P311" s="714">
        <f t="shared" si="63"/>
        <v>6309334.140410142</v>
      </c>
      <c r="S311" s="559">
        <f>$E$79-(SUM($H$79:H311)*$U$75)</f>
        <v>52761311.789999977</v>
      </c>
      <c r="T311" s="66"/>
      <c r="U311" s="726"/>
    </row>
    <row r="312" spans="1:21" hidden="1" outlineLevel="1">
      <c r="A312" s="706"/>
      <c r="B312" s="108">
        <v>47968</v>
      </c>
      <c r="C312" s="65"/>
      <c r="D312" s="718"/>
      <c r="E312" s="712">
        <f t="shared" si="60"/>
        <v>52761311.789999977</v>
      </c>
      <c r="F312" s="713">
        <f t="shared" si="61"/>
        <v>141761311.78999987</v>
      </c>
      <c r="G312" s="98">
        <f t="shared" si="68"/>
        <v>141761311.7899999</v>
      </c>
      <c r="H312" s="364">
        <f t="shared" si="67"/>
        <v>590672.13245833281</v>
      </c>
      <c r="I312" s="98">
        <f t="shared" si="58"/>
        <v>-138217278.99524924</v>
      </c>
      <c r="J312" s="98">
        <f t="shared" si="64"/>
        <v>-134673246.20049927</v>
      </c>
      <c r="K312" s="98">
        <f t="shared" si="66"/>
        <v>7088065.5895006359</v>
      </c>
      <c r="L312" s="1189">
        <f t="shared" si="59"/>
        <v>3544032.7947506309</v>
      </c>
      <c r="M312" s="400">
        <f t="shared" si="65"/>
        <v>76943.579693749954</v>
      </c>
      <c r="N312" s="98">
        <f t="shared" si="69"/>
        <v>-830798.52369258739</v>
      </c>
      <c r="O312" s="98">
        <f t="shared" si="62"/>
        <v>-1292460.0018550875</v>
      </c>
      <c r="P312" s="714">
        <f t="shared" si="63"/>
        <v>5795605.5876455484</v>
      </c>
      <c r="S312" s="559">
        <f>$E$79-(SUM($H$79:H312)*$U$75)</f>
        <v>52761311.789999977</v>
      </c>
      <c r="T312" s="66"/>
      <c r="U312" s="726"/>
    </row>
    <row r="313" spans="1:21" hidden="1" outlineLevel="1">
      <c r="A313" s="706"/>
      <c r="B313" s="108">
        <v>47999</v>
      </c>
      <c r="C313" s="65"/>
      <c r="D313" s="718"/>
      <c r="E313" s="712">
        <f t="shared" si="60"/>
        <v>52761311.789999977</v>
      </c>
      <c r="F313" s="713">
        <f t="shared" si="61"/>
        <v>141761311.78999987</v>
      </c>
      <c r="G313" s="98">
        <f t="shared" si="68"/>
        <v>141761311.7899999</v>
      </c>
      <c r="H313" s="364">
        <f t="shared" si="67"/>
        <v>590672.13245833281</v>
      </c>
      <c r="I313" s="98">
        <f t="shared" ref="I313:I330" si="70">I312-H313</f>
        <v>-138807951.12770757</v>
      </c>
      <c r="J313" s="98">
        <f t="shared" si="64"/>
        <v>-135263918.3329576</v>
      </c>
      <c r="K313" s="98">
        <f t="shared" si="66"/>
        <v>6497393.4570423067</v>
      </c>
      <c r="L313" s="1189">
        <f t="shared" si="59"/>
        <v>2953360.6622923017</v>
      </c>
      <c r="M313" s="400">
        <f t="shared" si="65"/>
        <v>76943.579693749954</v>
      </c>
      <c r="N313" s="98">
        <f t="shared" si="69"/>
        <v>-753854.94399883738</v>
      </c>
      <c r="O313" s="98">
        <f t="shared" si="62"/>
        <v>-1215516.4221613377</v>
      </c>
      <c r="P313" s="714">
        <f t="shared" si="63"/>
        <v>5281877.0348809687</v>
      </c>
      <c r="S313" s="559">
        <f>$E$79-(SUM($H$79:H313)*$U$75)</f>
        <v>52761311.789999977</v>
      </c>
      <c r="T313" s="66"/>
      <c r="U313" s="726"/>
    </row>
    <row r="314" spans="1:21" hidden="1" outlineLevel="1">
      <c r="A314" s="706"/>
      <c r="B314" s="108">
        <v>48029</v>
      </c>
      <c r="C314" s="65"/>
      <c r="D314" s="718"/>
      <c r="E314" s="712">
        <f t="shared" si="60"/>
        <v>52761311.789999977</v>
      </c>
      <c r="F314" s="713">
        <f t="shared" si="61"/>
        <v>141761311.78999987</v>
      </c>
      <c r="G314" s="98">
        <f t="shared" si="68"/>
        <v>141761311.7899999</v>
      </c>
      <c r="H314" s="364">
        <f t="shared" si="67"/>
        <v>590672.13245833281</v>
      </c>
      <c r="I314" s="98">
        <f t="shared" si="70"/>
        <v>-139398623.2601659</v>
      </c>
      <c r="J314" s="98">
        <f t="shared" si="64"/>
        <v>-135854590.46541592</v>
      </c>
      <c r="K314" s="98">
        <f t="shared" si="66"/>
        <v>5906721.3245839775</v>
      </c>
      <c r="L314" s="1189">
        <f t="shared" si="59"/>
        <v>2362688.5298339725</v>
      </c>
      <c r="M314" s="400">
        <f t="shared" si="65"/>
        <v>76943.579693749954</v>
      </c>
      <c r="N314" s="98">
        <f t="shared" si="69"/>
        <v>-676911.36430508737</v>
      </c>
      <c r="O314" s="98">
        <f t="shared" si="62"/>
        <v>-1138572.8424675877</v>
      </c>
      <c r="P314" s="714">
        <f t="shared" si="63"/>
        <v>4768148.48211639</v>
      </c>
      <c r="S314" s="559">
        <f>$E$79-(SUM($H$79:H314)*$U$75)</f>
        <v>52761311.789999977</v>
      </c>
      <c r="T314" s="66"/>
      <c r="U314" s="726"/>
    </row>
    <row r="315" spans="1:21" hidden="1" outlineLevel="1">
      <c r="A315" s="706"/>
      <c r="B315" s="108">
        <v>48060</v>
      </c>
      <c r="C315" s="65"/>
      <c r="D315" s="718"/>
      <c r="E315" s="712">
        <f t="shared" si="60"/>
        <v>52761311.789999977</v>
      </c>
      <c r="F315" s="713">
        <f t="shared" si="61"/>
        <v>141761311.78999987</v>
      </c>
      <c r="G315" s="98">
        <f t="shared" si="68"/>
        <v>141761311.7899999</v>
      </c>
      <c r="H315" s="364">
        <f t="shared" si="67"/>
        <v>590672.13245833281</v>
      </c>
      <c r="I315" s="98">
        <f t="shared" si="70"/>
        <v>-139989295.39262423</v>
      </c>
      <c r="J315" s="98">
        <f t="shared" si="64"/>
        <v>-136445262.59787425</v>
      </c>
      <c r="K315" s="98">
        <f t="shared" si="66"/>
        <v>5316049.1921256483</v>
      </c>
      <c r="L315" s="1189">
        <f t="shared" si="59"/>
        <v>1772016.3973756433</v>
      </c>
      <c r="M315" s="400">
        <f t="shared" si="65"/>
        <v>76943.579693749954</v>
      </c>
      <c r="N315" s="98">
        <f t="shared" si="69"/>
        <v>-599967.78461133735</v>
      </c>
      <c r="O315" s="98">
        <f t="shared" si="62"/>
        <v>-1061629.2627738377</v>
      </c>
      <c r="P315" s="714">
        <f t="shared" si="63"/>
        <v>4254419.9293518104</v>
      </c>
      <c r="S315" s="559">
        <f>$E$79-(SUM($H$79:H315)*$U$75)</f>
        <v>52761311.789999977</v>
      </c>
      <c r="T315" s="66"/>
      <c r="U315" s="726"/>
    </row>
    <row r="316" spans="1:21" hidden="1" outlineLevel="1">
      <c r="A316" s="706"/>
      <c r="B316" s="108">
        <v>48091</v>
      </c>
      <c r="C316" s="65"/>
      <c r="D316" s="718"/>
      <c r="E316" s="712">
        <f t="shared" si="60"/>
        <v>52761311.789999977</v>
      </c>
      <c r="F316" s="713">
        <f t="shared" si="61"/>
        <v>141761311.78999987</v>
      </c>
      <c r="G316" s="98">
        <f t="shared" si="68"/>
        <v>141761311.7899999</v>
      </c>
      <c r="H316" s="364">
        <f t="shared" si="67"/>
        <v>590672.13245833281</v>
      </c>
      <c r="I316" s="98">
        <f t="shared" si="70"/>
        <v>-140579967.52508256</v>
      </c>
      <c r="J316" s="98">
        <f t="shared" si="64"/>
        <v>-137035934.73033258</v>
      </c>
      <c r="K316" s="98">
        <f t="shared" si="66"/>
        <v>4725377.0596673191</v>
      </c>
      <c r="L316" s="1189">
        <f t="shared" si="59"/>
        <v>1181344.2649173141</v>
      </c>
      <c r="M316" s="400">
        <f t="shared" si="65"/>
        <v>76943.579693749954</v>
      </c>
      <c r="N316" s="98">
        <f t="shared" si="69"/>
        <v>-523024.2049175874</v>
      </c>
      <c r="O316" s="98">
        <f t="shared" si="62"/>
        <v>-984685.68308008742</v>
      </c>
      <c r="P316" s="714">
        <f t="shared" si="63"/>
        <v>3740691.3765872316</v>
      </c>
      <c r="S316" s="559">
        <f>$E$79-(SUM($H$79:H316)*$U$75)</f>
        <v>52761311.789999977</v>
      </c>
      <c r="T316" s="66"/>
      <c r="U316" s="726"/>
    </row>
    <row r="317" spans="1:21" hidden="1" outlineLevel="1">
      <c r="A317" s="706"/>
      <c r="B317" s="108">
        <v>48121</v>
      </c>
      <c r="C317" s="65"/>
      <c r="D317" s="718"/>
      <c r="E317" s="712">
        <f t="shared" si="60"/>
        <v>52761311.789999977</v>
      </c>
      <c r="F317" s="713">
        <f t="shared" si="61"/>
        <v>141761311.78999987</v>
      </c>
      <c r="G317" s="98">
        <f t="shared" si="68"/>
        <v>141761311.7899999</v>
      </c>
      <c r="H317" s="364">
        <f t="shared" si="67"/>
        <v>590672.13245833281</v>
      </c>
      <c r="I317" s="98">
        <f t="shared" si="70"/>
        <v>-141170639.65754089</v>
      </c>
      <c r="J317" s="98">
        <f t="shared" si="64"/>
        <v>-137626606.86279091</v>
      </c>
      <c r="K317" s="98">
        <f t="shared" si="66"/>
        <v>4134704.9272089899</v>
      </c>
      <c r="L317" s="1189">
        <f>F317+I317</f>
        <v>590672.13245898485</v>
      </c>
      <c r="M317" s="400">
        <f t="shared" si="65"/>
        <v>76943.579693749954</v>
      </c>
      <c r="N317" s="98">
        <f>N316+M317</f>
        <v>-446080.62522383744</v>
      </c>
      <c r="O317" s="98">
        <f t="shared" si="62"/>
        <v>-907742.1033863374</v>
      </c>
      <c r="P317" s="714">
        <f t="shared" si="63"/>
        <v>3226962.8238226525</v>
      </c>
      <c r="S317" s="559">
        <f>$E$79-(SUM($H$79:H317)*$U$75)</f>
        <v>52761311.789999977</v>
      </c>
      <c r="T317" s="66"/>
      <c r="U317" s="726"/>
    </row>
    <row r="318" spans="1:21" hidden="1" outlineLevel="1">
      <c r="A318" s="706"/>
      <c r="B318" s="719">
        <v>48152</v>
      </c>
      <c r="C318" s="65"/>
      <c r="D318" s="718"/>
      <c r="E318" s="712">
        <f t="shared" si="60"/>
        <v>52761311.789999977</v>
      </c>
      <c r="F318" s="713">
        <f t="shared" si="61"/>
        <v>141761311.78999987</v>
      </c>
      <c r="G318" s="98">
        <f t="shared" si="68"/>
        <v>141761311.7899999</v>
      </c>
      <c r="H318" s="364">
        <f t="shared" si="67"/>
        <v>590672.13245833281</v>
      </c>
      <c r="I318" s="98">
        <f t="shared" si="70"/>
        <v>-141761311.78999922</v>
      </c>
      <c r="J318" s="98">
        <f>(I306+I318+SUM(I307:I317)*2)/24</f>
        <v>-138217278.99524924</v>
      </c>
      <c r="K318" s="98">
        <f t="shared" si="66"/>
        <v>3544032.7947506607</v>
      </c>
      <c r="L318" s="1189">
        <f>F318+I318</f>
        <v>6.5565109252929688E-7</v>
      </c>
      <c r="M318" s="400">
        <f>(E318/240*0.35)-192</f>
        <v>76751.579693749954</v>
      </c>
      <c r="N318" s="98">
        <f>N317+M318</f>
        <v>-369329.04553008749</v>
      </c>
      <c r="O318" s="98">
        <f t="shared" si="62"/>
        <v>-830806.52369258751</v>
      </c>
      <c r="P318" s="714">
        <f>O318+K318</f>
        <v>2713226.2710580733</v>
      </c>
      <c r="S318" s="559">
        <f>$E$79-(SUM($H$79:H318)*$U$75)</f>
        <v>52761311.789999977</v>
      </c>
      <c r="T318" s="66"/>
      <c r="U318" s="726"/>
    </row>
    <row r="319" spans="1:21" hidden="1" outlineLevel="1">
      <c r="A319" s="706"/>
      <c r="B319" s="108">
        <v>48182</v>
      </c>
      <c r="C319" s="65"/>
      <c r="D319" s="718"/>
      <c r="E319" s="712">
        <f t="shared" si="60"/>
        <v>52761311.789999977</v>
      </c>
      <c r="F319" s="713">
        <f t="shared" si="61"/>
        <v>141761311.78999987</v>
      </c>
      <c r="G319" s="98">
        <f t="shared" si="68"/>
        <v>141761311.7899999</v>
      </c>
      <c r="H319" s="818">
        <f>L318</f>
        <v>6.5565109252929688E-7</v>
      </c>
      <c r="I319" s="98">
        <f t="shared" si="70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1189">
        <f t="shared" ref="L319:L330" si="71">F319+I319</f>
        <v>0</v>
      </c>
      <c r="M319" s="400">
        <f>-N318</f>
        <v>369329.04553008749</v>
      </c>
      <c r="N319" s="556">
        <f>N318+M319</f>
        <v>0</v>
      </c>
      <c r="O319" s="98">
        <f>(N307+N319+SUM(N308:N318)*2)/24</f>
        <v>-741696.21625565679</v>
      </c>
      <c r="P319" s="714">
        <f>O319+K319</f>
        <v>2236275.7848890801</v>
      </c>
      <c r="S319" s="559">
        <f>$E$79-(SUM($H$79:H319)*$U$75)</f>
        <v>52761311.789999977</v>
      </c>
      <c r="T319" s="66"/>
      <c r="U319" s="726"/>
    </row>
    <row r="320" spans="1:21" hidden="1" outlineLevel="1">
      <c r="A320" s="706"/>
      <c r="B320" s="108">
        <v>48213</v>
      </c>
      <c r="C320" s="65"/>
      <c r="D320" s="718"/>
      <c r="E320" s="712">
        <f t="shared" ref="E320:E330" si="72">D320+E319</f>
        <v>52761311.789999977</v>
      </c>
      <c r="F320" s="713">
        <f t="shared" ref="F320:F330" si="73">F319+D320</f>
        <v>141761311.78999987</v>
      </c>
      <c r="G320" s="98">
        <f t="shared" ref="G320:G330" si="74">(F308+F320+SUM(F309:F319)*2)/24</f>
        <v>141761311.7899999</v>
      </c>
      <c r="H320" s="818">
        <f>H319</f>
        <v>6.5565109252929688E-7</v>
      </c>
      <c r="I320" s="98">
        <f t="shared" si="70"/>
        <v>-141761311.79000053</v>
      </c>
      <c r="J320" s="98">
        <f t="shared" ref="J320:J330" si="75">(I308+I320+SUM(I309:I319)*2)/24</f>
        <v>-139300177.90475628</v>
      </c>
      <c r="K320" s="98">
        <f t="shared" ref="K320:K330" si="76">G320+J320</f>
        <v>2461133.8852436244</v>
      </c>
      <c r="L320" s="1189">
        <f t="shared" si="71"/>
        <v>-6.5565109252929688E-7</v>
      </c>
      <c r="M320" s="400">
        <v>0</v>
      </c>
      <c r="N320" s="556">
        <f t="shared" ref="N320:N330" si="77">N319+M320</f>
        <v>0</v>
      </c>
      <c r="O320" s="98">
        <f t="shared" ref="O320:O330" si="78">(N308+N320+SUM(N309:N319)*2)/24</f>
        <v>-643609.16356278479</v>
      </c>
      <c r="P320" s="714">
        <f t="shared" ref="P320:P330" si="79">O320+K320</f>
        <v>1817524.7216808395</v>
      </c>
      <c r="S320" s="559">
        <f>$E$79-(SUM($H$79:H320)*$U$75)</f>
        <v>52761311.789999977</v>
      </c>
      <c r="T320" s="66"/>
      <c r="U320" s="726"/>
    </row>
    <row r="321" spans="1:21" hidden="1" outlineLevel="1">
      <c r="A321" s="706"/>
      <c r="B321" s="108">
        <v>48244</v>
      </c>
      <c r="C321" s="65"/>
      <c r="D321" s="718"/>
      <c r="E321" s="712">
        <f t="shared" si="72"/>
        <v>52761311.789999977</v>
      </c>
      <c r="F321" s="713">
        <f t="shared" si="73"/>
        <v>141761311.78999987</v>
      </c>
      <c r="G321" s="98">
        <f t="shared" si="74"/>
        <v>141761311.7899999</v>
      </c>
      <c r="H321" s="818">
        <f t="shared" ref="H321:H330" si="80">H320</f>
        <v>6.5565109252929688E-7</v>
      </c>
      <c r="I321" s="98">
        <f t="shared" si="70"/>
        <v>-141761311.79000118</v>
      </c>
      <c r="J321" s="98">
        <f t="shared" si="75"/>
        <v>-139767793.34295261</v>
      </c>
      <c r="K321" s="98">
        <f t="shared" si="76"/>
        <v>1993518.4470472932</v>
      </c>
      <c r="L321" s="1189">
        <f t="shared" si="71"/>
        <v>-1.3113021850585938E-6</v>
      </c>
      <c r="M321" s="400">
        <v>0</v>
      </c>
      <c r="N321" s="556">
        <f t="shared" si="77"/>
        <v>0</v>
      </c>
      <c r="O321" s="98">
        <f t="shared" si="78"/>
        <v>-551934.07584439206</v>
      </c>
      <c r="P321" s="714">
        <f t="shared" si="79"/>
        <v>1441584.371202901</v>
      </c>
      <c r="S321" s="559">
        <f>$E$79-(SUM($H$79:H321)*$U$75)</f>
        <v>52761311.789999977</v>
      </c>
      <c r="T321" s="66"/>
      <c r="U321" s="726"/>
    </row>
    <row r="322" spans="1:21" hidden="1" outlineLevel="1">
      <c r="A322" s="706"/>
      <c r="B322" s="108">
        <v>48272</v>
      </c>
      <c r="C322" s="65"/>
      <c r="D322" s="65"/>
      <c r="E322" s="712">
        <f t="shared" si="72"/>
        <v>52761311.789999977</v>
      </c>
      <c r="F322" s="713">
        <f t="shared" si="73"/>
        <v>141761311.78999987</v>
      </c>
      <c r="G322" s="98">
        <f t="shared" si="74"/>
        <v>141761311.7899999</v>
      </c>
      <c r="H322" s="818">
        <f t="shared" si="80"/>
        <v>6.5565109252929688E-7</v>
      </c>
      <c r="I322" s="98">
        <f t="shared" si="70"/>
        <v>-141761311.79000184</v>
      </c>
      <c r="J322" s="98">
        <f t="shared" si="75"/>
        <v>-140186186.1034441</v>
      </c>
      <c r="K322" s="98">
        <f t="shared" si="76"/>
        <v>1575125.6865558028</v>
      </c>
      <c r="L322" s="1189">
        <f t="shared" si="71"/>
        <v>-1.9669532775878906E-6</v>
      </c>
      <c r="M322" s="400">
        <v>0</v>
      </c>
      <c r="N322" s="556">
        <f t="shared" si="77"/>
        <v>0</v>
      </c>
      <c r="O322" s="98">
        <f t="shared" si="78"/>
        <v>-466670.95310047857</v>
      </c>
      <c r="P322" s="714">
        <f t="shared" si="79"/>
        <v>1108454.7334553243</v>
      </c>
      <c r="S322" s="559">
        <f>$E$79-(SUM($H$79:H322)*$U$75)</f>
        <v>52761311.789999977</v>
      </c>
      <c r="T322" s="66"/>
      <c r="U322" s="726"/>
    </row>
    <row r="323" spans="1:21" hidden="1" outlineLevel="1">
      <c r="A323" s="706"/>
      <c r="B323" s="108">
        <v>48304</v>
      </c>
      <c r="C323" s="65"/>
      <c r="D323" s="65"/>
      <c r="E323" s="712">
        <f t="shared" si="72"/>
        <v>52761311.789999977</v>
      </c>
      <c r="F323" s="713">
        <f t="shared" si="73"/>
        <v>141761311.78999987</v>
      </c>
      <c r="G323" s="98">
        <f t="shared" si="74"/>
        <v>141761311.7899999</v>
      </c>
      <c r="H323" s="818">
        <f t="shared" si="80"/>
        <v>6.5565109252929688E-7</v>
      </c>
      <c r="I323" s="98">
        <f t="shared" si="70"/>
        <v>-141761311.7900025</v>
      </c>
      <c r="J323" s="98">
        <f t="shared" si="75"/>
        <v>-140555356.18623081</v>
      </c>
      <c r="K323" s="98">
        <f t="shared" si="76"/>
        <v>1205955.6037690938</v>
      </c>
      <c r="L323" s="1189">
        <f t="shared" si="71"/>
        <v>-2.6226043701171875E-6</v>
      </c>
      <c r="M323" s="400">
        <v>0</v>
      </c>
      <c r="N323" s="556">
        <f t="shared" si="77"/>
        <v>0</v>
      </c>
      <c r="O323" s="98">
        <f t="shared" si="78"/>
        <v>-387819.79533104418</v>
      </c>
      <c r="P323" s="714">
        <f t="shared" si="79"/>
        <v>818135.80843804963</v>
      </c>
      <c r="S323" s="559">
        <f>$E$79-(SUM($H$79:H323)*$U$75)</f>
        <v>52761311.789999977</v>
      </c>
      <c r="T323" s="66"/>
      <c r="U323" s="726"/>
    </row>
    <row r="324" spans="1:21" hidden="1" outlineLevel="1">
      <c r="A324" s="706"/>
      <c r="B324" s="108">
        <v>48334</v>
      </c>
      <c r="C324" s="65"/>
      <c r="D324" s="718"/>
      <c r="E324" s="712">
        <f t="shared" si="72"/>
        <v>52761311.789999977</v>
      </c>
      <c r="F324" s="713">
        <f t="shared" si="73"/>
        <v>141761311.78999987</v>
      </c>
      <c r="G324" s="98">
        <f t="shared" si="74"/>
        <v>141761311.7899999</v>
      </c>
      <c r="H324" s="818">
        <f t="shared" si="80"/>
        <v>6.5565109252929688E-7</v>
      </c>
      <c r="I324" s="98">
        <f t="shared" si="70"/>
        <v>-141761311.79000315</v>
      </c>
      <c r="J324" s="98">
        <f t="shared" si="75"/>
        <v>-140875303.59131274</v>
      </c>
      <c r="K324" s="98">
        <f t="shared" si="76"/>
        <v>886008.19868716598</v>
      </c>
      <c r="L324" s="1189">
        <f t="shared" si="71"/>
        <v>-3.2782554626464844E-6</v>
      </c>
      <c r="M324" s="400">
        <v>0</v>
      </c>
      <c r="N324" s="556">
        <f t="shared" si="77"/>
        <v>0</v>
      </c>
      <c r="O324" s="98">
        <f t="shared" si="78"/>
        <v>-315380.60253608896</v>
      </c>
      <c r="P324" s="714">
        <f t="shared" si="79"/>
        <v>570627.59615107696</v>
      </c>
      <c r="S324" s="559">
        <f>$E$79-(SUM($H$79:H324)*$U$75)</f>
        <v>52761311.789999977</v>
      </c>
      <c r="T324" s="66"/>
      <c r="U324" s="726"/>
    </row>
    <row r="325" spans="1:21" hidden="1" outlineLevel="1">
      <c r="A325" s="706"/>
      <c r="B325" s="108">
        <v>48365</v>
      </c>
      <c r="C325" s="65"/>
      <c r="D325" s="718"/>
      <c r="E325" s="712">
        <f t="shared" si="72"/>
        <v>52761311.789999977</v>
      </c>
      <c r="F325" s="713">
        <f t="shared" si="73"/>
        <v>141761311.78999987</v>
      </c>
      <c r="G325" s="98">
        <f t="shared" si="74"/>
        <v>141761311.7899999</v>
      </c>
      <c r="H325" s="818">
        <f t="shared" si="80"/>
        <v>6.5565109252929688E-7</v>
      </c>
      <c r="I325" s="98">
        <f t="shared" si="70"/>
        <v>-141761311.79000381</v>
      </c>
      <c r="J325" s="98">
        <f t="shared" si="75"/>
        <v>-141146028.31868979</v>
      </c>
      <c r="K325" s="98">
        <f t="shared" si="76"/>
        <v>615283.4713101089</v>
      </c>
      <c r="L325" s="1189">
        <f t="shared" si="71"/>
        <v>-3.9339065551757813E-6</v>
      </c>
      <c r="M325" s="400">
        <v>0</v>
      </c>
      <c r="N325" s="556">
        <f t="shared" si="77"/>
        <v>0</v>
      </c>
      <c r="O325" s="98">
        <f t="shared" si="78"/>
        <v>-249353.37471561297</v>
      </c>
      <c r="P325" s="714">
        <f t="shared" si="79"/>
        <v>365930.09659449593</v>
      </c>
      <c r="S325" s="559">
        <f>$E$79-(SUM($H$79:H325)*$U$75)</f>
        <v>52761311.789999977</v>
      </c>
      <c r="T325" s="66"/>
      <c r="U325" s="726"/>
    </row>
    <row r="326" spans="1:21" hidden="1" outlineLevel="1">
      <c r="A326" s="706"/>
      <c r="B326" s="108">
        <v>48395</v>
      </c>
      <c r="C326" s="65"/>
      <c r="D326" s="718"/>
      <c r="E326" s="712">
        <f t="shared" si="72"/>
        <v>52761311.789999977</v>
      </c>
      <c r="F326" s="713">
        <f t="shared" si="73"/>
        <v>141761311.78999987</v>
      </c>
      <c r="G326" s="98">
        <f t="shared" si="74"/>
        <v>141761311.7899999</v>
      </c>
      <c r="H326" s="818">
        <f t="shared" si="80"/>
        <v>6.5565109252929688E-7</v>
      </c>
      <c r="I326" s="98">
        <f t="shared" si="70"/>
        <v>-141761311.79000446</v>
      </c>
      <c r="J326" s="98">
        <f t="shared" si="75"/>
        <v>-141367530.36836207</v>
      </c>
      <c r="K326" s="98">
        <f t="shared" si="76"/>
        <v>393781.42163783312</v>
      </c>
      <c r="L326" s="1189">
        <f t="shared" si="71"/>
        <v>-4.5895576477050781E-6</v>
      </c>
      <c r="M326" s="400">
        <v>0</v>
      </c>
      <c r="N326" s="556">
        <f t="shared" si="77"/>
        <v>0</v>
      </c>
      <c r="O326" s="98">
        <f t="shared" si="78"/>
        <v>-189738.11186961611</v>
      </c>
      <c r="P326" s="714">
        <f t="shared" si="79"/>
        <v>204043.309768217</v>
      </c>
      <c r="S326" s="559">
        <f>$E$79-(SUM($H$79:H326)*$U$75)</f>
        <v>52761311.789999977</v>
      </c>
      <c r="T326" s="66"/>
      <c r="U326" s="726"/>
    </row>
    <row r="327" spans="1:21" hidden="1" outlineLevel="1">
      <c r="A327" s="706"/>
      <c r="B327" s="108">
        <v>48426</v>
      </c>
      <c r="C327" s="65"/>
      <c r="D327" s="718"/>
      <c r="E327" s="712">
        <f t="shared" si="72"/>
        <v>52761311.789999977</v>
      </c>
      <c r="F327" s="713">
        <f t="shared" si="73"/>
        <v>141761311.78999987</v>
      </c>
      <c r="G327" s="98">
        <f t="shared" si="74"/>
        <v>141761311.7899999</v>
      </c>
      <c r="H327" s="818">
        <f t="shared" si="80"/>
        <v>6.5565109252929688E-7</v>
      </c>
      <c r="I327" s="98">
        <f t="shared" si="70"/>
        <v>-141761311.79000512</v>
      </c>
      <c r="J327" s="98">
        <f t="shared" si="75"/>
        <v>-141539809.74032953</v>
      </c>
      <c r="K327" s="98">
        <f t="shared" si="76"/>
        <v>221502.04967036843</v>
      </c>
      <c r="L327" s="1189">
        <f t="shared" si="71"/>
        <v>-5.245208740234375E-6</v>
      </c>
      <c r="M327" s="400">
        <v>0</v>
      </c>
      <c r="N327" s="556">
        <f t="shared" si="77"/>
        <v>0</v>
      </c>
      <c r="O327" s="98">
        <f t="shared" si="78"/>
        <v>-136534.81399809843</v>
      </c>
      <c r="P327" s="714">
        <f t="shared" si="79"/>
        <v>84967.235672270006</v>
      </c>
      <c r="S327" s="559">
        <f>$E$79-(SUM($H$79:H327)*$U$75)</f>
        <v>52761311.789999977</v>
      </c>
      <c r="T327" s="66"/>
      <c r="U327" s="726"/>
    </row>
    <row r="328" spans="1:21" hidden="1" outlineLevel="1">
      <c r="A328" s="706"/>
      <c r="B328" s="108">
        <v>48457</v>
      </c>
      <c r="C328" s="65"/>
      <c r="D328" s="718"/>
      <c r="E328" s="712">
        <f t="shared" si="72"/>
        <v>52761311.789999977</v>
      </c>
      <c r="F328" s="713">
        <f t="shared" si="73"/>
        <v>141761311.78999987</v>
      </c>
      <c r="G328" s="98">
        <f t="shared" si="74"/>
        <v>141761311.7899999</v>
      </c>
      <c r="H328" s="818">
        <f t="shared" si="80"/>
        <v>6.5565109252929688E-7</v>
      </c>
      <c r="I328" s="98">
        <f t="shared" si="70"/>
        <v>-141761311.79000577</v>
      </c>
      <c r="J328" s="98">
        <f t="shared" si="75"/>
        <v>-141662866.43459222</v>
      </c>
      <c r="K328" s="98">
        <f t="shared" si="76"/>
        <v>98445.355407685041</v>
      </c>
      <c r="L328" s="1189">
        <f t="shared" si="71"/>
        <v>-5.9008598327636719E-6</v>
      </c>
      <c r="M328" s="400">
        <v>0</v>
      </c>
      <c r="N328" s="556">
        <f t="shared" si="77"/>
        <v>0</v>
      </c>
      <c r="O328" s="98">
        <f t="shared" si="78"/>
        <v>-89743.481101059879</v>
      </c>
      <c r="P328" s="714">
        <f t="shared" si="79"/>
        <v>8701.8743066251627</v>
      </c>
      <c r="S328" s="559">
        <f>$E$79-(SUM($H$79:H328)*$U$75)</f>
        <v>52761311.789999977</v>
      </c>
      <c r="T328" s="66"/>
      <c r="U328" s="726"/>
    </row>
    <row r="329" spans="1:21" hidden="1" outlineLevel="1">
      <c r="A329" s="706"/>
      <c r="B329" s="108">
        <v>48487</v>
      </c>
      <c r="C329" s="65"/>
      <c r="D329" s="718"/>
      <c r="E329" s="712">
        <f t="shared" si="72"/>
        <v>52761311.789999977</v>
      </c>
      <c r="F329" s="713">
        <f t="shared" si="73"/>
        <v>141761311.78999987</v>
      </c>
      <c r="G329" s="98">
        <f t="shared" si="74"/>
        <v>141761311.7899999</v>
      </c>
      <c r="H329" s="818">
        <f t="shared" si="80"/>
        <v>6.5565109252929688E-7</v>
      </c>
      <c r="I329" s="98">
        <f t="shared" si="70"/>
        <v>-141761311.79000643</v>
      </c>
      <c r="J329" s="98">
        <f t="shared" si="75"/>
        <v>-141736700.45115009</v>
      </c>
      <c r="K329" s="98">
        <f t="shared" si="76"/>
        <v>24611.338849812746</v>
      </c>
      <c r="L329" s="1189">
        <f t="shared" si="71"/>
        <v>-6.5565109252929688E-6</v>
      </c>
      <c r="M329" s="400">
        <v>0</v>
      </c>
      <c r="N329" s="556">
        <f t="shared" si="77"/>
        <v>0</v>
      </c>
      <c r="O329" s="98">
        <f t="shared" si="78"/>
        <v>-49364.11317850052</v>
      </c>
      <c r="P329" s="714">
        <f>O329+K329</f>
        <v>-24752.774328687774</v>
      </c>
      <c r="S329" s="559">
        <f>$E$79-(SUM($H$79:H329)*$U$75)</f>
        <v>52761311.789999977</v>
      </c>
      <c r="T329" s="66"/>
      <c r="U329" s="726"/>
    </row>
    <row r="330" spans="1:21" hidden="1" outlineLevel="1">
      <c r="A330" s="706"/>
      <c r="B330" s="108">
        <v>48518</v>
      </c>
      <c r="C330" s="65"/>
      <c r="D330" s="718"/>
      <c r="E330" s="712">
        <f t="shared" si="72"/>
        <v>52761311.789999977</v>
      </c>
      <c r="F330" s="713">
        <f t="shared" si="73"/>
        <v>141761311.78999987</v>
      </c>
      <c r="G330" s="98">
        <f t="shared" si="74"/>
        <v>141761311.7899999</v>
      </c>
      <c r="H330" s="818">
        <f t="shared" si="80"/>
        <v>6.5565109252929688E-7</v>
      </c>
      <c r="I330" s="98">
        <f t="shared" si="70"/>
        <v>-141761311.79000708</v>
      </c>
      <c r="J330" s="98">
        <f t="shared" si="75"/>
        <v>-141761311.79000315</v>
      </c>
      <c r="K330" s="556">
        <f t="shared" si="76"/>
        <v>-3.2484531402587891E-6</v>
      </c>
      <c r="L330" s="1189">
        <f t="shared" si="71"/>
        <v>-7.2121620178222656E-6</v>
      </c>
      <c r="M330" s="400">
        <v>0</v>
      </c>
      <c r="N330" s="556">
        <f t="shared" si="77"/>
        <v>0</v>
      </c>
      <c r="O330" s="98">
        <f t="shared" si="78"/>
        <v>-15388.710230420313</v>
      </c>
      <c r="P330" s="714">
        <f t="shared" si="79"/>
        <v>-15388.710233668766</v>
      </c>
      <c r="S330" s="559">
        <f>$E$79-(SUM($H$79:H330)*$U$75)</f>
        <v>52761311.789999977</v>
      </c>
      <c r="T330" s="66"/>
      <c r="U330" s="726"/>
    </row>
    <row r="331" spans="1:21" hidden="1" outlineLevel="1">
      <c r="A331" s="709"/>
      <c r="B331" s="75"/>
      <c r="C331" s="75"/>
      <c r="D331" s="720"/>
      <c r="E331" s="721"/>
      <c r="F331" s="721"/>
      <c r="G331" s="722"/>
      <c r="H331" s="723"/>
      <c r="I331" s="722"/>
      <c r="J331" s="722"/>
      <c r="K331" s="722"/>
      <c r="L331" s="1199"/>
      <c r="M331" s="724"/>
      <c r="N331" s="75"/>
      <c r="O331" s="75"/>
      <c r="P331" s="725"/>
      <c r="S331" s="559"/>
      <c r="T331" s="66"/>
      <c r="U331" s="726"/>
    </row>
    <row r="332" spans="1:21" hidden="1" outlineLevel="1">
      <c r="B332" s="62" t="s">
        <v>174</v>
      </c>
      <c r="D332" s="122"/>
      <c r="E332" s="91"/>
      <c r="F332" s="91"/>
      <c r="G332" s="98"/>
      <c r="H332" s="102"/>
      <c r="I332" s="100"/>
      <c r="J332" s="98"/>
      <c r="K332" s="98"/>
      <c r="L332" s="1188"/>
      <c r="M332" s="94"/>
      <c r="N332" s="100"/>
    </row>
    <row r="333" spans="1:21" hidden="1" outlineLevel="1">
      <c r="B333" s="62" t="s">
        <v>173</v>
      </c>
      <c r="D333" s="122"/>
      <c r="E333" s="91"/>
      <c r="F333" s="91"/>
      <c r="G333" s="98"/>
      <c r="H333" s="102"/>
      <c r="I333" s="100"/>
      <c r="J333" s="98"/>
      <c r="K333" s="98"/>
      <c r="L333" s="1188"/>
      <c r="M333" s="94"/>
    </row>
    <row r="334" spans="1:21" collapsed="1">
      <c r="D334" s="122"/>
      <c r="E334" s="91"/>
      <c r="F334" s="91"/>
      <c r="G334" s="98"/>
      <c r="H334" s="102"/>
      <c r="I334" s="100"/>
      <c r="J334" s="98"/>
      <c r="K334" s="98"/>
      <c r="L334" s="1188"/>
      <c r="M334" s="94"/>
    </row>
    <row r="335" spans="1:21">
      <c r="D335" s="122"/>
      <c r="E335" s="91"/>
      <c r="F335" s="91"/>
      <c r="G335" s="98"/>
      <c r="H335" s="102"/>
      <c r="I335" s="100"/>
      <c r="J335" s="98"/>
      <c r="K335" s="98"/>
      <c r="L335" s="1188"/>
      <c r="M335" s="94"/>
    </row>
    <row r="336" spans="1:21">
      <c r="D336" s="122"/>
      <c r="E336" s="91"/>
      <c r="F336" s="91"/>
      <c r="G336" s="98"/>
      <c r="H336" s="102"/>
      <c r="I336" s="100"/>
      <c r="L336" s="1188"/>
      <c r="M336" s="94"/>
    </row>
    <row r="337" spans="4:13">
      <c r="D337" s="122"/>
      <c r="E337" s="91"/>
      <c r="F337" s="91"/>
      <c r="G337" s="98"/>
      <c r="H337" s="102"/>
      <c r="I337" s="100"/>
      <c r="L337" s="1188"/>
      <c r="M337" s="94"/>
    </row>
    <row r="338" spans="4:13">
      <c r="D338" s="122"/>
      <c r="E338" s="91"/>
      <c r="F338" s="91"/>
      <c r="G338" s="98"/>
      <c r="H338" s="102"/>
      <c r="I338" s="100"/>
      <c r="L338" s="1188"/>
      <c r="M338" s="94"/>
    </row>
    <row r="339" spans="4:13">
      <c r="D339" s="122"/>
      <c r="E339" s="91"/>
      <c r="F339" s="91"/>
      <c r="G339" s="98"/>
      <c r="H339" s="102"/>
      <c r="I339" s="100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</sheetData>
  <mergeCells count="1">
    <mergeCell ref="D11:F11"/>
  </mergeCells>
  <phoneticPr fontId="0" type="noConversion"/>
  <printOptions horizontalCentered="1"/>
  <pageMargins left="0" right="0" top="0.75" bottom="0.5" header="0.11" footer="0"/>
  <pageSetup scale="70" fitToHeight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269"/>
  <sheetViews>
    <sheetView zoomScaleNormal="100" workbookViewId="0">
      <pane xSplit="2" ySplit="20" topLeftCell="C92" activePane="bottomRight" state="frozen"/>
      <selection activeCell="M85" sqref="M85"/>
      <selection pane="topRight" activeCell="M85" sqref="M85"/>
      <selection pane="bottomLeft" activeCell="M85" sqref="M85"/>
      <selection pane="bottomRight" activeCell="D269" sqref="D269"/>
    </sheetView>
  </sheetViews>
  <sheetFormatPr defaultRowHeight="12.75" outlineLevelRow="1"/>
  <cols>
    <col min="1" max="1" width="23.85546875" customWidth="1"/>
    <col min="2" max="2" width="17.28515625" bestFit="1" customWidth="1"/>
    <col min="3" max="3" width="12.7109375" customWidth="1"/>
    <col min="4" max="4" width="13.140625" bestFit="1" customWidth="1"/>
    <col min="5" max="5" width="15.7109375" customWidth="1"/>
  </cols>
  <sheetData>
    <row r="1" spans="1:6">
      <c r="A1" s="63" t="s">
        <v>9</v>
      </c>
    </row>
    <row r="2" spans="1:6">
      <c r="A2" s="63" t="s">
        <v>200</v>
      </c>
    </row>
    <row r="3" spans="1:6">
      <c r="A3" s="124" t="s">
        <v>201</v>
      </c>
    </row>
    <row r="5" spans="1:6">
      <c r="A5" s="62"/>
      <c r="B5" s="62"/>
      <c r="C5" s="71" t="s">
        <v>93</v>
      </c>
      <c r="D5" s="83" t="s">
        <v>2</v>
      </c>
      <c r="E5" s="72" t="s">
        <v>149</v>
      </c>
    </row>
    <row r="6" spans="1:6">
      <c r="A6" s="65"/>
      <c r="B6" s="86" t="s">
        <v>17</v>
      </c>
      <c r="C6" s="83" t="s">
        <v>28</v>
      </c>
      <c r="D6" s="83"/>
      <c r="E6" s="87" t="s">
        <v>34</v>
      </c>
    </row>
    <row r="7" spans="1:6">
      <c r="A7" s="65"/>
      <c r="B7" s="86"/>
      <c r="C7" s="87" t="s">
        <v>119</v>
      </c>
      <c r="D7" s="87" t="s">
        <v>31</v>
      </c>
      <c r="E7" s="87" t="s">
        <v>108</v>
      </c>
      <c r="F7" s="133"/>
    </row>
    <row r="8" spans="1:6">
      <c r="A8" s="75"/>
      <c r="B8" s="88"/>
      <c r="C8" s="1054" t="s">
        <v>199</v>
      </c>
      <c r="D8" s="77"/>
      <c r="E8" s="79"/>
      <c r="F8" s="133"/>
    </row>
    <row r="9" spans="1:6" hidden="1">
      <c r="A9" s="65"/>
      <c r="B9" s="86"/>
      <c r="C9" s="87"/>
      <c r="D9" s="87"/>
      <c r="E9" s="87"/>
      <c r="F9" s="133"/>
    </row>
    <row r="10" spans="1:6" hidden="1">
      <c r="A10" s="65"/>
      <c r="B10" s="86"/>
      <c r="C10" s="87"/>
      <c r="D10" s="87"/>
      <c r="E10" s="87"/>
      <c r="F10" s="133"/>
    </row>
    <row r="11" spans="1:6" hidden="1">
      <c r="A11" s="65"/>
      <c r="B11" s="86"/>
      <c r="C11" s="87"/>
      <c r="D11" s="87"/>
      <c r="E11" s="87"/>
      <c r="F11" s="133"/>
    </row>
    <row r="12" spans="1:6" hidden="1">
      <c r="A12" s="65"/>
      <c r="B12" s="86"/>
      <c r="C12" s="87"/>
      <c r="D12" s="87"/>
      <c r="E12" s="87"/>
    </row>
    <row r="13" spans="1:6" hidden="1">
      <c r="A13" s="65"/>
      <c r="B13" s="86"/>
      <c r="C13" s="87"/>
      <c r="D13" s="87"/>
      <c r="E13" s="87"/>
    </row>
    <row r="14" spans="1:6" hidden="1">
      <c r="A14" s="65"/>
      <c r="B14" s="86"/>
      <c r="C14" s="87"/>
      <c r="D14" s="87"/>
      <c r="E14" s="87"/>
    </row>
    <row r="15" spans="1:6" hidden="1">
      <c r="A15" s="65"/>
      <c r="B15" s="86"/>
      <c r="C15" s="87"/>
      <c r="D15" s="87"/>
      <c r="E15" s="87"/>
    </row>
    <row r="16" spans="1:6" hidden="1">
      <c r="A16" s="65"/>
      <c r="B16" s="86"/>
      <c r="C16" s="87"/>
      <c r="D16" s="87"/>
      <c r="E16" s="87"/>
    </row>
    <row r="17" spans="1:5" hidden="1">
      <c r="A17" s="65"/>
      <c r="B17" s="86"/>
      <c r="C17" s="87"/>
      <c r="D17" s="87"/>
      <c r="E17" s="87"/>
    </row>
    <row r="18" spans="1:5" hidden="1">
      <c r="A18" s="65"/>
      <c r="B18" s="86"/>
      <c r="C18" s="87"/>
      <c r="D18" s="87"/>
      <c r="E18" s="87"/>
    </row>
    <row r="19" spans="1:5" hidden="1">
      <c r="A19" s="65"/>
      <c r="B19" s="86"/>
      <c r="C19" s="87"/>
      <c r="D19" s="87"/>
      <c r="E19" s="87"/>
    </row>
    <row r="20" spans="1:5" hidden="1">
      <c r="A20" s="65"/>
      <c r="B20" s="86"/>
      <c r="C20" s="87"/>
      <c r="D20" s="87"/>
      <c r="E20" s="87"/>
    </row>
    <row r="21" spans="1:5" hidden="1" outlineLevel="1">
      <c r="A21" s="65"/>
      <c r="B21" s="86" t="s">
        <v>181</v>
      </c>
      <c r="C21" s="134"/>
      <c r="D21" s="147">
        <v>0</v>
      </c>
      <c r="E21" s="87"/>
    </row>
    <row r="22" spans="1:5" hidden="1" outlineLevel="1">
      <c r="A22" s="65"/>
      <c r="B22" s="97">
        <v>40724</v>
      </c>
      <c r="C22" s="134"/>
      <c r="D22" s="147">
        <v>0</v>
      </c>
      <c r="E22" s="87"/>
    </row>
    <row r="23" spans="1:5" hidden="1" outlineLevel="1">
      <c r="A23" s="65"/>
      <c r="B23" s="97">
        <v>40755</v>
      </c>
      <c r="C23" s="135"/>
      <c r="D23" s="147">
        <v>0</v>
      </c>
      <c r="E23" s="87"/>
    </row>
    <row r="24" spans="1:5" hidden="1" outlineLevel="1">
      <c r="A24" s="65"/>
      <c r="B24" s="97">
        <v>40786</v>
      </c>
      <c r="C24" s="135"/>
      <c r="D24" s="147">
        <v>0</v>
      </c>
      <c r="E24" s="87"/>
    </row>
    <row r="25" spans="1:5" hidden="1" outlineLevel="1">
      <c r="A25" s="65"/>
      <c r="B25" s="97">
        <v>40816</v>
      </c>
      <c r="C25" s="135"/>
      <c r="D25" s="147">
        <v>0</v>
      </c>
      <c r="E25" s="87"/>
    </row>
    <row r="26" spans="1:5" hidden="1" outlineLevel="1">
      <c r="A26" s="65"/>
      <c r="B26" s="97">
        <v>40847</v>
      </c>
      <c r="C26" s="135"/>
      <c r="D26" s="147">
        <v>0</v>
      </c>
      <c r="E26" s="87"/>
    </row>
    <row r="27" spans="1:5" hidden="1" outlineLevel="1">
      <c r="A27" s="65"/>
      <c r="B27" s="97">
        <v>40877</v>
      </c>
      <c r="C27" s="135">
        <v>18500000</v>
      </c>
      <c r="D27" s="135">
        <f>C27</f>
        <v>18500000</v>
      </c>
      <c r="E27" s="87"/>
    </row>
    <row r="28" spans="1:5" hidden="1" outlineLevel="1">
      <c r="A28" s="65"/>
      <c r="B28" s="105">
        <v>40908</v>
      </c>
      <c r="C28" s="135"/>
      <c r="D28" s="135">
        <f t="shared" ref="D28:D91" si="0">D27</f>
        <v>18500000</v>
      </c>
      <c r="E28" s="87"/>
    </row>
    <row r="29" spans="1:5" hidden="1" outlineLevel="1">
      <c r="A29" s="65"/>
      <c r="B29" s="97">
        <v>40939</v>
      </c>
      <c r="C29" s="135"/>
      <c r="D29" s="135">
        <f t="shared" si="0"/>
        <v>18500000</v>
      </c>
      <c r="E29" s="87"/>
    </row>
    <row r="30" spans="1:5" hidden="1" outlineLevel="1">
      <c r="A30" s="65"/>
      <c r="B30" s="97">
        <v>40968</v>
      </c>
      <c r="C30" s="135"/>
      <c r="D30" s="135">
        <f t="shared" si="0"/>
        <v>18500000</v>
      </c>
      <c r="E30" s="87"/>
    </row>
    <row r="31" spans="1:5" hidden="1" outlineLevel="1">
      <c r="A31" s="65"/>
      <c r="B31" s="97">
        <v>40999</v>
      </c>
      <c r="C31" s="135"/>
      <c r="D31" s="135">
        <f t="shared" si="0"/>
        <v>18500000</v>
      </c>
      <c r="E31" s="87"/>
    </row>
    <row r="32" spans="1:5" hidden="1" outlineLevel="1">
      <c r="A32" s="62"/>
      <c r="B32" s="97">
        <v>41029</v>
      </c>
      <c r="C32" s="136"/>
      <c r="D32" s="135">
        <f t="shared" si="0"/>
        <v>18500000</v>
      </c>
      <c r="E32" s="98"/>
    </row>
    <row r="33" spans="1:9" s="131" customFormat="1" hidden="1" outlineLevel="1">
      <c r="A33" s="64"/>
      <c r="B33" s="105">
        <v>41060</v>
      </c>
      <c r="C33" s="137"/>
      <c r="D33" s="135">
        <f t="shared" si="0"/>
        <v>18500000</v>
      </c>
      <c r="E33" s="98">
        <f>(D21+D33+SUM(D22:D32)*2)/24</f>
        <v>10020833.333333334</v>
      </c>
    </row>
    <row r="34" spans="1:9" hidden="1" outlineLevel="1">
      <c r="A34" s="62"/>
      <c r="B34" s="97">
        <v>41090</v>
      </c>
      <c r="C34" s="138"/>
      <c r="D34" s="135">
        <f t="shared" si="0"/>
        <v>18500000</v>
      </c>
      <c r="E34" s="98">
        <f t="shared" ref="E34:E40" si="1">(D22+D34+SUM(D23:D33)*2)/24</f>
        <v>11562500</v>
      </c>
    </row>
    <row r="35" spans="1:9" hidden="1" outlineLevel="1">
      <c r="A35" s="62"/>
      <c r="B35" s="97">
        <v>41121</v>
      </c>
      <c r="C35" s="138"/>
      <c r="D35" s="135">
        <f t="shared" si="0"/>
        <v>18500000</v>
      </c>
      <c r="E35" s="98">
        <f t="shared" si="1"/>
        <v>13104166.666666666</v>
      </c>
    </row>
    <row r="36" spans="1:9" hidden="1" outlineLevel="1">
      <c r="A36" s="62"/>
      <c r="B36" s="97">
        <v>41152</v>
      </c>
      <c r="C36" s="138"/>
      <c r="D36" s="135">
        <f t="shared" si="0"/>
        <v>18500000</v>
      </c>
      <c r="E36" s="98">
        <f t="shared" si="1"/>
        <v>14645833.333333334</v>
      </c>
    </row>
    <row r="37" spans="1:9" hidden="1" outlineLevel="1">
      <c r="A37" s="62"/>
      <c r="B37" s="97">
        <v>41182</v>
      </c>
      <c r="C37" s="138"/>
      <c r="D37" s="135">
        <f t="shared" si="0"/>
        <v>18500000</v>
      </c>
      <c r="E37" s="98">
        <f t="shared" si="1"/>
        <v>16187500</v>
      </c>
    </row>
    <row r="38" spans="1:9" hidden="1" outlineLevel="1">
      <c r="A38" s="62"/>
      <c r="B38" s="97">
        <v>41213</v>
      </c>
      <c r="C38" s="138"/>
      <c r="D38" s="135">
        <f t="shared" si="0"/>
        <v>18500000</v>
      </c>
      <c r="E38" s="98">
        <f t="shared" si="1"/>
        <v>17729166.666666668</v>
      </c>
    </row>
    <row r="39" spans="1:9" hidden="1" outlineLevel="1">
      <c r="A39" s="62"/>
      <c r="B39" s="97">
        <v>41243</v>
      </c>
      <c r="C39" s="138"/>
      <c r="D39" s="135">
        <f t="shared" si="0"/>
        <v>18500000</v>
      </c>
      <c r="E39" s="98">
        <f t="shared" si="1"/>
        <v>18500000</v>
      </c>
    </row>
    <row r="40" spans="1:9" hidden="1" outlineLevel="1">
      <c r="A40" s="62"/>
      <c r="B40" s="105">
        <v>41274</v>
      </c>
      <c r="C40" s="138"/>
      <c r="D40" s="135">
        <f t="shared" si="0"/>
        <v>18500000</v>
      </c>
      <c r="E40" s="98">
        <f t="shared" si="1"/>
        <v>18500000</v>
      </c>
      <c r="F40" s="109"/>
      <c r="G40" s="109"/>
    </row>
    <row r="41" spans="1:9" hidden="1" outlineLevel="1">
      <c r="A41" s="62"/>
      <c r="B41" s="97">
        <v>41305</v>
      </c>
      <c r="C41" s="102"/>
      <c r="D41" s="135">
        <f t="shared" si="0"/>
        <v>18500000</v>
      </c>
      <c r="E41" s="98">
        <f>(D29+D41+SUM(D30:D40)*2)/24</f>
        <v>18500000</v>
      </c>
    </row>
    <row r="42" spans="1:9" hidden="1" outlineLevel="1">
      <c r="A42" s="62"/>
      <c r="B42" s="97">
        <v>41333</v>
      </c>
      <c r="C42" s="102"/>
      <c r="D42" s="135">
        <f t="shared" si="0"/>
        <v>18500000</v>
      </c>
      <c r="E42" s="98">
        <f>(D30+D42+SUM(D31:D41)*2)/24</f>
        <v>18500000</v>
      </c>
      <c r="F42" s="109"/>
      <c r="I42" t="s">
        <v>175</v>
      </c>
    </row>
    <row r="43" spans="1:9" hidden="1" outlineLevel="1">
      <c r="A43" s="62"/>
      <c r="B43" s="97">
        <v>41364</v>
      </c>
      <c r="C43" s="102"/>
      <c r="D43" s="135">
        <f t="shared" si="0"/>
        <v>18500000</v>
      </c>
      <c r="E43" s="98">
        <f>(D31+D43+SUM(D32:D42)*2)/24</f>
        <v>18500000</v>
      </c>
    </row>
    <row r="44" spans="1:9" hidden="1" outlineLevel="1">
      <c r="B44" s="97">
        <v>41394</v>
      </c>
      <c r="D44" s="135">
        <f t="shared" si="0"/>
        <v>18500000</v>
      </c>
      <c r="E44" s="98">
        <f>(D32+D44+SUM(D33:D43)*2)/24</f>
        <v>18500000</v>
      </c>
    </row>
    <row r="45" spans="1:9" hidden="1" outlineLevel="1">
      <c r="B45" s="105">
        <v>41425</v>
      </c>
      <c r="D45" s="135">
        <f t="shared" si="0"/>
        <v>18500000</v>
      </c>
      <c r="E45" s="98">
        <f t="shared" ref="E45:E52" si="2">(D33+D45+SUM(D34:D44)*2)/24</f>
        <v>18500000</v>
      </c>
    </row>
    <row r="46" spans="1:9" hidden="1" outlineLevel="1">
      <c r="B46" s="97">
        <v>41455</v>
      </c>
      <c r="D46" s="135">
        <f t="shared" si="0"/>
        <v>18500000</v>
      </c>
      <c r="E46" s="98">
        <f t="shared" si="2"/>
        <v>18500000</v>
      </c>
    </row>
    <row r="47" spans="1:9" hidden="1" outlineLevel="1">
      <c r="B47" s="97">
        <v>41486</v>
      </c>
      <c r="C47" s="109"/>
      <c r="D47" s="135">
        <f t="shared" si="0"/>
        <v>18500000</v>
      </c>
      <c r="E47" s="98">
        <f t="shared" si="2"/>
        <v>18500000</v>
      </c>
    </row>
    <row r="48" spans="1:9" hidden="1" outlineLevel="1">
      <c r="B48" s="97">
        <v>41517</v>
      </c>
      <c r="D48" s="135">
        <f t="shared" si="0"/>
        <v>18500000</v>
      </c>
      <c r="E48" s="98">
        <f t="shared" si="2"/>
        <v>18500000</v>
      </c>
    </row>
    <row r="49" spans="2:8" hidden="1" outlineLevel="1">
      <c r="B49" s="97">
        <v>41547</v>
      </c>
      <c r="C49" s="109"/>
      <c r="D49" s="135">
        <f t="shared" si="0"/>
        <v>18500000</v>
      </c>
      <c r="E49" s="98">
        <f t="shared" si="2"/>
        <v>18500000</v>
      </c>
    </row>
    <row r="50" spans="2:8" hidden="1" outlineLevel="1">
      <c r="B50" s="97">
        <v>41578</v>
      </c>
      <c r="C50" s="109"/>
      <c r="D50" s="135">
        <f t="shared" si="0"/>
        <v>18500000</v>
      </c>
      <c r="E50" s="98">
        <f t="shared" si="2"/>
        <v>18500000</v>
      </c>
    </row>
    <row r="51" spans="2:8" hidden="1" outlineLevel="1">
      <c r="B51" s="97">
        <v>41608</v>
      </c>
      <c r="D51" s="135">
        <f t="shared" si="0"/>
        <v>18500000</v>
      </c>
      <c r="E51" s="98">
        <f t="shared" si="2"/>
        <v>18500000</v>
      </c>
    </row>
    <row r="52" spans="2:8" hidden="1" outlineLevel="1">
      <c r="B52" s="105">
        <v>41639</v>
      </c>
      <c r="C52" s="109"/>
      <c r="D52" s="135">
        <f t="shared" si="0"/>
        <v>18500000</v>
      </c>
      <c r="E52" s="98">
        <f t="shared" si="2"/>
        <v>18500000</v>
      </c>
      <c r="F52" s="109"/>
      <c r="G52" s="109"/>
      <c r="H52" s="109"/>
    </row>
    <row r="53" spans="2:8" hidden="1" outlineLevel="1">
      <c r="B53" s="97">
        <v>41670</v>
      </c>
      <c r="C53" s="109"/>
      <c r="D53" s="135">
        <f t="shared" si="0"/>
        <v>18500000</v>
      </c>
      <c r="E53" s="98">
        <f t="shared" ref="E53:E64" si="3">(D41+D53+SUM(D42:D52)*2)/24</f>
        <v>18500000</v>
      </c>
      <c r="F53" s="109"/>
      <c r="G53" s="109"/>
      <c r="H53" s="109"/>
    </row>
    <row r="54" spans="2:8" hidden="1" outlineLevel="1">
      <c r="B54" s="97">
        <v>41698</v>
      </c>
      <c r="C54" s="109"/>
      <c r="D54" s="135">
        <f t="shared" si="0"/>
        <v>18500000</v>
      </c>
      <c r="E54" s="98">
        <f t="shared" si="3"/>
        <v>18500000</v>
      </c>
      <c r="F54" s="109"/>
    </row>
    <row r="55" spans="2:8" hidden="1" outlineLevel="1">
      <c r="B55" s="97">
        <v>41729</v>
      </c>
      <c r="C55" s="109"/>
      <c r="D55" s="135">
        <f t="shared" si="0"/>
        <v>18500000</v>
      </c>
      <c r="E55" s="98">
        <f t="shared" si="3"/>
        <v>18500000</v>
      </c>
      <c r="F55" s="109"/>
    </row>
    <row r="56" spans="2:8" hidden="1" outlineLevel="1">
      <c r="B56" s="97">
        <v>41759</v>
      </c>
      <c r="C56" s="109"/>
      <c r="D56" s="135">
        <f t="shared" si="0"/>
        <v>18500000</v>
      </c>
      <c r="E56" s="98">
        <f t="shared" si="3"/>
        <v>18500000</v>
      </c>
    </row>
    <row r="57" spans="2:8" hidden="1" outlineLevel="1">
      <c r="B57" s="105">
        <v>41790</v>
      </c>
      <c r="C57" s="109"/>
      <c r="D57" s="135">
        <f t="shared" si="0"/>
        <v>18500000</v>
      </c>
      <c r="E57" s="98">
        <f t="shared" si="3"/>
        <v>18500000</v>
      </c>
    </row>
    <row r="58" spans="2:8" hidden="1" outlineLevel="1">
      <c r="B58" s="97">
        <v>41820</v>
      </c>
      <c r="D58" s="135">
        <f t="shared" si="0"/>
        <v>18500000</v>
      </c>
      <c r="E58" s="98">
        <f t="shared" si="3"/>
        <v>18500000</v>
      </c>
    </row>
    <row r="59" spans="2:8" hidden="1" outlineLevel="1">
      <c r="B59" s="97">
        <v>41851</v>
      </c>
      <c r="C59" s="109"/>
      <c r="D59" s="135">
        <f t="shared" si="0"/>
        <v>18500000</v>
      </c>
      <c r="E59" s="98">
        <f t="shared" si="3"/>
        <v>18500000</v>
      </c>
    </row>
    <row r="60" spans="2:8" hidden="1" outlineLevel="1">
      <c r="B60" s="97">
        <v>41882</v>
      </c>
      <c r="C60" s="109"/>
      <c r="D60" s="135">
        <f t="shared" si="0"/>
        <v>18500000</v>
      </c>
      <c r="E60" s="98">
        <f t="shared" si="3"/>
        <v>18500000</v>
      </c>
      <c r="F60" s="109"/>
    </row>
    <row r="61" spans="2:8" hidden="1" outlineLevel="1">
      <c r="B61" s="97">
        <v>41912</v>
      </c>
      <c r="C61" s="109"/>
      <c r="D61" s="135">
        <f t="shared" si="0"/>
        <v>18500000</v>
      </c>
      <c r="E61" s="98">
        <f t="shared" si="3"/>
        <v>18500000</v>
      </c>
      <c r="F61" s="109"/>
    </row>
    <row r="62" spans="2:8" hidden="1" outlineLevel="1">
      <c r="B62" s="97">
        <v>41943</v>
      </c>
      <c r="C62" s="109"/>
      <c r="D62" s="135">
        <f t="shared" si="0"/>
        <v>18500000</v>
      </c>
      <c r="E62" s="98">
        <f t="shared" si="3"/>
        <v>18500000</v>
      </c>
      <c r="F62" s="109"/>
      <c r="G62" s="109"/>
    </row>
    <row r="63" spans="2:8" hidden="1" outlineLevel="1">
      <c r="B63" s="97">
        <v>41973</v>
      </c>
      <c r="D63" s="135">
        <f t="shared" si="0"/>
        <v>18500000</v>
      </c>
      <c r="E63" s="98">
        <f t="shared" si="3"/>
        <v>18500000</v>
      </c>
    </row>
    <row r="64" spans="2:8" hidden="1" outlineLevel="1">
      <c r="B64" s="105">
        <v>42004</v>
      </c>
      <c r="C64" s="109"/>
      <c r="D64" s="135">
        <f t="shared" si="0"/>
        <v>18500000</v>
      </c>
      <c r="E64" s="98">
        <f t="shared" si="3"/>
        <v>18500000</v>
      </c>
      <c r="F64" s="109"/>
      <c r="G64" s="109"/>
      <c r="H64" s="109"/>
    </row>
    <row r="65" spans="2:8" collapsed="1">
      <c r="B65" s="97">
        <v>42035</v>
      </c>
      <c r="C65" s="109"/>
      <c r="D65" s="135">
        <f t="shared" si="0"/>
        <v>18500000</v>
      </c>
      <c r="E65" s="98">
        <f>(D53+D65+SUM(D54:D64)*2)/24</f>
        <v>18500000</v>
      </c>
      <c r="F65" s="109"/>
      <c r="G65" s="109"/>
      <c r="H65" s="109"/>
    </row>
    <row r="66" spans="2:8">
      <c r="B66" s="97">
        <v>42063</v>
      </c>
      <c r="C66" s="109"/>
      <c r="D66" s="135">
        <f t="shared" si="0"/>
        <v>18500000</v>
      </c>
      <c r="E66" s="98">
        <f t="shared" ref="E66:E76" si="4">(D54+D66+SUM(D55:D65)*2)/24</f>
        <v>18500000</v>
      </c>
      <c r="F66" s="109"/>
    </row>
    <row r="67" spans="2:8">
      <c r="B67" s="97">
        <v>42094</v>
      </c>
      <c r="C67" s="109"/>
      <c r="D67" s="135">
        <f t="shared" si="0"/>
        <v>18500000</v>
      </c>
      <c r="E67" s="98">
        <f t="shared" si="4"/>
        <v>18500000</v>
      </c>
      <c r="F67" s="109"/>
    </row>
    <row r="68" spans="2:8">
      <c r="B68" s="97">
        <v>42124</v>
      </c>
      <c r="C68" s="109"/>
      <c r="D68" s="135">
        <f t="shared" si="0"/>
        <v>18500000</v>
      </c>
      <c r="E68" s="98">
        <f t="shared" si="4"/>
        <v>18500000</v>
      </c>
      <c r="F68" s="109"/>
    </row>
    <row r="69" spans="2:8">
      <c r="B69" s="105">
        <v>42155</v>
      </c>
      <c r="D69" s="135">
        <f t="shared" si="0"/>
        <v>18500000</v>
      </c>
      <c r="E69" s="98">
        <f t="shared" si="4"/>
        <v>18500000</v>
      </c>
    </row>
    <row r="70" spans="2:8">
      <c r="B70" s="105">
        <v>42185</v>
      </c>
      <c r="D70" s="135">
        <f t="shared" si="0"/>
        <v>18500000</v>
      </c>
      <c r="E70" s="98">
        <f t="shared" si="4"/>
        <v>18500000</v>
      </c>
    </row>
    <row r="71" spans="2:8">
      <c r="B71" s="97">
        <v>42216</v>
      </c>
      <c r="C71" s="109"/>
      <c r="D71" s="135">
        <f t="shared" si="0"/>
        <v>18500000</v>
      </c>
      <c r="E71" s="98">
        <f t="shared" si="4"/>
        <v>18500000</v>
      </c>
      <c r="F71" s="109"/>
      <c r="G71" s="109"/>
    </row>
    <row r="72" spans="2:8">
      <c r="B72" s="97">
        <v>42247</v>
      </c>
      <c r="C72" s="109"/>
      <c r="D72" s="135">
        <f t="shared" si="0"/>
        <v>18500000</v>
      </c>
      <c r="E72" s="98">
        <f t="shared" si="4"/>
        <v>18500000</v>
      </c>
      <c r="F72" s="109"/>
      <c r="G72" s="109"/>
    </row>
    <row r="73" spans="2:8">
      <c r="B73" s="97">
        <v>42277</v>
      </c>
      <c r="C73" s="109"/>
      <c r="D73" s="135">
        <f t="shared" si="0"/>
        <v>18500000</v>
      </c>
      <c r="E73" s="98">
        <f t="shared" si="4"/>
        <v>18500000</v>
      </c>
      <c r="F73" s="109"/>
      <c r="G73" s="109"/>
    </row>
    <row r="74" spans="2:8">
      <c r="B74" s="97">
        <v>42308</v>
      </c>
      <c r="C74" s="109"/>
      <c r="D74" s="135">
        <f t="shared" si="0"/>
        <v>18500000</v>
      </c>
      <c r="E74" s="98">
        <f t="shared" si="4"/>
        <v>18500000</v>
      </c>
    </row>
    <row r="75" spans="2:8">
      <c r="B75" s="97">
        <v>42338</v>
      </c>
      <c r="C75" s="109"/>
      <c r="D75" s="135">
        <f t="shared" si="0"/>
        <v>18500000</v>
      </c>
      <c r="E75" s="98">
        <f t="shared" si="4"/>
        <v>18500000</v>
      </c>
      <c r="F75" s="109"/>
    </row>
    <row r="76" spans="2:8">
      <c r="B76" s="105">
        <v>42369</v>
      </c>
      <c r="D76" s="135">
        <f t="shared" si="0"/>
        <v>18500000</v>
      </c>
      <c r="E76" s="98">
        <f t="shared" si="4"/>
        <v>18500000</v>
      </c>
    </row>
    <row r="77" spans="2:8">
      <c r="B77" s="97">
        <v>42400</v>
      </c>
      <c r="C77" s="109"/>
      <c r="D77" s="135">
        <f t="shared" si="0"/>
        <v>18500000</v>
      </c>
      <c r="E77" s="98">
        <f t="shared" ref="E77:E88" si="5">(D65+D77+SUM(D66:D76)*2)/24</f>
        <v>18500000</v>
      </c>
      <c r="F77" s="109"/>
    </row>
    <row r="78" spans="2:8">
      <c r="B78" s="97">
        <v>42428</v>
      </c>
      <c r="C78" s="109"/>
      <c r="D78" s="135">
        <f t="shared" si="0"/>
        <v>18500000</v>
      </c>
      <c r="E78" s="98">
        <f t="shared" si="5"/>
        <v>18500000</v>
      </c>
      <c r="F78" s="109"/>
    </row>
    <row r="79" spans="2:8">
      <c r="B79" s="97">
        <v>42460</v>
      </c>
      <c r="C79" s="109"/>
      <c r="D79" s="135">
        <f t="shared" si="0"/>
        <v>18500000</v>
      </c>
      <c r="E79" s="98">
        <f t="shared" si="5"/>
        <v>18500000</v>
      </c>
      <c r="F79" s="109"/>
      <c r="G79" s="109"/>
      <c r="H79" s="109"/>
    </row>
    <row r="80" spans="2:8">
      <c r="B80" s="97">
        <v>42490</v>
      </c>
      <c r="C80" s="109"/>
      <c r="D80" s="135">
        <f t="shared" si="0"/>
        <v>18500000</v>
      </c>
      <c r="E80" s="98">
        <f t="shared" si="5"/>
        <v>18500000</v>
      </c>
      <c r="F80" s="109"/>
    </row>
    <row r="81" spans="2:9">
      <c r="B81" s="105">
        <v>42521</v>
      </c>
      <c r="C81" s="109"/>
      <c r="D81" s="135">
        <f t="shared" si="0"/>
        <v>18500000</v>
      </c>
      <c r="E81" s="98">
        <f t="shared" si="5"/>
        <v>18500000</v>
      </c>
      <c r="F81" s="109"/>
      <c r="G81" s="109"/>
      <c r="H81" s="109"/>
      <c r="I81" s="109"/>
    </row>
    <row r="82" spans="2:9">
      <c r="B82" s="97">
        <v>42551</v>
      </c>
      <c r="C82" s="109"/>
      <c r="D82" s="135">
        <f t="shared" si="0"/>
        <v>18500000</v>
      </c>
      <c r="E82" s="98">
        <f t="shared" si="5"/>
        <v>18500000</v>
      </c>
      <c r="F82" s="109"/>
    </row>
    <row r="83" spans="2:9">
      <c r="B83" s="97">
        <v>42582</v>
      </c>
      <c r="C83" s="109"/>
      <c r="D83" s="135">
        <f t="shared" si="0"/>
        <v>18500000</v>
      </c>
      <c r="E83" s="98">
        <f t="shared" si="5"/>
        <v>18500000</v>
      </c>
      <c r="F83" s="109"/>
      <c r="G83" s="109"/>
    </row>
    <row r="84" spans="2:9">
      <c r="B84" s="97">
        <v>42613</v>
      </c>
      <c r="C84" s="109"/>
      <c r="D84" s="135">
        <f t="shared" si="0"/>
        <v>18500000</v>
      </c>
      <c r="E84" s="98">
        <f t="shared" si="5"/>
        <v>18500000</v>
      </c>
    </row>
    <row r="85" spans="2:9">
      <c r="B85" s="97">
        <v>42643</v>
      </c>
      <c r="C85" s="109"/>
      <c r="D85" s="135">
        <f t="shared" si="0"/>
        <v>18500000</v>
      </c>
      <c r="E85" s="98">
        <f t="shared" si="5"/>
        <v>18500000</v>
      </c>
    </row>
    <row r="86" spans="2:9">
      <c r="B86" s="97">
        <v>42674</v>
      </c>
      <c r="D86" s="135">
        <f t="shared" si="0"/>
        <v>18500000</v>
      </c>
      <c r="E86" s="98">
        <f t="shared" si="5"/>
        <v>18500000</v>
      </c>
    </row>
    <row r="87" spans="2:9">
      <c r="B87" s="97">
        <v>42704</v>
      </c>
      <c r="D87" s="135">
        <f t="shared" si="0"/>
        <v>18500000</v>
      </c>
      <c r="E87" s="98">
        <f t="shared" si="5"/>
        <v>18500000</v>
      </c>
    </row>
    <row r="88" spans="2:9">
      <c r="B88" s="105">
        <v>42735</v>
      </c>
      <c r="D88" s="135">
        <f t="shared" si="0"/>
        <v>18500000</v>
      </c>
      <c r="E88" s="98">
        <f t="shared" si="5"/>
        <v>18500000</v>
      </c>
    </row>
    <row r="89" spans="2:9">
      <c r="B89" s="97">
        <v>42766</v>
      </c>
      <c r="D89" s="135">
        <f t="shared" si="0"/>
        <v>18500000</v>
      </c>
      <c r="E89" s="98">
        <f t="shared" ref="E89:E100" si="6">(D77+D89+SUM(D78:D88)*2)/24</f>
        <v>18500000</v>
      </c>
    </row>
    <row r="90" spans="2:9">
      <c r="B90" s="97">
        <v>42794</v>
      </c>
      <c r="D90" s="135">
        <f t="shared" si="0"/>
        <v>18500000</v>
      </c>
      <c r="E90" s="98">
        <f t="shared" si="6"/>
        <v>18500000</v>
      </c>
    </row>
    <row r="91" spans="2:9">
      <c r="B91" s="97">
        <v>42825</v>
      </c>
      <c r="D91" s="135">
        <f t="shared" si="0"/>
        <v>18500000</v>
      </c>
      <c r="E91" s="98">
        <f t="shared" si="6"/>
        <v>18500000</v>
      </c>
    </row>
    <row r="92" spans="2:9">
      <c r="B92" s="97">
        <v>42855</v>
      </c>
      <c r="D92" s="135">
        <f t="shared" ref="D92:D155" si="7">D91</f>
        <v>18500000</v>
      </c>
      <c r="E92" s="98">
        <f t="shared" si="6"/>
        <v>18500000</v>
      </c>
    </row>
    <row r="93" spans="2:9">
      <c r="B93" s="105">
        <v>42886</v>
      </c>
      <c r="D93" s="135">
        <f t="shared" si="7"/>
        <v>18500000</v>
      </c>
      <c r="E93" s="98">
        <f t="shared" si="6"/>
        <v>18500000</v>
      </c>
    </row>
    <row r="94" spans="2:9">
      <c r="B94" s="97">
        <v>42916</v>
      </c>
      <c r="D94" s="135">
        <f t="shared" si="7"/>
        <v>18500000</v>
      </c>
      <c r="E94" s="98">
        <f t="shared" si="6"/>
        <v>18500000</v>
      </c>
    </row>
    <row r="95" spans="2:9">
      <c r="B95" s="97">
        <v>42947</v>
      </c>
      <c r="D95" s="135">
        <f t="shared" si="7"/>
        <v>18500000</v>
      </c>
      <c r="E95" s="98">
        <f t="shared" si="6"/>
        <v>18500000</v>
      </c>
    </row>
    <row r="96" spans="2:9">
      <c r="B96" s="97">
        <v>42978</v>
      </c>
      <c r="D96" s="135">
        <f t="shared" si="7"/>
        <v>18500000</v>
      </c>
      <c r="E96" s="98">
        <f t="shared" si="6"/>
        <v>18500000</v>
      </c>
    </row>
    <row r="97" spans="2:5">
      <c r="B97" s="97">
        <v>43008</v>
      </c>
      <c r="D97" s="135">
        <f t="shared" si="7"/>
        <v>18500000</v>
      </c>
      <c r="E97" s="98">
        <f t="shared" si="6"/>
        <v>18500000</v>
      </c>
    </row>
    <row r="98" spans="2:5">
      <c r="B98" s="97">
        <v>43039</v>
      </c>
      <c r="D98" s="135">
        <f t="shared" si="7"/>
        <v>18500000</v>
      </c>
      <c r="E98" s="98">
        <f t="shared" si="6"/>
        <v>18500000</v>
      </c>
    </row>
    <row r="99" spans="2:5">
      <c r="B99" s="97">
        <v>43069</v>
      </c>
      <c r="D99" s="135">
        <f t="shared" si="7"/>
        <v>18500000</v>
      </c>
      <c r="E99" s="98">
        <f t="shared" si="6"/>
        <v>18500000</v>
      </c>
    </row>
    <row r="100" spans="2:5">
      <c r="B100" s="105">
        <v>43100</v>
      </c>
      <c r="D100" s="135">
        <f t="shared" si="7"/>
        <v>18500000</v>
      </c>
      <c r="E100" s="98">
        <f t="shared" si="6"/>
        <v>18500000</v>
      </c>
    </row>
    <row r="101" spans="2:5">
      <c r="B101" s="97">
        <v>43131</v>
      </c>
      <c r="D101" s="135">
        <f t="shared" si="7"/>
        <v>18500000</v>
      </c>
      <c r="E101" s="98">
        <f t="shared" ref="E101:E112" si="8">(D89+D101+SUM(D90:D100)*2)/24</f>
        <v>18500000</v>
      </c>
    </row>
    <row r="102" spans="2:5">
      <c r="B102" s="97">
        <v>43159</v>
      </c>
      <c r="D102" s="135">
        <f t="shared" si="7"/>
        <v>18500000</v>
      </c>
      <c r="E102" s="98">
        <f t="shared" si="8"/>
        <v>18500000</v>
      </c>
    </row>
    <row r="103" spans="2:5">
      <c r="B103" s="97">
        <v>43190</v>
      </c>
      <c r="D103" s="135">
        <f t="shared" si="7"/>
        <v>18500000</v>
      </c>
      <c r="E103" s="98">
        <f t="shared" si="8"/>
        <v>18500000</v>
      </c>
    </row>
    <row r="104" spans="2:5">
      <c r="B104" s="97">
        <v>43220</v>
      </c>
      <c r="D104" s="135">
        <f t="shared" si="7"/>
        <v>18500000</v>
      </c>
      <c r="E104" s="98">
        <f t="shared" si="8"/>
        <v>18500000</v>
      </c>
    </row>
    <row r="105" spans="2:5">
      <c r="B105" s="105">
        <v>43251</v>
      </c>
      <c r="D105" s="135">
        <f t="shared" si="7"/>
        <v>18500000</v>
      </c>
      <c r="E105" s="98">
        <f t="shared" si="8"/>
        <v>18500000</v>
      </c>
    </row>
    <row r="106" spans="2:5">
      <c r="B106" s="97">
        <v>43281</v>
      </c>
      <c r="D106" s="135">
        <f t="shared" si="7"/>
        <v>18500000</v>
      </c>
      <c r="E106" s="98">
        <f t="shared" si="8"/>
        <v>18500000</v>
      </c>
    </row>
    <row r="107" spans="2:5">
      <c r="B107" s="97">
        <v>43312</v>
      </c>
      <c r="D107" s="135">
        <f t="shared" si="7"/>
        <v>18500000</v>
      </c>
      <c r="E107" s="98">
        <f t="shared" si="8"/>
        <v>18500000</v>
      </c>
    </row>
    <row r="108" spans="2:5">
      <c r="B108" s="97">
        <v>43343</v>
      </c>
      <c r="D108" s="135">
        <f t="shared" si="7"/>
        <v>18500000</v>
      </c>
      <c r="E108" s="98">
        <f t="shared" si="8"/>
        <v>18500000</v>
      </c>
    </row>
    <row r="109" spans="2:5">
      <c r="B109" s="97">
        <v>43373</v>
      </c>
      <c r="D109" s="135">
        <f t="shared" si="7"/>
        <v>18500000</v>
      </c>
      <c r="E109" s="98">
        <f t="shared" si="8"/>
        <v>18500000</v>
      </c>
    </row>
    <row r="110" spans="2:5">
      <c r="B110" s="97">
        <v>43404</v>
      </c>
      <c r="D110" s="135">
        <f t="shared" si="7"/>
        <v>18500000</v>
      </c>
      <c r="E110" s="98">
        <f t="shared" si="8"/>
        <v>18500000</v>
      </c>
    </row>
    <row r="111" spans="2:5">
      <c r="B111" s="97">
        <v>43434</v>
      </c>
      <c r="D111" s="135">
        <f t="shared" si="7"/>
        <v>18500000</v>
      </c>
      <c r="E111" s="98">
        <f t="shared" si="8"/>
        <v>18500000</v>
      </c>
    </row>
    <row r="112" spans="2:5">
      <c r="B112" s="105">
        <v>43465</v>
      </c>
      <c r="D112" s="135">
        <f t="shared" si="7"/>
        <v>18500000</v>
      </c>
      <c r="E112" s="98">
        <f t="shared" si="8"/>
        <v>18500000</v>
      </c>
    </row>
    <row r="113" spans="2:5">
      <c r="B113" s="97">
        <v>43496</v>
      </c>
      <c r="D113" s="135">
        <f t="shared" si="7"/>
        <v>18500000</v>
      </c>
      <c r="E113" s="98">
        <f t="shared" ref="E113:E124" si="9">(D101+D113+SUM(D102:D112)*2)/24</f>
        <v>18500000</v>
      </c>
    </row>
    <row r="114" spans="2:5">
      <c r="B114" s="97">
        <v>43524</v>
      </c>
      <c r="D114" s="135">
        <f t="shared" si="7"/>
        <v>18500000</v>
      </c>
      <c r="E114" s="98">
        <f t="shared" si="9"/>
        <v>18500000</v>
      </c>
    </row>
    <row r="115" spans="2:5">
      <c r="B115" s="97">
        <v>43555</v>
      </c>
      <c r="D115" s="135">
        <f t="shared" si="7"/>
        <v>18500000</v>
      </c>
      <c r="E115" s="98">
        <f t="shared" si="9"/>
        <v>18500000</v>
      </c>
    </row>
    <row r="116" spans="2:5">
      <c r="B116" s="97">
        <v>43585</v>
      </c>
      <c r="D116" s="135">
        <f t="shared" si="7"/>
        <v>18500000</v>
      </c>
      <c r="E116" s="98">
        <f t="shared" si="9"/>
        <v>18500000</v>
      </c>
    </row>
    <row r="117" spans="2:5">
      <c r="B117" s="105">
        <v>43616</v>
      </c>
      <c r="D117" s="135">
        <f t="shared" si="7"/>
        <v>18500000</v>
      </c>
      <c r="E117" s="98">
        <f t="shared" si="9"/>
        <v>18500000</v>
      </c>
    </row>
    <row r="118" spans="2:5">
      <c r="B118" s="97">
        <v>43646</v>
      </c>
      <c r="D118" s="135">
        <f t="shared" si="7"/>
        <v>18500000</v>
      </c>
      <c r="E118" s="98">
        <f t="shared" si="9"/>
        <v>18500000</v>
      </c>
    </row>
    <row r="119" spans="2:5">
      <c r="B119" s="97">
        <v>43677</v>
      </c>
      <c r="D119" s="135">
        <f t="shared" si="7"/>
        <v>18500000</v>
      </c>
      <c r="E119" s="98">
        <f t="shared" si="9"/>
        <v>18500000</v>
      </c>
    </row>
    <row r="120" spans="2:5">
      <c r="B120" s="97">
        <v>43708</v>
      </c>
      <c r="D120" s="135">
        <f t="shared" si="7"/>
        <v>18500000</v>
      </c>
      <c r="E120" s="98">
        <f t="shared" si="9"/>
        <v>18500000</v>
      </c>
    </row>
    <row r="121" spans="2:5">
      <c r="B121" s="97">
        <v>43738</v>
      </c>
      <c r="D121" s="135">
        <f t="shared" si="7"/>
        <v>18500000</v>
      </c>
      <c r="E121" s="98">
        <f t="shared" si="9"/>
        <v>18500000</v>
      </c>
    </row>
    <row r="122" spans="2:5">
      <c r="B122" s="97">
        <v>43769</v>
      </c>
      <c r="D122" s="135">
        <f t="shared" si="7"/>
        <v>18500000</v>
      </c>
      <c r="E122" s="98">
        <f t="shared" si="9"/>
        <v>18500000</v>
      </c>
    </row>
    <row r="123" spans="2:5">
      <c r="B123" s="97">
        <v>43799</v>
      </c>
      <c r="D123" s="135">
        <f t="shared" si="7"/>
        <v>18500000</v>
      </c>
      <c r="E123" s="98">
        <f t="shared" si="9"/>
        <v>18500000</v>
      </c>
    </row>
    <row r="124" spans="2:5">
      <c r="B124" s="105">
        <v>43830</v>
      </c>
      <c r="D124" s="135">
        <f t="shared" si="7"/>
        <v>18500000</v>
      </c>
      <c r="E124" s="98">
        <f t="shared" si="9"/>
        <v>18500000</v>
      </c>
    </row>
    <row r="125" spans="2:5" hidden="1" outlineLevel="1">
      <c r="B125" s="97">
        <v>43861</v>
      </c>
      <c r="D125" s="135">
        <f t="shared" si="7"/>
        <v>18500000</v>
      </c>
      <c r="E125" s="98">
        <f t="shared" ref="E125:E136" si="10">(D113+D125+SUM(D114:D124)*2)/24</f>
        <v>18500000</v>
      </c>
    </row>
    <row r="126" spans="2:5" hidden="1" outlineLevel="1">
      <c r="B126" s="97">
        <v>43889</v>
      </c>
      <c r="D126" s="135">
        <f t="shared" si="7"/>
        <v>18500000</v>
      </c>
      <c r="E126" s="98">
        <f t="shared" si="10"/>
        <v>18500000</v>
      </c>
    </row>
    <row r="127" spans="2:5" hidden="1" outlineLevel="1">
      <c r="B127" s="97">
        <v>43921</v>
      </c>
      <c r="D127" s="135">
        <f t="shared" si="7"/>
        <v>18500000</v>
      </c>
      <c r="E127" s="98">
        <f t="shared" si="10"/>
        <v>18500000</v>
      </c>
    </row>
    <row r="128" spans="2:5" hidden="1" outlineLevel="1">
      <c r="B128" s="97">
        <v>43951</v>
      </c>
      <c r="D128" s="135">
        <f t="shared" si="7"/>
        <v>18500000</v>
      </c>
      <c r="E128" s="98">
        <f t="shared" si="10"/>
        <v>18500000</v>
      </c>
    </row>
    <row r="129" spans="2:5" hidden="1" outlineLevel="1">
      <c r="B129" s="105">
        <v>43982</v>
      </c>
      <c r="D129" s="135">
        <f t="shared" si="7"/>
        <v>18500000</v>
      </c>
      <c r="E129" s="98">
        <f t="shared" si="10"/>
        <v>18500000</v>
      </c>
    </row>
    <row r="130" spans="2:5" hidden="1" outlineLevel="1">
      <c r="B130" s="97">
        <v>44012</v>
      </c>
      <c r="D130" s="135">
        <f t="shared" si="7"/>
        <v>18500000</v>
      </c>
      <c r="E130" s="98">
        <f t="shared" si="10"/>
        <v>18500000</v>
      </c>
    </row>
    <row r="131" spans="2:5" hidden="1" outlineLevel="1">
      <c r="B131" s="97">
        <v>44043</v>
      </c>
      <c r="D131" s="135">
        <f t="shared" si="7"/>
        <v>18500000</v>
      </c>
      <c r="E131" s="98">
        <f t="shared" si="10"/>
        <v>18500000</v>
      </c>
    </row>
    <row r="132" spans="2:5" hidden="1" outlineLevel="1">
      <c r="B132" s="97">
        <v>44074</v>
      </c>
      <c r="D132" s="135">
        <f t="shared" si="7"/>
        <v>18500000</v>
      </c>
      <c r="E132" s="98">
        <f t="shared" si="10"/>
        <v>18500000</v>
      </c>
    </row>
    <row r="133" spans="2:5" hidden="1" outlineLevel="1">
      <c r="B133" s="97">
        <v>44104</v>
      </c>
      <c r="D133" s="135">
        <f t="shared" si="7"/>
        <v>18500000</v>
      </c>
      <c r="E133" s="98">
        <f t="shared" si="10"/>
        <v>18500000</v>
      </c>
    </row>
    <row r="134" spans="2:5" hidden="1" outlineLevel="1">
      <c r="B134" s="97">
        <v>44135</v>
      </c>
      <c r="D134" s="135">
        <f t="shared" si="7"/>
        <v>18500000</v>
      </c>
      <c r="E134" s="98">
        <f t="shared" si="10"/>
        <v>18500000</v>
      </c>
    </row>
    <row r="135" spans="2:5" hidden="1" outlineLevel="1">
      <c r="B135" s="97">
        <v>44165</v>
      </c>
      <c r="D135" s="135">
        <f t="shared" si="7"/>
        <v>18500000</v>
      </c>
      <c r="E135" s="98">
        <f t="shared" si="10"/>
        <v>18500000</v>
      </c>
    </row>
    <row r="136" spans="2:5" hidden="1" outlineLevel="1">
      <c r="B136" s="105">
        <v>44196</v>
      </c>
      <c r="D136" s="135">
        <f t="shared" si="7"/>
        <v>18500000</v>
      </c>
      <c r="E136" s="98">
        <f t="shared" si="10"/>
        <v>18500000</v>
      </c>
    </row>
    <row r="137" spans="2:5" hidden="1" outlineLevel="1">
      <c r="B137" s="97">
        <v>44227</v>
      </c>
      <c r="D137" s="135">
        <f t="shared" si="7"/>
        <v>18500000</v>
      </c>
      <c r="E137" s="98">
        <f t="shared" ref="E137:E148" si="11">(D125+D137+SUM(D126:D136)*2)/24</f>
        <v>18500000</v>
      </c>
    </row>
    <row r="138" spans="2:5" hidden="1" outlineLevel="1">
      <c r="B138" s="97">
        <v>44255</v>
      </c>
      <c r="D138" s="135">
        <f t="shared" si="7"/>
        <v>18500000</v>
      </c>
      <c r="E138" s="98">
        <f t="shared" si="11"/>
        <v>18500000</v>
      </c>
    </row>
    <row r="139" spans="2:5" hidden="1" outlineLevel="1">
      <c r="B139" s="97">
        <v>44286</v>
      </c>
      <c r="D139" s="135">
        <f t="shared" si="7"/>
        <v>18500000</v>
      </c>
      <c r="E139" s="98">
        <f t="shared" si="11"/>
        <v>18500000</v>
      </c>
    </row>
    <row r="140" spans="2:5" hidden="1" outlineLevel="1">
      <c r="B140" s="97">
        <v>44316</v>
      </c>
      <c r="D140" s="135">
        <f t="shared" si="7"/>
        <v>18500000</v>
      </c>
      <c r="E140" s="98">
        <f t="shared" si="11"/>
        <v>18500000</v>
      </c>
    </row>
    <row r="141" spans="2:5" hidden="1" outlineLevel="1">
      <c r="B141" s="105">
        <v>44347</v>
      </c>
      <c r="D141" s="135">
        <f t="shared" si="7"/>
        <v>18500000</v>
      </c>
      <c r="E141" s="98">
        <f t="shared" si="11"/>
        <v>18500000</v>
      </c>
    </row>
    <row r="142" spans="2:5" hidden="1" outlineLevel="1">
      <c r="B142" s="97">
        <v>44377</v>
      </c>
      <c r="D142" s="135">
        <f t="shared" si="7"/>
        <v>18500000</v>
      </c>
      <c r="E142" s="98">
        <f t="shared" si="11"/>
        <v>18500000</v>
      </c>
    </row>
    <row r="143" spans="2:5" hidden="1" outlineLevel="1">
      <c r="B143" s="97">
        <v>44408</v>
      </c>
      <c r="D143" s="135">
        <f t="shared" si="7"/>
        <v>18500000</v>
      </c>
      <c r="E143" s="98">
        <f t="shared" si="11"/>
        <v>18500000</v>
      </c>
    </row>
    <row r="144" spans="2:5" hidden="1" outlineLevel="1">
      <c r="B144" s="97">
        <v>44439</v>
      </c>
      <c r="D144" s="135">
        <f t="shared" si="7"/>
        <v>18500000</v>
      </c>
      <c r="E144" s="98">
        <f t="shared" si="11"/>
        <v>18500000</v>
      </c>
    </row>
    <row r="145" spans="2:5" hidden="1" outlineLevel="1">
      <c r="B145" s="97">
        <v>44469</v>
      </c>
      <c r="D145" s="135">
        <f t="shared" si="7"/>
        <v>18500000</v>
      </c>
      <c r="E145" s="98">
        <f t="shared" si="11"/>
        <v>18500000</v>
      </c>
    </row>
    <row r="146" spans="2:5" hidden="1" outlineLevel="1">
      <c r="B146" s="97">
        <v>44500</v>
      </c>
      <c r="D146" s="135">
        <f t="shared" si="7"/>
        <v>18500000</v>
      </c>
      <c r="E146" s="98">
        <f t="shared" si="11"/>
        <v>18500000</v>
      </c>
    </row>
    <row r="147" spans="2:5" hidden="1" outlineLevel="1">
      <c r="B147" s="97">
        <v>44530</v>
      </c>
      <c r="D147" s="135">
        <f t="shared" si="7"/>
        <v>18500000</v>
      </c>
      <c r="E147" s="98">
        <f t="shared" si="11"/>
        <v>18500000</v>
      </c>
    </row>
    <row r="148" spans="2:5" hidden="1" outlineLevel="1">
      <c r="B148" s="105">
        <v>44561</v>
      </c>
      <c r="D148" s="135">
        <f t="shared" si="7"/>
        <v>18500000</v>
      </c>
      <c r="E148" s="98">
        <f t="shared" si="11"/>
        <v>18500000</v>
      </c>
    </row>
    <row r="149" spans="2:5" hidden="1" outlineLevel="1">
      <c r="B149" s="97">
        <v>44592</v>
      </c>
      <c r="D149" s="135">
        <f t="shared" si="7"/>
        <v>18500000</v>
      </c>
      <c r="E149" s="98">
        <f t="shared" ref="E149:E160" si="12">(D137+D149+SUM(D138:D148)*2)/24</f>
        <v>18500000</v>
      </c>
    </row>
    <row r="150" spans="2:5" hidden="1" outlineLevel="1">
      <c r="B150" s="97">
        <v>44620</v>
      </c>
      <c r="D150" s="135">
        <f t="shared" si="7"/>
        <v>18500000</v>
      </c>
      <c r="E150" s="98">
        <f t="shared" si="12"/>
        <v>18500000</v>
      </c>
    </row>
    <row r="151" spans="2:5" hidden="1" outlineLevel="1">
      <c r="B151" s="97">
        <v>44651</v>
      </c>
      <c r="D151" s="135">
        <f t="shared" si="7"/>
        <v>18500000</v>
      </c>
      <c r="E151" s="98">
        <f t="shared" si="12"/>
        <v>18500000</v>
      </c>
    </row>
    <row r="152" spans="2:5" hidden="1" outlineLevel="1">
      <c r="B152" s="97">
        <v>44681</v>
      </c>
      <c r="D152" s="135">
        <f t="shared" si="7"/>
        <v>18500000</v>
      </c>
      <c r="E152" s="98">
        <f t="shared" si="12"/>
        <v>18500000</v>
      </c>
    </row>
    <row r="153" spans="2:5" hidden="1" outlineLevel="1">
      <c r="B153" s="105">
        <v>44712</v>
      </c>
      <c r="D153" s="135">
        <f t="shared" si="7"/>
        <v>18500000</v>
      </c>
      <c r="E153" s="98">
        <f t="shared" si="12"/>
        <v>18500000</v>
      </c>
    </row>
    <row r="154" spans="2:5" hidden="1" outlineLevel="1">
      <c r="B154" s="97">
        <v>44742</v>
      </c>
      <c r="D154" s="135">
        <f t="shared" si="7"/>
        <v>18500000</v>
      </c>
      <c r="E154" s="98">
        <f t="shared" si="12"/>
        <v>18500000</v>
      </c>
    </row>
    <row r="155" spans="2:5" hidden="1" outlineLevel="1">
      <c r="B155" s="97">
        <v>44773</v>
      </c>
      <c r="D155" s="135">
        <f t="shared" si="7"/>
        <v>18500000</v>
      </c>
      <c r="E155" s="98">
        <f t="shared" si="12"/>
        <v>18500000</v>
      </c>
    </row>
    <row r="156" spans="2:5" hidden="1" outlineLevel="1">
      <c r="B156" s="97">
        <v>44804</v>
      </c>
      <c r="D156" s="135">
        <f t="shared" ref="D156:D219" si="13">D155</f>
        <v>18500000</v>
      </c>
      <c r="E156" s="98">
        <f t="shared" si="12"/>
        <v>18500000</v>
      </c>
    </row>
    <row r="157" spans="2:5" hidden="1" outlineLevel="1">
      <c r="B157" s="97">
        <v>44834</v>
      </c>
      <c r="D157" s="135">
        <f t="shared" si="13"/>
        <v>18500000</v>
      </c>
      <c r="E157" s="98">
        <f t="shared" si="12"/>
        <v>18500000</v>
      </c>
    </row>
    <row r="158" spans="2:5" hidden="1" outlineLevel="1">
      <c r="B158" s="97">
        <v>44865</v>
      </c>
      <c r="D158" s="135">
        <f t="shared" si="13"/>
        <v>18500000</v>
      </c>
      <c r="E158" s="98">
        <f t="shared" si="12"/>
        <v>18500000</v>
      </c>
    </row>
    <row r="159" spans="2:5" hidden="1" outlineLevel="1">
      <c r="B159" s="97">
        <v>44895</v>
      </c>
      <c r="D159" s="135">
        <f t="shared" si="13"/>
        <v>18500000</v>
      </c>
      <c r="E159" s="98">
        <f t="shared" si="12"/>
        <v>18500000</v>
      </c>
    </row>
    <row r="160" spans="2:5" hidden="1" outlineLevel="1">
      <c r="B160" s="105">
        <v>44926</v>
      </c>
      <c r="D160" s="135">
        <f t="shared" si="13"/>
        <v>18500000</v>
      </c>
      <c r="E160" s="98">
        <f t="shared" si="12"/>
        <v>18500000</v>
      </c>
    </row>
    <row r="161" spans="2:5" hidden="1" outlineLevel="1">
      <c r="B161" s="97">
        <v>44957</v>
      </c>
      <c r="D161" s="135">
        <f t="shared" si="13"/>
        <v>18500000</v>
      </c>
      <c r="E161" s="98">
        <f t="shared" ref="E161:E172" si="14">(D149+D161+SUM(D150:D160)*2)/24</f>
        <v>18500000</v>
      </c>
    </row>
    <row r="162" spans="2:5" hidden="1" outlineLevel="1">
      <c r="B162" s="97">
        <v>44985</v>
      </c>
      <c r="D162" s="135">
        <f t="shared" si="13"/>
        <v>18500000</v>
      </c>
      <c r="E162" s="98">
        <f t="shared" si="14"/>
        <v>18500000</v>
      </c>
    </row>
    <row r="163" spans="2:5" hidden="1" outlineLevel="1">
      <c r="B163" s="97">
        <v>45016</v>
      </c>
      <c r="D163" s="135">
        <f t="shared" si="13"/>
        <v>18500000</v>
      </c>
      <c r="E163" s="98">
        <f t="shared" si="14"/>
        <v>18500000</v>
      </c>
    </row>
    <row r="164" spans="2:5" hidden="1" outlineLevel="1">
      <c r="B164" s="97">
        <v>45046</v>
      </c>
      <c r="D164" s="135">
        <f t="shared" si="13"/>
        <v>18500000</v>
      </c>
      <c r="E164" s="98">
        <f t="shared" si="14"/>
        <v>18500000</v>
      </c>
    </row>
    <row r="165" spans="2:5" hidden="1" outlineLevel="1">
      <c r="B165" s="105">
        <v>45077</v>
      </c>
      <c r="D165" s="135">
        <f t="shared" si="13"/>
        <v>18500000</v>
      </c>
      <c r="E165" s="98">
        <f t="shared" si="14"/>
        <v>18500000</v>
      </c>
    </row>
    <row r="166" spans="2:5" hidden="1" outlineLevel="1">
      <c r="B166" s="97">
        <v>45107</v>
      </c>
      <c r="D166" s="135">
        <f t="shared" si="13"/>
        <v>18500000</v>
      </c>
      <c r="E166" s="98">
        <f t="shared" si="14"/>
        <v>18500000</v>
      </c>
    </row>
    <row r="167" spans="2:5" hidden="1" outlineLevel="1">
      <c r="B167" s="97">
        <v>45138</v>
      </c>
      <c r="D167" s="135">
        <f t="shared" si="13"/>
        <v>18500000</v>
      </c>
      <c r="E167" s="98">
        <f t="shared" si="14"/>
        <v>18500000</v>
      </c>
    </row>
    <row r="168" spans="2:5" hidden="1" outlineLevel="1">
      <c r="B168" s="97">
        <v>45169</v>
      </c>
      <c r="D168" s="135">
        <f t="shared" si="13"/>
        <v>18500000</v>
      </c>
      <c r="E168" s="98">
        <f t="shared" si="14"/>
        <v>18500000</v>
      </c>
    </row>
    <row r="169" spans="2:5" hidden="1" outlineLevel="1">
      <c r="B169" s="97">
        <v>45199</v>
      </c>
      <c r="D169" s="135">
        <f t="shared" si="13"/>
        <v>18500000</v>
      </c>
      <c r="E169" s="98">
        <f t="shared" si="14"/>
        <v>18500000</v>
      </c>
    </row>
    <row r="170" spans="2:5" hidden="1" outlineLevel="1">
      <c r="B170" s="97">
        <v>45230</v>
      </c>
      <c r="D170" s="135">
        <f t="shared" si="13"/>
        <v>18500000</v>
      </c>
      <c r="E170" s="98">
        <f t="shared" si="14"/>
        <v>18500000</v>
      </c>
    </row>
    <row r="171" spans="2:5" hidden="1" outlineLevel="1">
      <c r="B171" s="97">
        <v>45260</v>
      </c>
      <c r="D171" s="135">
        <f t="shared" si="13"/>
        <v>18500000</v>
      </c>
      <c r="E171" s="98">
        <f t="shared" si="14"/>
        <v>18500000</v>
      </c>
    </row>
    <row r="172" spans="2:5" hidden="1" outlineLevel="1">
      <c r="B172" s="105">
        <v>45291</v>
      </c>
      <c r="D172" s="135">
        <f t="shared" si="13"/>
        <v>18500000</v>
      </c>
      <c r="E172" s="98">
        <f t="shared" si="14"/>
        <v>18500000</v>
      </c>
    </row>
    <row r="173" spans="2:5" hidden="1" outlineLevel="1">
      <c r="B173" s="97">
        <v>45322</v>
      </c>
      <c r="D173" s="135">
        <f t="shared" si="13"/>
        <v>18500000</v>
      </c>
      <c r="E173" s="98">
        <f t="shared" ref="E173:E184" si="15">(D161+D173+SUM(D162:D172)*2)/24</f>
        <v>18500000</v>
      </c>
    </row>
    <row r="174" spans="2:5" hidden="1" outlineLevel="1">
      <c r="B174" s="97">
        <v>45350</v>
      </c>
      <c r="D174" s="135">
        <f t="shared" si="13"/>
        <v>18500000</v>
      </c>
      <c r="E174" s="98">
        <f t="shared" si="15"/>
        <v>18500000</v>
      </c>
    </row>
    <row r="175" spans="2:5" hidden="1" outlineLevel="1">
      <c r="B175" s="97">
        <v>45382</v>
      </c>
      <c r="D175" s="135">
        <f t="shared" si="13"/>
        <v>18500000</v>
      </c>
      <c r="E175" s="98">
        <f t="shared" si="15"/>
        <v>18500000</v>
      </c>
    </row>
    <row r="176" spans="2:5" hidden="1" outlineLevel="1">
      <c r="B176" s="97">
        <v>45412</v>
      </c>
      <c r="D176" s="135">
        <f t="shared" si="13"/>
        <v>18500000</v>
      </c>
      <c r="E176" s="98">
        <f t="shared" si="15"/>
        <v>18500000</v>
      </c>
    </row>
    <row r="177" spans="2:5" hidden="1" outlineLevel="1">
      <c r="B177" s="105">
        <v>45443</v>
      </c>
      <c r="D177" s="135">
        <f t="shared" si="13"/>
        <v>18500000</v>
      </c>
      <c r="E177" s="98">
        <f t="shared" si="15"/>
        <v>18500000</v>
      </c>
    </row>
    <row r="178" spans="2:5" hidden="1" outlineLevel="1">
      <c r="B178" s="97">
        <v>45473</v>
      </c>
      <c r="D178" s="135">
        <f t="shared" si="13"/>
        <v>18500000</v>
      </c>
      <c r="E178" s="98">
        <f t="shared" si="15"/>
        <v>18500000</v>
      </c>
    </row>
    <row r="179" spans="2:5" hidden="1" outlineLevel="1">
      <c r="B179" s="97">
        <v>45504</v>
      </c>
      <c r="D179" s="135">
        <f t="shared" si="13"/>
        <v>18500000</v>
      </c>
      <c r="E179" s="98">
        <f t="shared" si="15"/>
        <v>18500000</v>
      </c>
    </row>
    <row r="180" spans="2:5" hidden="1" outlineLevel="1">
      <c r="B180" s="97">
        <v>45535</v>
      </c>
      <c r="D180" s="135">
        <f t="shared" si="13"/>
        <v>18500000</v>
      </c>
      <c r="E180" s="98">
        <f t="shared" si="15"/>
        <v>18500000</v>
      </c>
    </row>
    <row r="181" spans="2:5" hidden="1" outlineLevel="1">
      <c r="B181" s="97">
        <v>45565</v>
      </c>
      <c r="D181" s="135">
        <f t="shared" si="13"/>
        <v>18500000</v>
      </c>
      <c r="E181" s="98">
        <f t="shared" si="15"/>
        <v>18500000</v>
      </c>
    </row>
    <row r="182" spans="2:5" hidden="1" outlineLevel="1">
      <c r="B182" s="97">
        <v>45596</v>
      </c>
      <c r="D182" s="135">
        <f t="shared" si="13"/>
        <v>18500000</v>
      </c>
      <c r="E182" s="98">
        <f t="shared" si="15"/>
        <v>18500000</v>
      </c>
    </row>
    <row r="183" spans="2:5" hidden="1" outlineLevel="1">
      <c r="B183" s="97">
        <v>45626</v>
      </c>
      <c r="D183" s="135">
        <f t="shared" si="13"/>
        <v>18500000</v>
      </c>
      <c r="E183" s="98">
        <f t="shared" si="15"/>
        <v>18500000</v>
      </c>
    </row>
    <row r="184" spans="2:5" hidden="1" outlineLevel="1">
      <c r="B184" s="105">
        <v>45657</v>
      </c>
      <c r="D184" s="135">
        <f t="shared" si="13"/>
        <v>18500000</v>
      </c>
      <c r="E184" s="98">
        <f t="shared" si="15"/>
        <v>18500000</v>
      </c>
    </row>
    <row r="185" spans="2:5" hidden="1" outlineLevel="1">
      <c r="B185" s="97">
        <v>45688</v>
      </c>
      <c r="D185" s="135">
        <f t="shared" si="13"/>
        <v>18500000</v>
      </c>
      <c r="E185" s="98">
        <f t="shared" ref="E185:E196" si="16">(D173+D185+SUM(D174:D184)*2)/24</f>
        <v>18500000</v>
      </c>
    </row>
    <row r="186" spans="2:5" hidden="1" outlineLevel="1">
      <c r="B186" s="97">
        <v>45716</v>
      </c>
      <c r="D186" s="135">
        <f t="shared" si="13"/>
        <v>18500000</v>
      </c>
      <c r="E186" s="98">
        <f t="shared" si="16"/>
        <v>18500000</v>
      </c>
    </row>
    <row r="187" spans="2:5" hidden="1" outlineLevel="1">
      <c r="B187" s="97">
        <v>45747</v>
      </c>
      <c r="D187" s="135">
        <f t="shared" si="13"/>
        <v>18500000</v>
      </c>
      <c r="E187" s="98">
        <f t="shared" si="16"/>
        <v>18500000</v>
      </c>
    </row>
    <row r="188" spans="2:5" hidden="1" outlineLevel="1">
      <c r="B188" s="97">
        <v>45777</v>
      </c>
      <c r="D188" s="135">
        <f t="shared" si="13"/>
        <v>18500000</v>
      </c>
      <c r="E188" s="98">
        <f t="shared" si="16"/>
        <v>18500000</v>
      </c>
    </row>
    <row r="189" spans="2:5" hidden="1" outlineLevel="1">
      <c r="B189" s="105">
        <v>45808</v>
      </c>
      <c r="D189" s="135">
        <f t="shared" si="13"/>
        <v>18500000</v>
      </c>
      <c r="E189" s="98">
        <f t="shared" si="16"/>
        <v>18500000</v>
      </c>
    </row>
    <row r="190" spans="2:5" hidden="1" outlineLevel="1">
      <c r="B190" s="97">
        <v>45838</v>
      </c>
      <c r="D190" s="135">
        <f t="shared" si="13"/>
        <v>18500000</v>
      </c>
      <c r="E190" s="98">
        <f t="shared" si="16"/>
        <v>18500000</v>
      </c>
    </row>
    <row r="191" spans="2:5" hidden="1" outlineLevel="1">
      <c r="B191" s="97">
        <v>45869</v>
      </c>
      <c r="D191" s="135">
        <f t="shared" si="13"/>
        <v>18500000</v>
      </c>
      <c r="E191" s="98">
        <f t="shared" si="16"/>
        <v>18500000</v>
      </c>
    </row>
    <row r="192" spans="2:5" hidden="1" outlineLevel="1">
      <c r="B192" s="97">
        <v>45900</v>
      </c>
      <c r="D192" s="135">
        <f t="shared" si="13"/>
        <v>18500000</v>
      </c>
      <c r="E192" s="98">
        <f t="shared" si="16"/>
        <v>18500000</v>
      </c>
    </row>
    <row r="193" spans="2:5" hidden="1" outlineLevel="1">
      <c r="B193" s="97">
        <v>45930</v>
      </c>
      <c r="D193" s="135">
        <f t="shared" si="13"/>
        <v>18500000</v>
      </c>
      <c r="E193" s="98">
        <f t="shared" si="16"/>
        <v>18500000</v>
      </c>
    </row>
    <row r="194" spans="2:5" hidden="1" outlineLevel="1">
      <c r="B194" s="97">
        <v>45961</v>
      </c>
      <c r="D194" s="135">
        <f t="shared" si="13"/>
        <v>18500000</v>
      </c>
      <c r="E194" s="98">
        <f t="shared" si="16"/>
        <v>18500000</v>
      </c>
    </row>
    <row r="195" spans="2:5" hidden="1" outlineLevel="1">
      <c r="B195" s="97">
        <v>45991</v>
      </c>
      <c r="D195" s="135">
        <f t="shared" si="13"/>
        <v>18500000</v>
      </c>
      <c r="E195" s="98">
        <f t="shared" si="16"/>
        <v>18500000</v>
      </c>
    </row>
    <row r="196" spans="2:5" hidden="1" outlineLevel="1">
      <c r="B196" s="105">
        <v>46022</v>
      </c>
      <c r="D196" s="135">
        <f t="shared" si="13"/>
        <v>18500000</v>
      </c>
      <c r="E196" s="98">
        <f t="shared" si="16"/>
        <v>18500000</v>
      </c>
    </row>
    <row r="197" spans="2:5" hidden="1" outlineLevel="1">
      <c r="B197" s="97">
        <v>46053</v>
      </c>
      <c r="D197" s="135">
        <f t="shared" si="13"/>
        <v>18500000</v>
      </c>
      <c r="E197" s="98">
        <f t="shared" ref="E197:E208" si="17">(D185+D197+SUM(D186:D196)*2)/24</f>
        <v>18500000</v>
      </c>
    </row>
    <row r="198" spans="2:5" hidden="1" outlineLevel="1">
      <c r="B198" s="97">
        <v>46081</v>
      </c>
      <c r="D198" s="135">
        <f t="shared" si="13"/>
        <v>18500000</v>
      </c>
      <c r="E198" s="98">
        <f t="shared" si="17"/>
        <v>18500000</v>
      </c>
    </row>
    <row r="199" spans="2:5" hidden="1" outlineLevel="1">
      <c r="B199" s="97">
        <v>46112</v>
      </c>
      <c r="D199" s="135">
        <f t="shared" si="13"/>
        <v>18500000</v>
      </c>
      <c r="E199" s="98">
        <f t="shared" si="17"/>
        <v>18500000</v>
      </c>
    </row>
    <row r="200" spans="2:5" hidden="1" outlineLevel="1">
      <c r="B200" s="97">
        <v>46142</v>
      </c>
      <c r="D200" s="135">
        <f t="shared" si="13"/>
        <v>18500000</v>
      </c>
      <c r="E200" s="98">
        <f t="shared" si="17"/>
        <v>18500000</v>
      </c>
    </row>
    <row r="201" spans="2:5" hidden="1" outlineLevel="1">
      <c r="B201" s="105">
        <v>46173</v>
      </c>
      <c r="D201" s="135">
        <f t="shared" si="13"/>
        <v>18500000</v>
      </c>
      <c r="E201" s="98">
        <f t="shared" si="17"/>
        <v>18500000</v>
      </c>
    </row>
    <row r="202" spans="2:5" hidden="1" outlineLevel="1">
      <c r="B202" s="97">
        <v>46203</v>
      </c>
      <c r="D202" s="135">
        <f t="shared" si="13"/>
        <v>18500000</v>
      </c>
      <c r="E202" s="98">
        <f t="shared" si="17"/>
        <v>18500000</v>
      </c>
    </row>
    <row r="203" spans="2:5" hidden="1" outlineLevel="1">
      <c r="B203" s="97">
        <v>46234</v>
      </c>
      <c r="D203" s="135">
        <f t="shared" si="13"/>
        <v>18500000</v>
      </c>
      <c r="E203" s="98">
        <f t="shared" si="17"/>
        <v>18500000</v>
      </c>
    </row>
    <row r="204" spans="2:5" hidden="1" outlineLevel="1">
      <c r="B204" s="97">
        <v>46265</v>
      </c>
      <c r="D204" s="135">
        <f t="shared" si="13"/>
        <v>18500000</v>
      </c>
      <c r="E204" s="98">
        <f t="shared" si="17"/>
        <v>18500000</v>
      </c>
    </row>
    <row r="205" spans="2:5" hidden="1" outlineLevel="1">
      <c r="B205" s="97">
        <v>46295</v>
      </c>
      <c r="D205" s="135">
        <f t="shared" si="13"/>
        <v>18500000</v>
      </c>
      <c r="E205" s="98">
        <f t="shared" si="17"/>
        <v>18500000</v>
      </c>
    </row>
    <row r="206" spans="2:5" hidden="1" outlineLevel="1">
      <c r="B206" s="97">
        <v>46326</v>
      </c>
      <c r="D206" s="135">
        <f t="shared" si="13"/>
        <v>18500000</v>
      </c>
      <c r="E206" s="98">
        <f t="shared" si="17"/>
        <v>18500000</v>
      </c>
    </row>
    <row r="207" spans="2:5" hidden="1" outlineLevel="1">
      <c r="B207" s="97">
        <v>46356</v>
      </c>
      <c r="D207" s="135">
        <f t="shared" si="13"/>
        <v>18500000</v>
      </c>
      <c r="E207" s="98">
        <f t="shared" si="17"/>
        <v>18500000</v>
      </c>
    </row>
    <row r="208" spans="2:5" hidden="1" outlineLevel="1">
      <c r="B208" s="105">
        <v>46387</v>
      </c>
      <c r="D208" s="135">
        <f t="shared" si="13"/>
        <v>18500000</v>
      </c>
      <c r="E208" s="98">
        <f t="shared" si="17"/>
        <v>18500000</v>
      </c>
    </row>
    <row r="209" spans="2:5" hidden="1" outlineLevel="1">
      <c r="B209" s="97">
        <v>46418</v>
      </c>
      <c r="D209" s="135">
        <f t="shared" si="13"/>
        <v>18500000</v>
      </c>
      <c r="E209" s="98">
        <f t="shared" ref="E209:E220" si="18">(D197+D209+SUM(D198:D208)*2)/24</f>
        <v>18500000</v>
      </c>
    </row>
    <row r="210" spans="2:5" hidden="1" outlineLevel="1">
      <c r="B210" s="97">
        <v>46446</v>
      </c>
      <c r="D210" s="135">
        <f t="shared" si="13"/>
        <v>18500000</v>
      </c>
      <c r="E210" s="98">
        <f t="shared" si="18"/>
        <v>18500000</v>
      </c>
    </row>
    <row r="211" spans="2:5" hidden="1" outlineLevel="1">
      <c r="B211" s="97">
        <v>46477</v>
      </c>
      <c r="D211" s="135">
        <f t="shared" si="13"/>
        <v>18500000</v>
      </c>
      <c r="E211" s="98">
        <f t="shared" si="18"/>
        <v>18500000</v>
      </c>
    </row>
    <row r="212" spans="2:5" hidden="1" outlineLevel="1">
      <c r="B212" s="97">
        <v>46507</v>
      </c>
      <c r="D212" s="135">
        <f t="shared" si="13"/>
        <v>18500000</v>
      </c>
      <c r="E212" s="98">
        <f t="shared" si="18"/>
        <v>18500000</v>
      </c>
    </row>
    <row r="213" spans="2:5" hidden="1" outlineLevel="1">
      <c r="B213" s="105">
        <v>46538</v>
      </c>
      <c r="D213" s="135">
        <f t="shared" si="13"/>
        <v>18500000</v>
      </c>
      <c r="E213" s="98">
        <f t="shared" si="18"/>
        <v>18500000</v>
      </c>
    </row>
    <row r="214" spans="2:5" hidden="1" outlineLevel="1">
      <c r="B214" s="97">
        <v>46568</v>
      </c>
      <c r="D214" s="135">
        <f t="shared" si="13"/>
        <v>18500000</v>
      </c>
      <c r="E214" s="98">
        <f t="shared" si="18"/>
        <v>18500000</v>
      </c>
    </row>
    <row r="215" spans="2:5" hidden="1" outlineLevel="1">
      <c r="B215" s="97">
        <v>46599</v>
      </c>
      <c r="D215" s="135">
        <f t="shared" si="13"/>
        <v>18500000</v>
      </c>
      <c r="E215" s="98">
        <f t="shared" si="18"/>
        <v>18500000</v>
      </c>
    </row>
    <row r="216" spans="2:5" hidden="1" outlineLevel="1">
      <c r="B216" s="97">
        <v>46630</v>
      </c>
      <c r="D216" s="135">
        <f t="shared" si="13"/>
        <v>18500000</v>
      </c>
      <c r="E216" s="98">
        <f t="shared" si="18"/>
        <v>18500000</v>
      </c>
    </row>
    <row r="217" spans="2:5" hidden="1" outlineLevel="1">
      <c r="B217" s="97">
        <v>46660</v>
      </c>
      <c r="D217" s="135">
        <f t="shared" si="13"/>
        <v>18500000</v>
      </c>
      <c r="E217" s="98">
        <f t="shared" si="18"/>
        <v>18500000</v>
      </c>
    </row>
    <row r="218" spans="2:5" hidden="1" outlineLevel="1">
      <c r="B218" s="97">
        <v>46691</v>
      </c>
      <c r="D218" s="135">
        <f t="shared" si="13"/>
        <v>18500000</v>
      </c>
      <c r="E218" s="98">
        <f t="shared" si="18"/>
        <v>18500000</v>
      </c>
    </row>
    <row r="219" spans="2:5" hidden="1" outlineLevel="1">
      <c r="B219" s="97">
        <v>46721</v>
      </c>
      <c r="D219" s="135">
        <f t="shared" si="13"/>
        <v>18500000</v>
      </c>
      <c r="E219" s="98">
        <f t="shared" si="18"/>
        <v>18500000</v>
      </c>
    </row>
    <row r="220" spans="2:5" hidden="1" outlineLevel="1">
      <c r="B220" s="105">
        <v>46752</v>
      </c>
      <c r="D220" s="135">
        <f t="shared" ref="D220:D268" si="19">D219</f>
        <v>18500000</v>
      </c>
      <c r="E220" s="98">
        <f t="shared" si="18"/>
        <v>18500000</v>
      </c>
    </row>
    <row r="221" spans="2:5" hidden="1" outlineLevel="1">
      <c r="B221" s="97">
        <v>46783</v>
      </c>
      <c r="D221" s="135">
        <f t="shared" si="19"/>
        <v>18500000</v>
      </c>
      <c r="E221" s="98">
        <f t="shared" ref="E221:E268" si="20">(D209+D221+SUM(D210:D220)*2)/24</f>
        <v>18500000</v>
      </c>
    </row>
    <row r="222" spans="2:5" hidden="1" outlineLevel="1">
      <c r="B222" s="97">
        <v>46811</v>
      </c>
      <c r="D222" s="135">
        <f t="shared" si="19"/>
        <v>18500000</v>
      </c>
      <c r="E222" s="98">
        <f t="shared" si="20"/>
        <v>18500000</v>
      </c>
    </row>
    <row r="223" spans="2:5" hidden="1" outlineLevel="1">
      <c r="B223" s="97">
        <v>46843</v>
      </c>
      <c r="D223" s="135">
        <f t="shared" si="19"/>
        <v>18500000</v>
      </c>
      <c r="E223" s="98">
        <f t="shared" si="20"/>
        <v>18500000</v>
      </c>
    </row>
    <row r="224" spans="2:5" hidden="1" outlineLevel="1">
      <c r="B224" s="97">
        <v>46873</v>
      </c>
      <c r="D224" s="135">
        <f t="shared" si="19"/>
        <v>18500000</v>
      </c>
      <c r="E224" s="98">
        <f t="shared" si="20"/>
        <v>18500000</v>
      </c>
    </row>
    <row r="225" spans="2:5" hidden="1" outlineLevel="1">
      <c r="B225" s="105">
        <v>46904</v>
      </c>
      <c r="D225" s="135">
        <f t="shared" si="19"/>
        <v>18500000</v>
      </c>
      <c r="E225" s="98">
        <f t="shared" si="20"/>
        <v>18500000</v>
      </c>
    </row>
    <row r="226" spans="2:5" hidden="1" outlineLevel="1">
      <c r="B226" s="97">
        <v>46934</v>
      </c>
      <c r="D226" s="135">
        <f t="shared" si="19"/>
        <v>18500000</v>
      </c>
      <c r="E226" s="98">
        <f t="shared" si="20"/>
        <v>18500000</v>
      </c>
    </row>
    <row r="227" spans="2:5" hidden="1" outlineLevel="1">
      <c r="B227" s="97">
        <v>46965</v>
      </c>
      <c r="D227" s="135">
        <f t="shared" si="19"/>
        <v>18500000</v>
      </c>
      <c r="E227" s="98">
        <f t="shared" si="20"/>
        <v>18500000</v>
      </c>
    </row>
    <row r="228" spans="2:5" hidden="1" outlineLevel="1">
      <c r="B228" s="97">
        <v>46996</v>
      </c>
      <c r="D228" s="135">
        <f t="shared" si="19"/>
        <v>18500000</v>
      </c>
      <c r="E228" s="98">
        <f t="shared" si="20"/>
        <v>18500000</v>
      </c>
    </row>
    <row r="229" spans="2:5" hidden="1" outlineLevel="1">
      <c r="B229" s="97">
        <v>47026</v>
      </c>
      <c r="D229" s="135">
        <f t="shared" si="19"/>
        <v>18500000</v>
      </c>
      <c r="E229" s="98">
        <f t="shared" si="20"/>
        <v>18500000</v>
      </c>
    </row>
    <row r="230" spans="2:5" hidden="1" outlineLevel="1">
      <c r="B230" s="97">
        <v>47057</v>
      </c>
      <c r="D230" s="135">
        <f t="shared" si="19"/>
        <v>18500000</v>
      </c>
      <c r="E230" s="98">
        <f t="shared" si="20"/>
        <v>18500000</v>
      </c>
    </row>
    <row r="231" spans="2:5" hidden="1" outlineLevel="1">
      <c r="B231" s="97">
        <v>47087</v>
      </c>
      <c r="D231" s="135">
        <f t="shared" si="19"/>
        <v>18500000</v>
      </c>
      <c r="E231" s="98">
        <f t="shared" si="20"/>
        <v>18500000</v>
      </c>
    </row>
    <row r="232" spans="2:5" hidden="1" outlineLevel="1">
      <c r="B232" s="105">
        <v>47118</v>
      </c>
      <c r="D232" s="135">
        <f t="shared" si="19"/>
        <v>18500000</v>
      </c>
      <c r="E232" s="98">
        <f t="shared" si="20"/>
        <v>18500000</v>
      </c>
    </row>
    <row r="233" spans="2:5" hidden="1" outlineLevel="1">
      <c r="B233" s="97">
        <v>47149</v>
      </c>
      <c r="D233" s="135">
        <f t="shared" si="19"/>
        <v>18500000</v>
      </c>
      <c r="E233" s="98">
        <f t="shared" si="20"/>
        <v>18500000</v>
      </c>
    </row>
    <row r="234" spans="2:5" hidden="1" outlineLevel="1">
      <c r="B234" s="97">
        <v>47177</v>
      </c>
      <c r="D234" s="135">
        <f t="shared" si="19"/>
        <v>18500000</v>
      </c>
      <c r="E234" s="98">
        <f t="shared" si="20"/>
        <v>18500000</v>
      </c>
    </row>
    <row r="235" spans="2:5" hidden="1" outlineLevel="1">
      <c r="B235" s="97">
        <v>47208</v>
      </c>
      <c r="D235" s="135">
        <f t="shared" si="19"/>
        <v>18500000</v>
      </c>
      <c r="E235" s="98">
        <f t="shared" si="20"/>
        <v>18500000</v>
      </c>
    </row>
    <row r="236" spans="2:5" hidden="1" outlineLevel="1">
      <c r="B236" s="97">
        <v>47238</v>
      </c>
      <c r="D236" s="135">
        <f t="shared" si="19"/>
        <v>18500000</v>
      </c>
      <c r="E236" s="98">
        <f t="shared" si="20"/>
        <v>18500000</v>
      </c>
    </row>
    <row r="237" spans="2:5" hidden="1" outlineLevel="1">
      <c r="B237" s="105">
        <v>47269</v>
      </c>
      <c r="D237" s="135">
        <f t="shared" si="19"/>
        <v>18500000</v>
      </c>
      <c r="E237" s="98">
        <f t="shared" si="20"/>
        <v>18500000</v>
      </c>
    </row>
    <row r="238" spans="2:5" hidden="1" outlineLevel="1">
      <c r="B238" s="97">
        <v>47299</v>
      </c>
      <c r="D238" s="135">
        <f t="shared" si="19"/>
        <v>18500000</v>
      </c>
      <c r="E238" s="98">
        <f t="shared" si="20"/>
        <v>18500000</v>
      </c>
    </row>
    <row r="239" spans="2:5" hidden="1" outlineLevel="1">
      <c r="B239" s="97">
        <v>47330</v>
      </c>
      <c r="D239" s="135">
        <f t="shared" si="19"/>
        <v>18500000</v>
      </c>
      <c r="E239" s="98">
        <f t="shared" si="20"/>
        <v>18500000</v>
      </c>
    </row>
    <row r="240" spans="2:5" hidden="1" outlineLevel="1">
      <c r="B240" s="97">
        <v>47361</v>
      </c>
      <c r="D240" s="135">
        <f t="shared" si="19"/>
        <v>18500000</v>
      </c>
      <c r="E240" s="98">
        <f t="shared" si="20"/>
        <v>18500000</v>
      </c>
    </row>
    <row r="241" spans="2:5" hidden="1" outlineLevel="1">
      <c r="B241" s="97">
        <v>47391</v>
      </c>
      <c r="D241" s="135">
        <f t="shared" si="19"/>
        <v>18500000</v>
      </c>
      <c r="E241" s="98">
        <f t="shared" si="20"/>
        <v>18500000</v>
      </c>
    </row>
    <row r="242" spans="2:5" hidden="1" outlineLevel="1">
      <c r="B242" s="97">
        <v>47422</v>
      </c>
      <c r="D242" s="135">
        <f t="shared" si="19"/>
        <v>18500000</v>
      </c>
      <c r="E242" s="98">
        <f t="shared" si="20"/>
        <v>18500000</v>
      </c>
    </row>
    <row r="243" spans="2:5" hidden="1" outlineLevel="1">
      <c r="B243" s="97">
        <v>47452</v>
      </c>
      <c r="D243" s="135">
        <f t="shared" si="19"/>
        <v>18500000</v>
      </c>
      <c r="E243" s="98">
        <f t="shared" si="20"/>
        <v>18500000</v>
      </c>
    </row>
    <row r="244" spans="2:5" hidden="1" outlineLevel="1">
      <c r="B244" s="105">
        <v>47483</v>
      </c>
      <c r="D244" s="135">
        <f t="shared" si="19"/>
        <v>18500000</v>
      </c>
      <c r="E244" s="98">
        <f t="shared" si="20"/>
        <v>18500000</v>
      </c>
    </row>
    <row r="245" spans="2:5" hidden="1" outlineLevel="1">
      <c r="B245" s="97">
        <v>47514</v>
      </c>
      <c r="D245" s="135">
        <f t="shared" si="19"/>
        <v>18500000</v>
      </c>
      <c r="E245" s="98">
        <f t="shared" si="20"/>
        <v>18500000</v>
      </c>
    </row>
    <row r="246" spans="2:5" hidden="1" outlineLevel="1">
      <c r="B246" s="97">
        <v>47542</v>
      </c>
      <c r="D246" s="135">
        <f t="shared" si="19"/>
        <v>18500000</v>
      </c>
      <c r="E246" s="98">
        <f t="shared" si="20"/>
        <v>18500000</v>
      </c>
    </row>
    <row r="247" spans="2:5" hidden="1" outlineLevel="1">
      <c r="B247" s="97">
        <v>47573</v>
      </c>
      <c r="D247" s="135">
        <f t="shared" si="19"/>
        <v>18500000</v>
      </c>
      <c r="E247" s="98">
        <f t="shared" si="20"/>
        <v>18500000</v>
      </c>
    </row>
    <row r="248" spans="2:5" hidden="1" outlineLevel="1">
      <c r="B248" s="97">
        <v>47603</v>
      </c>
      <c r="D248" s="135">
        <f t="shared" si="19"/>
        <v>18500000</v>
      </c>
      <c r="E248" s="98">
        <f t="shared" si="20"/>
        <v>18500000</v>
      </c>
    </row>
    <row r="249" spans="2:5" hidden="1" outlineLevel="1">
      <c r="B249" s="105">
        <v>47634</v>
      </c>
      <c r="D249" s="135">
        <f t="shared" si="19"/>
        <v>18500000</v>
      </c>
      <c r="E249" s="98">
        <f t="shared" si="20"/>
        <v>18500000</v>
      </c>
    </row>
    <row r="250" spans="2:5" hidden="1" outlineLevel="1">
      <c r="B250" s="97">
        <v>47664</v>
      </c>
      <c r="D250" s="135">
        <f t="shared" si="19"/>
        <v>18500000</v>
      </c>
      <c r="E250" s="98">
        <f t="shared" si="20"/>
        <v>18500000</v>
      </c>
    </row>
    <row r="251" spans="2:5" hidden="1" outlineLevel="1">
      <c r="B251" s="97">
        <v>47695</v>
      </c>
      <c r="D251" s="135">
        <f t="shared" si="19"/>
        <v>18500000</v>
      </c>
      <c r="E251" s="98">
        <f t="shared" si="20"/>
        <v>18500000</v>
      </c>
    </row>
    <row r="252" spans="2:5" hidden="1" outlineLevel="1">
      <c r="B252" s="97">
        <v>47726</v>
      </c>
      <c r="D252" s="135">
        <f t="shared" si="19"/>
        <v>18500000</v>
      </c>
      <c r="E252" s="98">
        <f t="shared" si="20"/>
        <v>18500000</v>
      </c>
    </row>
    <row r="253" spans="2:5" hidden="1" outlineLevel="1">
      <c r="B253" s="97">
        <v>47756</v>
      </c>
      <c r="D253" s="135">
        <f t="shared" si="19"/>
        <v>18500000</v>
      </c>
      <c r="E253" s="98">
        <f t="shared" si="20"/>
        <v>18500000</v>
      </c>
    </row>
    <row r="254" spans="2:5" hidden="1" outlineLevel="1">
      <c r="B254" s="97">
        <v>47787</v>
      </c>
      <c r="D254" s="135">
        <f t="shared" si="19"/>
        <v>18500000</v>
      </c>
      <c r="E254" s="98">
        <f t="shared" si="20"/>
        <v>18500000</v>
      </c>
    </row>
    <row r="255" spans="2:5" hidden="1" outlineLevel="1">
      <c r="B255" s="97">
        <v>47817</v>
      </c>
      <c r="D255" s="135">
        <f t="shared" si="19"/>
        <v>18500000</v>
      </c>
      <c r="E255" s="98">
        <f t="shared" si="20"/>
        <v>18500000</v>
      </c>
    </row>
    <row r="256" spans="2:5" hidden="1" outlineLevel="1">
      <c r="B256" s="105">
        <v>47848</v>
      </c>
      <c r="D256" s="135">
        <f t="shared" si="19"/>
        <v>18500000</v>
      </c>
      <c r="E256" s="98">
        <f t="shared" si="20"/>
        <v>18500000</v>
      </c>
    </row>
    <row r="257" spans="2:5" hidden="1" outlineLevel="1">
      <c r="B257" s="97">
        <v>47879</v>
      </c>
      <c r="D257" s="135">
        <f t="shared" si="19"/>
        <v>18500000</v>
      </c>
      <c r="E257" s="98">
        <f t="shared" si="20"/>
        <v>18500000</v>
      </c>
    </row>
    <row r="258" spans="2:5" hidden="1" outlineLevel="1">
      <c r="B258" s="97">
        <v>47907</v>
      </c>
      <c r="D258" s="135">
        <f t="shared" si="19"/>
        <v>18500000</v>
      </c>
      <c r="E258" s="98">
        <f t="shared" si="20"/>
        <v>18500000</v>
      </c>
    </row>
    <row r="259" spans="2:5" hidden="1" outlineLevel="1">
      <c r="B259" s="97">
        <v>47938</v>
      </c>
      <c r="D259" s="135">
        <f t="shared" si="19"/>
        <v>18500000</v>
      </c>
      <c r="E259" s="98">
        <f t="shared" si="20"/>
        <v>18500000</v>
      </c>
    </row>
    <row r="260" spans="2:5" hidden="1" outlineLevel="1">
      <c r="B260" s="97">
        <v>47968</v>
      </c>
      <c r="D260" s="135">
        <f t="shared" si="19"/>
        <v>18500000</v>
      </c>
      <c r="E260" s="98">
        <f t="shared" si="20"/>
        <v>18500000</v>
      </c>
    </row>
    <row r="261" spans="2:5" hidden="1" outlineLevel="1">
      <c r="B261" s="105">
        <v>47999</v>
      </c>
      <c r="D261" s="135">
        <f t="shared" si="19"/>
        <v>18500000</v>
      </c>
      <c r="E261" s="98">
        <f t="shared" si="20"/>
        <v>18500000</v>
      </c>
    </row>
    <row r="262" spans="2:5" hidden="1" outlineLevel="1">
      <c r="B262" s="97">
        <v>48029</v>
      </c>
      <c r="D262" s="135">
        <f t="shared" si="19"/>
        <v>18500000</v>
      </c>
      <c r="E262" s="98">
        <f t="shared" si="20"/>
        <v>18500000</v>
      </c>
    </row>
    <row r="263" spans="2:5" hidden="1" outlineLevel="1">
      <c r="B263" s="97">
        <v>48060</v>
      </c>
      <c r="D263" s="135">
        <f t="shared" si="19"/>
        <v>18500000</v>
      </c>
      <c r="E263" s="98">
        <f t="shared" si="20"/>
        <v>18500000</v>
      </c>
    </row>
    <row r="264" spans="2:5" hidden="1" outlineLevel="1">
      <c r="B264" s="97">
        <v>48091</v>
      </c>
      <c r="D264" s="135">
        <f t="shared" si="19"/>
        <v>18500000</v>
      </c>
      <c r="E264" s="98">
        <f t="shared" si="20"/>
        <v>18500000</v>
      </c>
    </row>
    <row r="265" spans="2:5" hidden="1" outlineLevel="1">
      <c r="B265" s="97">
        <v>48121</v>
      </c>
      <c r="D265" s="135">
        <f t="shared" si="19"/>
        <v>18500000</v>
      </c>
      <c r="E265" s="98">
        <f t="shared" si="20"/>
        <v>18500000</v>
      </c>
    </row>
    <row r="266" spans="2:5" hidden="1" outlineLevel="1">
      <c r="B266" s="97">
        <v>48152</v>
      </c>
      <c r="D266" s="135">
        <f t="shared" si="19"/>
        <v>18500000</v>
      </c>
      <c r="E266" s="98">
        <f t="shared" si="20"/>
        <v>18500000</v>
      </c>
    </row>
    <row r="267" spans="2:5" hidden="1" outlineLevel="1">
      <c r="B267" s="97">
        <v>48182</v>
      </c>
      <c r="D267" s="135">
        <f t="shared" si="19"/>
        <v>18500000</v>
      </c>
      <c r="E267" s="98">
        <f t="shared" si="20"/>
        <v>18500000</v>
      </c>
    </row>
    <row r="268" spans="2:5" hidden="1" outlineLevel="1">
      <c r="B268" s="105">
        <v>48213</v>
      </c>
      <c r="D268" s="135">
        <f t="shared" si="19"/>
        <v>18500000</v>
      </c>
      <c r="E268" s="98">
        <f t="shared" si="20"/>
        <v>18500000</v>
      </c>
    </row>
    <row r="269" spans="2:5" collapsed="1"/>
  </sheetData>
  <phoneticPr fontId="0" type="noConversion"/>
  <pageMargins left="0.7" right="0.7" top="0.5" bottom="0.5" header="0.3" footer="0.3"/>
  <pageSetup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X288"/>
  <sheetViews>
    <sheetView zoomScaleNormal="100" workbookViewId="0">
      <pane xSplit="1" ySplit="8" topLeftCell="B91" activePane="bottomRight" state="frozen"/>
      <selection activeCell="L125" sqref="L125"/>
      <selection pane="topRight" activeCell="L125" sqref="L125"/>
      <selection pane="bottomLeft" activeCell="L125" sqref="L125"/>
      <selection pane="bottomRight" activeCell="L125" sqref="L125"/>
    </sheetView>
  </sheetViews>
  <sheetFormatPr defaultRowHeight="12.75" outlineLevelRow="1"/>
  <cols>
    <col min="1" max="1" width="2.42578125" customWidth="1"/>
    <col min="2" max="2" width="22.42578125" customWidth="1"/>
    <col min="3" max="3" width="2.7109375" customWidth="1"/>
    <col min="4" max="4" width="11.42578125" customWidth="1"/>
    <col min="5" max="5" width="12" customWidth="1"/>
    <col min="6" max="6" width="13.42578125" bestFit="1" customWidth="1"/>
    <col min="7" max="7" width="20.7109375" bestFit="1" customWidth="1"/>
    <col min="8" max="8" width="17.85546875" bestFit="1" customWidth="1"/>
    <col min="9" max="9" width="14" bestFit="1" customWidth="1"/>
    <col min="11" max="11" width="11.7109375" customWidth="1"/>
    <col min="12" max="12" width="9.28515625"/>
  </cols>
  <sheetData>
    <row r="1" spans="1:10">
      <c r="A1" s="62"/>
      <c r="B1" s="63" t="s">
        <v>9</v>
      </c>
      <c r="C1" s="62"/>
      <c r="D1" s="62"/>
      <c r="E1" s="62"/>
      <c r="F1" s="62"/>
      <c r="G1" s="62"/>
      <c r="H1" s="62"/>
      <c r="I1" s="64"/>
    </row>
    <row r="2" spans="1:10">
      <c r="A2" s="62"/>
      <c r="B2" s="1053" t="s">
        <v>202</v>
      </c>
      <c r="C2" s="63"/>
      <c r="D2" s="63"/>
      <c r="E2" s="63"/>
      <c r="F2" s="63"/>
      <c r="G2" s="63"/>
      <c r="H2" s="154"/>
      <c r="I2" s="64"/>
    </row>
    <row r="3" spans="1:10">
      <c r="A3" s="62"/>
      <c r="B3" s="63" t="s">
        <v>203</v>
      </c>
      <c r="C3" s="62"/>
      <c r="D3" s="62"/>
      <c r="E3" s="62"/>
      <c r="F3" s="62"/>
      <c r="G3" s="62"/>
      <c r="H3" s="62" t="s">
        <v>175</v>
      </c>
      <c r="I3" s="64"/>
    </row>
    <row r="4" spans="1:10">
      <c r="A4" s="75"/>
      <c r="B4" s="75"/>
      <c r="C4" s="75"/>
      <c r="D4" s="76"/>
      <c r="E4" s="76"/>
      <c r="F4" s="76"/>
      <c r="G4" s="76"/>
      <c r="H4" s="76"/>
      <c r="I4" s="79"/>
    </row>
    <row r="5" spans="1:10">
      <c r="A5" s="701"/>
      <c r="B5" s="702"/>
      <c r="C5" s="702"/>
      <c r="D5" s="127" t="s">
        <v>93</v>
      </c>
      <c r="E5" s="127" t="s">
        <v>2</v>
      </c>
      <c r="F5" s="127" t="s">
        <v>19</v>
      </c>
      <c r="G5" s="704" t="s">
        <v>20</v>
      </c>
      <c r="H5" s="704" t="s">
        <v>151</v>
      </c>
      <c r="I5" s="727" t="s">
        <v>149</v>
      </c>
    </row>
    <row r="6" spans="1:10">
      <c r="A6" s="706"/>
      <c r="B6" s="86" t="s">
        <v>17</v>
      </c>
      <c r="C6" s="86"/>
      <c r="D6" s="83" t="s">
        <v>28</v>
      </c>
      <c r="E6" s="83"/>
      <c r="F6" s="83" t="s">
        <v>3</v>
      </c>
      <c r="G6" s="87" t="s">
        <v>3</v>
      </c>
      <c r="H6" s="87" t="s">
        <v>152</v>
      </c>
      <c r="I6" s="708" t="s">
        <v>34</v>
      </c>
    </row>
    <row r="7" spans="1:10">
      <c r="A7" s="706"/>
      <c r="B7" s="86"/>
      <c r="C7" s="86"/>
      <c r="D7" s="87" t="s">
        <v>119</v>
      </c>
      <c r="E7" s="87" t="s">
        <v>31</v>
      </c>
      <c r="F7" s="87" t="s">
        <v>150</v>
      </c>
      <c r="G7" s="85" t="s">
        <v>128</v>
      </c>
      <c r="H7" s="85" t="s">
        <v>153</v>
      </c>
      <c r="I7" s="708" t="s">
        <v>108</v>
      </c>
      <c r="J7" s="133"/>
    </row>
    <row r="8" spans="1:10">
      <c r="A8" s="709"/>
      <c r="B8" s="88"/>
      <c r="C8" s="88"/>
      <c r="D8" s="79"/>
      <c r="E8" s="1054" t="s">
        <v>206</v>
      </c>
      <c r="F8" s="1054" t="s">
        <v>204</v>
      </c>
      <c r="G8" s="1055"/>
      <c r="H8" s="89"/>
      <c r="I8" s="710"/>
      <c r="J8" s="133"/>
    </row>
    <row r="9" spans="1:10" hidden="1" outlineLevel="1">
      <c r="A9" s="706"/>
      <c r="B9" s="86" t="s">
        <v>205</v>
      </c>
      <c r="C9" s="86"/>
      <c r="D9" s="134">
        <v>1206340.51</v>
      </c>
      <c r="E9" s="135">
        <f>D9</f>
        <v>1206340.51</v>
      </c>
      <c r="F9" s="87"/>
      <c r="G9" s="87"/>
      <c r="H9" s="135"/>
      <c r="I9" s="708"/>
      <c r="J9" s="133"/>
    </row>
    <row r="10" spans="1:10" hidden="1" outlineLevel="1">
      <c r="A10" s="706"/>
      <c r="B10" s="108">
        <v>40574</v>
      </c>
      <c r="C10" s="86"/>
      <c r="D10" s="87"/>
      <c r="E10" s="135">
        <f>E9</f>
        <v>1206340.51</v>
      </c>
      <c r="F10" s="87"/>
      <c r="G10" s="87"/>
      <c r="H10" s="87"/>
      <c r="I10" s="708"/>
      <c r="J10" s="133"/>
    </row>
    <row r="11" spans="1:10" hidden="1" outlineLevel="1">
      <c r="A11" s="706"/>
      <c r="B11" s="108">
        <v>40602</v>
      </c>
      <c r="C11" s="86"/>
      <c r="D11" s="87"/>
      <c r="E11" s="135">
        <f t="shared" ref="E11:E74" si="0">E10</f>
        <v>1206340.51</v>
      </c>
      <c r="F11" s="87"/>
      <c r="G11" s="87"/>
      <c r="H11" s="87"/>
      <c r="I11" s="708"/>
      <c r="J11" s="133"/>
    </row>
    <row r="12" spans="1:10" hidden="1" outlineLevel="1">
      <c r="A12" s="706"/>
      <c r="B12" s="108">
        <v>40633</v>
      </c>
      <c r="C12" s="86"/>
      <c r="D12" s="87"/>
      <c r="E12" s="135">
        <f t="shared" si="0"/>
        <v>1206340.51</v>
      </c>
      <c r="F12" s="87"/>
      <c r="G12" s="87"/>
      <c r="H12" s="87"/>
      <c r="I12" s="728"/>
    </row>
    <row r="13" spans="1:10" hidden="1" outlineLevel="1">
      <c r="A13" s="706"/>
      <c r="B13" s="108">
        <v>40663</v>
      </c>
      <c r="C13" s="86"/>
      <c r="D13" s="87"/>
      <c r="E13" s="135">
        <f t="shared" si="0"/>
        <v>1206340.51</v>
      </c>
      <c r="F13" s="87"/>
      <c r="G13" s="87"/>
      <c r="H13" s="87"/>
      <c r="I13" s="728"/>
    </row>
    <row r="14" spans="1:10" hidden="1" outlineLevel="1">
      <c r="A14" s="706"/>
      <c r="B14" s="108">
        <v>40694</v>
      </c>
      <c r="C14" s="86"/>
      <c r="D14" s="87"/>
      <c r="E14" s="135">
        <f t="shared" si="0"/>
        <v>1206340.51</v>
      </c>
      <c r="F14" s="87"/>
      <c r="G14" s="87"/>
      <c r="H14" s="87"/>
      <c r="I14" s="728"/>
    </row>
    <row r="15" spans="1:10" hidden="1" outlineLevel="1">
      <c r="A15" s="706"/>
      <c r="B15" s="108">
        <v>40724</v>
      </c>
      <c r="C15" s="86"/>
      <c r="D15" s="87"/>
      <c r="E15" s="135">
        <f t="shared" si="0"/>
        <v>1206340.51</v>
      </c>
      <c r="F15" s="87"/>
      <c r="G15" s="87"/>
      <c r="H15" s="87"/>
      <c r="I15" s="728"/>
    </row>
    <row r="16" spans="1:10" hidden="1" outlineLevel="1">
      <c r="A16" s="706"/>
      <c r="B16" s="108">
        <v>40755</v>
      </c>
      <c r="C16" s="86"/>
      <c r="D16" s="87"/>
      <c r="E16" s="135">
        <f t="shared" si="0"/>
        <v>1206340.51</v>
      </c>
      <c r="F16" s="87"/>
      <c r="G16" s="87"/>
      <c r="H16" s="87"/>
      <c r="I16" s="728"/>
    </row>
    <row r="17" spans="1:10" hidden="1" outlineLevel="1">
      <c r="A17" s="706"/>
      <c r="B17" s="108">
        <v>40786</v>
      </c>
      <c r="C17" s="86"/>
      <c r="D17" s="87"/>
      <c r="E17" s="135">
        <f t="shared" si="0"/>
        <v>1206340.51</v>
      </c>
      <c r="F17" s="87"/>
      <c r="G17" s="87"/>
      <c r="H17" s="87"/>
      <c r="I17" s="728"/>
    </row>
    <row r="18" spans="1:10" hidden="1" outlineLevel="1">
      <c r="A18" s="706"/>
      <c r="B18" s="108">
        <v>40816</v>
      </c>
      <c r="C18" s="86"/>
      <c r="D18" s="87"/>
      <c r="E18" s="135">
        <f t="shared" si="0"/>
        <v>1206340.51</v>
      </c>
      <c r="F18" s="87"/>
      <c r="G18" s="87"/>
      <c r="H18" s="87"/>
      <c r="I18" s="728"/>
    </row>
    <row r="19" spans="1:10" hidden="1" outlineLevel="1">
      <c r="A19" s="706"/>
      <c r="B19" s="108">
        <v>40847</v>
      </c>
      <c r="C19" s="86"/>
      <c r="D19" s="87"/>
      <c r="E19" s="135">
        <f t="shared" si="0"/>
        <v>1206340.51</v>
      </c>
      <c r="F19" s="87"/>
      <c r="G19" s="87"/>
      <c r="H19" s="87"/>
      <c r="I19" s="728"/>
    </row>
    <row r="20" spans="1:10" hidden="1" outlineLevel="1">
      <c r="A20" s="706"/>
      <c r="B20" s="108">
        <v>40877</v>
      </c>
      <c r="C20" s="86"/>
      <c r="D20" s="87"/>
      <c r="E20" s="135">
        <f t="shared" si="0"/>
        <v>1206340.51</v>
      </c>
      <c r="F20" s="87"/>
      <c r="G20" s="87"/>
      <c r="H20" s="87"/>
      <c r="I20" s="728"/>
    </row>
    <row r="21" spans="1:10" hidden="1" outlineLevel="1">
      <c r="A21" s="706"/>
      <c r="B21" s="717">
        <v>40908</v>
      </c>
      <c r="C21" s="86"/>
      <c r="D21" s="87"/>
      <c r="E21" s="135">
        <f t="shared" si="0"/>
        <v>1206340.51</v>
      </c>
      <c r="F21" s="87"/>
      <c r="G21" s="87"/>
      <c r="H21" s="135"/>
      <c r="I21" s="728"/>
    </row>
    <row r="22" spans="1:10" hidden="1" outlineLevel="1">
      <c r="A22" s="706"/>
      <c r="B22" s="729" t="s">
        <v>207</v>
      </c>
      <c r="C22" s="86"/>
      <c r="D22" s="87"/>
      <c r="E22" s="135">
        <f t="shared" si="0"/>
        <v>1206340.51</v>
      </c>
      <c r="F22" s="135">
        <f>E22/60</f>
        <v>20105.675166666668</v>
      </c>
      <c r="G22" s="139">
        <f>G21-F22</f>
        <v>-20105.675166666668</v>
      </c>
      <c r="H22" s="135">
        <f>E22+G22</f>
        <v>1186234.8348333333</v>
      </c>
      <c r="I22" s="728">
        <f>(H10+H22+SUM(H11:H21)*2)/24</f>
        <v>49426.451451388886</v>
      </c>
    </row>
    <row r="23" spans="1:10" hidden="1" outlineLevel="1">
      <c r="A23" s="706"/>
      <c r="B23" s="108">
        <v>40967</v>
      </c>
      <c r="C23" s="86"/>
      <c r="D23" s="87"/>
      <c r="E23" s="135">
        <f t="shared" si="0"/>
        <v>1206340.51</v>
      </c>
      <c r="F23" s="135">
        <f>E23/60</f>
        <v>20105.675166666668</v>
      </c>
      <c r="G23" s="139">
        <f>G22-F23</f>
        <v>-40211.350333333336</v>
      </c>
      <c r="H23" s="135">
        <f>E23+G23</f>
        <v>1166129.1596666668</v>
      </c>
      <c r="I23" s="728">
        <f t="shared" ref="I23:I28" si="1">(H11+H23+SUM(H12:H22)*2)/24</f>
        <v>147441.6178888889</v>
      </c>
      <c r="J23" s="109"/>
    </row>
    <row r="24" spans="1:10" hidden="1" outlineLevel="1">
      <c r="A24" s="706"/>
      <c r="B24" s="108">
        <v>40999</v>
      </c>
      <c r="C24" s="86"/>
      <c r="D24" s="87"/>
      <c r="E24" s="135">
        <f t="shared" si="0"/>
        <v>1206340.51</v>
      </c>
      <c r="F24" s="135">
        <f>E24/60</f>
        <v>20105.675166666668</v>
      </c>
      <c r="G24" s="139">
        <f>G23-F24</f>
        <v>-60317.025500000003</v>
      </c>
      <c r="H24" s="135">
        <f>E24+G24</f>
        <v>1146023.4845</v>
      </c>
      <c r="I24" s="728">
        <f t="shared" si="1"/>
        <v>243781.31139583336</v>
      </c>
    </row>
    <row r="25" spans="1:10" hidden="1" outlineLevel="1">
      <c r="A25" s="706"/>
      <c r="B25" s="108">
        <v>41029</v>
      </c>
      <c r="C25" s="86"/>
      <c r="D25" s="87"/>
      <c r="E25" s="135">
        <f t="shared" si="0"/>
        <v>1206340.51</v>
      </c>
      <c r="F25" s="135">
        <f>E25/60</f>
        <v>20105.675166666668</v>
      </c>
      <c r="G25" s="139">
        <f>G24-F25</f>
        <v>-80422.700666666671</v>
      </c>
      <c r="H25" s="135">
        <f>E25+G25</f>
        <v>1125917.8093333333</v>
      </c>
      <c r="I25" s="728">
        <f t="shared" si="1"/>
        <v>338445.53197222226</v>
      </c>
    </row>
    <row r="26" spans="1:10" hidden="1" outlineLevel="1">
      <c r="A26" s="706"/>
      <c r="B26" s="730" t="s">
        <v>208</v>
      </c>
      <c r="C26" s="86"/>
      <c r="D26" s="134"/>
      <c r="E26" s="135">
        <f t="shared" si="0"/>
        <v>1206340.51</v>
      </c>
      <c r="F26" s="135">
        <f>E26/60</f>
        <v>20105.675166666668</v>
      </c>
      <c r="G26" s="139">
        <f>G25-F26</f>
        <v>-100528.37583333334</v>
      </c>
      <c r="H26" s="135">
        <f>E26+G26</f>
        <v>1105812.1341666668</v>
      </c>
      <c r="I26" s="728">
        <f t="shared" si="1"/>
        <v>431434.27961805562</v>
      </c>
    </row>
    <row r="27" spans="1:10" hidden="1" outlineLevel="1">
      <c r="A27" s="706"/>
      <c r="B27" s="108">
        <v>41090</v>
      </c>
      <c r="C27" s="86"/>
      <c r="D27" s="135"/>
      <c r="E27" s="135">
        <f t="shared" si="0"/>
        <v>1206340.51</v>
      </c>
      <c r="F27" s="135">
        <f t="shared" ref="F27:F81" si="2">E27/60</f>
        <v>20105.675166666668</v>
      </c>
      <c r="G27" s="139">
        <f t="shared" ref="G27:G51" si="3">G26-F27</f>
        <v>-120634.05100000001</v>
      </c>
      <c r="H27" s="135">
        <f t="shared" ref="H27:H81" si="4">E27+G27</f>
        <v>1085706.459</v>
      </c>
      <c r="I27" s="728">
        <f t="shared" si="1"/>
        <v>522747.55433333345</v>
      </c>
    </row>
    <row r="28" spans="1:10" hidden="1" outlineLevel="1">
      <c r="A28" s="706"/>
      <c r="B28" s="108">
        <v>41121</v>
      </c>
      <c r="C28" s="86"/>
      <c r="D28" s="135"/>
      <c r="E28" s="135">
        <f t="shared" si="0"/>
        <v>1206340.51</v>
      </c>
      <c r="F28" s="135">
        <f t="shared" si="2"/>
        <v>20105.675166666668</v>
      </c>
      <c r="G28" s="139">
        <f t="shared" si="3"/>
        <v>-140739.72616666666</v>
      </c>
      <c r="H28" s="135">
        <f t="shared" si="4"/>
        <v>1065600.7838333333</v>
      </c>
      <c r="I28" s="728">
        <f t="shared" si="1"/>
        <v>612385.35611805564</v>
      </c>
    </row>
    <row r="29" spans="1:10" hidden="1" outlineLevel="1">
      <c r="A29" s="706"/>
      <c r="B29" s="108">
        <v>41152</v>
      </c>
      <c r="C29" s="86"/>
      <c r="D29" s="135"/>
      <c r="E29" s="135">
        <f t="shared" si="0"/>
        <v>1206340.51</v>
      </c>
      <c r="F29" s="135">
        <f t="shared" si="2"/>
        <v>20105.675166666668</v>
      </c>
      <c r="G29" s="139">
        <f t="shared" si="3"/>
        <v>-160845.40133333334</v>
      </c>
      <c r="H29" s="135">
        <f t="shared" si="4"/>
        <v>1045495.1086666667</v>
      </c>
      <c r="I29" s="728">
        <f t="shared" ref="I29:I92" si="5">(H17+H29+SUM(H18:H28)*2)/24</f>
        <v>700347.68497222231</v>
      </c>
    </row>
    <row r="30" spans="1:10" hidden="1" outlineLevel="1">
      <c r="A30" s="706"/>
      <c r="B30" s="108">
        <v>41182</v>
      </c>
      <c r="C30" s="86"/>
      <c r="D30" s="135"/>
      <c r="E30" s="135">
        <f t="shared" si="0"/>
        <v>1206340.51</v>
      </c>
      <c r="F30" s="135">
        <f t="shared" si="2"/>
        <v>20105.675166666668</v>
      </c>
      <c r="G30" s="139">
        <f t="shared" si="3"/>
        <v>-180951.07650000002</v>
      </c>
      <c r="H30" s="135">
        <f t="shared" si="4"/>
        <v>1025389.4335</v>
      </c>
      <c r="I30" s="728">
        <f t="shared" si="5"/>
        <v>786634.54089583328</v>
      </c>
    </row>
    <row r="31" spans="1:10" hidden="1" outlineLevel="1">
      <c r="A31" s="706"/>
      <c r="B31" s="108">
        <v>41213</v>
      </c>
      <c r="C31" s="86"/>
      <c r="D31" s="135"/>
      <c r="E31" s="135">
        <f t="shared" si="0"/>
        <v>1206340.51</v>
      </c>
      <c r="F31" s="135">
        <f t="shared" si="2"/>
        <v>20105.675166666668</v>
      </c>
      <c r="G31" s="139">
        <f t="shared" si="3"/>
        <v>-201056.75166666671</v>
      </c>
      <c r="H31" s="135">
        <f t="shared" si="4"/>
        <v>1005283.7583333333</v>
      </c>
      <c r="I31" s="728">
        <f>(H19+H31+SUM(H20:H30)*2)/24</f>
        <v>871245.92388888879</v>
      </c>
      <c r="J31" s="109"/>
    </row>
    <row r="32" spans="1:10" hidden="1" outlineLevel="1">
      <c r="A32" s="706"/>
      <c r="B32" s="108">
        <v>41243</v>
      </c>
      <c r="C32" s="86"/>
      <c r="D32" s="135"/>
      <c r="E32" s="135">
        <f t="shared" si="0"/>
        <v>1206340.51</v>
      </c>
      <c r="F32" s="135">
        <f t="shared" si="2"/>
        <v>20105.675166666668</v>
      </c>
      <c r="G32" s="139">
        <f t="shared" si="3"/>
        <v>-221162.42683333339</v>
      </c>
      <c r="H32" s="135">
        <f t="shared" si="4"/>
        <v>985178.08316666656</v>
      </c>
      <c r="I32" s="728">
        <f>(H20+H32+SUM(H21:H31)*2)/24</f>
        <v>954181.83395138883</v>
      </c>
    </row>
    <row r="33" spans="1:24" hidden="1" outlineLevel="1">
      <c r="A33" s="706"/>
      <c r="B33" s="717">
        <v>41274</v>
      </c>
      <c r="C33" s="86"/>
      <c r="D33" s="135"/>
      <c r="E33" s="135">
        <f t="shared" si="0"/>
        <v>1206340.51</v>
      </c>
      <c r="F33" s="135">
        <f t="shared" si="2"/>
        <v>20105.675166666668</v>
      </c>
      <c r="G33" s="139">
        <f t="shared" si="3"/>
        <v>-241268.10200000007</v>
      </c>
      <c r="H33" s="135">
        <f t="shared" si="4"/>
        <v>965072.40799999994</v>
      </c>
      <c r="I33" s="728">
        <f>(H21+H33+SUM(H22:H32)*2)/24</f>
        <v>1035442.2710833332</v>
      </c>
    </row>
    <row r="34" spans="1:24" hidden="1" outlineLevel="1">
      <c r="A34" s="706"/>
      <c r="B34" s="108">
        <v>41305</v>
      </c>
      <c r="C34" s="86"/>
      <c r="D34" s="135"/>
      <c r="E34" s="135">
        <f t="shared" si="0"/>
        <v>1206340.51</v>
      </c>
      <c r="F34" s="135">
        <f t="shared" si="2"/>
        <v>20105.675166666668</v>
      </c>
      <c r="G34" s="139">
        <f t="shared" si="3"/>
        <v>-261373.77716666675</v>
      </c>
      <c r="H34" s="135">
        <f t="shared" si="4"/>
        <v>944966.73283333331</v>
      </c>
      <c r="I34" s="728">
        <f t="shared" si="5"/>
        <v>1065600.7838333333</v>
      </c>
    </row>
    <row r="35" spans="1:24" hidden="1" outlineLevel="1">
      <c r="A35" s="706"/>
      <c r="B35" s="108">
        <v>41333</v>
      </c>
      <c r="C35" s="86"/>
      <c r="D35" s="135"/>
      <c r="E35" s="135">
        <f t="shared" si="0"/>
        <v>1206340.51</v>
      </c>
      <c r="F35" s="135">
        <f t="shared" si="2"/>
        <v>20105.675166666668</v>
      </c>
      <c r="G35" s="139">
        <f t="shared" si="3"/>
        <v>-281479.45233333344</v>
      </c>
      <c r="H35" s="135">
        <f t="shared" si="4"/>
        <v>924861.05766666657</v>
      </c>
      <c r="I35" s="728">
        <f t="shared" si="5"/>
        <v>1045495.1086666667</v>
      </c>
      <c r="J35" s="109"/>
    </row>
    <row r="36" spans="1:24" hidden="1" outlineLevel="1">
      <c r="A36" s="706"/>
      <c r="B36" s="108">
        <v>41364</v>
      </c>
      <c r="C36" s="65"/>
      <c r="D36" s="731"/>
      <c r="E36" s="135">
        <f t="shared" si="0"/>
        <v>1206340.51</v>
      </c>
      <c r="F36" s="135">
        <f t="shared" si="2"/>
        <v>20105.675166666668</v>
      </c>
      <c r="G36" s="139">
        <f t="shared" si="3"/>
        <v>-301585.12750000012</v>
      </c>
      <c r="H36" s="135">
        <f t="shared" si="4"/>
        <v>904755.38249999983</v>
      </c>
      <c r="I36" s="728">
        <f t="shared" si="5"/>
        <v>1025389.4334999999</v>
      </c>
      <c r="J36" s="109"/>
    </row>
    <row r="37" spans="1:24" s="131" customFormat="1" hidden="1" outlineLevel="1">
      <c r="A37" s="716"/>
      <c r="B37" s="717">
        <v>41394</v>
      </c>
      <c r="C37" s="717"/>
      <c r="D37" s="732"/>
      <c r="E37" s="135">
        <f t="shared" si="0"/>
        <v>1206340.51</v>
      </c>
      <c r="F37" s="135">
        <f t="shared" si="2"/>
        <v>20105.675166666668</v>
      </c>
      <c r="G37" s="139">
        <f t="shared" si="3"/>
        <v>-321690.8026666668</v>
      </c>
      <c r="H37" s="135">
        <f t="shared" si="4"/>
        <v>884649.70733333321</v>
      </c>
      <c r="I37" s="728">
        <f>(H25+H37+SUM(H26:H36)*2)/24</f>
        <v>1005283.7583333333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hidden="1" outlineLevel="1">
      <c r="A38" s="706"/>
      <c r="B38" s="108">
        <v>41425</v>
      </c>
      <c r="C38" s="108"/>
      <c r="D38" s="733"/>
      <c r="E38" s="135">
        <f t="shared" si="0"/>
        <v>1206340.51</v>
      </c>
      <c r="F38" s="135">
        <f t="shared" si="2"/>
        <v>20105.675166666668</v>
      </c>
      <c r="G38" s="139">
        <f t="shared" si="3"/>
        <v>-341796.47783333348</v>
      </c>
      <c r="H38" s="135">
        <f t="shared" si="4"/>
        <v>864544.03216666658</v>
      </c>
      <c r="I38" s="728">
        <f t="shared" si="5"/>
        <v>985178.08316666668</v>
      </c>
      <c r="J38" s="109"/>
    </row>
    <row r="39" spans="1:24" hidden="1" outlineLevel="1">
      <c r="A39" s="706"/>
      <c r="B39" s="108">
        <v>41455</v>
      </c>
      <c r="C39" s="108"/>
      <c r="D39" s="733"/>
      <c r="E39" s="135">
        <f t="shared" si="0"/>
        <v>1206340.51</v>
      </c>
      <c r="F39" s="135">
        <f t="shared" si="2"/>
        <v>20105.675166666668</v>
      </c>
      <c r="G39" s="139">
        <f t="shared" si="3"/>
        <v>-361902.15300000017</v>
      </c>
      <c r="H39" s="135">
        <f t="shared" si="4"/>
        <v>844438.35699999984</v>
      </c>
      <c r="I39" s="728">
        <f t="shared" si="5"/>
        <v>965072.40800000017</v>
      </c>
      <c r="J39" s="109"/>
    </row>
    <row r="40" spans="1:24" hidden="1" outlineLevel="1">
      <c r="A40" s="706"/>
      <c r="B40" s="108">
        <v>41486</v>
      </c>
      <c r="C40" s="108"/>
      <c r="D40" s="733"/>
      <c r="E40" s="135">
        <f t="shared" si="0"/>
        <v>1206340.51</v>
      </c>
      <c r="F40" s="135">
        <f t="shared" si="2"/>
        <v>20105.675166666668</v>
      </c>
      <c r="G40" s="139">
        <f t="shared" si="3"/>
        <v>-382007.82816666685</v>
      </c>
      <c r="H40" s="135">
        <f t="shared" si="4"/>
        <v>824332.6818333331</v>
      </c>
      <c r="I40" s="728">
        <f t="shared" si="5"/>
        <v>944966.73283333331</v>
      </c>
      <c r="J40" s="109"/>
    </row>
    <row r="41" spans="1:24" hidden="1" outlineLevel="1">
      <c r="A41" s="706"/>
      <c r="B41" s="108">
        <v>41517</v>
      </c>
      <c r="C41" s="715"/>
      <c r="D41" s="733"/>
      <c r="E41" s="135">
        <f t="shared" si="0"/>
        <v>1206340.51</v>
      </c>
      <c r="F41" s="135">
        <f t="shared" si="2"/>
        <v>20105.675166666668</v>
      </c>
      <c r="G41" s="139">
        <f t="shared" si="3"/>
        <v>-402113.50333333353</v>
      </c>
      <c r="H41" s="135">
        <f t="shared" si="4"/>
        <v>804227.00666666648</v>
      </c>
      <c r="I41" s="728">
        <f t="shared" si="5"/>
        <v>924861.05766666669</v>
      </c>
    </row>
    <row r="42" spans="1:24" s="109" customFormat="1" hidden="1" outlineLevel="1">
      <c r="A42" s="706"/>
      <c r="B42" s="108">
        <v>41547</v>
      </c>
      <c r="C42" s="108"/>
      <c r="D42" s="733"/>
      <c r="E42" s="135">
        <f t="shared" si="0"/>
        <v>1206340.51</v>
      </c>
      <c r="F42" s="135">
        <f t="shared" si="2"/>
        <v>20105.675166666668</v>
      </c>
      <c r="G42" s="139">
        <f t="shared" si="3"/>
        <v>-422219.17850000021</v>
      </c>
      <c r="H42" s="135">
        <f t="shared" si="4"/>
        <v>784121.33149999985</v>
      </c>
      <c r="I42" s="728">
        <f t="shared" si="5"/>
        <v>904755.38249999983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idden="1" outlineLevel="1">
      <c r="A43" s="706"/>
      <c r="B43" s="108">
        <v>41578</v>
      </c>
      <c r="C43" s="108"/>
      <c r="D43" s="733"/>
      <c r="E43" s="135">
        <f t="shared" si="0"/>
        <v>1206340.51</v>
      </c>
      <c r="F43" s="135">
        <f t="shared" si="2"/>
        <v>20105.675166666668</v>
      </c>
      <c r="G43" s="139">
        <f t="shared" si="3"/>
        <v>-442324.8536666669</v>
      </c>
      <c r="H43" s="135">
        <f t="shared" si="4"/>
        <v>764015.65633333311</v>
      </c>
      <c r="I43" s="728">
        <f t="shared" si="5"/>
        <v>884649.70733333321</v>
      </c>
    </row>
    <row r="44" spans="1:24" hidden="1" outlineLevel="1">
      <c r="A44" s="706"/>
      <c r="B44" s="108">
        <v>41608</v>
      </c>
      <c r="C44" s="108"/>
      <c r="D44" s="733"/>
      <c r="E44" s="135">
        <f t="shared" si="0"/>
        <v>1206340.51</v>
      </c>
      <c r="F44" s="135">
        <f t="shared" si="2"/>
        <v>20105.675166666668</v>
      </c>
      <c r="G44" s="139">
        <f t="shared" si="3"/>
        <v>-462430.52883333358</v>
      </c>
      <c r="H44" s="135">
        <f t="shared" si="4"/>
        <v>743909.98116666637</v>
      </c>
      <c r="I44" s="728">
        <f t="shared" si="5"/>
        <v>864544.0321666667</v>
      </c>
    </row>
    <row r="45" spans="1:24" hidden="1" outlineLevel="1">
      <c r="A45" s="706"/>
      <c r="B45" s="717">
        <v>41639</v>
      </c>
      <c r="C45" s="108"/>
      <c r="D45" s="364"/>
      <c r="E45" s="135">
        <f t="shared" si="0"/>
        <v>1206340.51</v>
      </c>
      <c r="F45" s="135">
        <f t="shared" si="2"/>
        <v>20105.675166666668</v>
      </c>
      <c r="G45" s="139">
        <f t="shared" si="3"/>
        <v>-482536.20400000026</v>
      </c>
      <c r="H45" s="135">
        <f t="shared" si="4"/>
        <v>723804.30599999975</v>
      </c>
      <c r="I45" s="728">
        <f t="shared" si="5"/>
        <v>844438.35699999984</v>
      </c>
    </row>
    <row r="46" spans="1:24" hidden="1" outlineLevel="1">
      <c r="A46" s="706"/>
      <c r="B46" s="108">
        <v>41670</v>
      </c>
      <c r="C46" s="108"/>
      <c r="D46" s="364"/>
      <c r="E46" s="135">
        <f t="shared" si="0"/>
        <v>1206340.51</v>
      </c>
      <c r="F46" s="135">
        <f t="shared" si="2"/>
        <v>20105.675166666668</v>
      </c>
      <c r="G46" s="139">
        <f t="shared" si="3"/>
        <v>-502641.87916666694</v>
      </c>
      <c r="H46" s="135">
        <f t="shared" si="4"/>
        <v>703698.63083333313</v>
      </c>
      <c r="I46" s="728">
        <f t="shared" si="5"/>
        <v>824332.68183333322</v>
      </c>
      <c r="J46" s="109"/>
    </row>
    <row r="47" spans="1:24" hidden="1" outlineLevel="1">
      <c r="A47" s="706"/>
      <c r="B47" s="108">
        <v>41698</v>
      </c>
      <c r="C47" s="108"/>
      <c r="D47" s="364"/>
      <c r="E47" s="135">
        <f t="shared" si="0"/>
        <v>1206340.51</v>
      </c>
      <c r="F47" s="135">
        <f t="shared" si="2"/>
        <v>20105.675166666668</v>
      </c>
      <c r="G47" s="139">
        <f t="shared" si="3"/>
        <v>-522747.55433333362</v>
      </c>
      <c r="H47" s="135">
        <f t="shared" si="4"/>
        <v>683592.95566666638</v>
      </c>
      <c r="I47" s="728">
        <f t="shared" si="5"/>
        <v>804227.00666666648</v>
      </c>
      <c r="J47" s="109"/>
    </row>
    <row r="48" spans="1:24" hidden="1" outlineLevel="1">
      <c r="A48" s="706"/>
      <c r="B48" s="108">
        <v>41729</v>
      </c>
      <c r="C48" s="108"/>
      <c r="D48" s="364"/>
      <c r="E48" s="135">
        <f t="shared" si="0"/>
        <v>1206340.51</v>
      </c>
      <c r="F48" s="135">
        <f t="shared" si="2"/>
        <v>20105.675166666668</v>
      </c>
      <c r="G48" s="139">
        <f t="shared" si="3"/>
        <v>-542853.22950000025</v>
      </c>
      <c r="H48" s="135">
        <f t="shared" si="4"/>
        <v>663487.28049999976</v>
      </c>
      <c r="I48" s="728">
        <f t="shared" si="5"/>
        <v>784121.33149999985</v>
      </c>
    </row>
    <row r="49" spans="1:14" hidden="1" outlineLevel="1">
      <c r="A49" s="706"/>
      <c r="B49" s="108">
        <v>41759</v>
      </c>
      <c r="C49" s="108"/>
      <c r="D49" s="364"/>
      <c r="E49" s="135">
        <f t="shared" si="0"/>
        <v>1206340.51</v>
      </c>
      <c r="F49" s="135">
        <f t="shared" si="2"/>
        <v>20105.675166666668</v>
      </c>
      <c r="G49" s="139">
        <f t="shared" si="3"/>
        <v>-562958.90466666687</v>
      </c>
      <c r="H49" s="135">
        <f t="shared" si="4"/>
        <v>643381.60533333314</v>
      </c>
      <c r="I49" s="728">
        <f t="shared" si="5"/>
        <v>764015.65633333323</v>
      </c>
    </row>
    <row r="50" spans="1:14" hidden="1" outlineLevel="1">
      <c r="A50" s="706"/>
      <c r="B50" s="108">
        <v>41790</v>
      </c>
      <c r="C50" s="108"/>
      <c r="D50" s="364"/>
      <c r="E50" s="135">
        <f t="shared" si="0"/>
        <v>1206340.51</v>
      </c>
      <c r="F50" s="135">
        <f t="shared" si="2"/>
        <v>20105.675166666668</v>
      </c>
      <c r="G50" s="139">
        <f t="shared" si="3"/>
        <v>-583064.5798333335</v>
      </c>
      <c r="H50" s="135">
        <f t="shared" si="4"/>
        <v>623275.93016666651</v>
      </c>
      <c r="I50" s="728">
        <f t="shared" si="5"/>
        <v>743909.98116666637</v>
      </c>
      <c r="J50" s="109"/>
    </row>
    <row r="51" spans="1:14" hidden="1" outlineLevel="1">
      <c r="A51" s="706"/>
      <c r="B51" s="108">
        <v>41820</v>
      </c>
      <c r="C51" s="108"/>
      <c r="D51" s="364"/>
      <c r="E51" s="135">
        <f t="shared" si="0"/>
        <v>1206340.51</v>
      </c>
      <c r="F51" s="135">
        <f t="shared" si="2"/>
        <v>20105.675166666668</v>
      </c>
      <c r="G51" s="139">
        <f t="shared" si="3"/>
        <v>-603170.25500000012</v>
      </c>
      <c r="H51" s="135">
        <f t="shared" si="4"/>
        <v>603170.25499999989</v>
      </c>
      <c r="I51" s="728">
        <f t="shared" si="5"/>
        <v>723804.30599999987</v>
      </c>
    </row>
    <row r="52" spans="1:14" hidden="1" outlineLevel="1">
      <c r="A52" s="706"/>
      <c r="B52" s="108">
        <v>41851</v>
      </c>
      <c r="C52" s="108"/>
      <c r="D52" s="364"/>
      <c r="E52" s="135">
        <f t="shared" si="0"/>
        <v>1206340.51</v>
      </c>
      <c r="F52" s="135">
        <f t="shared" si="2"/>
        <v>20105.675166666668</v>
      </c>
      <c r="G52" s="139">
        <f>G51-F52</f>
        <v>-623275.93016666675</v>
      </c>
      <c r="H52" s="135">
        <f t="shared" si="4"/>
        <v>583064.57983333326</v>
      </c>
      <c r="I52" s="728">
        <f t="shared" si="5"/>
        <v>703698.63083333301</v>
      </c>
    </row>
    <row r="53" spans="1:14" hidden="1" outlineLevel="1">
      <c r="A53" s="706"/>
      <c r="B53" s="108">
        <v>41882</v>
      </c>
      <c r="C53" s="108"/>
      <c r="D53" s="364"/>
      <c r="E53" s="135">
        <f t="shared" si="0"/>
        <v>1206340.51</v>
      </c>
      <c r="F53" s="135">
        <f t="shared" si="2"/>
        <v>20105.675166666668</v>
      </c>
      <c r="G53" s="139">
        <f t="shared" ref="G53:G81" si="6">G52-F53</f>
        <v>-643381.60533333337</v>
      </c>
      <c r="H53" s="135">
        <f t="shared" si="4"/>
        <v>562958.90466666664</v>
      </c>
      <c r="I53" s="728">
        <f t="shared" si="5"/>
        <v>683592.9556666665</v>
      </c>
      <c r="J53" s="109"/>
    </row>
    <row r="54" spans="1:14" hidden="1" outlineLevel="1">
      <c r="A54" s="706"/>
      <c r="B54" s="108">
        <v>41912</v>
      </c>
      <c r="C54" s="108"/>
      <c r="D54" s="364"/>
      <c r="E54" s="135">
        <f t="shared" si="0"/>
        <v>1206340.51</v>
      </c>
      <c r="F54" s="135">
        <f t="shared" si="2"/>
        <v>20105.675166666668</v>
      </c>
      <c r="G54" s="139">
        <f t="shared" si="6"/>
        <v>-663487.28049999999</v>
      </c>
      <c r="H54" s="135">
        <f t="shared" si="4"/>
        <v>542853.22950000002</v>
      </c>
      <c r="I54" s="728">
        <f t="shared" si="5"/>
        <v>663487.28049999988</v>
      </c>
    </row>
    <row r="55" spans="1:14" hidden="1" outlineLevel="1">
      <c r="A55" s="706"/>
      <c r="B55" s="108">
        <v>41943</v>
      </c>
      <c r="C55" s="108"/>
      <c r="D55" s="364"/>
      <c r="E55" s="135">
        <f t="shared" si="0"/>
        <v>1206340.51</v>
      </c>
      <c r="F55" s="135">
        <f t="shared" si="2"/>
        <v>20105.675166666668</v>
      </c>
      <c r="G55" s="139">
        <f t="shared" si="6"/>
        <v>-683592.95566666662</v>
      </c>
      <c r="H55" s="135">
        <f t="shared" si="4"/>
        <v>522747.55433333339</v>
      </c>
      <c r="I55" s="728">
        <f t="shared" si="5"/>
        <v>643381.60533333325</v>
      </c>
      <c r="J55" s="109"/>
    </row>
    <row r="56" spans="1:14" hidden="1" outlineLevel="1">
      <c r="A56" s="706"/>
      <c r="B56" s="108">
        <v>41973</v>
      </c>
      <c r="C56" s="108"/>
      <c r="D56" s="364"/>
      <c r="E56" s="135">
        <f t="shared" si="0"/>
        <v>1206340.51</v>
      </c>
      <c r="F56" s="135">
        <f t="shared" si="2"/>
        <v>20105.675166666668</v>
      </c>
      <c r="G56" s="139">
        <f t="shared" si="6"/>
        <v>-703698.63083333324</v>
      </c>
      <c r="H56" s="135">
        <f t="shared" si="4"/>
        <v>502641.87916666677</v>
      </c>
      <c r="I56" s="728">
        <f t="shared" si="5"/>
        <v>623275.93016666663</v>
      </c>
      <c r="J56" s="109"/>
    </row>
    <row r="57" spans="1:14" hidden="1" outlineLevel="1">
      <c r="A57" s="706"/>
      <c r="B57" s="717">
        <v>42004</v>
      </c>
      <c r="C57" s="108"/>
      <c r="D57" s="364"/>
      <c r="E57" s="135">
        <f t="shared" si="0"/>
        <v>1206340.51</v>
      </c>
      <c r="F57" s="135">
        <f t="shared" si="2"/>
        <v>20105.675166666668</v>
      </c>
      <c r="G57" s="139">
        <f t="shared" si="6"/>
        <v>-723804.30599999987</v>
      </c>
      <c r="H57" s="135">
        <f t="shared" si="4"/>
        <v>482536.20400000014</v>
      </c>
      <c r="I57" s="728">
        <f t="shared" si="5"/>
        <v>603170.255</v>
      </c>
      <c r="J57" s="109"/>
    </row>
    <row r="58" spans="1:14" collapsed="1">
      <c r="A58" s="706"/>
      <c r="B58" s="108">
        <v>42035</v>
      </c>
      <c r="C58" s="108"/>
      <c r="D58" s="364"/>
      <c r="E58" s="135">
        <f t="shared" si="0"/>
        <v>1206340.51</v>
      </c>
      <c r="F58" s="135">
        <f t="shared" si="2"/>
        <v>20105.675166666668</v>
      </c>
      <c r="G58" s="139">
        <f t="shared" si="6"/>
        <v>-743909.98116666649</v>
      </c>
      <c r="H58" s="135">
        <f t="shared" si="4"/>
        <v>462430.52883333352</v>
      </c>
      <c r="I58" s="728">
        <f t="shared" si="5"/>
        <v>583064.57983333326</v>
      </c>
    </row>
    <row r="59" spans="1:14" s="109" customFormat="1">
      <c r="A59" s="706"/>
      <c r="B59" s="108">
        <v>42063</v>
      </c>
      <c r="C59" s="108"/>
      <c r="D59" s="364"/>
      <c r="E59" s="135">
        <f t="shared" si="0"/>
        <v>1206340.51</v>
      </c>
      <c r="F59" s="135">
        <f t="shared" si="2"/>
        <v>20105.675166666668</v>
      </c>
      <c r="G59" s="139">
        <f t="shared" si="6"/>
        <v>-764015.65633333311</v>
      </c>
      <c r="H59" s="135">
        <f t="shared" si="4"/>
        <v>442324.8536666669</v>
      </c>
      <c r="I59" s="728">
        <f t="shared" si="5"/>
        <v>562958.90466666664</v>
      </c>
      <c r="K59"/>
      <c r="L59"/>
      <c r="M59"/>
      <c r="N59"/>
    </row>
    <row r="60" spans="1:14">
      <c r="A60" s="706"/>
      <c r="B60" s="108">
        <v>42094</v>
      </c>
      <c r="C60" s="108"/>
      <c r="D60" s="364"/>
      <c r="E60" s="135">
        <f t="shared" si="0"/>
        <v>1206340.51</v>
      </c>
      <c r="F60" s="135">
        <f t="shared" si="2"/>
        <v>20105.675166666668</v>
      </c>
      <c r="G60" s="139">
        <f t="shared" si="6"/>
        <v>-784121.33149999974</v>
      </c>
      <c r="H60" s="135">
        <f t="shared" si="4"/>
        <v>422219.17850000027</v>
      </c>
      <c r="I60" s="728">
        <f t="shared" si="5"/>
        <v>542853.22950000002</v>
      </c>
    </row>
    <row r="61" spans="1:14" s="109" customFormat="1">
      <c r="A61" s="706"/>
      <c r="B61" s="108">
        <v>42124</v>
      </c>
      <c r="C61" s="108"/>
      <c r="D61" s="364"/>
      <c r="E61" s="135">
        <f t="shared" si="0"/>
        <v>1206340.51</v>
      </c>
      <c r="F61" s="135">
        <f t="shared" si="2"/>
        <v>20105.675166666668</v>
      </c>
      <c r="G61" s="139">
        <f t="shared" si="6"/>
        <v>-804227.00666666636</v>
      </c>
      <c r="H61" s="135">
        <f t="shared" si="4"/>
        <v>402113.50333333365</v>
      </c>
      <c r="I61" s="728">
        <f t="shared" si="5"/>
        <v>522747.55433333339</v>
      </c>
      <c r="K61"/>
      <c r="L61"/>
      <c r="M61"/>
      <c r="N61"/>
    </row>
    <row r="62" spans="1:14" s="109" customFormat="1">
      <c r="A62" s="706"/>
      <c r="B62" s="108">
        <v>42155</v>
      </c>
      <c r="C62" s="108"/>
      <c r="D62" s="364"/>
      <c r="E62" s="135">
        <f t="shared" si="0"/>
        <v>1206340.51</v>
      </c>
      <c r="F62" s="135">
        <f t="shared" si="2"/>
        <v>20105.675166666668</v>
      </c>
      <c r="G62" s="139">
        <f t="shared" si="6"/>
        <v>-824332.68183333299</v>
      </c>
      <c r="H62" s="135">
        <f t="shared" si="4"/>
        <v>382007.82816666702</v>
      </c>
      <c r="I62" s="728">
        <f t="shared" si="5"/>
        <v>502641.87916666683</v>
      </c>
      <c r="K62"/>
      <c r="L62"/>
      <c r="M62"/>
      <c r="N62"/>
    </row>
    <row r="63" spans="1:14">
      <c r="A63" s="716"/>
      <c r="B63" s="108">
        <v>42185</v>
      </c>
      <c r="C63" s="108"/>
      <c r="D63" s="364"/>
      <c r="E63" s="135">
        <f t="shared" si="0"/>
        <v>1206340.51</v>
      </c>
      <c r="F63" s="135">
        <f t="shared" si="2"/>
        <v>20105.675166666668</v>
      </c>
      <c r="G63" s="139">
        <f t="shared" si="6"/>
        <v>-844438.35699999961</v>
      </c>
      <c r="H63" s="135">
        <f t="shared" si="4"/>
        <v>361902.1530000004</v>
      </c>
      <c r="I63" s="728">
        <f t="shared" si="5"/>
        <v>482536.20400000014</v>
      </c>
    </row>
    <row r="64" spans="1:14">
      <c r="A64" s="706"/>
      <c r="B64" s="108">
        <v>42216</v>
      </c>
      <c r="C64" s="108"/>
      <c r="D64" s="364"/>
      <c r="E64" s="135">
        <f t="shared" si="0"/>
        <v>1206340.51</v>
      </c>
      <c r="F64" s="135">
        <f t="shared" si="2"/>
        <v>20105.675166666668</v>
      </c>
      <c r="G64" s="139">
        <f t="shared" si="6"/>
        <v>-864544.03216666623</v>
      </c>
      <c r="H64" s="135">
        <f t="shared" si="4"/>
        <v>341796.47783333377</v>
      </c>
      <c r="I64" s="728">
        <f t="shared" si="5"/>
        <v>462430.52883333358</v>
      </c>
      <c r="J64" s="109"/>
    </row>
    <row r="65" spans="1:10">
      <c r="A65" s="706"/>
      <c r="B65" s="108">
        <v>42247</v>
      </c>
      <c r="C65" s="108"/>
      <c r="D65" s="364"/>
      <c r="E65" s="135">
        <f t="shared" si="0"/>
        <v>1206340.51</v>
      </c>
      <c r="F65" s="135">
        <f t="shared" si="2"/>
        <v>20105.675166666668</v>
      </c>
      <c r="G65" s="139">
        <f t="shared" si="6"/>
        <v>-884649.70733333286</v>
      </c>
      <c r="H65" s="135">
        <f t="shared" si="4"/>
        <v>321690.80266666715</v>
      </c>
      <c r="I65" s="728">
        <f t="shared" si="5"/>
        <v>442324.8536666669</v>
      </c>
    </row>
    <row r="66" spans="1:10">
      <c r="A66" s="706"/>
      <c r="B66" s="108">
        <v>42277</v>
      </c>
      <c r="C66" s="108"/>
      <c r="D66" s="364"/>
      <c r="E66" s="135">
        <f t="shared" si="0"/>
        <v>1206340.51</v>
      </c>
      <c r="F66" s="135">
        <f t="shared" si="2"/>
        <v>20105.675166666668</v>
      </c>
      <c r="G66" s="139">
        <f t="shared" si="6"/>
        <v>-904755.38249999948</v>
      </c>
      <c r="H66" s="135">
        <f t="shared" si="4"/>
        <v>301585.12750000053</v>
      </c>
      <c r="I66" s="728">
        <f t="shared" si="5"/>
        <v>422219.17850000021</v>
      </c>
      <c r="J66" s="109"/>
    </row>
    <row r="67" spans="1:10">
      <c r="A67" s="706"/>
      <c r="B67" s="108">
        <v>42308</v>
      </c>
      <c r="C67" s="108"/>
      <c r="D67" s="364"/>
      <c r="E67" s="135">
        <f t="shared" si="0"/>
        <v>1206340.51</v>
      </c>
      <c r="F67" s="135">
        <f t="shared" si="2"/>
        <v>20105.675166666668</v>
      </c>
      <c r="G67" s="139">
        <f t="shared" si="6"/>
        <v>-924861.05766666611</v>
      </c>
      <c r="H67" s="135">
        <f t="shared" si="4"/>
        <v>281479.4523333339</v>
      </c>
      <c r="I67" s="728">
        <f t="shared" si="5"/>
        <v>402113.50333333365</v>
      </c>
    </row>
    <row r="68" spans="1:10">
      <c r="A68" s="706"/>
      <c r="B68" s="108">
        <v>42338</v>
      </c>
      <c r="C68" s="108"/>
      <c r="D68" s="364"/>
      <c r="E68" s="135">
        <f t="shared" si="0"/>
        <v>1206340.51</v>
      </c>
      <c r="F68" s="135">
        <f t="shared" si="2"/>
        <v>20105.675166666668</v>
      </c>
      <c r="G68" s="139">
        <f t="shared" si="6"/>
        <v>-944966.73283333273</v>
      </c>
      <c r="H68" s="135">
        <f t="shared" si="4"/>
        <v>261373.77716666728</v>
      </c>
      <c r="I68" s="728">
        <f t="shared" si="5"/>
        <v>382007.82816666708</v>
      </c>
    </row>
    <row r="69" spans="1:10">
      <c r="A69" s="683"/>
      <c r="B69" s="717">
        <v>42369</v>
      </c>
      <c r="C69" s="15"/>
      <c r="D69" s="15"/>
      <c r="E69" s="135">
        <f t="shared" si="0"/>
        <v>1206340.51</v>
      </c>
      <c r="F69" s="135">
        <f t="shared" si="2"/>
        <v>20105.675166666668</v>
      </c>
      <c r="G69" s="139">
        <f t="shared" si="6"/>
        <v>-965072.40799999936</v>
      </c>
      <c r="H69" s="135">
        <f t="shared" si="4"/>
        <v>241268.10200000065</v>
      </c>
      <c r="I69" s="728">
        <f t="shared" si="5"/>
        <v>361902.1530000004</v>
      </c>
    </row>
    <row r="70" spans="1:10">
      <c r="A70" s="683"/>
      <c r="B70" s="108">
        <v>42400</v>
      </c>
      <c r="C70" s="15"/>
      <c r="D70" s="15"/>
      <c r="E70" s="135">
        <f t="shared" si="0"/>
        <v>1206340.51</v>
      </c>
      <c r="F70" s="135">
        <f t="shared" si="2"/>
        <v>20105.675166666668</v>
      </c>
      <c r="G70" s="139">
        <f t="shared" si="6"/>
        <v>-985178.08316666598</v>
      </c>
      <c r="H70" s="135">
        <f t="shared" si="4"/>
        <v>221162.42683333403</v>
      </c>
      <c r="I70" s="728">
        <f t="shared" si="5"/>
        <v>341796.47783333377</v>
      </c>
      <c r="J70" s="109"/>
    </row>
    <row r="71" spans="1:10">
      <c r="A71" s="683"/>
      <c r="B71" s="108">
        <v>42428</v>
      </c>
      <c r="C71" s="15"/>
      <c r="D71" s="15"/>
      <c r="E71" s="135">
        <f t="shared" si="0"/>
        <v>1206340.51</v>
      </c>
      <c r="F71" s="135">
        <f t="shared" si="2"/>
        <v>20105.675166666668</v>
      </c>
      <c r="G71" s="139">
        <f t="shared" si="6"/>
        <v>-1005283.7583333326</v>
      </c>
      <c r="H71" s="135">
        <f t="shared" si="4"/>
        <v>201056.75166666741</v>
      </c>
      <c r="I71" s="728">
        <f t="shared" si="5"/>
        <v>321690.80266666715</v>
      </c>
      <c r="J71" s="109"/>
    </row>
    <row r="72" spans="1:10">
      <c r="A72" s="683"/>
      <c r="B72" s="108">
        <v>42460</v>
      </c>
      <c r="C72" s="15"/>
      <c r="D72" s="15"/>
      <c r="E72" s="135">
        <f t="shared" si="0"/>
        <v>1206340.51</v>
      </c>
      <c r="F72" s="135">
        <f t="shared" si="2"/>
        <v>20105.675166666668</v>
      </c>
      <c r="G72" s="139">
        <f t="shared" si="6"/>
        <v>-1025389.4334999992</v>
      </c>
      <c r="H72" s="135">
        <f t="shared" si="4"/>
        <v>180951.07650000078</v>
      </c>
      <c r="I72" s="728">
        <f t="shared" si="5"/>
        <v>301585.12750000058</v>
      </c>
      <c r="J72" s="109"/>
    </row>
    <row r="73" spans="1:10">
      <c r="A73" s="683"/>
      <c r="B73" s="108">
        <v>42490</v>
      </c>
      <c r="C73" s="15"/>
      <c r="D73" s="15"/>
      <c r="E73" s="135">
        <f t="shared" si="0"/>
        <v>1206340.51</v>
      </c>
      <c r="F73" s="135">
        <f t="shared" si="2"/>
        <v>20105.675166666668</v>
      </c>
      <c r="G73" s="139">
        <f t="shared" si="6"/>
        <v>-1045495.1086666659</v>
      </c>
      <c r="H73" s="135">
        <f t="shared" si="4"/>
        <v>160845.40133333416</v>
      </c>
      <c r="I73" s="728">
        <f t="shared" si="5"/>
        <v>281479.45233333396</v>
      </c>
      <c r="J73" s="109"/>
    </row>
    <row r="74" spans="1:10">
      <c r="A74" s="683"/>
      <c r="B74" s="108">
        <v>42521</v>
      </c>
      <c r="C74" s="15"/>
      <c r="D74" s="15"/>
      <c r="E74" s="135">
        <f t="shared" si="0"/>
        <v>1206340.51</v>
      </c>
      <c r="F74" s="135">
        <f t="shared" si="2"/>
        <v>20105.675166666668</v>
      </c>
      <c r="G74" s="139">
        <f t="shared" si="6"/>
        <v>-1065600.7838333326</v>
      </c>
      <c r="H74" s="135">
        <f t="shared" si="4"/>
        <v>140739.72616666742</v>
      </c>
      <c r="I74" s="728">
        <f t="shared" si="5"/>
        <v>261373.77716666731</v>
      </c>
    </row>
    <row r="75" spans="1:10">
      <c r="A75" s="683"/>
      <c r="B75" s="108">
        <v>42551</v>
      </c>
      <c r="C75" s="15"/>
      <c r="D75" s="15"/>
      <c r="E75" s="135">
        <f t="shared" ref="E75:E105" si="7">E74</f>
        <v>1206340.51</v>
      </c>
      <c r="F75" s="135">
        <f t="shared" si="2"/>
        <v>20105.675166666668</v>
      </c>
      <c r="G75" s="139">
        <f t="shared" si="6"/>
        <v>-1085706.4589999993</v>
      </c>
      <c r="H75" s="135">
        <f t="shared" si="4"/>
        <v>120634.05100000068</v>
      </c>
      <c r="I75" s="728">
        <f t="shared" si="5"/>
        <v>241268.10200000062</v>
      </c>
      <c r="J75" s="109"/>
    </row>
    <row r="76" spans="1:10">
      <c r="A76" s="683"/>
      <c r="B76" s="108">
        <v>42582</v>
      </c>
      <c r="C76" s="15"/>
      <c r="D76" s="15"/>
      <c r="E76" s="135">
        <f t="shared" si="7"/>
        <v>1206340.51</v>
      </c>
      <c r="F76" s="135">
        <f t="shared" si="2"/>
        <v>20105.675166666668</v>
      </c>
      <c r="G76" s="139">
        <f t="shared" si="6"/>
        <v>-1105812.1341666661</v>
      </c>
      <c r="H76" s="135">
        <f t="shared" si="4"/>
        <v>100528.37583333394</v>
      </c>
      <c r="I76" s="728">
        <f t="shared" si="5"/>
        <v>221162.42683333403</v>
      </c>
      <c r="J76" s="109"/>
    </row>
    <row r="77" spans="1:10">
      <c r="A77" s="683"/>
      <c r="B77" s="108">
        <v>42613</v>
      </c>
      <c r="C77" s="15"/>
      <c r="D77" s="15"/>
      <c r="E77" s="135">
        <f t="shared" si="7"/>
        <v>1206340.51</v>
      </c>
      <c r="F77" s="135">
        <f t="shared" si="2"/>
        <v>20105.675166666668</v>
      </c>
      <c r="G77" s="139">
        <f t="shared" si="6"/>
        <v>-1125917.8093333328</v>
      </c>
      <c r="H77" s="135">
        <f t="shared" si="4"/>
        <v>80422.700666667195</v>
      </c>
      <c r="I77" s="728">
        <f t="shared" si="5"/>
        <v>201056.75166666732</v>
      </c>
      <c r="J77" s="109"/>
    </row>
    <row r="78" spans="1:10">
      <c r="A78" s="683"/>
      <c r="B78" s="108">
        <v>42643</v>
      </c>
      <c r="C78" s="133"/>
      <c r="D78" s="133"/>
      <c r="E78" s="135">
        <f t="shared" si="7"/>
        <v>1206340.51</v>
      </c>
      <c r="F78" s="135">
        <f t="shared" si="2"/>
        <v>20105.675166666668</v>
      </c>
      <c r="G78" s="139">
        <f t="shared" si="6"/>
        <v>-1146023.4844999996</v>
      </c>
      <c r="H78" s="135">
        <f t="shared" si="4"/>
        <v>60317.025500000454</v>
      </c>
      <c r="I78" s="728">
        <f t="shared" si="5"/>
        <v>180951.07650000066</v>
      </c>
    </row>
    <row r="79" spans="1:10">
      <c r="A79" s="683"/>
      <c r="B79" s="108">
        <v>42674</v>
      </c>
      <c r="C79" s="133"/>
      <c r="D79" s="133"/>
      <c r="E79" s="135">
        <f t="shared" si="7"/>
        <v>1206340.51</v>
      </c>
      <c r="F79" s="135">
        <f t="shared" si="2"/>
        <v>20105.675166666668</v>
      </c>
      <c r="G79" s="139">
        <f t="shared" si="6"/>
        <v>-1166129.1596666663</v>
      </c>
      <c r="H79" s="135">
        <f t="shared" si="4"/>
        <v>40211.350333333714</v>
      </c>
      <c r="I79" s="728">
        <f t="shared" si="5"/>
        <v>160845.40133333395</v>
      </c>
    </row>
    <row r="80" spans="1:10">
      <c r="A80" s="683"/>
      <c r="B80" s="108">
        <v>42704</v>
      </c>
      <c r="C80" s="133"/>
      <c r="D80" s="133"/>
      <c r="E80" s="135">
        <f t="shared" si="7"/>
        <v>1206340.51</v>
      </c>
      <c r="F80" s="135">
        <f t="shared" si="2"/>
        <v>20105.675166666668</v>
      </c>
      <c r="G80" s="139">
        <f t="shared" si="6"/>
        <v>-1186234.834833333</v>
      </c>
      <c r="H80" s="135">
        <f t="shared" si="4"/>
        <v>20105.675166666973</v>
      </c>
      <c r="I80" s="728">
        <f t="shared" si="5"/>
        <v>140739.7261666673</v>
      </c>
    </row>
    <row r="81" spans="1:9">
      <c r="A81" s="683"/>
      <c r="B81" s="734">
        <v>42735</v>
      </c>
      <c r="C81" s="133"/>
      <c r="D81" s="133"/>
      <c r="E81" s="135">
        <f t="shared" si="7"/>
        <v>1206340.51</v>
      </c>
      <c r="F81" s="135">
        <f t="shared" si="2"/>
        <v>20105.675166666668</v>
      </c>
      <c r="G81" s="139">
        <f t="shared" si="6"/>
        <v>-1206340.5099999998</v>
      </c>
      <c r="H81" s="135">
        <f t="shared" si="4"/>
        <v>0</v>
      </c>
      <c r="I81" s="728">
        <f t="shared" si="5"/>
        <v>120634.0510000006</v>
      </c>
    </row>
    <row r="82" spans="1:9">
      <c r="A82" s="683"/>
      <c r="B82" s="108">
        <v>42766</v>
      </c>
      <c r="C82" s="133"/>
      <c r="D82" s="133"/>
      <c r="E82" s="135">
        <f t="shared" si="7"/>
        <v>1206340.51</v>
      </c>
      <c r="F82" s="135"/>
      <c r="G82" s="139"/>
      <c r="H82" s="135"/>
      <c r="I82" s="728">
        <f t="shared" si="5"/>
        <v>101366.11229861165</v>
      </c>
    </row>
    <row r="83" spans="1:9">
      <c r="A83" s="683"/>
      <c r="B83" s="108">
        <v>42794</v>
      </c>
      <c r="C83" s="133"/>
      <c r="D83" s="133"/>
      <c r="E83" s="135">
        <f t="shared" si="7"/>
        <v>1206340.51</v>
      </c>
      <c r="F83" s="135"/>
      <c r="G83" s="139"/>
      <c r="H83" s="135"/>
      <c r="I83" s="728">
        <f t="shared" si="5"/>
        <v>83773.646527778255</v>
      </c>
    </row>
    <row r="84" spans="1:9">
      <c r="A84" s="683"/>
      <c r="B84" s="108">
        <v>42825</v>
      </c>
      <c r="C84" s="133"/>
      <c r="D84" s="133"/>
      <c r="E84" s="135">
        <f t="shared" si="7"/>
        <v>1206340.51</v>
      </c>
      <c r="F84" s="135"/>
      <c r="G84" s="139"/>
      <c r="H84" s="135"/>
      <c r="I84" s="728">
        <f t="shared" si="5"/>
        <v>67856.653687500409</v>
      </c>
    </row>
    <row r="85" spans="1:9">
      <c r="A85" s="683"/>
      <c r="B85" s="108">
        <v>42855</v>
      </c>
      <c r="C85" s="133"/>
      <c r="D85" s="133"/>
      <c r="E85" s="135">
        <f t="shared" si="7"/>
        <v>1206340.51</v>
      </c>
      <c r="F85" s="135"/>
      <c r="G85" s="139"/>
      <c r="H85" s="135"/>
      <c r="I85" s="728">
        <f t="shared" si="5"/>
        <v>53615.133777778123</v>
      </c>
    </row>
    <row r="86" spans="1:9">
      <c r="A86" s="683"/>
      <c r="B86" s="108">
        <v>42886</v>
      </c>
      <c r="C86" s="133"/>
      <c r="D86" s="133"/>
      <c r="E86" s="135">
        <f t="shared" si="7"/>
        <v>1206340.51</v>
      </c>
      <c r="F86" s="135"/>
      <c r="G86" s="139"/>
      <c r="H86" s="135"/>
      <c r="I86" s="728">
        <f t="shared" si="5"/>
        <v>41049.086798611388</v>
      </c>
    </row>
    <row r="87" spans="1:9">
      <c r="A87" s="683"/>
      <c r="B87" s="108">
        <v>42916</v>
      </c>
      <c r="C87" s="133"/>
      <c r="D87" s="133"/>
      <c r="E87" s="135">
        <f t="shared" si="7"/>
        <v>1206340.51</v>
      </c>
      <c r="F87" s="135"/>
      <c r="G87" s="139"/>
      <c r="H87" s="135"/>
      <c r="I87" s="728">
        <f t="shared" si="5"/>
        <v>30158.512750000216</v>
      </c>
    </row>
    <row r="88" spans="1:9">
      <c r="A88" s="683"/>
      <c r="B88" s="108">
        <v>42947</v>
      </c>
      <c r="C88" s="133"/>
      <c r="D88" s="133"/>
      <c r="E88" s="135">
        <f t="shared" si="7"/>
        <v>1206340.51</v>
      </c>
      <c r="F88" s="135"/>
      <c r="G88" s="139"/>
      <c r="H88" s="135"/>
      <c r="I88" s="728">
        <f t="shared" si="5"/>
        <v>20943.411631944608</v>
      </c>
    </row>
    <row r="89" spans="1:9">
      <c r="A89" s="683"/>
      <c r="B89" s="108">
        <v>42978</v>
      </c>
      <c r="C89" s="133"/>
      <c r="D89" s="133"/>
      <c r="E89" s="135">
        <f t="shared" si="7"/>
        <v>1206340.51</v>
      </c>
      <c r="F89" s="135"/>
      <c r="G89" s="139"/>
      <c r="H89" s="135"/>
      <c r="I89" s="728">
        <f t="shared" si="5"/>
        <v>13403.783444444562</v>
      </c>
    </row>
    <row r="90" spans="1:9">
      <c r="A90" s="683"/>
      <c r="B90" s="108">
        <v>43008</v>
      </c>
      <c r="C90" s="133"/>
      <c r="D90" s="133"/>
      <c r="E90" s="135">
        <f t="shared" si="7"/>
        <v>1206340.51</v>
      </c>
      <c r="F90" s="135"/>
      <c r="G90" s="139"/>
      <c r="H90" s="135"/>
      <c r="I90" s="728">
        <f t="shared" si="5"/>
        <v>7539.6281875000759</v>
      </c>
    </row>
    <row r="91" spans="1:9">
      <c r="A91" s="683"/>
      <c r="B91" s="108">
        <v>43039</v>
      </c>
      <c r="C91" s="133"/>
      <c r="D91" s="133"/>
      <c r="E91" s="135">
        <f t="shared" si="7"/>
        <v>1206340.51</v>
      </c>
      <c r="F91" s="135"/>
      <c r="G91" s="139"/>
      <c r="H91" s="135"/>
      <c r="I91" s="728">
        <f t="shared" si="5"/>
        <v>3350.9458611111527</v>
      </c>
    </row>
    <row r="92" spans="1:9">
      <c r="A92" s="683"/>
      <c r="B92" s="108">
        <v>43069</v>
      </c>
      <c r="C92" s="133"/>
      <c r="D92" s="133"/>
      <c r="E92" s="135">
        <f t="shared" si="7"/>
        <v>1206340.51</v>
      </c>
      <c r="F92" s="135"/>
      <c r="G92" s="139"/>
      <c r="H92" s="135"/>
      <c r="I92" s="728">
        <f t="shared" si="5"/>
        <v>837.73646527779056</v>
      </c>
    </row>
    <row r="93" spans="1:9">
      <c r="A93" s="683"/>
      <c r="B93" s="734">
        <v>43100</v>
      </c>
      <c r="C93" s="133"/>
      <c r="D93" s="133"/>
      <c r="E93" s="135">
        <f t="shared" si="7"/>
        <v>1206340.51</v>
      </c>
      <c r="F93" s="135"/>
      <c r="G93" s="139"/>
      <c r="H93" s="135"/>
      <c r="I93" s="728">
        <f>(H81+H93+SUM(H82:H92)*2)/24</f>
        <v>0</v>
      </c>
    </row>
    <row r="94" spans="1:9">
      <c r="A94" s="683"/>
      <c r="B94" s="717">
        <v>43131</v>
      </c>
      <c r="C94" s="133"/>
      <c r="D94" s="133"/>
      <c r="E94" s="135">
        <f t="shared" si="7"/>
        <v>1206340.51</v>
      </c>
      <c r="F94" s="135"/>
      <c r="G94" s="139"/>
      <c r="H94" s="135"/>
      <c r="I94" s="728">
        <f t="shared" ref="I94:I105" si="8">(H82+H94+SUM(H83:H93)*2)/24</f>
        <v>0</v>
      </c>
    </row>
    <row r="95" spans="1:9">
      <c r="A95" s="683"/>
      <c r="B95" s="717">
        <v>43159</v>
      </c>
      <c r="C95" s="133"/>
      <c r="D95" s="133"/>
      <c r="E95" s="135">
        <f t="shared" si="7"/>
        <v>1206340.51</v>
      </c>
      <c r="F95" s="135"/>
      <c r="G95" s="139"/>
      <c r="H95" s="135"/>
      <c r="I95" s="728">
        <f t="shared" si="8"/>
        <v>0</v>
      </c>
    </row>
    <row r="96" spans="1:9">
      <c r="A96" s="683"/>
      <c r="B96" s="717">
        <v>43190</v>
      </c>
      <c r="C96" s="133"/>
      <c r="D96" s="133"/>
      <c r="E96" s="135">
        <f t="shared" si="7"/>
        <v>1206340.51</v>
      </c>
      <c r="F96" s="135"/>
      <c r="G96" s="139"/>
      <c r="H96" s="135"/>
      <c r="I96" s="728">
        <f t="shared" si="8"/>
        <v>0</v>
      </c>
    </row>
    <row r="97" spans="1:9">
      <c r="A97" s="683"/>
      <c r="B97" s="717">
        <v>43220</v>
      </c>
      <c r="C97" s="133"/>
      <c r="D97" s="133"/>
      <c r="E97" s="135">
        <f t="shared" si="7"/>
        <v>1206340.51</v>
      </c>
      <c r="F97" s="135"/>
      <c r="G97" s="139"/>
      <c r="H97" s="135"/>
      <c r="I97" s="728">
        <f t="shared" si="8"/>
        <v>0</v>
      </c>
    </row>
    <row r="98" spans="1:9">
      <c r="A98" s="683"/>
      <c r="B98" s="717">
        <v>43251</v>
      </c>
      <c r="C98" s="133"/>
      <c r="D98" s="133"/>
      <c r="E98" s="135">
        <f t="shared" si="7"/>
        <v>1206340.51</v>
      </c>
      <c r="F98" s="135"/>
      <c r="G98" s="139"/>
      <c r="H98" s="135"/>
      <c r="I98" s="728">
        <f t="shared" si="8"/>
        <v>0</v>
      </c>
    </row>
    <row r="99" spans="1:9">
      <c r="A99" s="683"/>
      <c r="B99" s="717">
        <v>43281</v>
      </c>
      <c r="C99" s="133"/>
      <c r="D99" s="133"/>
      <c r="E99" s="135">
        <f t="shared" si="7"/>
        <v>1206340.51</v>
      </c>
      <c r="F99" s="135"/>
      <c r="G99" s="139"/>
      <c r="H99" s="135"/>
      <c r="I99" s="728">
        <f t="shared" si="8"/>
        <v>0</v>
      </c>
    </row>
    <row r="100" spans="1:9">
      <c r="A100" s="683"/>
      <c r="B100" s="717">
        <v>43312</v>
      </c>
      <c r="C100" s="133"/>
      <c r="D100" s="133"/>
      <c r="E100" s="135">
        <f t="shared" si="7"/>
        <v>1206340.51</v>
      </c>
      <c r="F100" s="135"/>
      <c r="G100" s="139"/>
      <c r="H100" s="135"/>
      <c r="I100" s="728">
        <f t="shared" si="8"/>
        <v>0</v>
      </c>
    </row>
    <row r="101" spans="1:9">
      <c r="A101" s="683"/>
      <c r="B101" s="717">
        <v>43343</v>
      </c>
      <c r="C101" s="133"/>
      <c r="D101" s="133"/>
      <c r="E101" s="135">
        <f t="shared" si="7"/>
        <v>1206340.51</v>
      </c>
      <c r="F101" s="135"/>
      <c r="G101" s="139"/>
      <c r="H101" s="135"/>
      <c r="I101" s="728">
        <f t="shared" si="8"/>
        <v>0</v>
      </c>
    </row>
    <row r="102" spans="1:9">
      <c r="A102" s="683"/>
      <c r="B102" s="717">
        <v>43373</v>
      </c>
      <c r="C102" s="133"/>
      <c r="D102" s="133"/>
      <c r="E102" s="135">
        <f t="shared" si="7"/>
        <v>1206340.51</v>
      </c>
      <c r="F102" s="135"/>
      <c r="G102" s="139"/>
      <c r="H102" s="135"/>
      <c r="I102" s="728">
        <f t="shared" si="8"/>
        <v>0</v>
      </c>
    </row>
    <row r="103" spans="1:9">
      <c r="A103" s="683"/>
      <c r="B103" s="717">
        <v>43404</v>
      </c>
      <c r="C103" s="133"/>
      <c r="D103" s="133"/>
      <c r="E103" s="135">
        <f t="shared" si="7"/>
        <v>1206340.51</v>
      </c>
      <c r="F103" s="135"/>
      <c r="G103" s="139"/>
      <c r="H103" s="135"/>
      <c r="I103" s="728">
        <f t="shared" si="8"/>
        <v>0</v>
      </c>
    </row>
    <row r="104" spans="1:9">
      <c r="A104" s="683"/>
      <c r="B104" s="717">
        <v>43434</v>
      </c>
      <c r="C104" s="133"/>
      <c r="D104" s="133"/>
      <c r="E104" s="135">
        <f t="shared" si="7"/>
        <v>1206340.51</v>
      </c>
      <c r="F104" s="135"/>
      <c r="G104" s="139"/>
      <c r="H104" s="135"/>
      <c r="I104" s="728">
        <f t="shared" si="8"/>
        <v>0</v>
      </c>
    </row>
    <row r="105" spans="1:9">
      <c r="A105" s="683"/>
      <c r="B105" s="734">
        <v>43465</v>
      </c>
      <c r="C105" s="133"/>
      <c r="D105" s="133"/>
      <c r="E105" s="135">
        <f t="shared" si="7"/>
        <v>1206340.51</v>
      </c>
      <c r="F105" s="135"/>
      <c r="G105" s="139"/>
      <c r="H105" s="135"/>
      <c r="I105" s="728">
        <f t="shared" si="8"/>
        <v>0</v>
      </c>
    </row>
    <row r="106" spans="1:9">
      <c r="A106" s="684"/>
      <c r="B106" s="735"/>
      <c r="C106" s="685"/>
      <c r="D106" s="685"/>
      <c r="E106" s="736"/>
      <c r="F106" s="736"/>
      <c r="G106" s="737"/>
      <c r="H106" s="736"/>
      <c r="I106" s="738"/>
    </row>
    <row r="107" spans="1:9">
      <c r="B107" s="97"/>
      <c r="E107" s="135"/>
      <c r="F107" s="135"/>
      <c r="G107" s="139"/>
      <c r="H107" s="135"/>
      <c r="I107" s="98"/>
    </row>
    <row r="108" spans="1:9">
      <c r="B108" s="97"/>
      <c r="D108" t="s">
        <v>941</v>
      </c>
      <c r="E108" s="135"/>
      <c r="F108" s="135">
        <f>SUM(F88:F99)</f>
        <v>0</v>
      </c>
      <c r="G108" s="139"/>
      <c r="H108" s="135"/>
      <c r="I108" s="98"/>
    </row>
    <row r="109" spans="1:9">
      <c r="B109" s="97"/>
      <c r="D109" t="s">
        <v>942</v>
      </c>
      <c r="E109" s="135"/>
      <c r="F109" s="135">
        <f>SUM(F94:F105)</f>
        <v>0</v>
      </c>
      <c r="G109" s="139"/>
      <c r="H109" s="135"/>
      <c r="I109" s="98"/>
    </row>
    <row r="110" spans="1:9">
      <c r="B110" s="97"/>
      <c r="E110" s="135"/>
      <c r="F110" s="135"/>
      <c r="G110" s="139"/>
      <c r="H110" s="135"/>
      <c r="I110" s="98"/>
    </row>
    <row r="111" spans="1:9">
      <c r="B111" s="97"/>
      <c r="E111" s="135"/>
      <c r="F111" s="135"/>
      <c r="G111" s="139"/>
      <c r="H111" s="135"/>
      <c r="I111" s="98"/>
    </row>
    <row r="112" spans="1:9">
      <c r="B112" s="97"/>
      <c r="E112" s="135"/>
      <c r="F112" s="135"/>
      <c r="G112" s="139"/>
      <c r="H112" s="135"/>
      <c r="I112" s="98"/>
    </row>
    <row r="113" spans="2:9">
      <c r="B113" s="97"/>
      <c r="E113" s="135"/>
      <c r="F113" s="135"/>
      <c r="G113" s="139"/>
      <c r="H113" s="135"/>
      <c r="I113" s="98"/>
    </row>
    <row r="114" spans="2:9">
      <c r="B114" s="97"/>
      <c r="E114" s="135"/>
      <c r="F114" s="135"/>
      <c r="G114" s="139"/>
      <c r="H114" s="135"/>
      <c r="I114" s="98"/>
    </row>
    <row r="115" spans="2:9">
      <c r="B115" s="106"/>
      <c r="E115" s="135"/>
      <c r="F115" s="135"/>
      <c r="G115" s="139"/>
      <c r="H115" s="135"/>
      <c r="I115" s="98"/>
    </row>
    <row r="116" spans="2:9">
      <c r="B116" s="97"/>
      <c r="E116" s="135"/>
      <c r="F116" s="135"/>
      <c r="G116" s="139"/>
      <c r="H116" s="135"/>
      <c r="I116" s="98"/>
    </row>
    <row r="117" spans="2:9">
      <c r="B117" s="97"/>
      <c r="E117" s="135"/>
      <c r="F117" s="135"/>
      <c r="G117" s="139"/>
      <c r="H117" s="135"/>
      <c r="I117" s="98"/>
    </row>
    <row r="118" spans="2:9">
      <c r="B118" s="97"/>
      <c r="E118" s="135"/>
      <c r="F118" s="135"/>
      <c r="G118" s="139"/>
      <c r="H118" s="135"/>
      <c r="I118" s="98"/>
    </row>
    <row r="119" spans="2:9">
      <c r="B119" s="97"/>
      <c r="E119" s="135"/>
      <c r="F119" s="135"/>
      <c r="G119" s="139"/>
      <c r="H119" s="135"/>
      <c r="I119" s="98"/>
    </row>
    <row r="120" spans="2:9">
      <c r="B120" s="97"/>
      <c r="E120" s="135"/>
      <c r="F120" s="135"/>
      <c r="G120" s="139"/>
      <c r="H120" s="135"/>
      <c r="I120" s="98"/>
    </row>
    <row r="121" spans="2:9">
      <c r="B121" s="106"/>
      <c r="E121" s="135"/>
      <c r="F121" s="135"/>
      <c r="G121" s="139"/>
      <c r="H121" s="135"/>
      <c r="I121" s="98"/>
    </row>
    <row r="122" spans="2:9">
      <c r="B122" s="97"/>
      <c r="E122" s="135"/>
      <c r="F122" s="135"/>
      <c r="G122" s="139"/>
      <c r="H122" s="135"/>
      <c r="I122" s="98"/>
    </row>
    <row r="123" spans="2:9">
      <c r="B123" s="97"/>
      <c r="E123" s="135"/>
      <c r="F123" s="135"/>
      <c r="G123" s="139"/>
      <c r="H123" s="135"/>
      <c r="I123" s="98"/>
    </row>
    <row r="124" spans="2:9">
      <c r="B124" s="97"/>
      <c r="E124" s="135"/>
      <c r="F124" s="135"/>
      <c r="G124" s="139"/>
      <c r="H124" s="135"/>
      <c r="I124" s="98"/>
    </row>
    <row r="125" spans="2:9">
      <c r="B125" s="97"/>
      <c r="E125" s="135"/>
      <c r="F125" s="135"/>
      <c r="G125" s="139"/>
      <c r="H125" s="135"/>
      <c r="I125" s="98"/>
    </row>
    <row r="126" spans="2:9">
      <c r="B126" s="97"/>
      <c r="E126" s="135"/>
      <c r="F126" s="135"/>
      <c r="G126" s="139"/>
      <c r="H126" s="135"/>
      <c r="I126" s="98"/>
    </row>
    <row r="127" spans="2:9">
      <c r="B127" s="97"/>
      <c r="E127" s="135"/>
      <c r="F127" s="135"/>
      <c r="G127" s="139"/>
      <c r="H127" s="135"/>
      <c r="I127" s="98"/>
    </row>
    <row r="128" spans="2:9">
      <c r="B128" s="97"/>
      <c r="E128" s="135"/>
      <c r="F128" s="135"/>
      <c r="G128" s="139"/>
      <c r="H128" s="135"/>
      <c r="I128" s="98"/>
    </row>
    <row r="129" spans="2:9">
      <c r="B129" s="97"/>
      <c r="E129" s="135"/>
      <c r="F129" s="135"/>
      <c r="G129" s="139"/>
      <c r="H129" s="135"/>
      <c r="I129" s="98"/>
    </row>
    <row r="130" spans="2:9">
      <c r="B130" s="97"/>
      <c r="E130" s="135"/>
      <c r="F130" s="135"/>
      <c r="G130" s="139"/>
      <c r="H130" s="135"/>
      <c r="I130" s="98"/>
    </row>
    <row r="131" spans="2:9">
      <c r="B131" s="97"/>
      <c r="E131" s="135"/>
      <c r="F131" s="135"/>
      <c r="G131" s="139"/>
      <c r="H131" s="135"/>
      <c r="I131" s="98"/>
    </row>
    <row r="132" spans="2:9">
      <c r="B132" s="97"/>
      <c r="E132" s="135"/>
      <c r="F132" s="135"/>
      <c r="G132" s="139"/>
      <c r="H132" s="135"/>
      <c r="I132" s="98"/>
    </row>
    <row r="133" spans="2:9">
      <c r="B133" s="106"/>
      <c r="E133" s="135"/>
      <c r="F133" s="135"/>
      <c r="G133" s="139"/>
      <c r="H133" s="135"/>
      <c r="I133" s="98"/>
    </row>
    <row r="134" spans="2:9">
      <c r="B134" s="97"/>
      <c r="E134" s="135"/>
      <c r="F134" s="135"/>
      <c r="G134" s="139"/>
      <c r="H134" s="135"/>
      <c r="I134" s="98"/>
    </row>
    <row r="135" spans="2:9">
      <c r="B135" s="97"/>
      <c r="E135" s="135"/>
      <c r="F135" s="135"/>
      <c r="G135" s="139"/>
      <c r="H135" s="135"/>
      <c r="I135" s="98"/>
    </row>
    <row r="136" spans="2:9">
      <c r="B136" s="97"/>
      <c r="E136" s="135"/>
      <c r="F136" s="135"/>
      <c r="G136" s="139"/>
      <c r="H136" s="135"/>
      <c r="I136" s="98"/>
    </row>
    <row r="137" spans="2:9">
      <c r="B137" s="97"/>
      <c r="E137" s="135"/>
      <c r="F137" s="135"/>
      <c r="G137" s="139"/>
      <c r="H137" s="135"/>
      <c r="I137" s="98"/>
    </row>
    <row r="138" spans="2:9">
      <c r="B138" s="97"/>
      <c r="E138" s="135"/>
      <c r="F138" s="135"/>
      <c r="G138" s="139"/>
      <c r="H138" s="135"/>
      <c r="I138" s="98"/>
    </row>
    <row r="139" spans="2:9">
      <c r="B139" s="97"/>
      <c r="E139" s="135"/>
      <c r="F139" s="135"/>
      <c r="G139" s="139"/>
      <c r="H139" s="135"/>
      <c r="I139" s="98"/>
    </row>
    <row r="140" spans="2:9">
      <c r="B140" s="97"/>
      <c r="E140" s="135"/>
      <c r="F140" s="135"/>
      <c r="G140" s="139"/>
      <c r="H140" s="135"/>
      <c r="I140" s="98"/>
    </row>
    <row r="141" spans="2:9">
      <c r="B141" s="97"/>
      <c r="E141" s="135"/>
      <c r="F141" s="135"/>
      <c r="G141" s="139"/>
      <c r="H141" s="135"/>
      <c r="I141" s="98"/>
    </row>
    <row r="142" spans="2:9">
      <c r="B142" s="97"/>
      <c r="E142" s="135"/>
      <c r="F142" s="135"/>
      <c r="G142" s="139"/>
      <c r="H142" s="135"/>
      <c r="I142" s="98"/>
    </row>
    <row r="143" spans="2:9">
      <c r="B143" s="97"/>
      <c r="E143" s="135"/>
      <c r="F143" s="135"/>
      <c r="G143" s="139"/>
      <c r="H143" s="135"/>
      <c r="I143" s="98"/>
    </row>
    <row r="144" spans="2:9">
      <c r="B144" s="97"/>
      <c r="E144" s="135"/>
      <c r="F144" s="135"/>
      <c r="G144" s="139"/>
      <c r="H144" s="135"/>
      <c r="I144" s="98"/>
    </row>
    <row r="145" spans="2:9">
      <c r="B145" s="106"/>
      <c r="E145" s="135"/>
      <c r="F145" s="135"/>
      <c r="G145" s="139"/>
      <c r="H145" s="135"/>
      <c r="I145" s="98"/>
    </row>
    <row r="146" spans="2:9">
      <c r="B146" s="97"/>
      <c r="E146" s="135"/>
      <c r="F146" s="135"/>
      <c r="G146" s="139"/>
      <c r="H146" s="135"/>
      <c r="I146" s="98"/>
    </row>
    <row r="147" spans="2:9">
      <c r="B147" s="97"/>
      <c r="E147" s="135"/>
      <c r="F147" s="135"/>
      <c r="G147" s="139"/>
      <c r="H147" s="135"/>
      <c r="I147" s="98"/>
    </row>
    <row r="148" spans="2:9">
      <c r="B148" s="97"/>
      <c r="E148" s="135"/>
      <c r="F148" s="135"/>
      <c r="G148" s="139"/>
      <c r="H148" s="135"/>
      <c r="I148" s="98"/>
    </row>
    <row r="149" spans="2:9">
      <c r="B149" s="97"/>
      <c r="E149" s="135"/>
      <c r="F149" s="135"/>
      <c r="G149" s="139"/>
      <c r="H149" s="135"/>
      <c r="I149" s="98"/>
    </row>
    <row r="150" spans="2:9">
      <c r="B150" s="97"/>
      <c r="E150" s="135"/>
      <c r="F150" s="135"/>
      <c r="G150" s="139"/>
      <c r="H150" s="135"/>
      <c r="I150" s="98"/>
    </row>
    <row r="151" spans="2:9">
      <c r="B151" s="97"/>
      <c r="E151" s="135"/>
      <c r="F151" s="135"/>
      <c r="G151" s="139"/>
      <c r="H151" s="135"/>
      <c r="I151" s="98"/>
    </row>
    <row r="152" spans="2:9">
      <c r="B152" s="97"/>
      <c r="E152" s="135"/>
      <c r="F152" s="135"/>
      <c r="G152" s="139"/>
      <c r="H152" s="135"/>
      <c r="I152" s="98"/>
    </row>
    <row r="153" spans="2:9">
      <c r="B153" s="97"/>
      <c r="E153" s="135"/>
      <c r="F153" s="135"/>
      <c r="G153" s="139"/>
      <c r="H153" s="135"/>
      <c r="I153" s="98"/>
    </row>
    <row r="154" spans="2:9">
      <c r="B154" s="97"/>
      <c r="E154" s="135"/>
      <c r="F154" s="135"/>
      <c r="G154" s="139"/>
      <c r="H154" s="135"/>
      <c r="I154" s="98"/>
    </row>
    <row r="155" spans="2:9">
      <c r="B155" s="97"/>
      <c r="E155" s="135"/>
      <c r="F155" s="135"/>
      <c r="G155" s="139"/>
      <c r="H155" s="135"/>
      <c r="I155" s="98"/>
    </row>
    <row r="156" spans="2:9">
      <c r="B156" s="97"/>
      <c r="E156" s="135"/>
      <c r="F156" s="135"/>
      <c r="G156" s="139"/>
      <c r="H156" s="135"/>
      <c r="I156" s="98"/>
    </row>
    <row r="157" spans="2:9">
      <c r="B157" s="106"/>
      <c r="E157" s="135"/>
      <c r="F157" s="135"/>
      <c r="G157" s="139"/>
      <c r="H157" s="135"/>
      <c r="I157" s="98"/>
    </row>
    <row r="158" spans="2:9">
      <c r="B158" s="97"/>
      <c r="E158" s="102"/>
      <c r="F158" s="102"/>
      <c r="G158" s="139"/>
      <c r="H158" s="135"/>
      <c r="I158" s="98"/>
    </row>
    <row r="159" spans="2:9">
      <c r="B159" s="97"/>
      <c r="E159" s="102"/>
      <c r="F159" s="102"/>
      <c r="G159" s="139"/>
      <c r="H159" s="135"/>
      <c r="I159" s="98"/>
    </row>
    <row r="160" spans="2:9">
      <c r="B160" s="97"/>
      <c r="E160" s="102"/>
      <c r="F160" s="102"/>
      <c r="G160" s="139"/>
      <c r="H160" s="135"/>
      <c r="I160" s="98"/>
    </row>
    <row r="161" spans="2:9">
      <c r="B161" s="97"/>
      <c r="E161" s="102"/>
      <c r="F161" s="102"/>
      <c r="G161" s="139"/>
      <c r="H161" s="135"/>
      <c r="I161" s="98"/>
    </row>
    <row r="162" spans="2:9">
      <c r="B162" s="97"/>
      <c r="E162" s="102"/>
      <c r="F162" s="102"/>
      <c r="G162" s="139"/>
      <c r="H162" s="135"/>
      <c r="I162" s="98"/>
    </row>
    <row r="163" spans="2:9">
      <c r="B163" s="97"/>
      <c r="E163" s="102"/>
      <c r="F163" s="102"/>
      <c r="G163" s="139"/>
      <c r="H163" s="135"/>
      <c r="I163" s="98"/>
    </row>
    <row r="164" spans="2:9">
      <c r="B164" s="97"/>
      <c r="E164" s="102"/>
      <c r="F164" s="102"/>
      <c r="G164" s="139"/>
      <c r="H164" s="135"/>
      <c r="I164" s="98"/>
    </row>
    <row r="165" spans="2:9">
      <c r="B165" s="97"/>
      <c r="E165" s="102"/>
      <c r="F165" s="102"/>
      <c r="G165" s="139"/>
      <c r="H165" s="135"/>
      <c r="I165" s="98"/>
    </row>
    <row r="166" spans="2:9">
      <c r="B166" s="97"/>
      <c r="E166" s="102"/>
      <c r="F166" s="102"/>
      <c r="G166" s="139"/>
      <c r="H166" s="135"/>
      <c r="I166" s="98"/>
    </row>
    <row r="167" spans="2:9">
      <c r="B167" s="97"/>
      <c r="E167" s="102"/>
      <c r="F167" s="102"/>
      <c r="G167" s="139"/>
      <c r="H167" s="135"/>
      <c r="I167" s="98"/>
    </row>
    <row r="168" spans="2:9">
      <c r="B168" s="97"/>
      <c r="E168" s="102"/>
      <c r="F168" s="102"/>
      <c r="G168" s="139"/>
      <c r="H168" s="135"/>
      <c r="I168" s="98"/>
    </row>
    <row r="169" spans="2:9">
      <c r="B169" s="97"/>
      <c r="E169" s="102"/>
      <c r="F169" s="102"/>
      <c r="G169" s="139"/>
      <c r="H169" s="135"/>
      <c r="I169" s="98"/>
    </row>
    <row r="170" spans="2:9">
      <c r="B170" s="97"/>
      <c r="E170" s="102"/>
      <c r="F170" s="102"/>
      <c r="G170" s="139"/>
      <c r="H170" s="135"/>
      <c r="I170" s="98"/>
    </row>
    <row r="171" spans="2:9">
      <c r="B171" s="97"/>
      <c r="E171" s="102"/>
      <c r="F171" s="102"/>
      <c r="G171" s="139"/>
      <c r="H171" s="135"/>
      <c r="I171" s="98"/>
    </row>
    <row r="172" spans="2:9">
      <c r="B172" s="97"/>
      <c r="E172" s="102"/>
      <c r="F172" s="102"/>
      <c r="G172" s="139"/>
      <c r="H172" s="135"/>
      <c r="I172" s="98"/>
    </row>
    <row r="173" spans="2:9">
      <c r="B173" s="97"/>
      <c r="E173" s="102"/>
      <c r="F173" s="102"/>
      <c r="G173" s="139"/>
      <c r="H173" s="135"/>
      <c r="I173" s="98"/>
    </row>
    <row r="174" spans="2:9">
      <c r="B174" s="97"/>
      <c r="E174" s="102"/>
      <c r="F174" s="102"/>
      <c r="G174" s="139"/>
      <c r="H174" s="135"/>
      <c r="I174" s="98"/>
    </row>
    <row r="175" spans="2:9">
      <c r="B175" s="97"/>
      <c r="E175" s="102"/>
      <c r="F175" s="102"/>
      <c r="G175" s="139"/>
      <c r="H175" s="135"/>
      <c r="I175" s="98"/>
    </row>
    <row r="176" spans="2:9">
      <c r="B176" s="97"/>
      <c r="E176" s="102"/>
      <c r="F176" s="102"/>
      <c r="G176" s="139"/>
      <c r="H176" s="135"/>
      <c r="I176" s="98"/>
    </row>
    <row r="177" spans="2:9">
      <c r="B177" s="97"/>
      <c r="E177" s="102"/>
      <c r="F177" s="102"/>
      <c r="G177" s="139"/>
      <c r="H177" s="135"/>
      <c r="I177" s="98"/>
    </row>
    <row r="178" spans="2:9">
      <c r="B178" s="97"/>
      <c r="E178" s="102"/>
      <c r="F178" s="102"/>
      <c r="G178" s="139"/>
      <c r="H178" s="135"/>
      <c r="I178" s="98"/>
    </row>
    <row r="179" spans="2:9">
      <c r="B179" s="97"/>
      <c r="E179" s="102"/>
      <c r="F179" s="102"/>
      <c r="G179" s="139"/>
      <c r="H179" s="135"/>
      <c r="I179" s="98"/>
    </row>
    <row r="180" spans="2:9">
      <c r="B180" s="97"/>
      <c r="E180" s="102"/>
      <c r="F180" s="102"/>
      <c r="G180" s="139"/>
      <c r="H180" s="135"/>
      <c r="I180" s="98"/>
    </row>
    <row r="181" spans="2:9">
      <c r="B181" s="97"/>
      <c r="E181" s="102"/>
      <c r="F181" s="102"/>
      <c r="G181" s="139"/>
      <c r="H181" s="135"/>
      <c r="I181" s="98"/>
    </row>
    <row r="182" spans="2:9">
      <c r="B182" s="97"/>
      <c r="E182" s="102"/>
      <c r="F182" s="102"/>
      <c r="G182" s="139"/>
      <c r="H182" s="135"/>
      <c r="I182" s="98"/>
    </row>
    <row r="183" spans="2:9">
      <c r="B183" s="97"/>
      <c r="E183" s="102"/>
      <c r="F183" s="102"/>
      <c r="G183" s="139"/>
      <c r="H183" s="135"/>
      <c r="I183" s="98"/>
    </row>
    <row r="184" spans="2:9">
      <c r="B184" s="97"/>
      <c r="E184" s="102"/>
      <c r="F184" s="102"/>
      <c r="G184" s="139"/>
      <c r="H184" s="135"/>
      <c r="I184" s="98"/>
    </row>
    <row r="185" spans="2:9">
      <c r="B185" s="97"/>
      <c r="E185" s="102"/>
      <c r="F185" s="102"/>
      <c r="G185" s="139"/>
      <c r="H185" s="135"/>
      <c r="I185" s="98"/>
    </row>
    <row r="186" spans="2:9">
      <c r="B186" s="97"/>
      <c r="E186" s="102"/>
      <c r="F186" s="102"/>
      <c r="G186" s="139"/>
      <c r="H186" s="135"/>
      <c r="I186" s="98"/>
    </row>
    <row r="187" spans="2:9">
      <c r="B187" s="97"/>
      <c r="E187" s="102"/>
      <c r="F187" s="102"/>
      <c r="G187" s="139"/>
      <c r="H187" s="135"/>
      <c r="I187" s="98"/>
    </row>
    <row r="188" spans="2:9">
      <c r="B188" s="97"/>
      <c r="E188" s="102"/>
      <c r="F188" s="102"/>
      <c r="G188" s="139"/>
      <c r="H188" s="135"/>
      <c r="I188" s="98"/>
    </row>
    <row r="189" spans="2:9">
      <c r="B189" s="97"/>
      <c r="E189" s="102"/>
      <c r="F189" s="102"/>
      <c r="G189" s="139"/>
      <c r="H189" s="135"/>
      <c r="I189" s="98"/>
    </row>
    <row r="190" spans="2:9">
      <c r="B190" s="97"/>
      <c r="E190" s="102"/>
      <c r="F190" s="102"/>
      <c r="G190" s="139"/>
      <c r="H190" s="135"/>
      <c r="I190" s="98"/>
    </row>
    <row r="191" spans="2:9">
      <c r="B191" s="97"/>
      <c r="E191" s="102"/>
      <c r="F191" s="102"/>
      <c r="G191" s="139"/>
      <c r="H191" s="135"/>
      <c r="I191" s="98"/>
    </row>
    <row r="192" spans="2:9">
      <c r="B192" s="97"/>
      <c r="E192" s="102"/>
      <c r="F192" s="102"/>
      <c r="G192" s="139"/>
      <c r="H192" s="135"/>
      <c r="I192" s="98"/>
    </row>
    <row r="193" spans="2:9">
      <c r="B193" s="97"/>
      <c r="E193" s="102"/>
      <c r="F193" s="102"/>
      <c r="G193" s="139"/>
      <c r="H193" s="135"/>
      <c r="I193" s="98"/>
    </row>
    <row r="194" spans="2:9">
      <c r="B194" s="97"/>
      <c r="E194" s="102"/>
      <c r="F194" s="102"/>
      <c r="G194" s="139"/>
      <c r="H194" s="135"/>
      <c r="I194" s="98"/>
    </row>
    <row r="195" spans="2:9">
      <c r="B195" s="97"/>
      <c r="E195" s="102"/>
      <c r="F195" s="102"/>
      <c r="G195" s="139"/>
      <c r="H195" s="135"/>
      <c r="I195" s="98"/>
    </row>
    <row r="196" spans="2:9">
      <c r="B196" s="97"/>
      <c r="E196" s="102"/>
      <c r="F196" s="102"/>
      <c r="G196" s="139"/>
      <c r="H196" s="135"/>
      <c r="I196" s="98"/>
    </row>
    <row r="197" spans="2:9">
      <c r="B197" s="97"/>
      <c r="E197" s="102"/>
      <c r="F197" s="102"/>
      <c r="G197" s="139"/>
      <c r="H197" s="135"/>
      <c r="I197" s="98"/>
    </row>
    <row r="198" spans="2:9">
      <c r="B198" s="97"/>
      <c r="E198" s="102"/>
      <c r="F198" s="102"/>
      <c r="G198" s="139"/>
      <c r="H198" s="135"/>
      <c r="I198" s="98"/>
    </row>
    <row r="199" spans="2:9">
      <c r="B199" s="97"/>
      <c r="E199" s="102"/>
      <c r="F199" s="102"/>
      <c r="G199" s="139"/>
      <c r="H199" s="135"/>
      <c r="I199" s="98"/>
    </row>
    <row r="200" spans="2:9">
      <c r="B200" s="97"/>
      <c r="E200" s="102"/>
      <c r="F200" s="102"/>
      <c r="G200" s="139"/>
      <c r="H200" s="135"/>
      <c r="I200" s="98"/>
    </row>
    <row r="201" spans="2:9">
      <c r="B201" s="97"/>
      <c r="E201" s="102"/>
      <c r="F201" s="102"/>
      <c r="G201" s="102"/>
      <c r="H201" s="102"/>
      <c r="I201" s="98"/>
    </row>
    <row r="202" spans="2:9">
      <c r="B202" s="97"/>
      <c r="E202" s="102"/>
      <c r="F202" s="102"/>
      <c r="G202" s="102"/>
      <c r="H202" s="102"/>
      <c r="I202" s="98"/>
    </row>
    <row r="203" spans="2:9">
      <c r="B203" s="97"/>
      <c r="E203" s="102"/>
      <c r="F203" s="102"/>
      <c r="G203" s="102"/>
      <c r="H203" s="102"/>
      <c r="I203" s="98"/>
    </row>
    <row r="204" spans="2:9">
      <c r="B204" s="97"/>
      <c r="E204" s="102"/>
      <c r="F204" s="102"/>
      <c r="G204" s="102"/>
      <c r="H204" s="102"/>
      <c r="I204" s="98"/>
    </row>
    <row r="205" spans="2:9">
      <c r="B205" s="97"/>
      <c r="E205" s="102"/>
      <c r="F205" s="102"/>
      <c r="G205" s="102"/>
      <c r="H205" s="102"/>
      <c r="I205" s="98"/>
    </row>
    <row r="206" spans="2:9">
      <c r="B206" s="97"/>
      <c r="E206" s="102"/>
      <c r="F206" s="102"/>
      <c r="G206" s="102"/>
      <c r="H206" s="102"/>
      <c r="I206" s="98"/>
    </row>
    <row r="207" spans="2:9">
      <c r="B207" s="97"/>
      <c r="E207" s="102"/>
      <c r="F207" s="102"/>
      <c r="G207" s="102"/>
      <c r="H207" s="102"/>
      <c r="I207" s="98"/>
    </row>
    <row r="208" spans="2:9">
      <c r="B208" s="97"/>
      <c r="E208" s="102"/>
      <c r="F208" s="102"/>
      <c r="G208" s="102"/>
      <c r="H208" s="102"/>
      <c r="I208" s="98"/>
    </row>
    <row r="209" spans="2:9">
      <c r="B209" s="97"/>
      <c r="E209" s="102"/>
      <c r="F209" s="102"/>
      <c r="G209" s="102"/>
      <c r="H209" s="102"/>
      <c r="I209" s="98"/>
    </row>
    <row r="210" spans="2:9">
      <c r="B210" s="97"/>
      <c r="E210" s="102"/>
      <c r="F210" s="102"/>
      <c r="G210" s="102"/>
      <c r="H210" s="102"/>
      <c r="I210" s="98"/>
    </row>
    <row r="211" spans="2:9">
      <c r="B211" s="97"/>
      <c r="E211" s="102"/>
      <c r="F211" s="102"/>
      <c r="G211" s="102"/>
      <c r="H211" s="102"/>
      <c r="I211" s="98"/>
    </row>
    <row r="212" spans="2:9">
      <c r="B212" s="97"/>
      <c r="E212" s="102"/>
      <c r="F212" s="102"/>
      <c r="G212" s="102"/>
      <c r="H212" s="102"/>
      <c r="I212" s="98"/>
    </row>
    <row r="213" spans="2:9">
      <c r="B213" s="97"/>
      <c r="E213" s="102"/>
      <c r="F213" s="102"/>
      <c r="G213" s="102"/>
      <c r="H213" s="102"/>
      <c r="I213" s="98"/>
    </row>
    <row r="214" spans="2:9">
      <c r="B214" s="97"/>
      <c r="E214" s="102"/>
      <c r="F214" s="102"/>
      <c r="G214" s="102"/>
      <c r="H214" s="102"/>
      <c r="I214" s="98"/>
    </row>
    <row r="215" spans="2:9">
      <c r="B215" s="97"/>
      <c r="E215" s="102"/>
      <c r="F215" s="102"/>
      <c r="G215" s="102"/>
      <c r="H215" s="102"/>
      <c r="I215" s="98"/>
    </row>
    <row r="216" spans="2:9">
      <c r="B216" s="97"/>
      <c r="E216" s="102"/>
      <c r="F216" s="102"/>
      <c r="G216" s="102"/>
      <c r="H216" s="102"/>
      <c r="I216" s="98"/>
    </row>
    <row r="217" spans="2:9">
      <c r="B217" s="97"/>
      <c r="E217" s="102"/>
      <c r="F217" s="102"/>
      <c r="G217" s="102"/>
      <c r="H217" s="102"/>
      <c r="I217" s="98"/>
    </row>
    <row r="218" spans="2:9">
      <c r="B218" s="97"/>
      <c r="E218" s="102"/>
      <c r="F218" s="102"/>
      <c r="G218" s="102"/>
      <c r="H218" s="102"/>
      <c r="I218" s="98"/>
    </row>
    <row r="219" spans="2:9">
      <c r="B219" s="97"/>
      <c r="E219" s="102"/>
      <c r="F219" s="102"/>
      <c r="G219" s="102"/>
      <c r="H219" s="102"/>
      <c r="I219" s="98"/>
    </row>
    <row r="220" spans="2:9">
      <c r="B220" s="97"/>
      <c r="E220" s="102"/>
      <c r="F220" s="102"/>
      <c r="G220" s="102"/>
      <c r="H220" s="102"/>
      <c r="I220" s="98"/>
    </row>
    <row r="221" spans="2:9">
      <c r="B221" s="97"/>
      <c r="E221" s="102"/>
      <c r="F221" s="102"/>
      <c r="G221" s="102"/>
      <c r="H221" s="102"/>
      <c r="I221" s="98"/>
    </row>
    <row r="222" spans="2:9">
      <c r="B222" s="97"/>
      <c r="E222" s="102"/>
      <c r="F222" s="102"/>
      <c r="G222" s="102"/>
      <c r="H222" s="102"/>
      <c r="I222" s="98"/>
    </row>
    <row r="223" spans="2:9">
      <c r="B223" s="97"/>
      <c r="E223" s="102"/>
      <c r="F223" s="102"/>
      <c r="G223" s="102"/>
      <c r="H223" s="102"/>
      <c r="I223" s="98"/>
    </row>
    <row r="224" spans="2:9">
      <c r="B224" s="97"/>
      <c r="E224" s="102"/>
      <c r="F224" s="102"/>
      <c r="G224" s="102"/>
      <c r="H224" s="102"/>
      <c r="I224" s="98"/>
    </row>
    <row r="225" spans="2:9">
      <c r="B225" s="97"/>
      <c r="E225" s="102"/>
      <c r="F225" s="102"/>
      <c r="G225" s="102"/>
      <c r="H225" s="102"/>
      <c r="I225" s="98"/>
    </row>
    <row r="226" spans="2:9">
      <c r="B226" s="97"/>
      <c r="E226" s="102"/>
      <c r="F226" s="102"/>
      <c r="G226" s="102"/>
      <c r="H226" s="102"/>
      <c r="I226" s="98"/>
    </row>
    <row r="227" spans="2:9">
      <c r="B227" s="97"/>
      <c r="E227" s="102"/>
      <c r="F227" s="102"/>
      <c r="G227" s="102"/>
      <c r="H227" s="102"/>
      <c r="I227" s="98"/>
    </row>
    <row r="228" spans="2:9">
      <c r="B228" s="97"/>
      <c r="E228" s="102"/>
      <c r="F228" s="102"/>
      <c r="G228" s="102"/>
      <c r="H228" s="102"/>
      <c r="I228" s="98"/>
    </row>
    <row r="229" spans="2:9">
      <c r="B229" s="97"/>
      <c r="E229" s="102"/>
      <c r="F229" s="102"/>
      <c r="G229" s="102"/>
      <c r="H229" s="102"/>
      <c r="I229" s="98"/>
    </row>
    <row r="230" spans="2:9">
      <c r="B230" s="97"/>
      <c r="E230" s="102"/>
      <c r="F230" s="102"/>
      <c r="G230" s="102"/>
      <c r="H230" s="102"/>
      <c r="I230" s="98"/>
    </row>
    <row r="231" spans="2:9">
      <c r="B231" s="97"/>
      <c r="E231" s="102"/>
      <c r="F231" s="102"/>
      <c r="G231" s="102"/>
      <c r="H231" s="102"/>
      <c r="I231" s="98"/>
    </row>
    <row r="232" spans="2:9">
      <c r="B232" s="97"/>
      <c r="E232" s="102"/>
      <c r="F232" s="102"/>
      <c r="G232" s="102"/>
      <c r="H232" s="102"/>
      <c r="I232" s="98"/>
    </row>
    <row r="233" spans="2:9">
      <c r="B233" s="97"/>
      <c r="E233" s="102"/>
      <c r="F233" s="102"/>
      <c r="G233" s="102"/>
      <c r="H233" s="102"/>
      <c r="I233" s="98"/>
    </row>
    <row r="234" spans="2:9">
      <c r="B234" s="97"/>
      <c r="E234" s="102"/>
      <c r="F234" s="102"/>
      <c r="G234" s="102"/>
      <c r="H234" s="102"/>
      <c r="I234" s="98"/>
    </row>
    <row r="235" spans="2:9">
      <c r="B235" s="97"/>
      <c r="E235" s="102"/>
      <c r="F235" s="102"/>
      <c r="G235" s="102"/>
      <c r="H235" s="102"/>
      <c r="I235" s="98"/>
    </row>
    <row r="236" spans="2:9">
      <c r="B236" s="97"/>
      <c r="E236" s="102"/>
      <c r="F236" s="102"/>
      <c r="G236" s="102"/>
      <c r="H236" s="102"/>
      <c r="I236" s="98"/>
    </row>
    <row r="237" spans="2:9">
      <c r="B237" s="97"/>
      <c r="E237" s="102"/>
      <c r="F237" s="102"/>
      <c r="G237" s="102"/>
      <c r="H237" s="102"/>
      <c r="I237" s="98"/>
    </row>
    <row r="238" spans="2:9">
      <c r="B238" s="97"/>
      <c r="E238" s="102"/>
      <c r="F238" s="102"/>
      <c r="G238" s="102"/>
      <c r="H238" s="102"/>
      <c r="I238" s="98"/>
    </row>
    <row r="239" spans="2:9">
      <c r="B239" s="97"/>
      <c r="E239" s="102"/>
      <c r="F239" s="102"/>
      <c r="G239" s="102"/>
      <c r="H239" s="102"/>
      <c r="I239" s="98"/>
    </row>
    <row r="240" spans="2:9">
      <c r="B240" s="97"/>
      <c r="E240" s="102"/>
      <c r="F240" s="102"/>
      <c r="G240" s="102"/>
      <c r="H240" s="102"/>
      <c r="I240" s="98"/>
    </row>
    <row r="241" spans="2:9">
      <c r="B241" s="97"/>
      <c r="E241" s="102"/>
      <c r="F241" s="102"/>
      <c r="G241" s="102"/>
      <c r="H241" s="102"/>
      <c r="I241" s="98"/>
    </row>
    <row r="242" spans="2:9">
      <c r="B242" s="97"/>
      <c r="E242" s="102"/>
      <c r="F242" s="102"/>
      <c r="G242" s="102"/>
      <c r="H242" s="102"/>
      <c r="I242" s="98"/>
    </row>
    <row r="243" spans="2:9">
      <c r="B243" s="97"/>
      <c r="E243" s="102"/>
      <c r="F243" s="102"/>
      <c r="G243" s="102"/>
      <c r="H243" s="102"/>
      <c r="I243" s="98"/>
    </row>
    <row r="244" spans="2:9">
      <c r="B244" s="97"/>
      <c r="E244" s="102"/>
      <c r="F244" s="102"/>
      <c r="G244" s="102"/>
      <c r="H244" s="102"/>
      <c r="I244" s="98"/>
    </row>
    <row r="245" spans="2:9">
      <c r="B245" s="97"/>
      <c r="E245" s="102"/>
      <c r="F245" s="102"/>
      <c r="G245" s="102"/>
      <c r="H245" s="102"/>
      <c r="I245" s="98"/>
    </row>
    <row r="246" spans="2:9">
      <c r="B246" s="97"/>
      <c r="E246" s="102"/>
      <c r="F246" s="102"/>
      <c r="G246" s="102"/>
      <c r="H246" s="102"/>
      <c r="I246" s="98"/>
    </row>
    <row r="247" spans="2:9">
      <c r="B247" s="97"/>
      <c r="E247" s="102"/>
      <c r="F247" s="102"/>
      <c r="G247" s="102"/>
      <c r="H247" s="102"/>
      <c r="I247" s="98"/>
    </row>
    <row r="248" spans="2:9">
      <c r="B248" s="97"/>
      <c r="E248" s="102"/>
      <c r="F248" s="102"/>
      <c r="G248" s="102"/>
      <c r="H248" s="102"/>
      <c r="I248" s="98"/>
    </row>
    <row r="249" spans="2:9">
      <c r="B249" s="97"/>
      <c r="E249" s="102"/>
      <c r="F249" s="102"/>
      <c r="G249" s="102"/>
      <c r="H249" s="102"/>
      <c r="I249" s="98"/>
    </row>
    <row r="250" spans="2:9">
      <c r="B250" s="97"/>
      <c r="E250" s="102"/>
      <c r="F250" s="102"/>
      <c r="G250" s="102"/>
      <c r="H250" s="102"/>
      <c r="I250" s="98"/>
    </row>
    <row r="251" spans="2:9">
      <c r="B251" s="97"/>
      <c r="E251" s="102"/>
      <c r="F251" s="102"/>
      <c r="G251" s="102"/>
      <c r="H251" s="102"/>
      <c r="I251" s="98"/>
    </row>
    <row r="252" spans="2:9">
      <c r="B252" s="97"/>
      <c r="E252" s="102"/>
      <c r="F252" s="102"/>
      <c r="G252" s="102"/>
      <c r="H252" s="102"/>
      <c r="I252" s="98"/>
    </row>
    <row r="253" spans="2:9">
      <c r="B253" s="97"/>
      <c r="E253" s="102"/>
      <c r="F253" s="102"/>
      <c r="G253" s="102"/>
      <c r="H253" s="102"/>
      <c r="I253" s="98"/>
    </row>
    <row r="254" spans="2:9">
      <c r="B254" s="97"/>
      <c r="E254" s="102"/>
      <c r="F254" s="102"/>
      <c r="G254" s="102"/>
      <c r="H254" s="102"/>
      <c r="I254" s="98"/>
    </row>
    <row r="255" spans="2:9">
      <c r="B255" s="97"/>
      <c r="E255" s="102"/>
      <c r="F255" s="102"/>
      <c r="G255" s="102"/>
      <c r="H255" s="102"/>
      <c r="I255" s="98"/>
    </row>
    <row r="256" spans="2:9">
      <c r="B256" s="97"/>
      <c r="E256" s="102"/>
      <c r="F256" s="102"/>
      <c r="G256" s="102"/>
      <c r="H256" s="102"/>
      <c r="I256" s="98"/>
    </row>
    <row r="257" spans="2:9">
      <c r="B257" s="97"/>
      <c r="E257" s="102"/>
      <c r="F257" s="102"/>
      <c r="G257" s="102"/>
      <c r="H257" s="102"/>
      <c r="I257" s="98"/>
    </row>
    <row r="258" spans="2:9">
      <c r="B258" s="97"/>
      <c r="E258" s="102"/>
      <c r="F258" s="102"/>
      <c r="G258" s="102"/>
      <c r="H258" s="102"/>
      <c r="I258" s="98"/>
    </row>
    <row r="259" spans="2:9">
      <c r="B259" s="97"/>
      <c r="E259" s="102"/>
      <c r="F259" s="102"/>
      <c r="G259" s="102"/>
      <c r="H259" s="102"/>
      <c r="I259" s="98"/>
    </row>
    <row r="260" spans="2:9">
      <c r="B260" s="97"/>
      <c r="E260" s="102"/>
      <c r="F260" s="102"/>
      <c r="G260" s="102"/>
      <c r="H260" s="102"/>
      <c r="I260" s="98"/>
    </row>
    <row r="261" spans="2:9">
      <c r="B261" s="97"/>
      <c r="E261" s="102"/>
      <c r="F261" s="102"/>
      <c r="G261" s="102"/>
      <c r="H261" s="102"/>
      <c r="I261" s="98"/>
    </row>
    <row r="262" spans="2:9">
      <c r="B262" s="97"/>
      <c r="E262" s="102"/>
      <c r="F262" s="102"/>
      <c r="G262" s="102"/>
      <c r="H262" s="102"/>
      <c r="I262" s="98"/>
    </row>
    <row r="263" spans="2:9">
      <c r="B263" s="97"/>
      <c r="E263" s="102"/>
      <c r="F263" s="102"/>
      <c r="G263" s="102"/>
      <c r="H263" s="102"/>
      <c r="I263" s="98"/>
    </row>
    <row r="264" spans="2:9">
      <c r="B264" s="97"/>
      <c r="E264" s="102"/>
      <c r="F264" s="102"/>
      <c r="G264" s="102"/>
      <c r="H264" s="102"/>
      <c r="I264" s="98"/>
    </row>
    <row r="265" spans="2:9">
      <c r="B265" s="97"/>
      <c r="E265" s="102"/>
      <c r="F265" s="102"/>
      <c r="G265" s="102"/>
      <c r="H265" s="102"/>
      <c r="I265" s="98"/>
    </row>
    <row r="266" spans="2:9">
      <c r="B266" s="97"/>
      <c r="E266" s="102"/>
      <c r="F266" s="102"/>
      <c r="G266" s="102"/>
      <c r="H266" s="102"/>
      <c r="I266" s="98"/>
    </row>
    <row r="267" spans="2:9">
      <c r="B267" s="97"/>
      <c r="E267" s="102"/>
      <c r="F267" s="102"/>
      <c r="G267" s="102"/>
      <c r="H267" s="102"/>
      <c r="I267" s="98"/>
    </row>
    <row r="268" spans="2:9">
      <c r="B268" s="97"/>
      <c r="E268" s="102"/>
      <c r="F268" s="102"/>
      <c r="G268" s="102"/>
      <c r="H268" s="102"/>
      <c r="I268" s="98"/>
    </row>
    <row r="269" spans="2:9">
      <c r="B269" s="97"/>
      <c r="E269" s="102"/>
      <c r="F269" s="102"/>
      <c r="G269" s="102"/>
      <c r="H269" s="102"/>
      <c r="I269" s="98"/>
    </row>
    <row r="270" spans="2:9">
      <c r="B270" s="97"/>
      <c r="E270" s="102"/>
      <c r="F270" s="102"/>
      <c r="G270" s="102"/>
      <c r="H270" s="102"/>
      <c r="I270" s="98"/>
    </row>
    <row r="271" spans="2:9">
      <c r="B271" s="97"/>
      <c r="E271" s="102"/>
      <c r="F271" s="102"/>
      <c r="G271" s="102"/>
      <c r="H271" s="102"/>
      <c r="I271" s="98"/>
    </row>
    <row r="272" spans="2:9">
      <c r="B272" s="97"/>
      <c r="E272" s="102"/>
      <c r="F272" s="102"/>
      <c r="G272" s="102"/>
      <c r="H272" s="102"/>
      <c r="I272" s="98"/>
    </row>
    <row r="273" spans="2:9">
      <c r="B273" s="97"/>
      <c r="E273" s="102"/>
      <c r="F273" s="102"/>
      <c r="G273" s="102"/>
      <c r="H273" s="102"/>
      <c r="I273" s="98"/>
    </row>
    <row r="274" spans="2:9">
      <c r="B274" s="97"/>
      <c r="E274" s="102"/>
      <c r="F274" s="102"/>
      <c r="G274" s="102"/>
      <c r="H274" s="102"/>
      <c r="I274" s="98"/>
    </row>
    <row r="275" spans="2:9">
      <c r="B275" s="97"/>
      <c r="E275" s="102"/>
      <c r="F275" s="102"/>
      <c r="G275" s="102"/>
      <c r="H275" s="102"/>
      <c r="I275" s="98"/>
    </row>
    <row r="276" spans="2:9">
      <c r="B276" s="97"/>
      <c r="E276" s="102"/>
      <c r="F276" s="102"/>
      <c r="G276" s="102"/>
      <c r="H276" s="102"/>
      <c r="I276" s="98"/>
    </row>
    <row r="277" spans="2:9">
      <c r="B277" s="97"/>
      <c r="E277" s="102"/>
      <c r="F277" s="102"/>
      <c r="G277" s="102"/>
      <c r="H277" s="102"/>
      <c r="I277" s="98"/>
    </row>
    <row r="278" spans="2:9">
      <c r="B278" s="97"/>
      <c r="E278" s="102"/>
      <c r="F278" s="102"/>
      <c r="G278" s="102"/>
      <c r="H278" s="102"/>
      <c r="I278" s="98"/>
    </row>
    <row r="279" spans="2:9">
      <c r="B279" s="97"/>
      <c r="E279" s="102"/>
      <c r="F279" s="102"/>
      <c r="G279" s="102"/>
      <c r="H279" s="102"/>
      <c r="I279" s="98"/>
    </row>
    <row r="280" spans="2:9">
      <c r="B280" s="97"/>
      <c r="E280" s="102"/>
      <c r="F280" s="102"/>
      <c r="G280" s="102"/>
      <c r="H280" s="102"/>
      <c r="I280" s="98"/>
    </row>
    <row r="281" spans="2:9">
      <c r="B281" s="97"/>
      <c r="E281" s="102"/>
      <c r="F281" s="102"/>
      <c r="G281" s="102"/>
      <c r="H281" s="102"/>
      <c r="I281" s="98"/>
    </row>
    <row r="282" spans="2:9">
      <c r="B282" s="97"/>
      <c r="E282" s="102"/>
      <c r="F282" s="102"/>
      <c r="G282" s="102"/>
      <c r="H282" s="102"/>
      <c r="I282" s="98"/>
    </row>
    <row r="283" spans="2:9">
      <c r="B283" s="97"/>
      <c r="E283" s="102"/>
      <c r="F283" s="102"/>
      <c r="G283" s="102"/>
      <c r="H283" s="102"/>
      <c r="I283" s="98"/>
    </row>
    <row r="284" spans="2:9">
      <c r="B284" s="97"/>
      <c r="E284" s="102"/>
      <c r="F284" s="102"/>
      <c r="G284" s="102"/>
      <c r="H284" s="102"/>
      <c r="I284" s="98"/>
    </row>
    <row r="285" spans="2:9">
      <c r="B285" s="97"/>
      <c r="E285" s="102"/>
      <c r="F285" s="102"/>
      <c r="G285" s="102"/>
      <c r="H285" s="102"/>
      <c r="I285" s="98"/>
    </row>
    <row r="286" spans="2:9">
      <c r="B286" s="97"/>
      <c r="E286" s="102"/>
      <c r="F286" s="102"/>
      <c r="G286" s="102"/>
      <c r="H286" s="102"/>
      <c r="I286" s="98"/>
    </row>
    <row r="287" spans="2:9">
      <c r="B287" s="97"/>
      <c r="E287" s="102"/>
      <c r="F287" s="102"/>
      <c r="G287" s="102"/>
      <c r="H287" s="102"/>
      <c r="I287" s="98"/>
    </row>
    <row r="288" spans="2:9">
      <c r="B288" s="97"/>
      <c r="E288" s="102"/>
      <c r="F288" s="102"/>
      <c r="G288" s="102"/>
      <c r="H288" s="102"/>
      <c r="I288" s="98"/>
    </row>
  </sheetData>
  <pageMargins left="0.7" right="0.7" top="0.75" bottom="0.75" header="0.3" footer="0.3"/>
  <pageSetup scale="48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9"/>
  <sheetViews>
    <sheetView topLeftCell="A10" zoomScaleNormal="100" workbookViewId="0">
      <pane xSplit="1" ySplit="4" topLeftCell="B247" activePane="bottomRight" state="frozen"/>
      <selection activeCell="C105" sqref="C105"/>
      <selection pane="topRight" activeCell="C105" sqref="C105"/>
      <selection pane="bottomLeft" activeCell="C105" sqref="C105"/>
      <selection pane="bottomRight" activeCell="D282" sqref="D282"/>
    </sheetView>
  </sheetViews>
  <sheetFormatPr defaultRowHeight="12.75" outlineLevelRow="1"/>
  <cols>
    <col min="1" max="1" width="23.140625" style="1393" customWidth="1"/>
    <col min="2" max="2" width="10.7109375" style="1393" bestFit="1" customWidth="1"/>
    <col min="3" max="3" width="22" style="1393" bestFit="1" customWidth="1"/>
    <col min="4" max="4" width="14.85546875" style="1393" bestFit="1" customWidth="1"/>
    <col min="5" max="5" width="17" style="1393" bestFit="1" customWidth="1"/>
    <col min="6" max="6" width="9.140625" style="1393"/>
    <col min="7" max="7" width="20.140625" style="1393" customWidth="1"/>
    <col min="8" max="8" width="22" style="1393" bestFit="1" customWidth="1"/>
    <col min="9" max="9" width="19.140625" style="1393" bestFit="1" customWidth="1"/>
    <col min="10" max="10" width="20.42578125" style="1393" bestFit="1" customWidth="1"/>
    <col min="11" max="11" width="22.28515625" style="1393" bestFit="1" customWidth="1"/>
    <col min="12" max="12" width="32.28515625" style="1393" bestFit="1" customWidth="1"/>
    <col min="13" max="13" width="20.42578125" style="1393" bestFit="1" customWidth="1"/>
    <col min="14" max="16384" width="9.140625" style="1393"/>
  </cols>
  <sheetData>
    <row r="1" spans="1:13" ht="15">
      <c r="A1" s="403"/>
      <c r="B1" s="404"/>
      <c r="C1" s="405"/>
      <c r="D1" s="405"/>
      <c r="E1" s="405"/>
      <c r="F1" s="405"/>
      <c r="G1" s="406"/>
      <c r="H1" s="407"/>
      <c r="I1" s="407"/>
      <c r="J1" s="408"/>
      <c r="K1" s="409"/>
      <c r="L1" s="410"/>
      <c r="M1" s="1394"/>
    </row>
    <row r="2" spans="1:13" ht="15">
      <c r="A2" s="411"/>
      <c r="B2" s="412"/>
      <c r="C2" s="413"/>
      <c r="D2" s="413"/>
      <c r="E2" s="413"/>
      <c r="F2" s="413"/>
      <c r="G2" s="412"/>
      <c r="H2" s="414"/>
      <c r="I2" s="414"/>
      <c r="J2" s="415"/>
      <c r="K2" s="414"/>
      <c r="L2" s="416"/>
      <c r="M2" s="1394"/>
    </row>
    <row r="3" spans="1:13" ht="15.75" thickBot="1">
      <c r="A3" s="503" t="s">
        <v>651</v>
      </c>
      <c r="B3" s="504" t="e">
        <v>#REF!</v>
      </c>
      <c r="C3" s="413"/>
      <c r="D3" s="413"/>
      <c r="E3" s="413"/>
      <c r="F3" s="413"/>
      <c r="G3" s="412"/>
      <c r="H3" s="414"/>
      <c r="I3" s="414"/>
      <c r="J3" s="415"/>
      <c r="K3" s="414"/>
      <c r="L3" s="416"/>
      <c r="M3" s="1394"/>
    </row>
    <row r="4" spans="1:13" ht="27">
      <c r="A4" s="417" t="s">
        <v>652</v>
      </c>
      <c r="B4" s="418"/>
      <c r="C4" s="419"/>
      <c r="D4" s="419"/>
      <c r="E4" s="419"/>
      <c r="F4" s="419"/>
      <c r="G4" s="406"/>
      <c r="H4" s="420"/>
      <c r="I4" s="420"/>
      <c r="J4" s="415"/>
      <c r="K4" s="414"/>
      <c r="L4" s="416"/>
      <c r="M4" s="1394"/>
    </row>
    <row r="5" spans="1:13" ht="27">
      <c r="A5" s="421" t="e">
        <v>#REF!</v>
      </c>
      <c r="B5" s="422"/>
      <c r="C5" s="423"/>
      <c r="D5" s="423"/>
      <c r="E5" s="423"/>
      <c r="F5" s="423"/>
      <c r="G5" s="1394"/>
      <c r="H5" s="420"/>
      <c r="I5" s="420"/>
      <c r="J5" s="415"/>
      <c r="K5" s="414"/>
      <c r="L5" s="416"/>
      <c r="M5" s="1394"/>
    </row>
    <row r="6" spans="1:13" ht="27">
      <c r="A6" s="424" t="s">
        <v>653</v>
      </c>
      <c r="B6" s="425"/>
      <c r="C6" s="426"/>
      <c r="D6" s="426"/>
      <c r="E6" s="426"/>
      <c r="F6" s="426"/>
      <c r="G6" s="500"/>
      <c r="H6" s="420"/>
      <c r="I6" s="420"/>
      <c r="J6" s="415"/>
      <c r="K6" s="414"/>
      <c r="L6" s="416"/>
      <c r="M6" s="1394"/>
    </row>
    <row r="7" spans="1:13" ht="19.5" thickBot="1">
      <c r="A7" s="1409" t="s">
        <v>654</v>
      </c>
      <c r="B7" s="1410"/>
      <c r="C7" s="1410"/>
      <c r="D7" s="1410"/>
      <c r="E7" s="1410"/>
      <c r="F7" s="1410"/>
      <c r="G7" s="1410"/>
      <c r="H7" s="427"/>
      <c r="I7" s="427"/>
      <c r="J7" s="415"/>
      <c r="K7" s="414"/>
      <c r="L7" s="428"/>
      <c r="M7" s="1394"/>
    </row>
    <row r="8" spans="1:13" ht="15">
      <c r="A8" s="411"/>
      <c r="B8" s="412"/>
      <c r="C8" s="413"/>
      <c r="D8" s="413"/>
      <c r="E8" s="413"/>
      <c r="F8" s="413"/>
      <c r="G8" s="412"/>
      <c r="H8" s="427"/>
      <c r="I8" s="427"/>
      <c r="J8" s="415"/>
      <c r="K8" s="414"/>
      <c r="L8" s="416"/>
      <c r="M8" s="1394"/>
    </row>
    <row r="9" spans="1:13" ht="15">
      <c r="A9" s="429" t="s">
        <v>655</v>
      </c>
      <c r="B9" s="412"/>
      <c r="C9" s="413"/>
      <c r="D9" s="413"/>
      <c r="E9" s="413"/>
      <c r="F9" s="413"/>
      <c r="G9" s="412"/>
      <c r="H9" s="414"/>
      <c r="I9" s="414"/>
      <c r="J9" s="415"/>
      <c r="K9" s="414"/>
      <c r="L9" s="416"/>
      <c r="M9" s="1394"/>
    </row>
    <row r="10" spans="1:13">
      <c r="A10" s="430" t="s">
        <v>656</v>
      </c>
      <c r="B10" s="431"/>
      <c r="C10" s="432"/>
      <c r="D10" s="432"/>
      <c r="E10" s="432"/>
      <c r="F10" s="432"/>
      <c r="G10" s="438"/>
      <c r="H10" s="434"/>
      <c r="I10" s="427"/>
      <c r="J10" s="427"/>
      <c r="K10" s="435"/>
      <c r="L10" s="437"/>
      <c r="M10" s="438"/>
    </row>
    <row r="11" spans="1:13" ht="15.75">
      <c r="A11" s="433" t="s">
        <v>657</v>
      </c>
      <c r="B11" s="501">
        <v>3.5665000000000002E-2</v>
      </c>
      <c r="C11" s="1411" t="s">
        <v>658</v>
      </c>
      <c r="D11" s="1412"/>
      <c r="E11" s="1412"/>
      <c r="F11" s="1412"/>
      <c r="G11" s="499"/>
      <c r="H11" s="434"/>
      <c r="I11" s="435" t="s">
        <v>659</v>
      </c>
      <c r="J11" s="436" t="s">
        <v>660</v>
      </c>
      <c r="K11" s="435"/>
      <c r="L11" s="437"/>
      <c r="M11" s="438"/>
    </row>
    <row r="12" spans="1:13">
      <c r="A12" s="430" t="s">
        <v>661</v>
      </c>
      <c r="B12" s="439">
        <v>365</v>
      </c>
      <c r="C12" s="432"/>
      <c r="D12" s="432"/>
      <c r="E12" s="432"/>
      <c r="F12" s="432"/>
      <c r="G12" s="440"/>
      <c r="H12" s="441"/>
      <c r="I12" s="441"/>
      <c r="J12" s="442"/>
      <c r="K12" s="441"/>
      <c r="L12" s="437"/>
      <c r="M12" s="438"/>
    </row>
    <row r="13" spans="1:13" ht="51">
      <c r="A13" s="443" t="s">
        <v>662</v>
      </c>
      <c r="B13" s="444" t="s">
        <v>663</v>
      </c>
      <c r="C13" s="445" t="s">
        <v>25</v>
      </c>
      <c r="D13" s="445" t="s">
        <v>664</v>
      </c>
      <c r="E13" s="445" t="s">
        <v>665</v>
      </c>
      <c r="F13" s="446" t="s">
        <v>666</v>
      </c>
      <c r="G13" s="447" t="s">
        <v>667</v>
      </c>
      <c r="H13" s="448" t="s">
        <v>668</v>
      </c>
      <c r="I13" s="448" t="s">
        <v>669</v>
      </c>
      <c r="J13" s="449" t="s">
        <v>670</v>
      </c>
      <c r="K13" s="448" t="s">
        <v>671</v>
      </c>
      <c r="L13" s="450" t="s">
        <v>672</v>
      </c>
      <c r="M13" s="438"/>
    </row>
    <row r="14" spans="1:13" hidden="1" outlineLevel="1">
      <c r="A14" s="451"/>
      <c r="B14" s="452"/>
      <c r="C14" s="453"/>
      <c r="D14" s="454"/>
      <c r="E14" s="454"/>
      <c r="F14" s="460"/>
      <c r="G14" s="461"/>
      <c r="H14" s="462"/>
      <c r="I14" s="462"/>
      <c r="J14" s="498"/>
      <c r="K14" s="462"/>
      <c r="L14" s="463"/>
      <c r="M14" s="438"/>
    </row>
    <row r="15" spans="1:13" hidden="1" outlineLevel="1">
      <c r="A15" s="451" t="s">
        <v>40</v>
      </c>
      <c r="B15" s="452">
        <v>31</v>
      </c>
      <c r="C15" s="453" t="s">
        <v>673</v>
      </c>
      <c r="D15" s="454">
        <v>39675</v>
      </c>
      <c r="E15" s="454">
        <v>39691</v>
      </c>
      <c r="F15" s="460">
        <v>17</v>
      </c>
      <c r="G15" s="461">
        <v>500000</v>
      </c>
      <c r="H15" s="462"/>
      <c r="I15" s="493">
        <v>5.2999999999999999E-2</v>
      </c>
      <c r="J15" s="498"/>
      <c r="K15" s="462"/>
      <c r="L15" s="463"/>
      <c r="M15" s="438"/>
    </row>
    <row r="16" spans="1:13" hidden="1" outlineLevel="1">
      <c r="A16" s="451" t="s">
        <v>40</v>
      </c>
      <c r="B16" s="452"/>
      <c r="C16" s="459" t="s">
        <v>674</v>
      </c>
      <c r="D16" s="459"/>
      <c r="E16" s="459"/>
      <c r="F16" s="459"/>
      <c r="G16" s="464"/>
      <c r="H16" s="414">
        <v>1234.25</v>
      </c>
      <c r="I16" s="493">
        <v>5.2999999999999999E-2</v>
      </c>
      <c r="J16" s="415">
        <v>1.452054794520548E-4</v>
      </c>
      <c r="K16" s="465">
        <v>0</v>
      </c>
      <c r="L16" s="458">
        <v>500000</v>
      </c>
      <c r="M16" s="476">
        <v>501234.25</v>
      </c>
    </row>
    <row r="17" spans="1:14" hidden="1" outlineLevel="1">
      <c r="A17" s="451" t="s">
        <v>41</v>
      </c>
      <c r="B17" s="452">
        <v>30</v>
      </c>
      <c r="C17" s="459" t="s">
        <v>675</v>
      </c>
      <c r="D17" s="454"/>
      <c r="E17" s="454"/>
      <c r="F17" s="460"/>
      <c r="G17" s="461"/>
      <c r="H17" s="414"/>
      <c r="I17" s="493">
        <v>5.2999999999999999E-2</v>
      </c>
      <c r="J17" s="415">
        <v>1.452054794520548E-4</v>
      </c>
      <c r="K17" s="414"/>
      <c r="L17" s="458"/>
      <c r="M17" s="476"/>
      <c r="N17" s="438"/>
    </row>
    <row r="18" spans="1:14" hidden="1" outlineLevel="1">
      <c r="A18" s="451" t="s">
        <v>41</v>
      </c>
      <c r="B18" s="486"/>
      <c r="C18" s="487" t="s">
        <v>674</v>
      </c>
      <c r="D18" s="459"/>
      <c r="E18" s="459"/>
      <c r="F18" s="459"/>
      <c r="G18" s="466">
        <v>0</v>
      </c>
      <c r="H18" s="414">
        <v>2178.08</v>
      </c>
      <c r="I18" s="494">
        <v>5.2999999999999999E-2</v>
      </c>
      <c r="J18" s="468">
        <v>1.452054794520548E-4</v>
      </c>
      <c r="K18" s="469">
        <v>0</v>
      </c>
      <c r="L18" s="470">
        <v>500000</v>
      </c>
      <c r="M18" s="476">
        <v>503412.33</v>
      </c>
      <c r="N18" s="438"/>
    </row>
    <row r="19" spans="1:14" ht="13.5" hidden="1" outlineLevel="1" thickBot="1">
      <c r="A19" s="471" t="s">
        <v>676</v>
      </c>
      <c r="B19" s="486"/>
      <c r="C19" s="488"/>
      <c r="D19" s="459"/>
      <c r="E19" s="459"/>
      <c r="F19" s="459"/>
      <c r="G19" s="472">
        <v>500000</v>
      </c>
      <c r="H19" s="478">
        <v>3412.33</v>
      </c>
      <c r="I19" s="456"/>
      <c r="J19" s="415"/>
      <c r="K19" s="414"/>
      <c r="L19" s="473">
        <v>503412.33</v>
      </c>
      <c r="M19" s="438"/>
      <c r="N19" s="438"/>
    </row>
    <row r="20" spans="1:14" hidden="1" outlineLevel="1">
      <c r="A20" s="492"/>
      <c r="B20" s="452"/>
      <c r="C20" s="459"/>
      <c r="D20" s="459"/>
      <c r="E20" s="459"/>
      <c r="F20" s="459"/>
      <c r="G20" s="479"/>
      <c r="H20" s="457"/>
      <c r="I20" s="493"/>
      <c r="J20" s="415"/>
      <c r="K20" s="457"/>
      <c r="L20" s="458"/>
      <c r="M20" s="476"/>
      <c r="N20" s="438"/>
    </row>
    <row r="21" spans="1:14" hidden="1" outlineLevel="1">
      <c r="A21" s="451" t="s">
        <v>42</v>
      </c>
      <c r="B21" s="452">
        <v>31</v>
      </c>
      <c r="C21" s="453" t="s">
        <v>675</v>
      </c>
      <c r="D21" s="454"/>
      <c r="E21" s="454"/>
      <c r="F21" s="460"/>
      <c r="G21" s="481">
        <v>0</v>
      </c>
      <c r="H21" s="457"/>
      <c r="I21" s="493">
        <v>0.05</v>
      </c>
      <c r="J21" s="415">
        <v>1.3698630136986303E-4</v>
      </c>
      <c r="K21" s="457"/>
      <c r="L21" s="458"/>
      <c r="M21" s="438"/>
      <c r="N21" s="438"/>
    </row>
    <row r="22" spans="1:14" hidden="1" outlineLevel="1">
      <c r="A22" s="451" t="s">
        <v>42</v>
      </c>
      <c r="B22" s="452"/>
      <c r="C22" s="459" t="s">
        <v>674</v>
      </c>
      <c r="D22" s="459"/>
      <c r="E22" s="459"/>
      <c r="F22" s="459"/>
      <c r="G22" s="479"/>
      <c r="H22" s="457">
        <v>2137.7800000000002</v>
      </c>
      <c r="I22" s="493">
        <v>0.05</v>
      </c>
      <c r="J22" s="415">
        <v>1.3698630136986303E-4</v>
      </c>
      <c r="K22" s="465">
        <v>0</v>
      </c>
      <c r="L22" s="458">
        <v>503412.33</v>
      </c>
      <c r="M22" s="476">
        <v>505550.11000000004</v>
      </c>
      <c r="N22" s="438"/>
    </row>
    <row r="23" spans="1:14" hidden="1" outlineLevel="1">
      <c r="A23" s="451" t="s">
        <v>43</v>
      </c>
      <c r="B23" s="452">
        <v>30</v>
      </c>
      <c r="C23" s="453" t="s">
        <v>675</v>
      </c>
      <c r="D23" s="454"/>
      <c r="E23" s="454"/>
      <c r="F23" s="460"/>
      <c r="G23" s="461">
        <v>0</v>
      </c>
      <c r="H23" s="414"/>
      <c r="I23" s="493">
        <v>0.05</v>
      </c>
      <c r="J23" s="415">
        <v>1.3698630136986303E-4</v>
      </c>
      <c r="K23" s="414"/>
      <c r="L23" s="458"/>
      <c r="M23" s="438"/>
      <c r="N23" s="438"/>
    </row>
    <row r="24" spans="1:14" hidden="1" outlineLevel="1">
      <c r="A24" s="451" t="s">
        <v>43</v>
      </c>
      <c r="B24" s="452"/>
      <c r="C24" s="459" t="s">
        <v>674</v>
      </c>
      <c r="D24" s="459"/>
      <c r="E24" s="459"/>
      <c r="F24" s="459"/>
      <c r="G24" s="464"/>
      <c r="H24" s="414">
        <v>2068.8200000000002</v>
      </c>
      <c r="I24" s="493">
        <v>0.05</v>
      </c>
      <c r="J24" s="415">
        <v>1.3698630136986303E-4</v>
      </c>
      <c r="K24" s="465">
        <v>0</v>
      </c>
      <c r="L24" s="458">
        <v>503412.33</v>
      </c>
      <c r="M24" s="476">
        <v>507618.93000000005</v>
      </c>
      <c r="N24" s="438"/>
    </row>
    <row r="25" spans="1:14" hidden="1" outlineLevel="1">
      <c r="A25" s="451" t="s">
        <v>44</v>
      </c>
      <c r="B25" s="452">
        <v>31</v>
      </c>
      <c r="C25" s="453" t="s">
        <v>675</v>
      </c>
      <c r="D25" s="454"/>
      <c r="E25" s="454"/>
      <c r="F25" s="460"/>
      <c r="G25" s="461"/>
      <c r="H25" s="414"/>
      <c r="I25" s="493">
        <v>0.05</v>
      </c>
      <c r="J25" s="415">
        <v>1.3698630136986303E-4</v>
      </c>
      <c r="K25" s="414"/>
      <c r="L25" s="458"/>
      <c r="M25" s="476"/>
      <c r="N25" s="438"/>
    </row>
    <row r="26" spans="1:14" hidden="1" outlineLevel="1">
      <c r="A26" s="451" t="s">
        <v>44</v>
      </c>
      <c r="B26" s="486"/>
      <c r="C26" s="487" t="s">
        <v>674</v>
      </c>
      <c r="D26" s="459"/>
      <c r="E26" s="459"/>
      <c r="F26" s="459"/>
      <c r="G26" s="466">
        <v>0</v>
      </c>
      <c r="H26" s="414">
        <v>2137.7800000000002</v>
      </c>
      <c r="I26" s="494">
        <v>0.05</v>
      </c>
      <c r="J26" s="468">
        <v>1.3698630136986303E-4</v>
      </c>
      <c r="K26" s="469">
        <v>0</v>
      </c>
      <c r="L26" s="470">
        <v>503412.33</v>
      </c>
      <c r="M26" s="476">
        <v>509756.71000000008</v>
      </c>
      <c r="N26" s="438"/>
    </row>
    <row r="27" spans="1:14" ht="13.5" hidden="1" outlineLevel="1" thickBot="1">
      <c r="A27" s="471" t="s">
        <v>677</v>
      </c>
      <c r="B27" s="486"/>
      <c r="C27" s="488"/>
      <c r="D27" s="459"/>
      <c r="E27" s="459"/>
      <c r="F27" s="459"/>
      <c r="G27" s="472">
        <v>0</v>
      </c>
      <c r="H27" s="478">
        <v>6344.380000000001</v>
      </c>
      <c r="I27" s="456"/>
      <c r="J27" s="415"/>
      <c r="K27" s="414"/>
      <c r="L27" s="473">
        <v>509756.71000000008</v>
      </c>
      <c r="M27" s="438"/>
      <c r="N27" s="438"/>
    </row>
    <row r="28" spans="1:14" hidden="1" outlineLevel="1">
      <c r="A28" s="492"/>
      <c r="B28" s="452"/>
      <c r="C28" s="459"/>
      <c r="D28" s="459"/>
      <c r="E28" s="459"/>
      <c r="F28" s="459"/>
      <c r="G28" s="479"/>
      <c r="H28" s="457"/>
      <c r="I28" s="493"/>
      <c r="J28" s="415"/>
      <c r="K28" s="457"/>
      <c r="L28" s="458"/>
      <c r="M28" s="476"/>
      <c r="N28" s="438"/>
    </row>
    <row r="29" spans="1:14" hidden="1" outlineLevel="1">
      <c r="A29" s="451" t="s">
        <v>45</v>
      </c>
      <c r="B29" s="452">
        <v>31</v>
      </c>
      <c r="C29" s="453" t="s">
        <v>675</v>
      </c>
      <c r="D29" s="454"/>
      <c r="E29" s="454"/>
      <c r="F29" s="460"/>
      <c r="G29" s="481">
        <v>0</v>
      </c>
      <c r="H29" s="457"/>
      <c r="I29" s="493">
        <v>4.5199999999999997E-2</v>
      </c>
      <c r="J29" s="415">
        <v>1.2383561643835615E-4</v>
      </c>
      <c r="K29" s="457"/>
      <c r="L29" s="458"/>
      <c r="M29" s="438"/>
      <c r="N29" s="438"/>
    </row>
    <row r="30" spans="1:14" hidden="1" outlineLevel="1">
      <c r="A30" s="451" t="s">
        <v>45</v>
      </c>
      <c r="B30" s="452"/>
      <c r="C30" s="459" t="s">
        <v>674</v>
      </c>
      <c r="D30" s="459"/>
      <c r="E30" s="459"/>
      <c r="F30" s="459"/>
      <c r="G30" s="479"/>
      <c r="H30" s="457">
        <v>1956.91</v>
      </c>
      <c r="I30" s="493">
        <v>4.5199999999999997E-2</v>
      </c>
      <c r="J30" s="415">
        <v>1.2383561643835615E-4</v>
      </c>
      <c r="K30" s="465">
        <v>0</v>
      </c>
      <c r="L30" s="458">
        <v>509756.71000000008</v>
      </c>
      <c r="M30" s="476">
        <v>511713.62000000005</v>
      </c>
      <c r="N30" s="476"/>
    </row>
    <row r="31" spans="1:14" hidden="1" outlineLevel="1">
      <c r="A31" s="451" t="s">
        <v>46</v>
      </c>
      <c r="B31" s="452">
        <v>28</v>
      </c>
      <c r="C31" s="453" t="s">
        <v>678</v>
      </c>
      <c r="D31" s="454">
        <v>39867</v>
      </c>
      <c r="E31" s="454">
        <v>39872</v>
      </c>
      <c r="F31" s="460">
        <v>6</v>
      </c>
      <c r="G31" s="461">
        <v>6600000</v>
      </c>
      <c r="H31" s="414"/>
      <c r="I31" s="493">
        <v>4.5199999999999997E-2</v>
      </c>
      <c r="J31" s="415">
        <v>1.2383561643835615E-4</v>
      </c>
      <c r="K31" s="414"/>
      <c r="L31" s="458"/>
      <c r="M31" s="438"/>
      <c r="N31" s="438"/>
    </row>
    <row r="32" spans="1:14" hidden="1" outlineLevel="1">
      <c r="A32" s="451" t="s">
        <v>46</v>
      </c>
      <c r="B32" s="452"/>
      <c r="C32" s="459" t="s">
        <v>674</v>
      </c>
      <c r="D32" s="459"/>
      <c r="E32" s="459"/>
      <c r="F32" s="459"/>
      <c r="G32" s="464"/>
      <c r="H32" s="414">
        <v>6671.42</v>
      </c>
      <c r="I32" s="493">
        <v>4.5199999999999997E-2</v>
      </c>
      <c r="J32" s="415">
        <v>1.2383561643835615E-4</v>
      </c>
      <c r="K32" s="465">
        <v>0</v>
      </c>
      <c r="L32" s="458">
        <v>7109756.71</v>
      </c>
      <c r="M32" s="476">
        <v>7118385.04</v>
      </c>
      <c r="N32" s="438"/>
    </row>
    <row r="33" spans="1:13" hidden="1" outlineLevel="1">
      <c r="A33" s="451" t="s">
        <v>46</v>
      </c>
      <c r="B33" s="452">
        <v>28</v>
      </c>
      <c r="C33" s="453" t="s">
        <v>679</v>
      </c>
      <c r="D33" s="454">
        <v>39868</v>
      </c>
      <c r="E33" s="454">
        <v>39872</v>
      </c>
      <c r="F33" s="460">
        <v>5</v>
      </c>
      <c r="G33" s="461">
        <v>6600000</v>
      </c>
      <c r="H33" s="414"/>
      <c r="I33" s="493">
        <v>4.5199999999999997E-2</v>
      </c>
      <c r="J33" s="415">
        <v>1.2383561643835615E-4</v>
      </c>
      <c r="K33" s="414"/>
      <c r="L33" s="458"/>
      <c r="M33" s="476"/>
    </row>
    <row r="34" spans="1:13" hidden="1" outlineLevel="1">
      <c r="A34" s="451" t="s">
        <v>46</v>
      </c>
      <c r="B34" s="452"/>
      <c r="C34" s="459" t="s">
        <v>674</v>
      </c>
      <c r="D34" s="459"/>
      <c r="E34" s="459"/>
      <c r="F34" s="459"/>
      <c r="G34" s="464"/>
      <c r="H34" s="414">
        <v>4086.58</v>
      </c>
      <c r="I34" s="493">
        <v>4.5199999999999997E-2</v>
      </c>
      <c r="J34" s="415">
        <v>1.2383561643835615E-4</v>
      </c>
      <c r="K34" s="465">
        <v>0</v>
      </c>
      <c r="L34" s="458">
        <v>13709756.710000001</v>
      </c>
      <c r="M34" s="476">
        <v>13722471.620000001</v>
      </c>
    </row>
    <row r="35" spans="1:13" hidden="1" outlineLevel="1">
      <c r="A35" s="451" t="s">
        <v>47</v>
      </c>
      <c r="B35" s="452">
        <v>31</v>
      </c>
      <c r="C35" s="459" t="s">
        <v>675</v>
      </c>
      <c r="D35" s="454"/>
      <c r="E35" s="454"/>
      <c r="F35" s="460"/>
      <c r="G35" s="461"/>
      <c r="H35" s="414"/>
      <c r="I35" s="493">
        <v>4.5199999999999997E-2</v>
      </c>
      <c r="J35" s="415">
        <v>1.2383561643835615E-4</v>
      </c>
      <c r="K35" s="414"/>
      <c r="L35" s="458"/>
      <c r="M35" s="476"/>
    </row>
    <row r="36" spans="1:13" hidden="1" outlineLevel="1">
      <c r="A36" s="451" t="s">
        <v>47</v>
      </c>
      <c r="B36" s="486"/>
      <c r="C36" s="487" t="s">
        <v>674</v>
      </c>
      <c r="D36" s="488"/>
      <c r="E36" s="488"/>
      <c r="F36" s="488"/>
      <c r="G36" s="466">
        <v>0</v>
      </c>
      <c r="H36" s="414">
        <v>52630.44</v>
      </c>
      <c r="I36" s="494">
        <v>4.5199999999999997E-2</v>
      </c>
      <c r="J36" s="468">
        <v>1.2383561643835615E-4</v>
      </c>
      <c r="K36" s="469">
        <v>0</v>
      </c>
      <c r="L36" s="470">
        <v>13709756.710000001</v>
      </c>
      <c r="M36" s="476">
        <v>13775102.060000001</v>
      </c>
    </row>
    <row r="37" spans="1:13" ht="13.5" hidden="1" outlineLevel="1" thickBot="1">
      <c r="A37" s="471" t="s">
        <v>680</v>
      </c>
      <c r="B37" s="486"/>
      <c r="C37" s="488"/>
      <c r="D37" s="488"/>
      <c r="E37" s="488"/>
      <c r="F37" s="488"/>
      <c r="G37" s="472">
        <v>13200000</v>
      </c>
      <c r="H37" s="478">
        <v>65345.350000000006</v>
      </c>
      <c r="I37" s="456"/>
      <c r="J37" s="415"/>
      <c r="K37" s="414"/>
      <c r="L37" s="473">
        <v>13775102.060000001</v>
      </c>
      <c r="M37" s="438"/>
    </row>
    <row r="38" spans="1:13" hidden="1" outlineLevel="1">
      <c r="A38" s="492"/>
      <c r="B38" s="452"/>
      <c r="C38" s="459"/>
      <c r="D38" s="459"/>
      <c r="E38" s="459"/>
      <c r="F38" s="459"/>
      <c r="G38" s="479"/>
      <c r="H38" s="457"/>
      <c r="I38" s="493"/>
      <c r="J38" s="415"/>
      <c r="K38" s="457"/>
      <c r="L38" s="458"/>
      <c r="M38" s="476"/>
    </row>
    <row r="39" spans="1:13" hidden="1" outlineLevel="1">
      <c r="A39" s="451" t="s">
        <v>48</v>
      </c>
      <c r="B39" s="452">
        <v>30</v>
      </c>
      <c r="C39" s="453" t="s">
        <v>675</v>
      </c>
      <c r="D39" s="454"/>
      <c r="E39" s="454"/>
      <c r="F39" s="460"/>
      <c r="G39" s="481"/>
      <c r="H39" s="457"/>
      <c r="I39" s="493">
        <v>3.3700000000000001E-2</v>
      </c>
      <c r="J39" s="415">
        <v>9.2328767123287677E-5</v>
      </c>
      <c r="K39" s="457"/>
      <c r="L39" s="458"/>
      <c r="M39" s="438"/>
    </row>
    <row r="40" spans="1:13" hidden="1" outlineLevel="1">
      <c r="A40" s="451" t="s">
        <v>48</v>
      </c>
      <c r="B40" s="452"/>
      <c r="C40" s="459" t="s">
        <v>674</v>
      </c>
      <c r="D40" s="459"/>
      <c r="E40" s="459"/>
      <c r="F40" s="459"/>
      <c r="G40" s="479"/>
      <c r="H40" s="457">
        <v>38155.15</v>
      </c>
      <c r="I40" s="493">
        <v>3.3700000000000001E-2</v>
      </c>
      <c r="J40" s="415">
        <v>9.2328767123287677E-5</v>
      </c>
      <c r="K40" s="465">
        <v>0</v>
      </c>
      <c r="L40" s="458">
        <v>13775102.060000001</v>
      </c>
      <c r="M40" s="476">
        <v>13813257.210000001</v>
      </c>
    </row>
    <row r="41" spans="1:13" hidden="1" outlineLevel="1">
      <c r="A41" s="451" t="s">
        <v>49</v>
      </c>
      <c r="B41" s="452">
        <v>31</v>
      </c>
      <c r="C41" s="453" t="s">
        <v>675</v>
      </c>
      <c r="D41" s="454"/>
      <c r="E41" s="454"/>
      <c r="F41" s="460"/>
      <c r="G41" s="461"/>
      <c r="H41" s="414"/>
      <c r="I41" s="493">
        <v>3.3700000000000001E-2</v>
      </c>
      <c r="J41" s="415">
        <v>9.2328767123287677E-5</v>
      </c>
      <c r="K41" s="414"/>
      <c r="L41" s="458"/>
      <c r="M41" s="438"/>
    </row>
    <row r="42" spans="1:13" hidden="1" outlineLevel="1">
      <c r="A42" s="451" t="s">
        <v>49</v>
      </c>
      <c r="B42" s="452"/>
      <c r="C42" s="459" t="s">
        <v>674</v>
      </c>
      <c r="D42" s="459"/>
      <c r="E42" s="459"/>
      <c r="F42" s="459"/>
      <c r="G42" s="464"/>
      <c r="H42" s="414">
        <v>39426.980000000003</v>
      </c>
      <c r="I42" s="493">
        <v>3.3700000000000001E-2</v>
      </c>
      <c r="J42" s="415">
        <v>9.2328767123287677E-5</v>
      </c>
      <c r="K42" s="465">
        <v>0</v>
      </c>
      <c r="L42" s="458">
        <v>13775102.060000001</v>
      </c>
      <c r="M42" s="476">
        <v>13852684.190000001</v>
      </c>
    </row>
    <row r="43" spans="1:13" hidden="1" outlineLevel="1">
      <c r="A43" s="451" t="s">
        <v>50</v>
      </c>
      <c r="B43" s="452">
        <v>30</v>
      </c>
      <c r="C43" s="453" t="s">
        <v>681</v>
      </c>
      <c r="D43" s="454">
        <v>39966</v>
      </c>
      <c r="E43" s="454">
        <v>39994</v>
      </c>
      <c r="F43" s="460">
        <v>29</v>
      </c>
      <c r="G43" s="461">
        <v>3500000</v>
      </c>
      <c r="H43" s="414"/>
      <c r="I43" s="493">
        <v>3.3700000000000001E-2</v>
      </c>
      <c r="J43" s="415">
        <v>9.2328767123287677E-5</v>
      </c>
      <c r="K43" s="414"/>
      <c r="L43" s="458"/>
      <c r="M43" s="476"/>
    </row>
    <row r="44" spans="1:13" hidden="1" outlineLevel="1">
      <c r="A44" s="451" t="s">
        <v>50</v>
      </c>
      <c r="B44" s="486"/>
      <c r="C44" s="487" t="s">
        <v>674</v>
      </c>
      <c r="D44" s="488"/>
      <c r="E44" s="488"/>
      <c r="F44" s="488"/>
      <c r="G44" s="466">
        <v>0</v>
      </c>
      <c r="H44" s="414">
        <v>47526.52</v>
      </c>
      <c r="I44" s="494">
        <v>3.3700000000000001E-2</v>
      </c>
      <c r="J44" s="468">
        <v>9.2328767123287677E-5</v>
      </c>
      <c r="K44" s="469">
        <v>0</v>
      </c>
      <c r="L44" s="470">
        <v>17275102.060000002</v>
      </c>
      <c r="M44" s="476">
        <v>17400210.710000001</v>
      </c>
    </row>
    <row r="45" spans="1:13" ht="13.5" hidden="1" outlineLevel="1" thickBot="1">
      <c r="A45" s="471" t="s">
        <v>682</v>
      </c>
      <c r="B45" s="486"/>
      <c r="C45" s="488"/>
      <c r="D45" s="488"/>
      <c r="E45" s="488"/>
      <c r="F45" s="488"/>
      <c r="G45" s="472">
        <v>3500000</v>
      </c>
      <c r="H45" s="478">
        <v>125108.65</v>
      </c>
      <c r="I45" s="456"/>
      <c r="J45" s="415"/>
      <c r="K45" s="414"/>
      <c r="L45" s="473">
        <v>17400210.710000001</v>
      </c>
      <c r="M45" s="438"/>
    </row>
    <row r="46" spans="1:13" hidden="1" outlineLevel="1">
      <c r="A46" s="474"/>
      <c r="B46" s="486"/>
      <c r="C46" s="488"/>
      <c r="D46" s="488"/>
      <c r="E46" s="488"/>
      <c r="F46" s="488"/>
      <c r="G46" s="484"/>
      <c r="H46" s="414"/>
      <c r="I46" s="457"/>
      <c r="J46" s="490"/>
      <c r="K46" s="457"/>
      <c r="L46" s="491"/>
      <c r="M46" s="438"/>
    </row>
    <row r="47" spans="1:13" hidden="1" outlineLevel="1">
      <c r="A47" s="451" t="s">
        <v>51</v>
      </c>
      <c r="B47" s="452">
        <v>31</v>
      </c>
      <c r="C47" s="453" t="s">
        <v>675</v>
      </c>
      <c r="D47" s="454"/>
      <c r="E47" s="454"/>
      <c r="F47" s="460"/>
      <c r="G47" s="481">
        <v>0</v>
      </c>
      <c r="H47" s="457"/>
      <c r="I47" s="493">
        <v>3.2500000000000001E-2</v>
      </c>
      <c r="J47" s="415">
        <v>8.9041095890410958E-5</v>
      </c>
      <c r="K47" s="457"/>
      <c r="L47" s="458"/>
      <c r="M47" s="438"/>
    </row>
    <row r="48" spans="1:13" hidden="1" outlineLevel="1">
      <c r="A48" s="451" t="s">
        <v>51</v>
      </c>
      <c r="B48" s="452"/>
      <c r="C48" s="459" t="s">
        <v>674</v>
      </c>
      <c r="D48" s="459"/>
      <c r="E48" s="459"/>
      <c r="F48" s="459"/>
      <c r="G48" s="479"/>
      <c r="H48" s="457">
        <v>48029.35</v>
      </c>
      <c r="I48" s="493">
        <v>3.2500000000000001E-2</v>
      </c>
      <c r="J48" s="415">
        <v>8.9041095890410958E-5</v>
      </c>
      <c r="K48" s="465">
        <v>0</v>
      </c>
      <c r="L48" s="458">
        <v>17400210.710000001</v>
      </c>
      <c r="M48" s="476">
        <v>17448240.060000002</v>
      </c>
    </row>
    <row r="49" spans="1:13" hidden="1" outlineLevel="1">
      <c r="A49" s="451" t="s">
        <v>52</v>
      </c>
      <c r="B49" s="452">
        <v>31</v>
      </c>
      <c r="C49" s="453" t="s">
        <v>683</v>
      </c>
      <c r="D49" s="454">
        <v>40056</v>
      </c>
      <c r="E49" s="454">
        <v>40056</v>
      </c>
      <c r="F49" s="460">
        <v>1</v>
      </c>
      <c r="G49" s="461">
        <v>10500000</v>
      </c>
      <c r="H49" s="414"/>
      <c r="I49" s="493">
        <v>3.2500000000000001E-2</v>
      </c>
      <c r="J49" s="415">
        <v>8.9041095890410958E-5</v>
      </c>
      <c r="K49" s="414"/>
      <c r="L49" s="458"/>
      <c r="M49" s="438"/>
    </row>
    <row r="50" spans="1:13" hidden="1" outlineLevel="1">
      <c r="A50" s="451" t="s">
        <v>52</v>
      </c>
      <c r="B50" s="452"/>
      <c r="C50" s="459" t="s">
        <v>674</v>
      </c>
      <c r="D50" s="459"/>
      <c r="E50" s="459"/>
      <c r="F50" s="459"/>
      <c r="G50" s="464"/>
      <c r="H50" s="414">
        <v>48964.28</v>
      </c>
      <c r="I50" s="493">
        <v>3.2500000000000001E-2</v>
      </c>
      <c r="J50" s="415">
        <v>8.9041095890410958E-5</v>
      </c>
      <c r="K50" s="465">
        <v>0</v>
      </c>
      <c r="L50" s="458">
        <v>27900210.710000001</v>
      </c>
      <c r="M50" s="476">
        <v>27997204.340000004</v>
      </c>
    </row>
    <row r="51" spans="1:13" hidden="1" outlineLevel="1">
      <c r="A51" s="451" t="s">
        <v>53</v>
      </c>
      <c r="B51" s="452">
        <v>30</v>
      </c>
      <c r="C51" s="453" t="s">
        <v>684</v>
      </c>
      <c r="D51" s="454">
        <v>40086</v>
      </c>
      <c r="E51" s="454">
        <v>40086</v>
      </c>
      <c r="F51" s="460">
        <v>1</v>
      </c>
      <c r="G51" s="461">
        <v>10500000</v>
      </c>
      <c r="H51" s="414"/>
      <c r="I51" s="493">
        <v>3.2500000000000001E-2</v>
      </c>
      <c r="J51" s="415">
        <v>8.9041095890410958E-5</v>
      </c>
      <c r="K51" s="414"/>
      <c r="L51" s="458"/>
      <c r="M51" s="476"/>
    </row>
    <row r="52" spans="1:13" hidden="1" outlineLevel="1">
      <c r="A52" s="451" t="s">
        <v>53</v>
      </c>
      <c r="B52" s="486"/>
      <c r="C52" s="487" t="s">
        <v>674</v>
      </c>
      <c r="D52" s="488"/>
      <c r="E52" s="488"/>
      <c r="F52" s="488"/>
      <c r="G52" s="466">
        <v>0</v>
      </c>
      <c r="H52" s="414">
        <v>75462.89</v>
      </c>
      <c r="I52" s="494">
        <v>3.2500000000000001E-2</v>
      </c>
      <c r="J52" s="468">
        <v>8.9041095890410958E-5</v>
      </c>
      <c r="K52" s="469">
        <v>0</v>
      </c>
      <c r="L52" s="470">
        <v>38400210.710000001</v>
      </c>
      <c r="M52" s="476">
        <v>38572667.230000004</v>
      </c>
    </row>
    <row r="53" spans="1:13" ht="13.5" hidden="1" outlineLevel="1" thickBot="1">
      <c r="A53" s="471" t="s">
        <v>685</v>
      </c>
      <c r="B53" s="486"/>
      <c r="C53" s="488"/>
      <c r="D53" s="488"/>
      <c r="E53" s="488"/>
      <c r="F53" s="488"/>
      <c r="G53" s="472">
        <v>21000000</v>
      </c>
      <c r="H53" s="478">
        <v>172456.52000000002</v>
      </c>
      <c r="I53" s="456"/>
      <c r="J53" s="415"/>
      <c r="K53" s="414"/>
      <c r="L53" s="473">
        <v>38572667.230000004</v>
      </c>
      <c r="M53" s="438"/>
    </row>
    <row r="54" spans="1:13" hidden="1" outlineLevel="1">
      <c r="A54" s="474"/>
      <c r="B54" s="486"/>
      <c r="C54" s="488"/>
      <c r="D54" s="488"/>
      <c r="E54" s="488"/>
      <c r="F54" s="488"/>
      <c r="G54" s="472"/>
      <c r="H54" s="456"/>
      <c r="I54" s="456"/>
      <c r="J54" s="415"/>
      <c r="K54" s="414"/>
      <c r="L54" s="475"/>
      <c r="M54" s="438"/>
    </row>
    <row r="55" spans="1:13" hidden="1" outlineLevel="1">
      <c r="A55" s="451" t="s">
        <v>54</v>
      </c>
      <c r="B55" s="452">
        <v>31</v>
      </c>
      <c r="C55" s="453" t="s">
        <v>675</v>
      </c>
      <c r="D55" s="454"/>
      <c r="E55" s="454"/>
      <c r="F55" s="460"/>
      <c r="G55" s="481">
        <v>0</v>
      </c>
      <c r="H55" s="457"/>
      <c r="I55" s="493">
        <v>3.2500000000000001E-2</v>
      </c>
      <c r="J55" s="415">
        <v>8.9041095890410958E-5</v>
      </c>
      <c r="K55" s="457"/>
      <c r="L55" s="458"/>
      <c r="M55" s="438"/>
    </row>
    <row r="56" spans="1:13" hidden="1" outlineLevel="1">
      <c r="A56" s="451" t="s">
        <v>54</v>
      </c>
      <c r="B56" s="452"/>
      <c r="C56" s="459" t="s">
        <v>674</v>
      </c>
      <c r="D56" s="459"/>
      <c r="E56" s="459"/>
      <c r="F56" s="459"/>
      <c r="G56" s="479"/>
      <c r="H56" s="457">
        <v>106471.13</v>
      </c>
      <c r="I56" s="493">
        <v>3.2500000000000001E-2</v>
      </c>
      <c r="J56" s="415">
        <v>8.9041095890410958E-5</v>
      </c>
      <c r="K56" s="465">
        <v>0</v>
      </c>
      <c r="L56" s="458">
        <v>38572667.230000004</v>
      </c>
      <c r="M56" s="476">
        <v>38679138.360000007</v>
      </c>
    </row>
    <row r="57" spans="1:13" hidden="1" outlineLevel="1">
      <c r="A57" s="451" t="s">
        <v>55</v>
      </c>
      <c r="B57" s="452">
        <v>30</v>
      </c>
      <c r="C57" s="453" t="s">
        <v>675</v>
      </c>
      <c r="D57" s="459"/>
      <c r="E57" s="459"/>
      <c r="F57" s="459"/>
      <c r="G57" s="461"/>
      <c r="H57" s="414"/>
      <c r="I57" s="493">
        <v>3.2500000000000001E-2</v>
      </c>
      <c r="J57" s="415">
        <v>8.9041095890410958E-5</v>
      </c>
      <c r="K57" s="414"/>
      <c r="L57" s="458"/>
      <c r="M57" s="438"/>
    </row>
    <row r="58" spans="1:13" hidden="1" outlineLevel="1">
      <c r="A58" s="451" t="s">
        <v>55</v>
      </c>
      <c r="B58" s="452"/>
      <c r="C58" s="459" t="s">
        <v>674</v>
      </c>
      <c r="D58" s="459"/>
      <c r="E58" s="459"/>
      <c r="F58" s="459"/>
      <c r="G58" s="464"/>
      <c r="H58" s="414">
        <v>103036.58</v>
      </c>
      <c r="I58" s="493">
        <v>3.2500000000000001E-2</v>
      </c>
      <c r="J58" s="415">
        <v>8.9041095890410958E-5</v>
      </c>
      <c r="K58" s="465">
        <v>0</v>
      </c>
      <c r="L58" s="458">
        <v>38572667.230000004</v>
      </c>
      <c r="M58" s="476">
        <v>38782174.940000005</v>
      </c>
    </row>
    <row r="59" spans="1:13" hidden="1" outlineLevel="1">
      <c r="A59" s="451" t="s">
        <v>56</v>
      </c>
      <c r="B59" s="452">
        <v>31</v>
      </c>
      <c r="C59" s="459" t="s">
        <v>675</v>
      </c>
      <c r="D59" s="454"/>
      <c r="E59" s="454"/>
      <c r="F59" s="460"/>
      <c r="G59" s="461"/>
      <c r="H59" s="414"/>
      <c r="I59" s="493">
        <v>3.2500000000000001E-2</v>
      </c>
      <c r="J59" s="415">
        <v>8.9041095890410958E-5</v>
      </c>
      <c r="K59" s="414"/>
      <c r="L59" s="458"/>
      <c r="M59" s="476"/>
    </row>
    <row r="60" spans="1:13" hidden="1" outlineLevel="1">
      <c r="A60" s="451" t="s">
        <v>56</v>
      </c>
      <c r="B60" s="486"/>
      <c r="C60" s="487" t="s">
        <v>674</v>
      </c>
      <c r="D60" s="488"/>
      <c r="E60" s="488"/>
      <c r="F60" s="488"/>
      <c r="G60" s="466">
        <v>0</v>
      </c>
      <c r="H60" s="414">
        <v>106471.13</v>
      </c>
      <c r="I60" s="494">
        <v>3.2500000000000001E-2</v>
      </c>
      <c r="J60" s="468">
        <v>8.9041095890410958E-5</v>
      </c>
      <c r="K60" s="469">
        <v>0</v>
      </c>
      <c r="L60" s="470">
        <v>38572667.230000004</v>
      </c>
      <c r="M60" s="476">
        <v>38888646.070000008</v>
      </c>
    </row>
    <row r="61" spans="1:13" ht="13.5" hidden="1" outlineLevel="1" thickBot="1">
      <c r="A61" s="471" t="s">
        <v>686</v>
      </c>
      <c r="B61" s="486"/>
      <c r="C61" s="488"/>
      <c r="D61" s="488"/>
      <c r="E61" s="488"/>
      <c r="F61" s="488"/>
      <c r="G61" s="472">
        <v>0</v>
      </c>
      <c r="H61" s="478">
        <v>315978.84000000003</v>
      </c>
      <c r="I61" s="456"/>
      <c r="J61" s="415"/>
      <c r="K61" s="414"/>
      <c r="L61" s="473">
        <v>38888646.070000008</v>
      </c>
      <c r="M61" s="438"/>
    </row>
    <row r="62" spans="1:13" hidden="1" outlineLevel="1">
      <c r="A62" s="474"/>
      <c r="B62" s="486"/>
      <c r="C62" s="488"/>
      <c r="D62" s="488"/>
      <c r="E62" s="488"/>
      <c r="F62" s="488"/>
      <c r="G62" s="472"/>
      <c r="H62" s="456"/>
      <c r="I62" s="456"/>
      <c r="J62" s="415"/>
      <c r="K62" s="414"/>
      <c r="L62" s="475"/>
      <c r="M62" s="438"/>
    </row>
    <row r="63" spans="1:13" hidden="1" outlineLevel="1">
      <c r="A63" s="451" t="s">
        <v>57</v>
      </c>
      <c r="B63" s="452">
        <v>31</v>
      </c>
      <c r="C63" s="453" t="s">
        <v>675</v>
      </c>
      <c r="D63" s="454"/>
      <c r="E63" s="454"/>
      <c r="F63" s="460"/>
      <c r="G63" s="481">
        <v>0</v>
      </c>
      <c r="H63" s="457"/>
      <c r="I63" s="493">
        <v>3.2500000000000001E-2</v>
      </c>
      <c r="J63" s="415">
        <v>8.9041095890410958E-5</v>
      </c>
      <c r="K63" s="457"/>
      <c r="L63" s="458"/>
      <c r="M63" s="438"/>
    </row>
    <row r="64" spans="1:13" hidden="1" outlineLevel="1">
      <c r="A64" s="451" t="s">
        <v>57</v>
      </c>
      <c r="B64" s="452"/>
      <c r="C64" s="459" t="s">
        <v>674</v>
      </c>
      <c r="D64" s="459"/>
      <c r="E64" s="459"/>
      <c r="F64" s="459"/>
      <c r="G64" s="479"/>
      <c r="H64" s="457">
        <v>107343.32</v>
      </c>
      <c r="I64" s="493">
        <v>3.2500000000000001E-2</v>
      </c>
      <c r="J64" s="415">
        <v>8.9041095890410958E-5</v>
      </c>
      <c r="K64" s="465">
        <v>0</v>
      </c>
      <c r="L64" s="458">
        <v>38888646.070000008</v>
      </c>
      <c r="M64" s="476">
        <v>38995989.390000008</v>
      </c>
    </row>
    <row r="65" spans="1:13" hidden="1" outlineLevel="1">
      <c r="A65" s="451" t="s">
        <v>58</v>
      </c>
      <c r="B65" s="452">
        <v>28</v>
      </c>
      <c r="C65" s="453" t="s">
        <v>675</v>
      </c>
      <c r="D65" s="459"/>
      <c r="E65" s="459"/>
      <c r="F65" s="459"/>
      <c r="G65" s="461"/>
      <c r="H65" s="414"/>
      <c r="I65" s="493">
        <v>3.2500000000000001E-2</v>
      </c>
      <c r="J65" s="415">
        <v>8.9041095890410958E-5</v>
      </c>
      <c r="K65" s="414"/>
      <c r="L65" s="458"/>
      <c r="M65" s="438"/>
    </row>
    <row r="66" spans="1:13" hidden="1" outlineLevel="1">
      <c r="A66" s="451" t="s">
        <v>58</v>
      </c>
      <c r="B66" s="452"/>
      <c r="C66" s="459" t="s">
        <v>674</v>
      </c>
      <c r="D66" s="459"/>
      <c r="E66" s="459"/>
      <c r="F66" s="459"/>
      <c r="G66" s="464"/>
      <c r="H66" s="414">
        <v>96955.25</v>
      </c>
      <c r="I66" s="493">
        <v>3.2500000000000001E-2</v>
      </c>
      <c r="J66" s="415">
        <v>8.9041095890410958E-5</v>
      </c>
      <c r="K66" s="465">
        <v>0</v>
      </c>
      <c r="L66" s="458">
        <v>38888646.070000008</v>
      </c>
      <c r="M66" s="476">
        <v>39092944.640000008</v>
      </c>
    </row>
    <row r="67" spans="1:13" hidden="1" outlineLevel="1">
      <c r="A67" s="451" t="s">
        <v>59</v>
      </c>
      <c r="B67" s="452">
        <v>31</v>
      </c>
      <c r="C67" s="459" t="s">
        <v>675</v>
      </c>
      <c r="D67" s="454"/>
      <c r="E67" s="454"/>
      <c r="F67" s="460"/>
      <c r="G67" s="485">
        <v>0</v>
      </c>
      <c r="H67" s="414"/>
      <c r="I67" s="493">
        <v>3.2500000000000001E-2</v>
      </c>
      <c r="J67" s="415">
        <v>8.9041095890410958E-5</v>
      </c>
      <c r="K67" s="457"/>
      <c r="L67" s="458"/>
      <c r="M67" s="438"/>
    </row>
    <row r="68" spans="1:13" hidden="1" outlineLevel="1">
      <c r="A68" s="451" t="s">
        <v>59</v>
      </c>
      <c r="B68" s="486"/>
      <c r="C68" s="487" t="s">
        <v>674</v>
      </c>
      <c r="D68" s="488"/>
      <c r="E68" s="488"/>
      <c r="F68" s="488"/>
      <c r="G68" s="482"/>
      <c r="H68" s="467">
        <v>107343.32</v>
      </c>
      <c r="I68" s="494">
        <v>3.2500000000000001E-2</v>
      </c>
      <c r="J68" s="468">
        <v>8.9041095890410958E-5</v>
      </c>
      <c r="K68" s="469">
        <v>0</v>
      </c>
      <c r="L68" s="470">
        <v>38888646.070000008</v>
      </c>
      <c r="M68" s="476">
        <v>39200287.960000008</v>
      </c>
    </row>
    <row r="69" spans="1:13" ht="13.5" hidden="1" outlineLevel="1" thickBot="1">
      <c r="A69" s="471" t="s">
        <v>687</v>
      </c>
      <c r="B69" s="486"/>
      <c r="C69" s="488"/>
      <c r="D69" s="488"/>
      <c r="E69" s="488"/>
      <c r="F69" s="488"/>
      <c r="G69" s="484">
        <v>0</v>
      </c>
      <c r="H69" s="489">
        <v>311641.89</v>
      </c>
      <c r="I69" s="457"/>
      <c r="J69" s="490"/>
      <c r="K69" s="457"/>
      <c r="L69" s="477">
        <v>39200287.960000008</v>
      </c>
      <c r="M69" s="438"/>
    </row>
    <row r="70" spans="1:13" hidden="1" outlineLevel="1">
      <c r="A70" s="474"/>
      <c r="B70" s="486"/>
      <c r="C70" s="488"/>
      <c r="D70" s="488"/>
      <c r="E70" s="488"/>
      <c r="F70" s="488"/>
      <c r="G70" s="484"/>
      <c r="H70" s="414"/>
      <c r="I70" s="457"/>
      <c r="J70" s="490"/>
      <c r="K70" s="457"/>
      <c r="L70" s="475"/>
      <c r="M70" s="438"/>
    </row>
    <row r="71" spans="1:13" hidden="1" outlineLevel="1">
      <c r="A71" s="451" t="s">
        <v>60</v>
      </c>
      <c r="B71" s="452">
        <v>30</v>
      </c>
      <c r="C71" s="453"/>
      <c r="D71" s="454"/>
      <c r="E71" s="454"/>
      <c r="F71" s="460"/>
      <c r="G71" s="481">
        <v>0</v>
      </c>
      <c r="H71" s="457"/>
      <c r="I71" s="493">
        <v>3.2500000000000001E-2</v>
      </c>
      <c r="J71" s="415">
        <v>8.9041095890410958E-5</v>
      </c>
      <c r="K71" s="457"/>
      <c r="L71" s="458"/>
      <c r="M71" s="438"/>
    </row>
    <row r="72" spans="1:13" hidden="1" outlineLevel="1">
      <c r="A72" s="451" t="s">
        <v>60</v>
      </c>
      <c r="B72" s="452"/>
      <c r="C72" s="459" t="s">
        <v>674</v>
      </c>
      <c r="D72" s="459"/>
      <c r="E72" s="459"/>
      <c r="F72" s="459"/>
      <c r="G72" s="479"/>
      <c r="H72" s="457">
        <v>104713.1</v>
      </c>
      <c r="I72" s="493">
        <v>3.2500000000000001E-2</v>
      </c>
      <c r="J72" s="415">
        <v>8.9041095890410958E-5</v>
      </c>
      <c r="K72" s="465">
        <v>0</v>
      </c>
      <c r="L72" s="458">
        <v>39200287.960000008</v>
      </c>
      <c r="M72" s="476">
        <v>39305001.06000001</v>
      </c>
    </row>
    <row r="73" spans="1:13" hidden="1" outlineLevel="1">
      <c r="A73" s="451" t="s">
        <v>688</v>
      </c>
      <c r="B73" s="452">
        <v>31</v>
      </c>
      <c r="C73" s="453" t="s">
        <v>675</v>
      </c>
      <c r="D73" s="459"/>
      <c r="E73" s="459"/>
      <c r="F73" s="459"/>
      <c r="G73" s="461"/>
      <c r="H73" s="414"/>
      <c r="I73" s="493">
        <v>3.2500000000000001E-2</v>
      </c>
      <c r="J73" s="415">
        <v>8.9041095890410958E-5</v>
      </c>
      <c r="K73" s="414"/>
      <c r="L73" s="458"/>
      <c r="M73" s="438"/>
    </row>
    <row r="74" spans="1:13" hidden="1" outlineLevel="1">
      <c r="A74" s="451" t="s">
        <v>688</v>
      </c>
      <c r="B74" s="452"/>
      <c r="C74" s="459" t="s">
        <v>674</v>
      </c>
      <c r="D74" s="459"/>
      <c r="E74" s="459"/>
      <c r="F74" s="459"/>
      <c r="G74" s="464"/>
      <c r="H74" s="414">
        <v>108203.53</v>
      </c>
      <c r="I74" s="493">
        <v>3.2500000000000001E-2</v>
      </c>
      <c r="J74" s="415">
        <v>8.9041095890410958E-5</v>
      </c>
      <c r="K74" s="465">
        <v>0</v>
      </c>
      <c r="L74" s="458">
        <v>39200287.960000008</v>
      </c>
      <c r="M74" s="476">
        <v>39413204.590000011</v>
      </c>
    </row>
    <row r="75" spans="1:13" hidden="1" outlineLevel="1">
      <c r="A75" s="451" t="s">
        <v>61</v>
      </c>
      <c r="B75" s="452">
        <v>30</v>
      </c>
      <c r="C75" s="453" t="s">
        <v>689</v>
      </c>
      <c r="D75" s="454">
        <v>40330</v>
      </c>
      <c r="E75" s="454">
        <v>40359</v>
      </c>
      <c r="F75" s="460">
        <v>30</v>
      </c>
      <c r="G75" s="485">
        <v>10000000</v>
      </c>
      <c r="H75" s="414"/>
      <c r="I75" s="493">
        <v>3.5665000000000002E-2</v>
      </c>
      <c r="J75" s="415">
        <v>9.7712328767123296E-5</v>
      </c>
      <c r="K75" s="457"/>
      <c r="L75" s="458"/>
      <c r="M75" s="438"/>
    </row>
    <row r="76" spans="1:13" hidden="1" outlineLevel="1">
      <c r="A76" s="451" t="s">
        <v>61</v>
      </c>
      <c r="B76" s="486"/>
      <c r="C76" s="487" t="s">
        <v>674</v>
      </c>
      <c r="D76" s="488"/>
      <c r="E76" s="488"/>
      <c r="F76" s="488"/>
      <c r="G76" s="482"/>
      <c r="H76" s="467">
        <v>144224.24</v>
      </c>
      <c r="I76" s="494">
        <v>3.5665000000000002E-2</v>
      </c>
      <c r="J76" s="468">
        <v>9.7712328767123296E-5</v>
      </c>
      <c r="K76" s="469">
        <v>0</v>
      </c>
      <c r="L76" s="470">
        <v>49200287.960000008</v>
      </c>
      <c r="M76" s="476">
        <v>49557428.830000013</v>
      </c>
    </row>
    <row r="77" spans="1:13" ht="13.5" hidden="1" outlineLevel="1" thickBot="1">
      <c r="A77" s="471" t="s">
        <v>690</v>
      </c>
      <c r="B77" s="486"/>
      <c r="C77" s="488"/>
      <c r="D77" s="488"/>
      <c r="E77" s="488"/>
      <c r="F77" s="488"/>
      <c r="G77" s="484">
        <v>10000000</v>
      </c>
      <c r="H77" s="489">
        <v>357140.87</v>
      </c>
      <c r="I77" s="457"/>
      <c r="J77" s="490"/>
      <c r="K77" s="457"/>
      <c r="L77" s="477">
        <v>49557428.830000013</v>
      </c>
      <c r="M77" s="438"/>
    </row>
    <row r="78" spans="1:13" hidden="1" outlineLevel="1">
      <c r="A78" s="492"/>
      <c r="B78" s="452"/>
      <c r="C78" s="459"/>
      <c r="D78" s="459"/>
      <c r="E78" s="459"/>
      <c r="F78" s="459"/>
      <c r="G78" s="479"/>
      <c r="H78" s="457"/>
      <c r="I78" s="493"/>
      <c r="J78" s="415"/>
      <c r="K78" s="465"/>
      <c r="L78" s="458"/>
      <c r="M78" s="476"/>
    </row>
    <row r="79" spans="1:13" hidden="1" outlineLevel="1">
      <c r="A79" s="451" t="s">
        <v>62</v>
      </c>
      <c r="B79" s="452">
        <v>31</v>
      </c>
      <c r="C79" s="453" t="s">
        <v>691</v>
      </c>
      <c r="D79" s="454">
        <v>40388</v>
      </c>
      <c r="E79" s="454">
        <v>40390</v>
      </c>
      <c r="F79" s="460">
        <v>3</v>
      </c>
      <c r="G79" s="481">
        <v>10000000</v>
      </c>
      <c r="H79" s="457"/>
      <c r="I79" s="493">
        <v>3.5665000000000002E-2</v>
      </c>
      <c r="J79" s="415">
        <v>9.7712328767123296E-5</v>
      </c>
      <c r="K79" s="457"/>
      <c r="L79" s="458"/>
      <c r="M79" s="438"/>
    </row>
    <row r="80" spans="1:13" hidden="1" outlineLevel="1">
      <c r="A80" s="451" t="s">
        <v>62</v>
      </c>
      <c r="B80" s="452"/>
      <c r="C80" s="459" t="s">
        <v>674</v>
      </c>
      <c r="D80" s="459"/>
      <c r="E80" s="459"/>
      <c r="F80" s="459"/>
      <c r="G80" s="479"/>
      <c r="H80" s="457">
        <v>153044.9</v>
      </c>
      <c r="I80" s="493">
        <v>3.5665000000000002E-2</v>
      </c>
      <c r="J80" s="415">
        <v>9.7712328767123296E-5</v>
      </c>
      <c r="K80" s="465">
        <v>0</v>
      </c>
      <c r="L80" s="458">
        <v>59557428.830000013</v>
      </c>
      <c r="M80" s="476">
        <v>59710473.730000012</v>
      </c>
    </row>
    <row r="81" spans="1:13" hidden="1" outlineLevel="1">
      <c r="A81" s="451" t="s">
        <v>63</v>
      </c>
      <c r="B81" s="452">
        <v>31</v>
      </c>
      <c r="C81" s="453" t="s">
        <v>675</v>
      </c>
      <c r="D81" s="459"/>
      <c r="E81" s="459"/>
      <c r="F81" s="459"/>
      <c r="G81" s="481">
        <v>0</v>
      </c>
      <c r="H81" s="414"/>
      <c r="I81" s="493">
        <v>3.5665000000000002E-2</v>
      </c>
      <c r="J81" s="415">
        <v>9.7712328767123296E-5</v>
      </c>
      <c r="K81" s="414"/>
      <c r="L81" s="458"/>
      <c r="M81" s="438"/>
    </row>
    <row r="82" spans="1:13" hidden="1" outlineLevel="1">
      <c r="A82" s="451" t="s">
        <v>63</v>
      </c>
      <c r="B82" s="452"/>
      <c r="C82" s="459" t="s">
        <v>674</v>
      </c>
      <c r="D82" s="459"/>
      <c r="E82" s="459"/>
      <c r="F82" s="459"/>
      <c r="G82" s="479"/>
      <c r="H82" s="414">
        <v>180404.35</v>
      </c>
      <c r="I82" s="493">
        <v>3.5665000000000002E-2</v>
      </c>
      <c r="J82" s="415">
        <v>9.7712328767123296E-5</v>
      </c>
      <c r="K82" s="465">
        <v>0</v>
      </c>
      <c r="L82" s="458">
        <v>59557428.830000013</v>
      </c>
      <c r="M82" s="476">
        <v>59890878.080000013</v>
      </c>
    </row>
    <row r="83" spans="1:13" hidden="1" outlineLevel="1">
      <c r="A83" s="451" t="s">
        <v>64</v>
      </c>
      <c r="B83" s="452">
        <v>30</v>
      </c>
      <c r="C83" s="459" t="s">
        <v>675</v>
      </c>
      <c r="D83" s="454"/>
      <c r="E83" s="454"/>
      <c r="F83" s="460"/>
      <c r="G83" s="485"/>
      <c r="H83" s="414"/>
      <c r="I83" s="493">
        <v>3.5665000000000002E-2</v>
      </c>
      <c r="J83" s="415">
        <v>9.7712328767123296E-5</v>
      </c>
      <c r="K83" s="457"/>
      <c r="L83" s="458"/>
      <c r="M83" s="438"/>
    </row>
    <row r="84" spans="1:13" hidden="1" outlineLevel="1">
      <c r="A84" s="451" t="s">
        <v>64</v>
      </c>
      <c r="B84" s="486"/>
      <c r="C84" s="487" t="s">
        <v>674</v>
      </c>
      <c r="D84" s="488"/>
      <c r="E84" s="488"/>
      <c r="F84" s="488"/>
      <c r="G84" s="482"/>
      <c r="H84" s="467">
        <v>174584.85</v>
      </c>
      <c r="I84" s="494">
        <v>3.5665000000000002E-2</v>
      </c>
      <c r="J84" s="468">
        <v>9.7712328767123296E-5</v>
      </c>
      <c r="K84" s="469">
        <v>0</v>
      </c>
      <c r="L84" s="470">
        <v>59557428.830000013</v>
      </c>
      <c r="M84" s="476">
        <v>60065462.930000015</v>
      </c>
    </row>
    <row r="85" spans="1:13" ht="13.5" hidden="1" outlineLevel="1" thickBot="1">
      <c r="A85" s="471" t="s">
        <v>692</v>
      </c>
      <c r="B85" s="486"/>
      <c r="C85" s="488"/>
      <c r="D85" s="488"/>
      <c r="E85" s="488"/>
      <c r="F85" s="488"/>
      <c r="G85" s="484">
        <v>10000000</v>
      </c>
      <c r="H85" s="489">
        <v>508034.1</v>
      </c>
      <c r="I85" s="457"/>
      <c r="J85" s="490"/>
      <c r="K85" s="457"/>
      <c r="L85" s="477">
        <v>60065462.930000015</v>
      </c>
      <c r="M85" s="438"/>
    </row>
    <row r="86" spans="1:13" hidden="1" outlineLevel="1">
      <c r="A86" s="492"/>
      <c r="B86" s="452"/>
      <c r="C86" s="459"/>
      <c r="D86" s="459"/>
      <c r="E86" s="459"/>
      <c r="F86" s="459"/>
      <c r="G86" s="479"/>
      <c r="H86" s="457"/>
      <c r="I86" s="493"/>
      <c r="J86" s="415"/>
      <c r="K86" s="465"/>
      <c r="L86" s="458"/>
      <c r="M86" s="476"/>
    </row>
    <row r="87" spans="1:13" hidden="1" outlineLevel="1">
      <c r="A87" s="451" t="s">
        <v>65</v>
      </c>
      <c r="B87" s="452">
        <v>31</v>
      </c>
      <c r="C87" s="453" t="s">
        <v>693</v>
      </c>
      <c r="D87" s="454">
        <v>40480</v>
      </c>
      <c r="E87" s="454">
        <v>40482</v>
      </c>
      <c r="F87" s="460">
        <v>3</v>
      </c>
      <c r="G87" s="481">
        <v>14400000</v>
      </c>
      <c r="H87" s="457"/>
      <c r="I87" s="493">
        <v>3.5665000000000002E-2</v>
      </c>
      <c r="J87" s="415">
        <v>9.7712328767123296E-5</v>
      </c>
      <c r="K87" s="457"/>
      <c r="L87" s="458"/>
      <c r="M87" s="438"/>
    </row>
    <row r="88" spans="1:13" hidden="1" outlineLevel="1">
      <c r="A88" s="451" t="s">
        <v>65</v>
      </c>
      <c r="B88" s="452"/>
      <c r="C88" s="459" t="s">
        <v>674</v>
      </c>
      <c r="D88" s="459"/>
      <c r="E88" s="459"/>
      <c r="F88" s="459"/>
      <c r="G88" s="479"/>
      <c r="H88" s="457">
        <v>186164.4</v>
      </c>
      <c r="I88" s="493">
        <v>3.5665000000000002E-2</v>
      </c>
      <c r="J88" s="415">
        <v>9.7712328767123296E-5</v>
      </c>
      <c r="K88" s="465">
        <v>0</v>
      </c>
      <c r="L88" s="458">
        <v>74465462.930000007</v>
      </c>
      <c r="M88" s="476">
        <v>74651627.330000013</v>
      </c>
    </row>
    <row r="89" spans="1:13" hidden="1" outlineLevel="1">
      <c r="A89" s="451" t="s">
        <v>66</v>
      </c>
      <c r="B89" s="452">
        <v>30</v>
      </c>
      <c r="C89" s="453" t="s">
        <v>675</v>
      </c>
      <c r="D89" s="459"/>
      <c r="E89" s="459"/>
      <c r="F89" s="459"/>
      <c r="G89" s="481">
        <v>0</v>
      </c>
      <c r="H89" s="414"/>
      <c r="I89" s="493">
        <v>3.5665000000000002E-2</v>
      </c>
      <c r="J89" s="415">
        <v>9.7712328767123296E-5</v>
      </c>
      <c r="K89" s="414"/>
      <c r="L89" s="458"/>
      <c r="M89" s="438"/>
    </row>
    <row r="90" spans="1:13" hidden="1" outlineLevel="1">
      <c r="A90" s="451" t="s">
        <v>66</v>
      </c>
      <c r="B90" s="452"/>
      <c r="C90" s="459" t="s">
        <v>674</v>
      </c>
      <c r="D90" s="459"/>
      <c r="E90" s="459"/>
      <c r="F90" s="459"/>
      <c r="G90" s="479"/>
      <c r="H90" s="414">
        <v>218285.81</v>
      </c>
      <c r="I90" s="493">
        <v>3.5665000000000002E-2</v>
      </c>
      <c r="J90" s="415">
        <v>9.7712328767123296E-5</v>
      </c>
      <c r="K90" s="465">
        <v>0</v>
      </c>
      <c r="L90" s="458">
        <v>74465462.930000007</v>
      </c>
      <c r="M90" s="476">
        <v>74869913.140000015</v>
      </c>
    </row>
    <row r="91" spans="1:13" hidden="1" outlineLevel="1">
      <c r="A91" s="451" t="s">
        <v>67</v>
      </c>
      <c r="B91" s="452">
        <v>31</v>
      </c>
      <c r="C91" s="459" t="s">
        <v>675</v>
      </c>
      <c r="D91" s="454"/>
      <c r="E91" s="454"/>
      <c r="F91" s="460"/>
      <c r="G91" s="485"/>
      <c r="H91" s="414"/>
      <c r="I91" s="493">
        <v>3.5665000000000002E-2</v>
      </c>
      <c r="J91" s="415">
        <v>9.7712328767123296E-5</v>
      </c>
      <c r="K91" s="457"/>
      <c r="L91" s="458"/>
      <c r="M91" s="438"/>
    </row>
    <row r="92" spans="1:13" hidden="1" outlineLevel="1">
      <c r="A92" s="451" t="s">
        <v>67</v>
      </c>
      <c r="B92" s="486"/>
      <c r="C92" s="487" t="s">
        <v>674</v>
      </c>
      <c r="D92" s="488"/>
      <c r="E92" s="488"/>
      <c r="F92" s="488"/>
      <c r="G92" s="482"/>
      <c r="H92" s="467">
        <v>225562.01</v>
      </c>
      <c r="I92" s="494">
        <v>3.5665000000000002E-2</v>
      </c>
      <c r="J92" s="468">
        <v>9.7712328767123296E-5</v>
      </c>
      <c r="K92" s="469">
        <v>0</v>
      </c>
      <c r="L92" s="470">
        <v>74465462.930000007</v>
      </c>
      <c r="M92" s="476">
        <v>75095475.150000021</v>
      </c>
    </row>
    <row r="93" spans="1:13" ht="13.5" hidden="1" outlineLevel="1" thickBot="1">
      <c r="A93" s="471" t="s">
        <v>694</v>
      </c>
      <c r="B93" s="486"/>
      <c r="C93" s="488"/>
      <c r="D93" s="488"/>
      <c r="E93" s="488"/>
      <c r="F93" s="488"/>
      <c r="G93" s="484">
        <v>14400000</v>
      </c>
      <c r="H93" s="489">
        <v>630012.22</v>
      </c>
      <c r="I93" s="457"/>
      <c r="J93" s="490"/>
      <c r="K93" s="457"/>
      <c r="L93" s="477">
        <v>75095475.150000021</v>
      </c>
      <c r="M93" s="438"/>
    </row>
    <row r="94" spans="1:13" hidden="1" outlineLevel="1">
      <c r="A94" s="474"/>
      <c r="B94" s="486"/>
      <c r="C94" s="488"/>
      <c r="D94" s="488"/>
      <c r="E94" s="488"/>
      <c r="F94" s="488"/>
      <c r="G94" s="484"/>
      <c r="H94" s="414"/>
      <c r="I94" s="457"/>
      <c r="J94" s="490"/>
      <c r="K94" s="457"/>
      <c r="L94" s="475"/>
      <c r="M94" s="438"/>
    </row>
    <row r="95" spans="1:13" hidden="1" outlineLevel="1">
      <c r="A95" s="451" t="s">
        <v>68</v>
      </c>
      <c r="B95" s="452">
        <v>31</v>
      </c>
      <c r="C95" s="453" t="s">
        <v>675</v>
      </c>
      <c r="D95" s="454"/>
      <c r="E95" s="454"/>
      <c r="F95" s="460"/>
      <c r="G95" s="481">
        <v>0</v>
      </c>
      <c r="H95" s="457"/>
      <c r="I95" s="493">
        <v>3.5665000000000002E-2</v>
      </c>
      <c r="J95" s="415">
        <v>9.7712328767123296E-5</v>
      </c>
      <c r="K95" s="457"/>
      <c r="L95" s="458"/>
      <c r="M95" s="438"/>
    </row>
    <row r="96" spans="1:13" hidden="1" outlineLevel="1">
      <c r="A96" s="451" t="s">
        <v>68</v>
      </c>
      <c r="B96" s="452"/>
      <c r="C96" s="459" t="s">
        <v>674</v>
      </c>
      <c r="D96" s="459"/>
      <c r="E96" s="459"/>
      <c r="F96" s="459"/>
      <c r="G96" s="479"/>
      <c r="H96" s="457">
        <v>227470.37</v>
      </c>
      <c r="I96" s="493">
        <v>3.5665000000000002E-2</v>
      </c>
      <c r="J96" s="415">
        <v>9.7712328767123296E-5</v>
      </c>
      <c r="K96" s="480">
        <v>0</v>
      </c>
      <c r="L96" s="458">
        <v>75095475.150000021</v>
      </c>
      <c r="M96" s="476">
        <v>75322945.520000026</v>
      </c>
    </row>
    <row r="97" spans="1:13" hidden="1" outlineLevel="1">
      <c r="A97" s="451" t="s">
        <v>69</v>
      </c>
      <c r="B97" s="452">
        <v>28</v>
      </c>
      <c r="C97" s="453" t="s">
        <v>675</v>
      </c>
      <c r="D97" s="459"/>
      <c r="E97" s="459"/>
      <c r="F97" s="459"/>
      <c r="G97" s="481">
        <v>0</v>
      </c>
      <c r="H97" s="414"/>
      <c r="I97" s="493">
        <v>3.5665000000000002E-2</v>
      </c>
      <c r="J97" s="415">
        <v>9.7712328767123296E-5</v>
      </c>
      <c r="K97" s="414"/>
      <c r="L97" s="458"/>
      <c r="M97" s="438"/>
    </row>
    <row r="98" spans="1:13" hidden="1" outlineLevel="1">
      <c r="A98" s="451" t="s">
        <v>69</v>
      </c>
      <c r="B98" s="452"/>
      <c r="C98" s="459" t="s">
        <v>674</v>
      </c>
      <c r="D98" s="459"/>
      <c r="E98" s="459"/>
      <c r="F98" s="459"/>
      <c r="G98" s="479"/>
      <c r="H98" s="414">
        <v>205457.11</v>
      </c>
      <c r="I98" s="493">
        <v>3.5665000000000002E-2</v>
      </c>
      <c r="J98" s="415">
        <v>9.7712328767123296E-5</v>
      </c>
      <c r="K98" s="465">
        <v>0</v>
      </c>
      <c r="L98" s="458">
        <v>75095475.150000021</v>
      </c>
      <c r="M98" s="476">
        <v>75528402.630000025</v>
      </c>
    </row>
    <row r="99" spans="1:13" hidden="1" outlineLevel="1">
      <c r="A99" s="451" t="s">
        <v>695</v>
      </c>
      <c r="B99" s="452">
        <v>31</v>
      </c>
      <c r="C99" s="453" t="s">
        <v>696</v>
      </c>
      <c r="D99" s="454">
        <v>40617</v>
      </c>
      <c r="E99" s="454">
        <v>40633</v>
      </c>
      <c r="F99" s="460">
        <v>17</v>
      </c>
      <c r="G99" s="485">
        <v>18200000</v>
      </c>
      <c r="H99" s="414"/>
      <c r="I99" s="493">
        <v>3.5665000000000002E-2</v>
      </c>
      <c r="J99" s="415">
        <v>9.7712328767123296E-5</v>
      </c>
      <c r="K99" s="457"/>
      <c r="L99" s="458"/>
      <c r="M99" s="438"/>
    </row>
    <row r="100" spans="1:13" hidden="1" outlineLevel="1">
      <c r="A100" s="451" t="s">
        <v>695</v>
      </c>
      <c r="B100" s="486"/>
      <c r="C100" s="487" t="s">
        <v>674</v>
      </c>
      <c r="D100" s="488"/>
      <c r="E100" s="488"/>
      <c r="F100" s="488"/>
      <c r="G100" s="482"/>
      <c r="H100" s="467">
        <v>257702.56</v>
      </c>
      <c r="I100" s="494">
        <v>3.5665000000000002E-2</v>
      </c>
      <c r="J100" s="468">
        <v>9.7712328767123296E-5</v>
      </c>
      <c r="K100" s="469">
        <v>0</v>
      </c>
      <c r="L100" s="470">
        <v>93295475.150000021</v>
      </c>
      <c r="M100" s="476">
        <v>93986105.190000027</v>
      </c>
    </row>
    <row r="101" spans="1:13" ht="13.5" hidden="1" outlineLevel="1" thickBot="1">
      <c r="A101" s="471" t="s">
        <v>697</v>
      </c>
      <c r="B101" s="486"/>
      <c r="C101" s="488"/>
      <c r="D101" s="488"/>
      <c r="E101" s="488"/>
      <c r="F101" s="488"/>
      <c r="G101" s="484">
        <v>18200000</v>
      </c>
      <c r="H101" s="489">
        <v>690630.04</v>
      </c>
      <c r="I101" s="457"/>
      <c r="J101" s="490"/>
      <c r="K101" s="457"/>
      <c r="L101" s="477">
        <v>93986105.190000027</v>
      </c>
      <c r="M101" s="438"/>
    </row>
    <row r="102" spans="1:13" hidden="1" outlineLevel="1">
      <c r="A102" s="474"/>
      <c r="B102" s="486"/>
      <c r="C102" s="488"/>
      <c r="D102" s="488"/>
      <c r="E102" s="488"/>
      <c r="F102" s="488"/>
      <c r="G102" s="484"/>
      <c r="H102" s="414"/>
      <c r="I102" s="457"/>
      <c r="J102" s="490"/>
      <c r="K102" s="457"/>
      <c r="L102" s="475"/>
      <c r="M102" s="438"/>
    </row>
    <row r="103" spans="1:13" hidden="1" outlineLevel="1">
      <c r="A103" s="451" t="s">
        <v>698</v>
      </c>
      <c r="B103" s="452">
        <v>30</v>
      </c>
      <c r="C103" s="453" t="s">
        <v>675</v>
      </c>
      <c r="D103" s="454"/>
      <c r="E103" s="454"/>
      <c r="F103" s="460"/>
      <c r="G103" s="481">
        <v>0</v>
      </c>
      <c r="H103" s="457"/>
      <c r="I103" s="493">
        <v>3.5665000000000002E-2</v>
      </c>
      <c r="J103" s="415">
        <v>9.7712328767123296E-5</v>
      </c>
      <c r="K103" s="457"/>
      <c r="L103" s="458"/>
      <c r="M103" s="438"/>
    </row>
    <row r="104" spans="1:13" hidden="1" outlineLevel="1">
      <c r="A104" s="451" t="s">
        <v>698</v>
      </c>
      <c r="B104" s="452"/>
      <c r="C104" s="459" t="s">
        <v>674</v>
      </c>
      <c r="D104" s="459"/>
      <c r="E104" s="459"/>
      <c r="F104" s="459"/>
      <c r="G104" s="479"/>
      <c r="H104" s="457">
        <v>275508.03999999998</v>
      </c>
      <c r="I104" s="493">
        <v>3.5665000000000002E-2</v>
      </c>
      <c r="J104" s="415">
        <v>9.7712328767123296E-5</v>
      </c>
      <c r="K104" s="480">
        <v>0</v>
      </c>
      <c r="L104" s="458">
        <v>93986105.190000027</v>
      </c>
      <c r="M104" s="476">
        <v>94261613.230000034</v>
      </c>
    </row>
    <row r="105" spans="1:13" hidden="1" outlineLevel="1">
      <c r="A105" s="451" t="s">
        <v>70</v>
      </c>
      <c r="B105" s="452">
        <v>31</v>
      </c>
      <c r="C105" s="453" t="s">
        <v>675</v>
      </c>
      <c r="D105" s="459"/>
      <c r="E105" s="459"/>
      <c r="F105" s="459"/>
      <c r="G105" s="481">
        <v>0</v>
      </c>
      <c r="H105" s="414"/>
      <c r="I105" s="493">
        <v>3.5665000000000002E-2</v>
      </c>
      <c r="J105" s="415">
        <v>9.7712328767123296E-5</v>
      </c>
      <c r="K105" s="414"/>
      <c r="L105" s="458"/>
      <c r="M105" s="438"/>
    </row>
    <row r="106" spans="1:13" hidden="1" outlineLevel="1">
      <c r="A106" s="451" t="s">
        <v>70</v>
      </c>
      <c r="B106" s="452"/>
      <c r="C106" s="459" t="s">
        <v>674</v>
      </c>
      <c r="D106" s="459"/>
      <c r="E106" s="459"/>
      <c r="F106" s="459"/>
      <c r="G106" s="479"/>
      <c r="H106" s="414">
        <v>284691.64</v>
      </c>
      <c r="I106" s="493">
        <v>3.5665000000000002E-2</v>
      </c>
      <c r="J106" s="415">
        <v>9.7712328767123296E-5</v>
      </c>
      <c r="K106" s="465">
        <v>0</v>
      </c>
      <c r="L106" s="458">
        <v>93986105.190000027</v>
      </c>
      <c r="M106" s="476">
        <v>94546304.870000035</v>
      </c>
    </row>
    <row r="107" spans="1:13" hidden="1" outlineLevel="1">
      <c r="A107" s="451" t="s">
        <v>71</v>
      </c>
      <c r="B107" s="452">
        <v>30</v>
      </c>
      <c r="C107" s="459" t="s">
        <v>675</v>
      </c>
      <c r="D107" s="454"/>
      <c r="E107" s="454"/>
      <c r="F107" s="460"/>
      <c r="G107" s="485">
        <v>0</v>
      </c>
      <c r="H107" s="414"/>
      <c r="I107" s="493">
        <v>3.5665000000000002E-2</v>
      </c>
      <c r="J107" s="415">
        <v>9.7712328767123296E-5</v>
      </c>
      <c r="K107" s="457"/>
      <c r="L107" s="458"/>
      <c r="M107" s="438"/>
    </row>
    <row r="108" spans="1:13" hidden="1" outlineLevel="1">
      <c r="A108" s="451" t="s">
        <v>71</v>
      </c>
      <c r="B108" s="486"/>
      <c r="C108" s="487" t="s">
        <v>674</v>
      </c>
      <c r="D108" s="459"/>
      <c r="E108" s="459"/>
      <c r="F108" s="459"/>
      <c r="G108" s="482"/>
      <c r="H108" s="467">
        <v>275508.03999999998</v>
      </c>
      <c r="I108" s="494">
        <v>3.5665000000000002E-2</v>
      </c>
      <c r="J108" s="468">
        <v>9.7712328767123296E-5</v>
      </c>
      <c r="K108" s="469">
        <v>0</v>
      </c>
      <c r="L108" s="470">
        <v>93986105.190000027</v>
      </c>
      <c r="M108" s="476">
        <v>94821812.910000041</v>
      </c>
    </row>
    <row r="109" spans="1:13" ht="13.5" hidden="1" outlineLevel="1" thickBot="1">
      <c r="A109" s="471" t="s">
        <v>699</v>
      </c>
      <c r="B109" s="486"/>
      <c r="C109" s="488"/>
      <c r="D109" s="488"/>
      <c r="E109" s="488"/>
      <c r="F109" s="488"/>
      <c r="G109" s="484">
        <v>0</v>
      </c>
      <c r="H109" s="489">
        <v>835707.72</v>
      </c>
      <c r="I109" s="457"/>
      <c r="J109" s="490"/>
      <c r="K109" s="457"/>
      <c r="L109" s="477">
        <v>94821812.910000041</v>
      </c>
      <c r="M109" s="438"/>
    </row>
    <row r="110" spans="1:13" hidden="1" outlineLevel="1">
      <c r="A110" s="474"/>
      <c r="B110" s="486"/>
      <c r="C110" s="488"/>
      <c r="D110" s="488"/>
      <c r="E110" s="488"/>
      <c r="F110" s="488"/>
      <c r="G110" s="484"/>
      <c r="H110" s="414"/>
      <c r="I110" s="457"/>
      <c r="J110" s="490"/>
      <c r="K110" s="457"/>
      <c r="L110" s="475"/>
      <c r="M110" s="438"/>
    </row>
    <row r="111" spans="1:13" hidden="1" outlineLevel="1">
      <c r="A111" s="451" t="s">
        <v>72</v>
      </c>
      <c r="B111" s="452">
        <v>31</v>
      </c>
      <c r="C111" s="453" t="s">
        <v>675</v>
      </c>
      <c r="D111" s="454"/>
      <c r="E111" s="454"/>
      <c r="F111" s="460"/>
      <c r="G111" s="481">
        <v>0</v>
      </c>
      <c r="H111" s="457"/>
      <c r="I111" s="493">
        <v>3.5665000000000002E-2</v>
      </c>
      <c r="J111" s="415">
        <v>9.7712328767123296E-5</v>
      </c>
      <c r="K111" s="457"/>
      <c r="L111" s="458"/>
      <c r="M111" s="438"/>
    </row>
    <row r="112" spans="1:13" hidden="1" outlineLevel="1">
      <c r="A112" s="451" t="s">
        <v>72</v>
      </c>
      <c r="B112" s="452"/>
      <c r="C112" s="459" t="s">
        <v>674</v>
      </c>
      <c r="D112" s="459"/>
      <c r="E112" s="459"/>
      <c r="F112" s="459"/>
      <c r="G112" s="479"/>
      <c r="H112" s="457">
        <v>287223.06</v>
      </c>
      <c r="I112" s="493">
        <v>3.5665000000000002E-2</v>
      </c>
      <c r="J112" s="415">
        <v>9.7712328767123296E-5</v>
      </c>
      <c r="K112" s="480">
        <v>0</v>
      </c>
      <c r="L112" s="458">
        <v>94821812.910000041</v>
      </c>
      <c r="M112" s="476">
        <v>95109035.970000044</v>
      </c>
    </row>
    <row r="113" spans="1:13" hidden="1" outlineLevel="1">
      <c r="A113" s="451" t="s">
        <v>73</v>
      </c>
      <c r="B113" s="452">
        <v>31</v>
      </c>
      <c r="C113" s="453" t="s">
        <v>700</v>
      </c>
      <c r="D113" s="454">
        <v>40756</v>
      </c>
      <c r="E113" s="454">
        <v>40786</v>
      </c>
      <c r="F113" s="460">
        <v>31</v>
      </c>
      <c r="G113" s="481">
        <v>8965789.2599999998</v>
      </c>
      <c r="H113" s="414"/>
      <c r="I113" s="493">
        <v>3.5665000000000002E-2</v>
      </c>
      <c r="J113" s="415">
        <v>9.7712328767123296E-5</v>
      </c>
      <c r="K113" s="414"/>
      <c r="L113" s="458"/>
      <c r="M113" s="438"/>
    </row>
    <row r="114" spans="1:13" hidden="1" outlineLevel="1">
      <c r="A114" s="451" t="s">
        <v>73</v>
      </c>
      <c r="B114" s="452"/>
      <c r="C114" s="459" t="s">
        <v>674</v>
      </c>
      <c r="D114" s="459"/>
      <c r="E114" s="459"/>
      <c r="F114" s="459"/>
      <c r="G114" s="479"/>
      <c r="H114" s="414">
        <v>314381.18</v>
      </c>
      <c r="I114" s="493">
        <v>3.5665000000000002E-2</v>
      </c>
      <c r="J114" s="415">
        <v>9.7712328767123296E-5</v>
      </c>
      <c r="K114" s="465">
        <v>0</v>
      </c>
      <c r="L114" s="458">
        <v>103787602.17000005</v>
      </c>
      <c r="M114" s="476">
        <v>104389206.41000006</v>
      </c>
    </row>
    <row r="115" spans="1:13" hidden="1" outlineLevel="1">
      <c r="A115" s="451" t="s">
        <v>74</v>
      </c>
      <c r="B115" s="452">
        <v>30</v>
      </c>
      <c r="C115" s="459" t="s">
        <v>675</v>
      </c>
      <c r="D115" s="454"/>
      <c r="E115" s="454"/>
      <c r="F115" s="460"/>
      <c r="G115" s="485">
        <v>0</v>
      </c>
      <c r="H115" s="414"/>
      <c r="I115" s="493">
        <v>3.5665000000000002E-2</v>
      </c>
      <c r="J115" s="415">
        <v>9.7712328767123296E-5</v>
      </c>
      <c r="K115" s="457"/>
      <c r="L115" s="458"/>
      <c r="M115" s="438"/>
    </row>
    <row r="116" spans="1:13" hidden="1" outlineLevel="1">
      <c r="A116" s="451" t="s">
        <v>74</v>
      </c>
      <c r="B116" s="486"/>
      <c r="C116" s="487" t="s">
        <v>674</v>
      </c>
      <c r="D116" s="459"/>
      <c r="E116" s="459"/>
      <c r="F116" s="459"/>
      <c r="G116" s="482"/>
      <c r="H116" s="467">
        <v>304239.84999999998</v>
      </c>
      <c r="I116" s="494">
        <v>3.5665000000000002E-2</v>
      </c>
      <c r="J116" s="468">
        <v>9.7712328767123296E-5</v>
      </c>
      <c r="K116" s="469">
        <v>0</v>
      </c>
      <c r="L116" s="470">
        <v>103787602.17000005</v>
      </c>
      <c r="M116" s="476">
        <v>104693446.26000005</v>
      </c>
    </row>
    <row r="117" spans="1:13" ht="13.5" hidden="1" outlineLevel="1" thickBot="1">
      <c r="A117" s="502" t="s">
        <v>701</v>
      </c>
      <c r="B117" s="486"/>
      <c r="C117" s="488"/>
      <c r="D117" s="488"/>
      <c r="E117" s="488"/>
      <c r="F117" s="488"/>
      <c r="G117" s="484">
        <v>8965789.2599999998</v>
      </c>
      <c r="H117" s="489">
        <v>905844.09</v>
      </c>
      <c r="I117" s="457"/>
      <c r="J117" s="490"/>
      <c r="K117" s="457"/>
      <c r="L117" s="477">
        <v>104693446.26000005</v>
      </c>
      <c r="M117" s="438"/>
    </row>
    <row r="118" spans="1:13" hidden="1" outlineLevel="1">
      <c r="A118" s="474"/>
      <c r="B118" s="486"/>
      <c r="C118" s="488"/>
      <c r="D118" s="488"/>
      <c r="E118" s="488"/>
      <c r="F118" s="488"/>
      <c r="G118" s="484"/>
      <c r="H118" s="457"/>
      <c r="I118" s="457"/>
      <c r="J118" s="490"/>
      <c r="K118" s="457"/>
      <c r="L118" s="475"/>
      <c r="M118" s="455"/>
    </row>
    <row r="119" spans="1:13" hidden="1" outlineLevel="1">
      <c r="A119" s="451" t="s">
        <v>75</v>
      </c>
      <c r="B119" s="452">
        <v>31</v>
      </c>
      <c r="C119" s="453" t="s">
        <v>675</v>
      </c>
      <c r="D119" s="454"/>
      <c r="E119" s="454"/>
      <c r="F119" s="460"/>
      <c r="G119" s="481">
        <v>0</v>
      </c>
      <c r="H119" s="457"/>
      <c r="I119" s="493">
        <v>3.5665000000000002E-2</v>
      </c>
      <c r="J119" s="415">
        <v>9.7712328767123296E-5</v>
      </c>
      <c r="K119" s="457"/>
      <c r="L119" s="458"/>
      <c r="M119" s="438"/>
    </row>
    <row r="120" spans="1:13" hidden="1" outlineLevel="1">
      <c r="A120" s="451" t="s">
        <v>75</v>
      </c>
      <c r="B120" s="452"/>
      <c r="C120" s="459" t="s">
        <v>674</v>
      </c>
      <c r="D120" s="459"/>
      <c r="E120" s="459"/>
      <c r="F120" s="459"/>
      <c r="G120" s="479"/>
      <c r="H120" s="457">
        <v>317125.05</v>
      </c>
      <c r="I120" s="493">
        <v>3.5665000000000002E-2</v>
      </c>
      <c r="J120" s="415">
        <v>9.7712328767123296E-5</v>
      </c>
      <c r="K120" s="480">
        <v>0</v>
      </c>
      <c r="L120" s="458">
        <v>104693446.26000005</v>
      </c>
      <c r="M120" s="476">
        <v>105010571.31000005</v>
      </c>
    </row>
    <row r="121" spans="1:13" hidden="1" outlineLevel="1">
      <c r="A121" s="451" t="s">
        <v>76</v>
      </c>
      <c r="B121" s="452">
        <v>30</v>
      </c>
      <c r="C121" s="453" t="s">
        <v>675</v>
      </c>
      <c r="D121" s="459"/>
      <c r="E121" s="459"/>
      <c r="F121" s="459"/>
      <c r="G121" s="481">
        <v>0</v>
      </c>
      <c r="H121" s="414"/>
      <c r="I121" s="493">
        <v>3.5665000000000002E-2</v>
      </c>
      <c r="J121" s="415">
        <v>9.7712328767123296E-5</v>
      </c>
      <c r="K121" s="457"/>
      <c r="L121" s="458"/>
      <c r="M121" s="438"/>
    </row>
    <row r="122" spans="1:13" hidden="1" outlineLevel="1">
      <c r="A122" s="451" t="s">
        <v>76</v>
      </c>
      <c r="B122" s="452"/>
      <c r="C122" s="459" t="s">
        <v>674</v>
      </c>
      <c r="D122" s="459"/>
      <c r="E122" s="459"/>
      <c r="F122" s="459"/>
      <c r="G122" s="479"/>
      <c r="H122" s="414">
        <v>306895.21000000002</v>
      </c>
      <c r="I122" s="493">
        <v>3.5665000000000002E-2</v>
      </c>
      <c r="J122" s="415">
        <v>9.7712328767123296E-5</v>
      </c>
      <c r="K122" s="480">
        <v>0</v>
      </c>
      <c r="L122" s="458">
        <v>104693446.26000005</v>
      </c>
      <c r="M122" s="476">
        <v>105317466.52000004</v>
      </c>
    </row>
    <row r="123" spans="1:13" hidden="1" outlineLevel="1">
      <c r="A123" s="451" t="s">
        <v>77</v>
      </c>
      <c r="B123" s="452">
        <v>31</v>
      </c>
      <c r="C123" s="459" t="s">
        <v>675</v>
      </c>
      <c r="D123" s="454"/>
      <c r="E123" s="454"/>
      <c r="F123" s="460"/>
      <c r="G123" s="485">
        <v>0</v>
      </c>
      <c r="H123" s="414"/>
      <c r="I123" s="493">
        <v>3.5665000000000002E-2</v>
      </c>
      <c r="J123" s="415">
        <v>9.7712328767123296E-5</v>
      </c>
      <c r="K123" s="457"/>
      <c r="L123" s="458"/>
      <c r="M123" s="438"/>
    </row>
    <row r="124" spans="1:13" hidden="1" outlineLevel="1">
      <c r="A124" s="451" t="s">
        <v>77</v>
      </c>
      <c r="B124" s="486"/>
      <c r="C124" s="487" t="s">
        <v>674</v>
      </c>
      <c r="D124" s="488"/>
      <c r="E124" s="488"/>
      <c r="F124" s="488"/>
      <c r="G124" s="482"/>
      <c r="H124" s="467">
        <v>317125.05</v>
      </c>
      <c r="I124" s="494">
        <v>3.5665000000000002E-2</v>
      </c>
      <c r="J124" s="468">
        <v>9.7712328767123296E-5</v>
      </c>
      <c r="K124" s="483">
        <v>0</v>
      </c>
      <c r="L124" s="470">
        <v>104693446.26000005</v>
      </c>
      <c r="M124" s="476">
        <v>105634591.57000004</v>
      </c>
    </row>
    <row r="125" spans="1:13" ht="13.5" hidden="1" outlineLevel="1" thickBot="1">
      <c r="A125" s="502" t="s">
        <v>702</v>
      </c>
      <c r="B125" s="486"/>
      <c r="C125" s="488"/>
      <c r="D125" s="488"/>
      <c r="E125" s="488"/>
      <c r="F125" s="488"/>
      <c r="G125" s="484">
        <v>0</v>
      </c>
      <c r="H125" s="489">
        <v>941145.31</v>
      </c>
      <c r="I125" s="457"/>
      <c r="J125" s="490"/>
      <c r="K125" s="457"/>
      <c r="L125" s="477">
        <v>105634591.57000004</v>
      </c>
      <c r="M125" s="438"/>
    </row>
    <row r="126" spans="1:13" hidden="1" outlineLevel="1">
      <c r="A126" s="474"/>
      <c r="B126" s="486"/>
      <c r="C126" s="488"/>
      <c r="D126" s="488"/>
      <c r="E126" s="488"/>
      <c r="F126" s="488"/>
      <c r="G126" s="484"/>
      <c r="H126" s="457"/>
      <c r="I126" s="457"/>
      <c r="J126" s="490"/>
      <c r="K126" s="457"/>
      <c r="L126" s="475"/>
      <c r="M126" s="455"/>
    </row>
    <row r="127" spans="1:13" hidden="1" outlineLevel="1">
      <c r="A127" s="451" t="s">
        <v>78</v>
      </c>
      <c r="B127" s="452">
        <v>31</v>
      </c>
      <c r="C127" s="453" t="s">
        <v>675</v>
      </c>
      <c r="D127" s="454"/>
      <c r="E127" s="454"/>
      <c r="F127" s="460"/>
      <c r="G127" s="481">
        <v>0</v>
      </c>
      <c r="H127" s="457"/>
      <c r="I127" s="493">
        <v>3.5665000000000002E-2</v>
      </c>
      <c r="J127" s="415">
        <v>9.7712328767123296E-5</v>
      </c>
      <c r="K127" s="457"/>
      <c r="L127" s="458"/>
      <c r="M127" s="438"/>
    </row>
    <row r="128" spans="1:13" hidden="1" outlineLevel="1">
      <c r="A128" s="451" t="s">
        <v>78</v>
      </c>
      <c r="B128" s="452"/>
      <c r="C128" s="459" t="s">
        <v>674</v>
      </c>
      <c r="D128" s="459"/>
      <c r="E128" s="459"/>
      <c r="F128" s="459"/>
      <c r="G128" s="479"/>
      <c r="H128" s="457">
        <v>319975.86</v>
      </c>
      <c r="I128" s="493">
        <v>3.5665000000000002E-2</v>
      </c>
      <c r="J128" s="415">
        <v>9.7712328767123296E-5</v>
      </c>
      <c r="K128" s="480">
        <v>0</v>
      </c>
      <c r="L128" s="458">
        <v>105634591.57000004</v>
      </c>
      <c r="M128" s="476">
        <v>105954567.43000004</v>
      </c>
    </row>
    <row r="129" spans="1:13" hidden="1" outlineLevel="1">
      <c r="A129" s="451" t="s">
        <v>79</v>
      </c>
      <c r="B129" s="452">
        <v>29</v>
      </c>
      <c r="C129" s="453" t="s">
        <v>675</v>
      </c>
      <c r="D129" s="459"/>
      <c r="E129" s="459"/>
      <c r="F129" s="459"/>
      <c r="G129" s="481">
        <v>0</v>
      </c>
      <c r="H129" s="414"/>
      <c r="I129" s="493">
        <v>3.5665000000000002E-2</v>
      </c>
      <c r="J129" s="415">
        <v>9.7712328767123296E-5</v>
      </c>
      <c r="K129" s="457"/>
      <c r="L129" s="458"/>
      <c r="M129" s="438"/>
    </row>
    <row r="130" spans="1:13" hidden="1" outlineLevel="1">
      <c r="A130" s="451" t="s">
        <v>79</v>
      </c>
      <c r="B130" s="452"/>
      <c r="C130" s="459" t="s">
        <v>674</v>
      </c>
      <c r="D130" s="459"/>
      <c r="E130" s="459"/>
      <c r="F130" s="459"/>
      <c r="G130" s="479"/>
      <c r="H130" s="414">
        <v>299332.26</v>
      </c>
      <c r="I130" s="493">
        <v>3.5665000000000002E-2</v>
      </c>
      <c r="J130" s="415">
        <v>9.7712328767123296E-5</v>
      </c>
      <c r="K130" s="480">
        <v>0</v>
      </c>
      <c r="L130" s="458">
        <v>105634591.57000004</v>
      </c>
      <c r="M130" s="476">
        <v>106253899.69000004</v>
      </c>
    </row>
    <row r="131" spans="1:13" hidden="1" outlineLevel="1">
      <c r="A131" s="451" t="s">
        <v>80</v>
      </c>
      <c r="B131" s="452">
        <v>31</v>
      </c>
      <c r="C131" s="459" t="s">
        <v>675</v>
      </c>
      <c r="D131" s="454"/>
      <c r="E131" s="454"/>
      <c r="F131" s="460"/>
      <c r="G131" s="485">
        <v>0</v>
      </c>
      <c r="H131" s="414"/>
      <c r="I131" s="493">
        <v>3.5665000000000002E-2</v>
      </c>
      <c r="J131" s="415">
        <v>9.7712328767123296E-5</v>
      </c>
      <c r="K131" s="457"/>
      <c r="L131" s="458"/>
      <c r="M131" s="438"/>
    </row>
    <row r="132" spans="1:13" hidden="1" outlineLevel="1">
      <c r="A132" s="451" t="s">
        <v>80</v>
      </c>
      <c r="B132" s="486"/>
      <c r="C132" s="487" t="s">
        <v>674</v>
      </c>
      <c r="D132" s="488"/>
      <c r="E132" s="488"/>
      <c r="F132" s="488"/>
      <c r="G132" s="482"/>
      <c r="H132" s="467">
        <v>319189.51</v>
      </c>
      <c r="I132" s="494">
        <v>3.5665000000000002E-2</v>
      </c>
      <c r="J132" s="468">
        <v>9.7712328767123296E-5</v>
      </c>
      <c r="K132" s="483">
        <v>-259600</v>
      </c>
      <c r="L132" s="470">
        <v>105374991.57000004</v>
      </c>
      <c r="M132" s="476">
        <v>106313489.20000005</v>
      </c>
    </row>
    <row r="133" spans="1:13" ht="13.5" hidden="1" outlineLevel="1" thickBot="1">
      <c r="A133" s="502" t="s">
        <v>703</v>
      </c>
      <c r="B133" s="486"/>
      <c r="C133" s="488"/>
      <c r="D133" s="488"/>
      <c r="E133" s="488"/>
      <c r="F133" s="488"/>
      <c r="G133" s="484">
        <v>0</v>
      </c>
      <c r="H133" s="489">
        <v>938497.63</v>
      </c>
      <c r="I133" s="457"/>
      <c r="J133" s="490"/>
      <c r="K133" s="457"/>
      <c r="L133" s="477">
        <v>106313489.20000005</v>
      </c>
      <c r="M133" s="438"/>
    </row>
    <row r="134" spans="1:13" hidden="1" outlineLevel="1">
      <c r="A134" s="474"/>
      <c r="B134" s="486"/>
      <c r="C134" s="488"/>
      <c r="D134" s="488"/>
      <c r="E134" s="488"/>
      <c r="F134" s="488"/>
      <c r="G134" s="484"/>
      <c r="H134" s="414"/>
      <c r="I134" s="457"/>
      <c r="J134" s="490"/>
      <c r="K134" s="457"/>
      <c r="L134" s="475"/>
      <c r="M134" s="438"/>
    </row>
    <row r="135" spans="1:13" hidden="1" outlineLevel="1">
      <c r="A135" s="451" t="s">
        <v>81</v>
      </c>
      <c r="B135" s="452">
        <v>30</v>
      </c>
      <c r="C135" s="453" t="s">
        <v>675</v>
      </c>
      <c r="D135" s="454"/>
      <c r="E135" s="454"/>
      <c r="F135" s="460"/>
      <c r="G135" s="481">
        <v>0</v>
      </c>
      <c r="H135" s="457"/>
      <c r="I135" s="493">
        <v>3.5665000000000002E-2</v>
      </c>
      <c r="J135" s="415">
        <v>9.7712328767123296E-5</v>
      </c>
      <c r="K135" s="457"/>
      <c r="L135" s="458"/>
      <c r="M135" s="438"/>
    </row>
    <row r="136" spans="1:13" hidden="1" outlineLevel="1">
      <c r="A136" s="451" t="s">
        <v>81</v>
      </c>
      <c r="B136" s="452"/>
      <c r="C136" s="459" t="s">
        <v>674</v>
      </c>
      <c r="D136" s="459"/>
      <c r="E136" s="459"/>
      <c r="F136" s="459"/>
      <c r="G136" s="479"/>
      <c r="H136" s="457">
        <v>310370.09000000003</v>
      </c>
      <c r="I136" s="493">
        <v>3.5665000000000002E-2</v>
      </c>
      <c r="J136" s="415">
        <v>9.7712328767123296E-5</v>
      </c>
      <c r="K136" s="480">
        <v>-434632</v>
      </c>
      <c r="L136" s="458">
        <v>105878857.20000005</v>
      </c>
      <c r="M136" s="476">
        <v>106189227.29000005</v>
      </c>
    </row>
    <row r="137" spans="1:13" hidden="1" outlineLevel="1">
      <c r="A137" s="451" t="s">
        <v>82</v>
      </c>
      <c r="B137" s="452">
        <v>31</v>
      </c>
      <c r="C137" s="453" t="s">
        <v>675</v>
      </c>
      <c r="D137" s="459"/>
      <c r="E137" s="459"/>
      <c r="F137" s="459"/>
      <c r="G137" s="481">
        <v>0</v>
      </c>
      <c r="H137" s="414"/>
      <c r="I137" s="493">
        <v>3.5665000000000002E-2</v>
      </c>
      <c r="J137" s="415">
        <v>9.7712328767123296E-5</v>
      </c>
      <c r="K137" s="457"/>
      <c r="L137" s="458"/>
      <c r="M137" s="438"/>
    </row>
    <row r="138" spans="1:13" hidden="1" outlineLevel="1">
      <c r="A138" s="451" t="s">
        <v>82</v>
      </c>
      <c r="B138" s="452"/>
      <c r="C138" s="459" t="s">
        <v>674</v>
      </c>
      <c r="D138" s="459"/>
      <c r="E138" s="459"/>
      <c r="F138" s="459"/>
      <c r="G138" s="479"/>
      <c r="H138" s="414">
        <v>319440.13</v>
      </c>
      <c r="I138" s="493">
        <v>3.5665000000000002E-2</v>
      </c>
      <c r="J138" s="415">
        <v>9.7712328767123296E-5</v>
      </c>
      <c r="K138" s="480">
        <v>-421127</v>
      </c>
      <c r="L138" s="458">
        <v>105457730.20000005</v>
      </c>
      <c r="M138" s="476">
        <v>106087540.42000005</v>
      </c>
    </row>
    <row r="139" spans="1:13" hidden="1" outlineLevel="1">
      <c r="A139" s="451" t="s">
        <v>83</v>
      </c>
      <c r="B139" s="452">
        <v>30</v>
      </c>
      <c r="C139" s="459" t="s">
        <v>675</v>
      </c>
      <c r="D139" s="454"/>
      <c r="E139" s="454"/>
      <c r="F139" s="460"/>
      <c r="G139" s="485">
        <v>0</v>
      </c>
      <c r="H139" s="414"/>
      <c r="I139" s="493">
        <v>3.5665000000000002E-2</v>
      </c>
      <c r="J139" s="415">
        <v>9.7712328767123296E-5</v>
      </c>
      <c r="K139" s="457"/>
      <c r="L139" s="458"/>
      <c r="M139" s="438"/>
    </row>
    <row r="140" spans="1:13" hidden="1" outlineLevel="1">
      <c r="A140" s="451" t="s">
        <v>83</v>
      </c>
      <c r="B140" s="486"/>
      <c r="C140" s="487" t="s">
        <v>674</v>
      </c>
      <c r="D140" s="488"/>
      <c r="E140" s="488"/>
      <c r="F140" s="488"/>
      <c r="G140" s="482"/>
      <c r="H140" s="467">
        <v>307884.73</v>
      </c>
      <c r="I140" s="494">
        <v>3.5665000000000002E-2</v>
      </c>
      <c r="J140" s="468">
        <v>9.7712328767123296E-5</v>
      </c>
      <c r="K140" s="483">
        <v>-426723</v>
      </c>
      <c r="L140" s="470">
        <v>105031007.20000005</v>
      </c>
      <c r="M140" s="476">
        <v>105968702.15000005</v>
      </c>
    </row>
    <row r="141" spans="1:13" ht="13.5" hidden="1" outlineLevel="1" thickBot="1">
      <c r="A141" s="471" t="s">
        <v>704</v>
      </c>
      <c r="B141" s="486"/>
      <c r="C141" s="488"/>
      <c r="D141" s="488"/>
      <c r="E141" s="488"/>
      <c r="F141" s="488"/>
      <c r="G141" s="484">
        <v>0</v>
      </c>
      <c r="H141" s="489">
        <v>937694.95</v>
      </c>
      <c r="I141" s="457"/>
      <c r="J141" s="490"/>
      <c r="K141" s="457"/>
      <c r="L141" s="477">
        <v>105968702.15000005</v>
      </c>
      <c r="M141" s="438"/>
    </row>
    <row r="142" spans="1:13" hidden="1" outlineLevel="1">
      <c r="A142" s="474"/>
      <c r="B142" s="486"/>
      <c r="C142" s="488"/>
      <c r="D142" s="488"/>
      <c r="E142" s="488"/>
      <c r="F142" s="488"/>
      <c r="G142" s="484"/>
      <c r="H142" s="414"/>
      <c r="I142" s="457"/>
      <c r="J142" s="490"/>
      <c r="K142" s="457"/>
      <c r="L142" s="475"/>
      <c r="M142" s="438"/>
    </row>
    <row r="143" spans="1:13" hidden="1" outlineLevel="1">
      <c r="A143" s="451" t="s">
        <v>90</v>
      </c>
      <c r="B143" s="452">
        <v>31</v>
      </c>
      <c r="C143" s="453" t="s">
        <v>675</v>
      </c>
      <c r="D143" s="454"/>
      <c r="E143" s="454"/>
      <c r="F143" s="460"/>
      <c r="G143" s="481">
        <v>0</v>
      </c>
      <c r="H143" s="457"/>
      <c r="I143" s="493">
        <v>3.5665000000000002E-2</v>
      </c>
      <c r="J143" s="415">
        <v>9.7712328767123296E-5</v>
      </c>
      <c r="K143" s="457"/>
      <c r="L143" s="458"/>
      <c r="M143" s="438"/>
    </row>
    <row r="144" spans="1:13" hidden="1" outlineLevel="1">
      <c r="A144" s="451" t="s">
        <v>90</v>
      </c>
      <c r="B144" s="452"/>
      <c r="C144" s="459" t="s">
        <v>674</v>
      </c>
      <c r="D144" s="459"/>
      <c r="E144" s="459"/>
      <c r="F144" s="459"/>
      <c r="G144" s="479"/>
      <c r="H144" s="457">
        <v>319586.88</v>
      </c>
      <c r="I144" s="493">
        <v>3.5665000000000002E-2</v>
      </c>
      <c r="J144" s="415">
        <v>9.7712328767123296E-5</v>
      </c>
      <c r="K144" s="480">
        <v>-462527</v>
      </c>
      <c r="L144" s="458">
        <v>105506175.15000005</v>
      </c>
      <c r="M144" s="476">
        <v>105825762.03000005</v>
      </c>
    </row>
    <row r="145" spans="1:13" hidden="1" outlineLevel="1">
      <c r="A145" s="451" t="s">
        <v>91</v>
      </c>
      <c r="B145" s="452">
        <v>31</v>
      </c>
      <c r="C145" s="453" t="s">
        <v>675</v>
      </c>
      <c r="D145" s="459"/>
      <c r="E145" s="459"/>
      <c r="F145" s="459"/>
      <c r="G145" s="481">
        <v>0</v>
      </c>
      <c r="H145" s="414"/>
      <c r="I145" s="493">
        <v>3.5665000000000002E-2</v>
      </c>
      <c r="J145" s="415">
        <v>9.7712328767123296E-5</v>
      </c>
      <c r="K145" s="457"/>
      <c r="L145" s="458"/>
      <c r="M145" s="438"/>
    </row>
    <row r="146" spans="1:13" hidden="1" outlineLevel="1">
      <c r="A146" s="451" t="s">
        <v>91</v>
      </c>
      <c r="B146" s="452"/>
      <c r="C146" s="459" t="s">
        <v>674</v>
      </c>
      <c r="D146" s="459"/>
      <c r="E146" s="459"/>
      <c r="F146" s="459"/>
      <c r="G146" s="479"/>
      <c r="H146" s="414">
        <v>318202.23</v>
      </c>
      <c r="I146" s="493">
        <v>3.5665000000000002E-2</v>
      </c>
      <c r="J146" s="415">
        <v>9.7712328767123296E-5</v>
      </c>
      <c r="K146" s="480">
        <v>-457118</v>
      </c>
      <c r="L146" s="458">
        <v>105049057.15000005</v>
      </c>
      <c r="M146" s="476">
        <v>105686846.26000005</v>
      </c>
    </row>
    <row r="147" spans="1:13" hidden="1" outlineLevel="1">
      <c r="A147" s="451" t="s">
        <v>237</v>
      </c>
      <c r="B147" s="452">
        <v>30</v>
      </c>
      <c r="C147" s="459" t="s">
        <v>675</v>
      </c>
      <c r="D147" s="454"/>
      <c r="E147" s="454"/>
      <c r="F147" s="460"/>
      <c r="G147" s="485">
        <v>0</v>
      </c>
      <c r="H147" s="414"/>
      <c r="I147" s="493">
        <v>3.5665000000000002E-2</v>
      </c>
      <c r="J147" s="415">
        <v>9.7712328767123296E-5</v>
      </c>
      <c r="K147" s="457"/>
      <c r="L147" s="458"/>
      <c r="M147" s="438"/>
    </row>
    <row r="148" spans="1:13" hidden="1" outlineLevel="1">
      <c r="A148" s="451" t="s">
        <v>237</v>
      </c>
      <c r="B148" s="486"/>
      <c r="C148" s="487" t="s">
        <v>674</v>
      </c>
      <c r="D148" s="488"/>
      <c r="E148" s="488"/>
      <c r="F148" s="488"/>
      <c r="G148" s="482"/>
      <c r="H148" s="467">
        <v>306597.65999999997</v>
      </c>
      <c r="I148" s="494">
        <v>3.5665000000000002E-2</v>
      </c>
      <c r="J148" s="468">
        <v>9.7712328767123296E-5</v>
      </c>
      <c r="K148" s="483">
        <v>-457118</v>
      </c>
      <c r="L148" s="470">
        <v>104591939.15000005</v>
      </c>
      <c r="M148" s="476">
        <v>105536325.92000005</v>
      </c>
    </row>
    <row r="149" spans="1:13" ht="13.5" hidden="1" outlineLevel="1" thickBot="1">
      <c r="A149" s="471" t="s">
        <v>705</v>
      </c>
      <c r="B149" s="486"/>
      <c r="C149" s="488"/>
      <c r="D149" s="488"/>
      <c r="E149" s="488"/>
      <c r="F149" s="488"/>
      <c r="G149" s="484">
        <v>0</v>
      </c>
      <c r="H149" s="489">
        <v>944386.77</v>
      </c>
      <c r="I149" s="457"/>
      <c r="J149" s="490"/>
      <c r="K149" s="457"/>
      <c r="L149" s="477">
        <v>105536325.92000005</v>
      </c>
      <c r="M149" s="438"/>
    </row>
    <row r="150" spans="1:13" hidden="1" outlineLevel="1">
      <c r="A150" s="474"/>
      <c r="B150" s="486"/>
      <c r="C150" s="488"/>
      <c r="D150" s="488"/>
      <c r="E150" s="488"/>
      <c r="F150" s="488"/>
      <c r="G150" s="484"/>
      <c r="H150" s="457"/>
      <c r="I150" s="457"/>
      <c r="J150" s="490"/>
      <c r="K150" s="457"/>
      <c r="L150" s="475"/>
      <c r="M150" s="455"/>
    </row>
    <row r="151" spans="1:13" hidden="1" outlineLevel="1">
      <c r="A151" s="451" t="s">
        <v>238</v>
      </c>
      <c r="B151" s="452">
        <v>31</v>
      </c>
      <c r="C151" s="453" t="s">
        <v>675</v>
      </c>
      <c r="D151" s="454"/>
      <c r="E151" s="454"/>
      <c r="F151" s="460"/>
      <c r="G151" s="481">
        <v>0</v>
      </c>
      <c r="H151" s="457"/>
      <c r="I151" s="493">
        <v>3.5665000000000002E-2</v>
      </c>
      <c r="J151" s="415">
        <v>9.7712328767123296E-5</v>
      </c>
      <c r="K151" s="457"/>
      <c r="L151" s="458"/>
      <c r="M151" s="438"/>
    </row>
    <row r="152" spans="1:13" hidden="1" outlineLevel="1">
      <c r="A152" s="451" t="s">
        <v>238</v>
      </c>
      <c r="B152" s="452"/>
      <c r="C152" s="459" t="s">
        <v>674</v>
      </c>
      <c r="D152" s="459"/>
      <c r="E152" s="459"/>
      <c r="F152" s="459"/>
      <c r="G152" s="479"/>
      <c r="H152" s="457">
        <v>318306.52</v>
      </c>
      <c r="I152" s="493">
        <v>3.5665000000000002E-2</v>
      </c>
      <c r="J152" s="415">
        <v>9.7712328767123296E-5</v>
      </c>
      <c r="K152" s="480">
        <v>-452840</v>
      </c>
      <c r="L152" s="458">
        <v>105083485.92000005</v>
      </c>
      <c r="M152" s="476">
        <v>105401792.44000004</v>
      </c>
    </row>
    <row r="153" spans="1:13" hidden="1" outlineLevel="1">
      <c r="A153" s="451" t="s">
        <v>239</v>
      </c>
      <c r="B153" s="452">
        <v>30</v>
      </c>
      <c r="C153" s="453" t="s">
        <v>675</v>
      </c>
      <c r="D153" s="459"/>
      <c r="E153" s="459"/>
      <c r="F153" s="459"/>
      <c r="G153" s="481">
        <v>0</v>
      </c>
      <c r="H153" s="414"/>
      <c r="I153" s="493">
        <v>3.5665000000000002E-2</v>
      </c>
      <c r="J153" s="415">
        <v>9.7712328767123296E-5</v>
      </c>
      <c r="K153" s="457"/>
      <c r="L153" s="458"/>
      <c r="M153" s="438"/>
    </row>
    <row r="154" spans="1:13" hidden="1" outlineLevel="1">
      <c r="A154" s="451" t="s">
        <v>239</v>
      </c>
      <c r="B154" s="452"/>
      <c r="C154" s="459" t="s">
        <v>674</v>
      </c>
      <c r="D154" s="459"/>
      <c r="E154" s="459"/>
      <c r="F154" s="459"/>
      <c r="G154" s="479"/>
      <c r="H154" s="414">
        <v>306696.39</v>
      </c>
      <c r="I154" s="493">
        <v>3.5665000000000002E-2</v>
      </c>
      <c r="J154" s="415">
        <v>9.7712328767123296E-5</v>
      </c>
      <c r="K154" s="480">
        <v>-457866</v>
      </c>
      <c r="L154" s="458">
        <v>104625619.92000005</v>
      </c>
      <c r="M154" s="476">
        <v>105250622.83000004</v>
      </c>
    </row>
    <row r="155" spans="1:13" hidden="1" outlineLevel="1">
      <c r="A155" s="451" t="s">
        <v>240</v>
      </c>
      <c r="B155" s="452">
        <v>31</v>
      </c>
      <c r="C155" s="453" t="s">
        <v>675</v>
      </c>
      <c r="D155" s="459"/>
      <c r="E155" s="459"/>
      <c r="F155" s="459"/>
      <c r="G155" s="485">
        <v>0</v>
      </c>
      <c r="H155" s="414"/>
      <c r="I155" s="493">
        <v>3.5665000000000002E-2</v>
      </c>
      <c r="J155" s="415">
        <v>9.7712328767123296E-5</v>
      </c>
      <c r="K155" s="480"/>
      <c r="L155" s="458"/>
      <c r="M155" s="476"/>
    </row>
    <row r="156" spans="1:13" hidden="1" outlineLevel="1">
      <c r="A156" s="451" t="s">
        <v>240</v>
      </c>
      <c r="B156" s="452"/>
      <c r="C156" s="459" t="s">
        <v>674</v>
      </c>
      <c r="D156" s="459"/>
      <c r="E156" s="459"/>
      <c r="F156" s="459"/>
      <c r="G156" s="482"/>
      <c r="H156" s="467">
        <v>315658.42</v>
      </c>
      <c r="I156" s="493">
        <v>3.5665000000000002E-2</v>
      </c>
      <c r="J156" s="468">
        <v>9.7712328767123296E-5</v>
      </c>
      <c r="K156" s="483">
        <v>-416358</v>
      </c>
      <c r="L156" s="470">
        <v>104209261.92000005</v>
      </c>
      <c r="M156" s="476">
        <v>105149923.25000004</v>
      </c>
    </row>
    <row r="157" spans="1:13" ht="13.5" hidden="1" outlineLevel="1" thickBot="1">
      <c r="A157" s="471" t="s">
        <v>706</v>
      </c>
      <c r="B157" s="486"/>
      <c r="C157" s="488"/>
      <c r="D157" s="488"/>
      <c r="E157" s="488"/>
      <c r="F157" s="488"/>
      <c r="G157" s="484">
        <v>0</v>
      </c>
      <c r="H157" s="489">
        <v>940661.33000000007</v>
      </c>
      <c r="I157" s="457"/>
      <c r="J157" s="490"/>
      <c r="K157" s="457"/>
      <c r="L157" s="477">
        <v>105149923.25000004</v>
      </c>
      <c r="M157" s="476"/>
    </row>
    <row r="158" spans="1:13" hidden="1" outlineLevel="1">
      <c r="A158" s="492"/>
      <c r="B158" s="452"/>
      <c r="C158" s="459"/>
      <c r="D158" s="459"/>
      <c r="E158" s="459"/>
      <c r="F158" s="459"/>
      <c r="G158" s="479"/>
      <c r="H158" s="457"/>
      <c r="I158" s="493"/>
      <c r="J158" s="415"/>
      <c r="K158" s="465"/>
      <c r="L158" s="458"/>
      <c r="M158" s="476"/>
    </row>
    <row r="159" spans="1:13" hidden="1" outlineLevel="1">
      <c r="A159" s="451" t="s">
        <v>241</v>
      </c>
      <c r="B159" s="452">
        <v>31</v>
      </c>
      <c r="C159" s="453" t="s">
        <v>675</v>
      </c>
      <c r="D159" s="454"/>
      <c r="E159" s="454"/>
      <c r="F159" s="460"/>
      <c r="G159" s="481">
        <v>0</v>
      </c>
      <c r="H159" s="457"/>
      <c r="I159" s="493">
        <v>3.5665000000000002E-2</v>
      </c>
      <c r="J159" s="415">
        <v>9.7712328767123296E-5</v>
      </c>
      <c r="K159" s="457"/>
      <c r="L159" s="458"/>
      <c r="M159" s="438"/>
    </row>
    <row r="160" spans="1:13" hidden="1" outlineLevel="1">
      <c r="A160" s="451" t="s">
        <v>241</v>
      </c>
      <c r="B160" s="452"/>
      <c r="C160" s="459" t="s">
        <v>674</v>
      </c>
      <c r="D160" s="459"/>
      <c r="E160" s="459"/>
      <c r="F160" s="459"/>
      <c r="G160" s="479"/>
      <c r="H160" s="457">
        <v>317120.26</v>
      </c>
      <c r="I160" s="493">
        <v>3.5665000000000002E-2</v>
      </c>
      <c r="J160" s="415">
        <v>9.7712328767123296E-5</v>
      </c>
      <c r="K160" s="480">
        <v>-458060</v>
      </c>
      <c r="L160" s="458">
        <v>104691863.25000004</v>
      </c>
      <c r="M160" s="476">
        <v>105008983.51000005</v>
      </c>
    </row>
    <row r="161" spans="1:13" hidden="1" outlineLevel="1">
      <c r="A161" s="451" t="s">
        <v>242</v>
      </c>
      <c r="B161" s="452">
        <v>28</v>
      </c>
      <c r="C161" s="453" t="s">
        <v>675</v>
      </c>
      <c r="D161" s="459"/>
      <c r="E161" s="459"/>
      <c r="F161" s="459"/>
      <c r="G161" s="481">
        <v>0</v>
      </c>
      <c r="H161" s="414"/>
      <c r="I161" s="493">
        <v>3.5665000000000002E-2</v>
      </c>
      <c r="J161" s="415">
        <v>9.7712328767123296E-5</v>
      </c>
      <c r="K161" s="457"/>
      <c r="L161" s="458"/>
      <c r="M161" s="438"/>
    </row>
    <row r="162" spans="1:13" hidden="1" outlineLevel="1">
      <c r="A162" s="451" t="s">
        <v>242</v>
      </c>
      <c r="B162" s="452"/>
      <c r="C162" s="459" t="s">
        <v>674</v>
      </c>
      <c r="D162" s="459"/>
      <c r="E162" s="459"/>
      <c r="F162" s="459"/>
      <c r="G162" s="479"/>
      <c r="H162" s="414">
        <v>285223.77</v>
      </c>
      <c r="I162" s="493">
        <v>3.5665000000000002E-2</v>
      </c>
      <c r="J162" s="415">
        <v>9.7712328767123296E-5</v>
      </c>
      <c r="K162" s="480">
        <v>-441320</v>
      </c>
      <c r="L162" s="458">
        <v>104250543.25000004</v>
      </c>
      <c r="M162" s="476">
        <v>104852887.28000005</v>
      </c>
    </row>
    <row r="163" spans="1:13" hidden="1" outlineLevel="1">
      <c r="A163" s="451" t="s">
        <v>243</v>
      </c>
      <c r="B163" s="452">
        <v>31</v>
      </c>
      <c r="C163" s="453" t="s">
        <v>675</v>
      </c>
      <c r="D163" s="459"/>
      <c r="E163" s="459"/>
      <c r="F163" s="459"/>
      <c r="G163" s="485">
        <v>0</v>
      </c>
      <c r="H163" s="414"/>
      <c r="I163" s="493">
        <v>3.5665000000000002E-2</v>
      </c>
      <c r="J163" s="415">
        <v>9.7712328767123296E-5</v>
      </c>
      <c r="K163" s="480"/>
      <c r="L163" s="458"/>
      <c r="M163" s="476"/>
    </row>
    <row r="164" spans="1:13" hidden="1" outlineLevel="1">
      <c r="A164" s="451" t="s">
        <v>243</v>
      </c>
      <c r="B164" s="452"/>
      <c r="C164" s="459" t="s">
        <v>674</v>
      </c>
      <c r="D164" s="459"/>
      <c r="E164" s="459"/>
      <c r="F164" s="459"/>
      <c r="G164" s="482"/>
      <c r="H164" s="467">
        <v>314446.67</v>
      </c>
      <c r="I164" s="493">
        <v>3.5665000000000002E-2</v>
      </c>
      <c r="J164" s="468">
        <v>9.7712328767123296E-5</v>
      </c>
      <c r="K164" s="483">
        <v>-441320</v>
      </c>
      <c r="L164" s="470">
        <v>103809223.25000004</v>
      </c>
      <c r="M164" s="476">
        <v>104726013.95000005</v>
      </c>
    </row>
    <row r="165" spans="1:13" ht="13.5" hidden="1" outlineLevel="1" thickBot="1">
      <c r="A165" s="471" t="s">
        <v>707</v>
      </c>
      <c r="B165" s="486"/>
      <c r="C165" s="488"/>
      <c r="D165" s="488"/>
      <c r="E165" s="488"/>
      <c r="F165" s="488"/>
      <c r="G165" s="484">
        <v>0</v>
      </c>
      <c r="H165" s="489">
        <v>916790.7</v>
      </c>
      <c r="I165" s="457"/>
      <c r="J165" s="490"/>
      <c r="K165" s="457"/>
      <c r="L165" s="477">
        <v>104726013.95000005</v>
      </c>
      <c r="M165" s="476"/>
    </row>
    <row r="166" spans="1:13" hidden="1" outlineLevel="1">
      <c r="A166" s="474"/>
      <c r="B166" s="486"/>
      <c r="C166" s="488"/>
      <c r="D166" s="488"/>
      <c r="E166" s="488"/>
      <c r="F166" s="488"/>
      <c r="G166" s="484"/>
      <c r="H166" s="457"/>
      <c r="I166" s="457"/>
      <c r="J166" s="490"/>
      <c r="K166" s="457"/>
      <c r="L166" s="475"/>
      <c r="M166" s="476"/>
    </row>
    <row r="167" spans="1:13" hidden="1" outlineLevel="1">
      <c r="A167" s="451" t="s">
        <v>244</v>
      </c>
      <c r="B167" s="452">
        <v>30</v>
      </c>
      <c r="C167" s="453" t="s">
        <v>675</v>
      </c>
      <c r="D167" s="454"/>
      <c r="E167" s="454"/>
      <c r="F167" s="460"/>
      <c r="G167" s="481">
        <v>0</v>
      </c>
      <c r="H167" s="457"/>
      <c r="I167" s="493">
        <v>3.5665000000000002E-2</v>
      </c>
      <c r="J167" s="415">
        <v>9.7712328767123296E-5</v>
      </c>
      <c r="K167" s="457"/>
      <c r="L167" s="458"/>
      <c r="M167" s="438"/>
    </row>
    <row r="168" spans="1:13" hidden="1" outlineLevel="1">
      <c r="A168" s="451" t="s">
        <v>244</v>
      </c>
      <c r="B168" s="452"/>
      <c r="C168" s="459" t="s">
        <v>674</v>
      </c>
      <c r="D168" s="459"/>
      <c r="E168" s="459"/>
      <c r="F168" s="459"/>
      <c r="G168" s="479"/>
      <c r="H168" s="457">
        <v>305697.01</v>
      </c>
      <c r="I168" s="493">
        <v>3.5665000000000002E-2</v>
      </c>
      <c r="J168" s="415">
        <v>9.7712328767123296E-5</v>
      </c>
      <c r="K168" s="480">
        <v>-441320</v>
      </c>
      <c r="L168" s="458">
        <v>104284693.95000005</v>
      </c>
      <c r="M168" s="476">
        <v>104590390.96000005</v>
      </c>
    </row>
    <row r="169" spans="1:13" hidden="1" outlineLevel="1">
      <c r="A169" s="451" t="s">
        <v>245</v>
      </c>
      <c r="B169" s="452">
        <v>31</v>
      </c>
      <c r="C169" s="453" t="s">
        <v>675</v>
      </c>
      <c r="D169" s="459"/>
      <c r="E169" s="459"/>
      <c r="F169" s="459"/>
      <c r="G169" s="481">
        <v>0</v>
      </c>
      <c r="H169" s="414"/>
      <c r="I169" s="493">
        <v>3.5665000000000002E-2</v>
      </c>
      <c r="J169" s="415">
        <v>9.7712328767123296E-5</v>
      </c>
      <c r="K169" s="457"/>
      <c r="L169" s="458"/>
      <c r="M169" s="438"/>
    </row>
    <row r="170" spans="1:13" hidden="1" outlineLevel="1">
      <c r="A170" s="451" t="s">
        <v>245</v>
      </c>
      <c r="B170" s="452"/>
      <c r="C170" s="459" t="s">
        <v>674</v>
      </c>
      <c r="D170" s="459"/>
      <c r="E170" s="459"/>
      <c r="F170" s="459"/>
      <c r="G170" s="479"/>
      <c r="H170" s="414">
        <v>314549.93</v>
      </c>
      <c r="I170" s="493">
        <v>3.5665000000000002E-2</v>
      </c>
      <c r="J170" s="415">
        <v>9.7712328767123296E-5</v>
      </c>
      <c r="K170" s="480">
        <v>-441380</v>
      </c>
      <c r="L170" s="458">
        <v>103843313.95000005</v>
      </c>
      <c r="M170" s="476">
        <v>104463560.89000006</v>
      </c>
    </row>
    <row r="171" spans="1:13" hidden="1" outlineLevel="1">
      <c r="A171" s="451" t="s">
        <v>246</v>
      </c>
      <c r="B171" s="452">
        <v>30</v>
      </c>
      <c r="C171" s="459" t="s">
        <v>675</v>
      </c>
      <c r="D171" s="454"/>
      <c r="E171" s="454"/>
      <c r="F171" s="460"/>
      <c r="G171" s="485">
        <v>0</v>
      </c>
      <c r="H171" s="414"/>
      <c r="I171" s="493">
        <v>3.5665000000000002E-2</v>
      </c>
      <c r="J171" s="415">
        <v>9.7712328767123296E-5</v>
      </c>
      <c r="K171" s="457"/>
      <c r="L171" s="458"/>
      <c r="M171" s="438"/>
    </row>
    <row r="172" spans="1:13" hidden="1" outlineLevel="1">
      <c r="A172" s="451" t="s">
        <v>246</v>
      </c>
      <c r="B172" s="486"/>
      <c r="C172" s="487" t="s">
        <v>674</v>
      </c>
      <c r="D172" s="488"/>
      <c r="E172" s="488"/>
      <c r="F172" s="488"/>
      <c r="G172" s="482"/>
      <c r="H172" s="467">
        <v>303109.49</v>
      </c>
      <c r="I172" s="493">
        <v>3.5665000000000002E-2</v>
      </c>
      <c r="J172" s="468">
        <v>9.7712328767123296E-5</v>
      </c>
      <c r="K172" s="483">
        <v>-441320</v>
      </c>
      <c r="L172" s="470">
        <v>103401993.95000005</v>
      </c>
      <c r="M172" s="476">
        <v>104325350.38000005</v>
      </c>
    </row>
    <row r="173" spans="1:13" ht="13.5" hidden="1" outlineLevel="1" thickBot="1">
      <c r="A173" s="471" t="s">
        <v>708</v>
      </c>
      <c r="B173" s="486"/>
      <c r="C173" s="488"/>
      <c r="D173" s="488"/>
      <c r="E173" s="488"/>
      <c r="F173" s="488"/>
      <c r="G173" s="484">
        <v>0</v>
      </c>
      <c r="H173" s="489">
        <v>923356.42999999993</v>
      </c>
      <c r="I173" s="457"/>
      <c r="J173" s="490"/>
      <c r="K173" s="457"/>
      <c r="L173" s="477">
        <v>104325350.38000005</v>
      </c>
      <c r="M173" s="438"/>
    </row>
    <row r="174" spans="1:13" hidden="1" outlineLevel="1">
      <c r="A174" s="492"/>
      <c r="B174" s="452"/>
      <c r="C174" s="459"/>
      <c r="D174" s="459"/>
      <c r="E174" s="459"/>
      <c r="F174" s="459"/>
      <c r="G174" s="479"/>
      <c r="H174" s="457"/>
      <c r="I174" s="493"/>
      <c r="J174" s="415"/>
      <c r="K174" s="465"/>
      <c r="L174" s="458"/>
      <c r="M174" s="476"/>
    </row>
    <row r="175" spans="1:13" hidden="1" outlineLevel="1">
      <c r="A175" s="451" t="s">
        <v>247</v>
      </c>
      <c r="B175" s="452">
        <v>31</v>
      </c>
      <c r="C175" s="453" t="s">
        <v>675</v>
      </c>
      <c r="D175" s="454"/>
      <c r="E175" s="454"/>
      <c r="F175" s="460"/>
      <c r="G175" s="481">
        <v>0</v>
      </c>
      <c r="H175" s="457"/>
      <c r="I175" s="493">
        <v>3.5665000000000002E-2</v>
      </c>
      <c r="J175" s="415">
        <v>9.7712328767123296E-5</v>
      </c>
      <c r="K175" s="457"/>
      <c r="L175" s="458"/>
      <c r="M175" s="438"/>
    </row>
    <row r="176" spans="1:13" hidden="1" outlineLevel="1">
      <c r="A176" s="451" t="s">
        <v>247</v>
      </c>
      <c r="B176" s="452"/>
      <c r="C176" s="459" t="s">
        <v>674</v>
      </c>
      <c r="D176" s="459"/>
      <c r="E176" s="459"/>
      <c r="F176" s="459"/>
      <c r="G176" s="479"/>
      <c r="H176" s="457">
        <v>314673.27</v>
      </c>
      <c r="I176" s="493">
        <v>3.5665000000000002E-2</v>
      </c>
      <c r="J176" s="415">
        <v>9.7712328767123296E-5</v>
      </c>
      <c r="K176" s="480">
        <v>-441320</v>
      </c>
      <c r="L176" s="458">
        <v>103884030.38000005</v>
      </c>
      <c r="M176" s="476">
        <v>104198703.65000005</v>
      </c>
    </row>
    <row r="177" spans="1:18" hidden="1" outlineLevel="1">
      <c r="A177" s="451" t="s">
        <v>248</v>
      </c>
      <c r="B177" s="452">
        <v>31</v>
      </c>
      <c r="C177" s="453" t="s">
        <v>675</v>
      </c>
      <c r="D177" s="459"/>
      <c r="E177" s="459"/>
      <c r="F177" s="459"/>
      <c r="G177" s="481">
        <v>0</v>
      </c>
      <c r="H177" s="414"/>
      <c r="I177" s="493">
        <v>3.5665000000000002E-2</v>
      </c>
      <c r="J177" s="415">
        <v>9.7712328767123296E-5</v>
      </c>
      <c r="K177" s="457"/>
      <c r="L177" s="458"/>
      <c r="M177" s="438"/>
      <c r="N177" s="438"/>
      <c r="O177" s="438"/>
      <c r="P177" s="438"/>
      <c r="Q177" s="438"/>
      <c r="R177" s="438"/>
    </row>
    <row r="178" spans="1:18" hidden="1" outlineLevel="1">
      <c r="A178" s="451" t="s">
        <v>248</v>
      </c>
      <c r="B178" s="452"/>
      <c r="C178" s="459" t="s">
        <v>674</v>
      </c>
      <c r="D178" s="459"/>
      <c r="E178" s="459"/>
      <c r="F178" s="459"/>
      <c r="G178" s="479"/>
      <c r="H178" s="414">
        <v>313336.46999999997</v>
      </c>
      <c r="I178" s="493">
        <v>3.5665000000000002E-2</v>
      </c>
      <c r="J178" s="415">
        <v>9.7712328767123296E-5</v>
      </c>
      <c r="K178" s="480">
        <v>-441320</v>
      </c>
      <c r="L178" s="458">
        <v>103442710.38000005</v>
      </c>
      <c r="M178" s="476">
        <v>104070720.12000005</v>
      </c>
      <c r="N178" s="438"/>
      <c r="O178" s="438"/>
      <c r="P178" s="438"/>
      <c r="Q178" s="438"/>
      <c r="R178" s="438"/>
    </row>
    <row r="179" spans="1:18" hidden="1" outlineLevel="1">
      <c r="A179" s="451" t="s">
        <v>249</v>
      </c>
      <c r="B179" s="452">
        <v>30</v>
      </c>
      <c r="C179" s="459" t="s">
        <v>675</v>
      </c>
      <c r="D179" s="454"/>
      <c r="E179" s="454"/>
      <c r="F179" s="460"/>
      <c r="G179" s="485">
        <v>0</v>
      </c>
      <c r="H179" s="414"/>
      <c r="I179" s="493">
        <v>3.5665000000000002E-2</v>
      </c>
      <c r="J179" s="415">
        <v>9.7712328767123296E-5</v>
      </c>
      <c r="K179" s="457"/>
      <c r="L179" s="458"/>
      <c r="M179" s="438"/>
      <c r="N179" s="438"/>
      <c r="O179" s="438"/>
      <c r="P179" s="438"/>
      <c r="Q179" s="438"/>
      <c r="R179" s="438"/>
    </row>
    <row r="180" spans="1:18" hidden="1" outlineLevel="1">
      <c r="A180" s="451" t="s">
        <v>249</v>
      </c>
      <c r="B180" s="486"/>
      <c r="C180" s="487" t="s">
        <v>674</v>
      </c>
      <c r="D180" s="488"/>
      <c r="E180" s="488"/>
      <c r="F180" s="488"/>
      <c r="G180" s="482"/>
      <c r="H180" s="467">
        <v>301935.17</v>
      </c>
      <c r="I180" s="493">
        <v>3.5665000000000002E-2</v>
      </c>
      <c r="J180" s="468">
        <v>9.7712328767123296E-5</v>
      </c>
      <c r="K180" s="483">
        <v>-441320</v>
      </c>
      <c r="L180" s="470">
        <v>103001390.38000005</v>
      </c>
      <c r="M180" s="476">
        <v>103931335.29000005</v>
      </c>
      <c r="N180" s="438"/>
      <c r="O180" s="438"/>
      <c r="P180" s="438"/>
      <c r="Q180" s="438"/>
      <c r="R180" s="438"/>
    </row>
    <row r="181" spans="1:18" ht="13.5" hidden="1" outlineLevel="1" thickBot="1">
      <c r="A181" s="471" t="s">
        <v>709</v>
      </c>
      <c r="B181" s="486"/>
      <c r="C181" s="488"/>
      <c r="D181" s="488"/>
      <c r="E181" s="488"/>
      <c r="F181" s="488"/>
      <c r="G181" s="484">
        <v>0</v>
      </c>
      <c r="H181" s="489">
        <v>929944.90999999992</v>
      </c>
      <c r="I181" s="457"/>
      <c r="J181" s="490"/>
      <c r="K181" s="457"/>
      <c r="L181" s="477">
        <v>103931335.29000005</v>
      </c>
      <c r="M181" s="438"/>
      <c r="N181" s="438"/>
      <c r="O181" s="438"/>
      <c r="P181" s="438"/>
      <c r="Q181" s="438"/>
      <c r="R181" s="438"/>
    </row>
    <row r="182" spans="1:18" hidden="1" outlineLevel="1">
      <c r="A182" s="474"/>
      <c r="B182" s="486"/>
      <c r="C182" s="488"/>
      <c r="D182" s="488"/>
      <c r="E182" s="488"/>
      <c r="F182" s="488"/>
      <c r="G182" s="484"/>
      <c r="H182" s="457"/>
      <c r="I182" s="457"/>
      <c r="J182" s="490"/>
      <c r="K182" s="457"/>
      <c r="L182" s="475"/>
      <c r="M182" s="438"/>
      <c r="N182" s="438"/>
      <c r="O182" s="438"/>
      <c r="P182" s="438"/>
      <c r="Q182" s="438"/>
      <c r="R182" s="438"/>
    </row>
    <row r="183" spans="1:18" hidden="1" outlineLevel="1">
      <c r="A183" s="451" t="s">
        <v>250</v>
      </c>
      <c r="B183" s="452">
        <v>31</v>
      </c>
      <c r="C183" s="453" t="s">
        <v>675</v>
      </c>
      <c r="D183" s="454">
        <v>41564</v>
      </c>
      <c r="E183" s="454">
        <v>41578</v>
      </c>
      <c r="F183" s="460">
        <v>15</v>
      </c>
      <c r="G183" s="505">
        <v>-1886834.66</v>
      </c>
      <c r="H183" s="457"/>
      <c r="I183" s="493">
        <v>3.5665000000000002E-2</v>
      </c>
      <c r="J183" s="415">
        <v>9.7712328767123296E-5</v>
      </c>
      <c r="K183" s="457"/>
      <c r="L183" s="458"/>
      <c r="M183" s="438"/>
      <c r="N183" s="438"/>
      <c r="O183" s="438"/>
      <c r="P183" s="438"/>
      <c r="Q183" s="438"/>
      <c r="R183" s="438"/>
    </row>
    <row r="184" spans="1:18" hidden="1" outlineLevel="1">
      <c r="A184" s="451" t="s">
        <v>250</v>
      </c>
      <c r="B184" s="452"/>
      <c r="C184" s="453" t="s">
        <v>675</v>
      </c>
      <c r="D184" s="454">
        <v>41548</v>
      </c>
      <c r="E184" s="454">
        <v>41578</v>
      </c>
      <c r="F184" s="460">
        <v>31</v>
      </c>
      <c r="G184" s="505">
        <v>-20500000</v>
      </c>
      <c r="H184" s="457"/>
      <c r="I184" s="493">
        <v>3.5665000000000002E-2</v>
      </c>
      <c r="J184" s="415">
        <v>9.7712328767123296E-5</v>
      </c>
      <c r="K184" s="457"/>
      <c r="L184" s="458"/>
      <c r="M184" s="438"/>
      <c r="N184" s="438"/>
      <c r="O184" s="476"/>
      <c r="P184" s="476"/>
      <c r="Q184" s="438"/>
      <c r="R184" s="476"/>
    </row>
    <row r="185" spans="1:18" hidden="1" outlineLevel="1">
      <c r="A185" s="451" t="s">
        <v>250</v>
      </c>
      <c r="B185" s="452"/>
      <c r="C185" s="459" t="s">
        <v>674</v>
      </c>
      <c r="D185" s="459"/>
      <c r="E185" s="459"/>
      <c r="F185" s="459"/>
      <c r="G185" s="479"/>
      <c r="H185" s="457">
        <f>ROUND(J185*((B183*(L181+K185))+(G183*F183)+(G184*F184)),2)</f>
        <v>248618.07</v>
      </c>
      <c r="I185" s="493">
        <v>3.5665000000000002E-2</v>
      </c>
      <c r="J185" s="415">
        <v>9.7712328767123296E-5</v>
      </c>
      <c r="K185" s="480">
        <v>-441320</v>
      </c>
      <c r="L185" s="458">
        <v>81103180.630000055</v>
      </c>
      <c r="M185" s="476">
        <v>81351798.700000048</v>
      </c>
      <c r="N185" s="438"/>
      <c r="O185" s="476"/>
      <c r="P185" s="476"/>
      <c r="Q185" s="438"/>
      <c r="R185" s="476"/>
    </row>
    <row r="186" spans="1:18" hidden="1" outlineLevel="1">
      <c r="A186" s="451" t="s">
        <v>251</v>
      </c>
      <c r="B186" s="452">
        <v>30</v>
      </c>
      <c r="C186" s="453" t="s">
        <v>675</v>
      </c>
      <c r="D186" s="459"/>
      <c r="E186" s="459"/>
      <c r="F186" s="459"/>
      <c r="G186" s="479">
        <v>0</v>
      </c>
      <c r="H186" s="457"/>
      <c r="I186" s="493">
        <v>3.5665000000000002E-2</v>
      </c>
      <c r="J186" s="415">
        <v>9.7712328767123296E-5</v>
      </c>
      <c r="K186" s="480"/>
      <c r="L186" s="458"/>
      <c r="M186" s="476"/>
      <c r="N186" s="438"/>
      <c r="O186" s="476"/>
      <c r="P186" s="476"/>
      <c r="Q186" s="438"/>
      <c r="R186" s="476"/>
    </row>
    <row r="187" spans="1:18" hidden="1" outlineLevel="1">
      <c r="A187" s="451" t="s">
        <v>251</v>
      </c>
      <c r="B187" s="452"/>
      <c r="C187" s="459" t="s">
        <v>674</v>
      </c>
      <c r="D187" s="459"/>
      <c r="E187" s="459"/>
      <c r="F187" s="459"/>
      <c r="G187" s="479">
        <v>0</v>
      </c>
      <c r="H187" s="457">
        <v>236269.35</v>
      </c>
      <c r="I187" s="493">
        <v>3.5665000000000002E-2</v>
      </c>
      <c r="J187" s="415">
        <v>9.7712328767123296E-5</v>
      </c>
      <c r="K187" s="480">
        <v>-502860</v>
      </c>
      <c r="L187" s="458">
        <v>80600320.629999995</v>
      </c>
      <c r="M187" s="476"/>
      <c r="N187" s="438"/>
      <c r="O187" s="476"/>
      <c r="P187" s="476"/>
      <c r="Q187" s="438"/>
      <c r="R187" s="476"/>
    </row>
    <row r="188" spans="1:18" hidden="1" outlineLevel="1">
      <c r="A188" s="451" t="s">
        <v>252</v>
      </c>
      <c r="B188" s="452">
        <v>31</v>
      </c>
      <c r="C188" s="453" t="s">
        <v>675</v>
      </c>
      <c r="D188" s="459"/>
      <c r="E188" s="459"/>
      <c r="F188" s="459"/>
      <c r="G188" s="479"/>
      <c r="H188" s="457"/>
      <c r="I188" s="493">
        <v>3.5665000000000002E-2</v>
      </c>
      <c r="J188" s="415">
        <v>9.7712328767123296E-5</v>
      </c>
      <c r="K188" s="480"/>
      <c r="L188" s="458"/>
      <c r="M188" s="476"/>
      <c r="N188" s="438"/>
      <c r="O188" s="476"/>
      <c r="P188" s="476"/>
      <c r="Q188" s="438"/>
      <c r="R188" s="476"/>
    </row>
    <row r="189" spans="1:18" hidden="1" outlineLevel="1">
      <c r="A189" s="451" t="s">
        <v>252</v>
      </c>
      <c r="B189" s="452"/>
      <c r="C189" s="459" t="s">
        <v>674</v>
      </c>
      <c r="D189" s="459"/>
      <c r="E189" s="459"/>
      <c r="F189" s="459"/>
      <c r="G189" s="479"/>
      <c r="H189" s="457">
        <v>242621.79</v>
      </c>
      <c r="I189" s="493">
        <v>3.5665000000000002E-2</v>
      </c>
      <c r="J189" s="415">
        <v>9.7712328767123296E-5</v>
      </c>
      <c r="K189" s="480">
        <v>-502860</v>
      </c>
      <c r="L189" s="458">
        <v>80824969.840000004</v>
      </c>
      <c r="M189" s="476"/>
      <c r="N189" s="438"/>
      <c r="O189" s="476"/>
      <c r="P189" s="476"/>
      <c r="Q189" s="438"/>
      <c r="R189" s="476"/>
    </row>
    <row r="190" spans="1:18" collapsed="1">
      <c r="A190" s="492"/>
      <c r="B190" s="452"/>
      <c r="C190" s="459"/>
      <c r="D190" s="459"/>
      <c r="E190" s="459"/>
      <c r="F190" s="459"/>
      <c r="G190" s="479"/>
      <c r="H190" s="457"/>
      <c r="I190" s="493"/>
      <c r="J190" s="415"/>
      <c r="K190" s="480"/>
      <c r="L190" s="458"/>
      <c r="M190" s="476"/>
      <c r="N190" s="438"/>
      <c r="O190" s="476"/>
      <c r="P190" s="476"/>
      <c r="Q190" s="438"/>
      <c r="R190" s="476"/>
    </row>
    <row r="191" spans="1:18">
      <c r="A191" s="451" t="s">
        <v>253</v>
      </c>
      <c r="B191" s="452">
        <v>31</v>
      </c>
      <c r="C191" s="453" t="s">
        <v>675</v>
      </c>
      <c r="D191" s="459"/>
      <c r="E191" s="459"/>
      <c r="F191" s="459"/>
      <c r="G191" s="479"/>
      <c r="H191" s="457"/>
      <c r="I191" s="493">
        <v>3.5665000000000002E-2</v>
      </c>
      <c r="J191" s="415">
        <v>9.7712328767123296E-5</v>
      </c>
      <c r="K191" s="480"/>
      <c r="L191" s="458"/>
      <c r="M191" s="476"/>
      <c r="N191" s="438"/>
      <c r="O191" s="476"/>
      <c r="P191" s="476"/>
      <c r="Q191" s="438"/>
      <c r="R191" s="476"/>
    </row>
    <row r="192" spans="1:18">
      <c r="A192" s="451" t="s">
        <v>253</v>
      </c>
      <c r="B192" s="452"/>
      <c r="C192" s="459" t="s">
        <v>674</v>
      </c>
      <c r="D192" s="459"/>
      <c r="E192" s="459"/>
      <c r="F192" s="459"/>
      <c r="G192" s="479"/>
      <c r="H192" s="457">
        <v>243302.27</v>
      </c>
      <c r="I192" s="493">
        <v>3.5665000000000002E-2</v>
      </c>
      <c r="J192" s="415">
        <v>9.7712328767123296E-5</v>
      </c>
      <c r="K192" s="480">
        <v>-502860</v>
      </c>
      <c r="L192" s="458">
        <v>80322109.840000004</v>
      </c>
      <c r="M192" s="476"/>
      <c r="N192" s="438"/>
      <c r="O192" s="476"/>
      <c r="P192" s="476"/>
      <c r="Q192" s="438"/>
      <c r="R192" s="476"/>
    </row>
    <row r="193" spans="1:18">
      <c r="A193" s="451" t="s">
        <v>254</v>
      </c>
      <c r="B193" s="452">
        <v>28</v>
      </c>
      <c r="C193" s="453" t="s">
        <v>675</v>
      </c>
      <c r="D193" s="454">
        <v>41683</v>
      </c>
      <c r="E193" s="454">
        <v>41698</v>
      </c>
      <c r="F193" s="460">
        <v>16</v>
      </c>
      <c r="G193" s="561">
        <v>-105098.23</v>
      </c>
      <c r="H193" s="457"/>
      <c r="I193" s="493">
        <v>3.5665000000000002E-2</v>
      </c>
      <c r="J193" s="415">
        <v>9.7712328767123296E-5</v>
      </c>
      <c r="K193" s="480"/>
      <c r="L193" s="458"/>
      <c r="M193" s="476"/>
      <c r="N193" s="438"/>
      <c r="O193" s="476"/>
      <c r="P193" s="476"/>
      <c r="Q193" s="438"/>
      <c r="R193" s="476"/>
    </row>
    <row r="194" spans="1:18">
      <c r="A194" s="451" t="s">
        <v>254</v>
      </c>
      <c r="B194" s="452"/>
      <c r="C194" s="459" t="s">
        <v>674</v>
      </c>
      <c r="D194" s="459"/>
      <c r="E194" s="459"/>
      <c r="F194" s="459"/>
      <c r="G194" s="479"/>
      <c r="H194" s="457">
        <v>218216.78</v>
      </c>
      <c r="I194" s="493">
        <v>3.5665000000000002E-2</v>
      </c>
      <c r="J194" s="415">
        <v>9.7712328767123296E-5</v>
      </c>
      <c r="K194" s="480">
        <v>-502860</v>
      </c>
      <c r="L194" s="458">
        <v>79714151.609999999</v>
      </c>
      <c r="M194" s="476"/>
      <c r="N194" s="438"/>
      <c r="O194" s="476"/>
      <c r="P194" s="476"/>
      <c r="Q194" s="438"/>
      <c r="R194" s="476"/>
    </row>
    <row r="195" spans="1:18">
      <c r="A195" s="451" t="s">
        <v>255</v>
      </c>
      <c r="B195" s="452">
        <v>31</v>
      </c>
      <c r="C195" s="453" t="s">
        <v>675</v>
      </c>
      <c r="D195" s="459"/>
      <c r="E195" s="459"/>
      <c r="F195" s="459"/>
      <c r="G195" s="479">
        <v>0</v>
      </c>
      <c r="H195" s="457"/>
      <c r="I195" s="493">
        <v>3.5665000000000002E-2</v>
      </c>
      <c r="J195" s="415">
        <v>9.7712328767123296E-5</v>
      </c>
      <c r="K195" s="480"/>
      <c r="L195" s="458"/>
      <c r="M195" s="476"/>
      <c r="N195" s="438"/>
      <c r="O195" s="476"/>
      <c r="P195" s="476"/>
      <c r="Q195" s="438"/>
      <c r="R195" s="476"/>
    </row>
    <row r="196" spans="1:18">
      <c r="A196" s="451" t="s">
        <v>255</v>
      </c>
      <c r="B196" s="452"/>
      <c r="C196" s="459" t="s">
        <v>674</v>
      </c>
      <c r="D196" s="459"/>
      <c r="E196" s="459"/>
      <c r="F196" s="459"/>
      <c r="G196" s="479"/>
      <c r="H196" s="457">
        <v>239937.51</v>
      </c>
      <c r="I196" s="493">
        <v>3.5665000000000002E-2</v>
      </c>
      <c r="J196" s="415">
        <v>9.7712328767123296E-5</v>
      </c>
      <c r="K196" s="480">
        <v>-502860</v>
      </c>
      <c r="L196" s="458">
        <v>79211291.610000044</v>
      </c>
      <c r="M196" s="476"/>
      <c r="N196" s="438"/>
      <c r="O196" s="476"/>
      <c r="P196" s="476"/>
      <c r="Q196" s="438"/>
      <c r="R196" s="476"/>
    </row>
    <row r="197" spans="1:18" ht="13.5" thickBot="1">
      <c r="A197" s="471" t="s">
        <v>814</v>
      </c>
      <c r="B197" s="452"/>
      <c r="C197" s="459"/>
      <c r="D197" s="459"/>
      <c r="E197" s="459"/>
      <c r="F197" s="459"/>
      <c r="G197" s="824">
        <v>-105098.23</v>
      </c>
      <c r="H197" s="825">
        <v>701456.56</v>
      </c>
      <c r="I197" s="826"/>
      <c r="J197" s="827"/>
      <c r="K197" s="828"/>
      <c r="L197" s="829">
        <v>79912748.170000046</v>
      </c>
      <c r="M197" s="476"/>
      <c r="N197" s="438"/>
      <c r="O197" s="476"/>
      <c r="P197" s="476"/>
      <c r="Q197" s="438"/>
      <c r="R197" s="476"/>
    </row>
    <row r="198" spans="1:18" ht="13.5" thickTop="1">
      <c r="A198" s="474"/>
      <c r="B198" s="452"/>
      <c r="C198" s="459"/>
      <c r="D198" s="459"/>
      <c r="E198" s="459"/>
      <c r="F198" s="459"/>
      <c r="G198" s="479"/>
      <c r="H198" s="457"/>
      <c r="I198" s="493"/>
      <c r="J198" s="415"/>
      <c r="K198" s="480"/>
      <c r="L198" s="830"/>
      <c r="M198" s="476"/>
      <c r="N198" s="438"/>
      <c r="O198" s="476"/>
      <c r="P198" s="476"/>
      <c r="Q198" s="438"/>
      <c r="R198" s="476"/>
    </row>
    <row r="199" spans="1:18">
      <c r="A199" s="451" t="s">
        <v>256</v>
      </c>
      <c r="B199" s="799">
        <v>30</v>
      </c>
      <c r="C199" s="453" t="s">
        <v>675</v>
      </c>
      <c r="D199" s="459"/>
      <c r="E199" s="459"/>
      <c r="F199" s="459"/>
      <c r="G199" s="479"/>
      <c r="H199" s="800"/>
      <c r="I199" s="801">
        <v>3.5665000000000002E-2</v>
      </c>
      <c r="J199" s="802">
        <v>9.7712328767123296E-5</v>
      </c>
      <c r="K199" s="803"/>
      <c r="L199" s="831"/>
      <c r="M199" s="476"/>
      <c r="N199" s="438"/>
      <c r="O199" s="476"/>
      <c r="P199" s="476"/>
      <c r="Q199" s="438"/>
      <c r="R199" s="476"/>
    </row>
    <row r="200" spans="1:18">
      <c r="A200" s="451" t="s">
        <v>256</v>
      </c>
      <c r="B200" s="799"/>
      <c r="C200" s="459" t="s">
        <v>674</v>
      </c>
      <c r="D200" s="459"/>
      <c r="E200" s="459"/>
      <c r="F200" s="459"/>
      <c r="G200" s="479"/>
      <c r="H200" s="800">
        <v>232779.75</v>
      </c>
      <c r="I200" s="801">
        <v>3.5665000000000002E-2</v>
      </c>
      <c r="J200" s="802">
        <v>9.7712328767123296E-5</v>
      </c>
      <c r="K200" s="803">
        <v>-502860</v>
      </c>
      <c r="L200" s="831">
        <f>M196+K200</f>
        <v>-502860</v>
      </c>
      <c r="M200" s="476"/>
      <c r="N200" s="438"/>
      <c r="O200" s="476"/>
      <c r="P200" s="476"/>
      <c r="Q200" s="438"/>
      <c r="R200" s="476"/>
    </row>
    <row r="201" spans="1:18">
      <c r="A201" s="451" t="s">
        <v>257</v>
      </c>
      <c r="B201" s="452">
        <v>31</v>
      </c>
      <c r="C201" s="453" t="s">
        <v>675</v>
      </c>
      <c r="D201" s="459"/>
      <c r="E201" s="459"/>
      <c r="F201" s="459"/>
      <c r="G201" s="479"/>
      <c r="H201" s="457"/>
      <c r="I201" s="801">
        <v>3.5665000000000002E-2</v>
      </c>
      <c r="J201" s="802">
        <v>9.7712328767123296E-5</v>
      </c>
      <c r="K201" s="480"/>
      <c r="L201" s="830"/>
      <c r="M201" s="476"/>
      <c r="N201" s="438"/>
      <c r="O201" s="476"/>
      <c r="P201" s="476"/>
      <c r="Q201" s="438"/>
      <c r="R201" s="476"/>
    </row>
    <row r="202" spans="1:18">
      <c r="A202" s="451" t="s">
        <v>257</v>
      </c>
      <c r="B202" s="452"/>
      <c r="C202" s="459" t="s">
        <v>674</v>
      </c>
      <c r="D202" s="459"/>
      <c r="E202" s="459"/>
      <c r="F202" s="459"/>
      <c r="G202" s="479"/>
      <c r="H202" s="457">
        <v>239015.87</v>
      </c>
      <c r="I202" s="801">
        <v>3.5665000000000002E-2</v>
      </c>
      <c r="J202" s="802">
        <v>9.7712328767123296E-5</v>
      </c>
      <c r="K202" s="803">
        <v>-502860</v>
      </c>
      <c r="L202" s="830">
        <f>L200+K202</f>
        <v>-1005720</v>
      </c>
      <c r="M202" s="476"/>
      <c r="N202" s="438"/>
      <c r="O202" s="476"/>
      <c r="P202" s="476"/>
      <c r="Q202" s="438"/>
      <c r="R202" s="476"/>
    </row>
    <row r="203" spans="1:18">
      <c r="A203" s="451" t="s">
        <v>258</v>
      </c>
      <c r="B203" s="452">
        <v>30</v>
      </c>
      <c r="C203" s="459" t="s">
        <v>675</v>
      </c>
      <c r="D203" s="459"/>
      <c r="E203" s="459"/>
      <c r="F203" s="459"/>
      <c r="G203" s="479"/>
      <c r="H203" s="457"/>
      <c r="I203" s="801">
        <v>3.5665000000000002E-2</v>
      </c>
      <c r="J203" s="802">
        <v>9.7712328767123296E-5</v>
      </c>
      <c r="K203" s="480"/>
      <c r="L203" s="830"/>
      <c r="M203" s="476"/>
      <c r="N203" s="438"/>
      <c r="O203" s="476"/>
      <c r="P203" s="476"/>
      <c r="Q203" s="438"/>
      <c r="R203" s="476"/>
    </row>
    <row r="204" spans="1:18">
      <c r="A204" s="451" t="s">
        <v>258</v>
      </c>
      <c r="B204" s="486"/>
      <c r="C204" s="487" t="s">
        <v>674</v>
      </c>
      <c r="D204" s="459"/>
      <c r="E204" s="459"/>
      <c r="F204" s="459"/>
      <c r="G204" s="479"/>
      <c r="H204" s="457">
        <v>229831.62</v>
      </c>
      <c r="I204" s="801">
        <v>3.5665000000000002E-2</v>
      </c>
      <c r="J204" s="802">
        <v>9.7712328767123296E-5</v>
      </c>
      <c r="K204" s="803">
        <v>-502860</v>
      </c>
      <c r="L204" s="830">
        <f>L202+K204</f>
        <v>-1508580</v>
      </c>
      <c r="M204" s="476"/>
      <c r="N204" s="438"/>
      <c r="O204" s="476"/>
      <c r="P204" s="476"/>
      <c r="Q204" s="438"/>
      <c r="R204" s="476"/>
    </row>
    <row r="205" spans="1:18" ht="13.5" thickBot="1">
      <c r="A205" s="471" t="s">
        <v>836</v>
      </c>
      <c r="B205" s="452"/>
      <c r="C205" s="459"/>
      <c r="D205" s="459"/>
      <c r="E205" s="459"/>
      <c r="F205" s="459"/>
      <c r="H205" s="820">
        <f>SUM(H200:H204)</f>
        <v>701627.24</v>
      </c>
      <c r="I205" s="821"/>
      <c r="J205" s="822"/>
      <c r="K205" s="822"/>
      <c r="L205" s="832">
        <v>79105795.409999996</v>
      </c>
      <c r="M205" s="476"/>
      <c r="N205" s="438"/>
      <c r="O205" s="476"/>
      <c r="P205" s="476"/>
      <c r="Q205" s="438"/>
      <c r="R205" s="476"/>
    </row>
    <row r="206" spans="1:18" ht="13.5" thickTop="1">
      <c r="A206" s="474"/>
      <c r="B206" s="452"/>
      <c r="C206" s="459"/>
      <c r="D206" s="459"/>
      <c r="E206" s="459"/>
      <c r="F206" s="459"/>
      <c r="G206" s="479"/>
      <c r="H206" s="457"/>
      <c r="I206" s="493"/>
      <c r="J206" s="415"/>
      <c r="K206" s="480"/>
      <c r="L206" s="830"/>
      <c r="M206" s="476"/>
      <c r="N206" s="438"/>
      <c r="O206" s="476"/>
      <c r="P206" s="476"/>
      <c r="Q206" s="438"/>
      <c r="R206" s="476"/>
    </row>
    <row r="207" spans="1:18" ht="13.5" thickBot="1">
      <c r="A207" s="474" t="s">
        <v>839</v>
      </c>
      <c r="B207" s="452"/>
      <c r="C207" s="459"/>
      <c r="D207" s="459"/>
      <c r="E207" s="459"/>
      <c r="F207" s="459"/>
      <c r="G207" s="819">
        <v>77273856.370000005</v>
      </c>
      <c r="H207" s="820">
        <f>14530728.04</f>
        <v>14530728.039999999</v>
      </c>
      <c r="I207" s="821"/>
      <c r="J207" s="822"/>
      <c r="K207" s="823">
        <f>SUM(K16:K204)</f>
        <v>-12698789</v>
      </c>
      <c r="L207" s="832">
        <v>79105795.409999996</v>
      </c>
      <c r="M207" s="476"/>
      <c r="N207" s="438"/>
      <c r="O207" s="476"/>
      <c r="P207" s="476"/>
      <c r="Q207" s="438"/>
      <c r="R207" s="476"/>
    </row>
    <row r="208" spans="1:18" ht="13.5" thickTop="1">
      <c r="A208" s="474"/>
      <c r="B208" s="452"/>
      <c r="C208" s="459"/>
      <c r="D208" s="459"/>
      <c r="E208" s="459"/>
      <c r="F208" s="459"/>
      <c r="G208" s="479"/>
      <c r="H208" s="457"/>
      <c r="I208" s="493"/>
      <c r="J208" s="415"/>
      <c r="K208" s="480"/>
      <c r="L208" s="830"/>
      <c r="M208" s="476"/>
      <c r="N208" s="438"/>
      <c r="O208" s="476"/>
      <c r="P208" s="476"/>
      <c r="Q208" s="438"/>
      <c r="R208" s="476"/>
    </row>
    <row r="209" spans="1:18">
      <c r="A209" s="451" t="s">
        <v>259</v>
      </c>
      <c r="B209" s="452">
        <v>31</v>
      </c>
      <c r="C209" s="453" t="s">
        <v>675</v>
      </c>
      <c r="D209" s="459"/>
      <c r="E209" s="459"/>
      <c r="F209" s="459"/>
      <c r="G209" s="479"/>
      <c r="H209" s="457"/>
      <c r="I209" s="801">
        <v>3.5665000000000002E-2</v>
      </c>
      <c r="J209" s="802">
        <v>9.7712328767123296E-5</v>
      </c>
      <c r="K209" s="480"/>
      <c r="L209" s="830"/>
      <c r="M209" s="476"/>
      <c r="N209" s="438"/>
      <c r="O209" s="476"/>
      <c r="P209" s="476"/>
      <c r="Q209" s="438"/>
      <c r="R209" s="476"/>
    </row>
    <row r="210" spans="1:18">
      <c r="A210" s="451" t="s">
        <v>259</v>
      </c>
      <c r="B210" s="452"/>
      <c r="C210" s="459" t="s">
        <v>674</v>
      </c>
      <c r="D210" s="459"/>
      <c r="E210" s="459"/>
      <c r="F210" s="459"/>
      <c r="G210" s="479"/>
      <c r="H210" s="457">
        <v>238094.75</v>
      </c>
      <c r="I210" s="801">
        <v>3.5665000000000002E-2</v>
      </c>
      <c r="J210" s="802">
        <v>9.7712328767123296E-5</v>
      </c>
      <c r="K210" s="803">
        <v>-502860</v>
      </c>
      <c r="L210" s="830">
        <v>78602935.409999996</v>
      </c>
      <c r="M210" s="476"/>
      <c r="N210" s="438"/>
      <c r="O210" s="476"/>
      <c r="P210" s="476"/>
      <c r="Q210" s="438"/>
      <c r="R210" s="476"/>
    </row>
    <row r="211" spans="1:18">
      <c r="A211" s="451" t="s">
        <v>260</v>
      </c>
      <c r="B211" s="452">
        <v>31</v>
      </c>
      <c r="C211" s="453" t="s">
        <v>675</v>
      </c>
      <c r="D211" s="459"/>
      <c r="E211" s="459"/>
      <c r="F211" s="459"/>
      <c r="H211" s="457"/>
      <c r="I211" s="801">
        <v>3.5665000000000002E-2</v>
      </c>
      <c r="J211" s="802">
        <v>9.7712328767123296E-5</v>
      </c>
      <c r="K211" s="480"/>
      <c r="L211" s="830"/>
      <c r="M211" s="476"/>
      <c r="N211" s="438"/>
      <c r="O211" s="476"/>
      <c r="P211" s="476"/>
      <c r="Q211" s="438"/>
      <c r="R211" s="476"/>
    </row>
    <row r="212" spans="1:18">
      <c r="A212" s="451" t="s">
        <v>260</v>
      </c>
      <c r="B212" s="452"/>
      <c r="C212" s="459" t="s">
        <v>674</v>
      </c>
      <c r="D212" s="459"/>
      <c r="E212" s="459"/>
      <c r="F212" s="459"/>
      <c r="G212" s="479"/>
      <c r="H212" s="457">
        <v>236571.55</v>
      </c>
      <c r="I212" s="801">
        <v>3.5665000000000002E-2</v>
      </c>
      <c r="J212" s="802">
        <v>9.7712328767123296E-5</v>
      </c>
      <c r="K212" s="803">
        <v>-502860</v>
      </c>
      <c r="L212" s="830">
        <v>78100075.409999996</v>
      </c>
      <c r="M212" s="476"/>
      <c r="N212" s="438"/>
      <c r="O212" s="476"/>
      <c r="P212" s="476"/>
      <c r="Q212" s="438"/>
      <c r="R212" s="476"/>
    </row>
    <row r="213" spans="1:18">
      <c r="A213" s="451" t="s">
        <v>261</v>
      </c>
      <c r="B213" s="452">
        <v>30</v>
      </c>
      <c r="C213" s="459" t="s">
        <v>675</v>
      </c>
      <c r="D213" s="459"/>
      <c r="E213" s="459"/>
      <c r="F213" s="459"/>
      <c r="G213" s="479"/>
      <c r="H213" s="457"/>
      <c r="I213" s="801">
        <v>3.5665000000000002E-2</v>
      </c>
      <c r="J213" s="802">
        <v>9.7712328767123296E-5</v>
      </c>
      <c r="K213" s="803"/>
      <c r="L213" s="830"/>
      <c r="M213" s="476"/>
      <c r="N213" s="438"/>
      <c r="O213" s="476"/>
      <c r="P213" s="476"/>
      <c r="Q213" s="438"/>
      <c r="R213" s="476"/>
    </row>
    <row r="214" spans="1:18">
      <c r="A214" s="451" t="s">
        <v>261</v>
      </c>
      <c r="B214" s="486"/>
      <c r="C214" s="487" t="s">
        <v>674</v>
      </c>
      <c r="D214" s="459"/>
      <c r="E214" s="459"/>
      <c r="F214" s="459"/>
      <c r="G214" s="479"/>
      <c r="H214" s="457">
        <v>227466.14</v>
      </c>
      <c r="I214" s="801">
        <v>3.5665000000000002E-2</v>
      </c>
      <c r="J214" s="802">
        <v>9.7712328767123296E-5</v>
      </c>
      <c r="K214" s="803">
        <v>-502860</v>
      </c>
      <c r="L214" s="830">
        <v>77597215.409999996</v>
      </c>
      <c r="M214" s="476"/>
      <c r="N214" s="438"/>
      <c r="O214" s="476"/>
      <c r="P214" s="476"/>
      <c r="Q214" s="438"/>
      <c r="R214" s="476"/>
    </row>
    <row r="215" spans="1:18" ht="13.5" thickBot="1">
      <c r="A215" s="471" t="s">
        <v>843</v>
      </c>
      <c r="B215" s="486"/>
      <c r="C215" s="487"/>
      <c r="D215" s="459"/>
      <c r="E215" s="459"/>
      <c r="F215" s="459"/>
      <c r="G215" s="479"/>
      <c r="H215" s="820">
        <f>SUM(H210:H214)</f>
        <v>702132.44</v>
      </c>
      <c r="I215" s="843"/>
      <c r="J215" s="844"/>
      <c r="K215" s="820"/>
      <c r="L215" s="832">
        <v>78299347.849999994</v>
      </c>
      <c r="M215" s="476"/>
      <c r="N215" s="438"/>
      <c r="O215" s="476"/>
      <c r="P215" s="476"/>
      <c r="Q215" s="438"/>
      <c r="R215" s="476"/>
    </row>
    <row r="216" spans="1:18" ht="13.5" thickTop="1">
      <c r="A216" s="492"/>
      <c r="B216" s="486"/>
      <c r="C216" s="487"/>
      <c r="D216" s="459"/>
      <c r="E216" s="459"/>
      <c r="F216" s="459"/>
      <c r="G216" s="479"/>
      <c r="H216" s="457"/>
      <c r="I216" s="801"/>
      <c r="J216" s="802"/>
      <c r="K216" s="803"/>
      <c r="L216" s="830"/>
      <c r="M216" s="476"/>
      <c r="N216" s="438"/>
      <c r="O216" s="476"/>
      <c r="P216" s="476"/>
      <c r="Q216" s="438"/>
      <c r="R216" s="476"/>
    </row>
    <row r="217" spans="1:18">
      <c r="A217" s="451" t="s">
        <v>262</v>
      </c>
      <c r="B217" s="452">
        <v>31</v>
      </c>
      <c r="C217" s="453" t="s">
        <v>675</v>
      </c>
      <c r="D217" s="459"/>
      <c r="E217" s="459"/>
      <c r="F217" s="459"/>
      <c r="G217" s="479"/>
      <c r="H217" s="457">
        <v>235651.96</v>
      </c>
      <c r="I217" s="801">
        <v>3.5665000000000002E-2</v>
      </c>
      <c r="J217" s="802">
        <v>9.7712328767123296E-5</v>
      </c>
      <c r="K217" s="803">
        <v>-502860</v>
      </c>
      <c r="L217" s="830">
        <v>77796487.849999994</v>
      </c>
      <c r="M217" s="476"/>
      <c r="N217" s="438"/>
      <c r="O217" s="476"/>
      <c r="P217" s="476"/>
      <c r="Q217" s="438"/>
      <c r="R217" s="476"/>
    </row>
    <row r="218" spans="1:18">
      <c r="A218" s="451" t="s">
        <v>262</v>
      </c>
      <c r="B218" s="452"/>
      <c r="C218" s="459" t="s">
        <v>674</v>
      </c>
      <c r="D218" s="459"/>
      <c r="E218" s="459"/>
      <c r="F218" s="459"/>
      <c r="G218" s="479"/>
      <c r="H218" s="457"/>
      <c r="I218" s="801">
        <v>3.5665000000000002E-2</v>
      </c>
      <c r="J218" s="802">
        <v>9.7712328767123296E-5</v>
      </c>
      <c r="K218" s="803"/>
      <c r="L218" s="830"/>
      <c r="M218" s="476"/>
      <c r="N218" s="438"/>
      <c r="O218" s="476"/>
      <c r="P218" s="476"/>
      <c r="Q218" s="438"/>
      <c r="R218" s="476"/>
    </row>
    <row r="219" spans="1:18">
      <c r="A219" s="451" t="s">
        <v>263</v>
      </c>
      <c r="B219" s="452">
        <v>30</v>
      </c>
      <c r="C219" s="453" t="s">
        <v>675</v>
      </c>
      <c r="D219" s="459"/>
      <c r="E219" s="459"/>
      <c r="F219" s="459"/>
      <c r="G219" s="479"/>
      <c r="H219" s="457"/>
      <c r="I219" s="801">
        <v>3.5665000000000002E-2</v>
      </c>
      <c r="J219" s="802">
        <v>9.7712328767123296E-5</v>
      </c>
      <c r="K219" s="803">
        <v>-502860</v>
      </c>
      <c r="L219" s="830">
        <v>77293627.849999994</v>
      </c>
      <c r="M219" s="476"/>
      <c r="N219" s="438"/>
      <c r="O219" s="476"/>
      <c r="P219" s="476"/>
      <c r="Q219" s="438"/>
      <c r="R219" s="476"/>
    </row>
    <row r="220" spans="1:18">
      <c r="A220" s="451" t="s">
        <v>263</v>
      </c>
      <c r="B220" s="452"/>
      <c r="C220" s="459" t="s">
        <v>674</v>
      </c>
      <c r="D220" s="459"/>
      <c r="E220" s="459"/>
      <c r="F220" s="459"/>
      <c r="G220" s="479"/>
      <c r="H220" s="457">
        <v>226576.21</v>
      </c>
      <c r="I220" s="801">
        <v>3.5665000000000002E-2</v>
      </c>
      <c r="J220" s="802">
        <v>9.7712328767123296E-5</v>
      </c>
      <c r="K220" s="803"/>
      <c r="L220" s="830"/>
      <c r="M220" s="476"/>
      <c r="N220" s="438"/>
      <c r="O220" s="476"/>
      <c r="P220" s="476"/>
      <c r="Q220" s="438"/>
      <c r="R220" s="476"/>
    </row>
    <row r="221" spans="1:18">
      <c r="A221" s="451" t="s">
        <v>264</v>
      </c>
      <c r="B221" s="452">
        <v>31</v>
      </c>
      <c r="C221" s="453" t="s">
        <v>675</v>
      </c>
      <c r="D221" s="459"/>
      <c r="E221" s="459"/>
      <c r="F221" s="459"/>
      <c r="G221" s="479"/>
      <c r="H221" s="457"/>
      <c r="I221" s="801">
        <v>3.5665000000000002E-2</v>
      </c>
      <c r="J221" s="802">
        <v>9.7712328767123296E-5</v>
      </c>
      <c r="K221" s="803">
        <v>-502860</v>
      </c>
      <c r="L221" s="830">
        <v>76790767.849999994</v>
      </c>
      <c r="M221" s="476"/>
      <c r="N221" s="438"/>
      <c r="O221" s="476"/>
      <c r="P221" s="476"/>
      <c r="Q221" s="438"/>
      <c r="R221" s="476"/>
    </row>
    <row r="222" spans="1:18">
      <c r="A222" s="451" t="s">
        <v>264</v>
      </c>
      <c r="B222" s="452"/>
      <c r="C222" s="459" t="s">
        <v>674</v>
      </c>
      <c r="D222" s="459"/>
      <c r="E222" s="459"/>
      <c r="F222" s="459"/>
      <c r="G222" s="479"/>
      <c r="H222" s="874">
        <v>232605.55</v>
      </c>
      <c r="I222" s="801">
        <v>3.5665000000000002E-2</v>
      </c>
      <c r="J222" s="802">
        <v>9.7712328767123296E-5</v>
      </c>
      <c r="K222" s="803"/>
      <c r="L222" s="875"/>
      <c r="M222" s="476"/>
      <c r="N222" s="438"/>
      <c r="O222" s="476"/>
      <c r="P222" s="476"/>
      <c r="Q222" s="438"/>
      <c r="R222" s="476"/>
    </row>
    <row r="223" spans="1:18" ht="13.5" thickBot="1">
      <c r="A223" s="471" t="s">
        <v>860</v>
      </c>
      <c r="B223" s="486"/>
      <c r="C223" s="487"/>
      <c r="D223" s="459"/>
      <c r="E223" s="459"/>
      <c r="F223" s="459"/>
      <c r="G223" s="479"/>
      <c r="H223" s="457">
        <f>SUM(H217:H222)</f>
        <v>694833.72</v>
      </c>
      <c r="I223" s="801"/>
      <c r="J223" s="802"/>
      <c r="K223" s="803"/>
      <c r="L223" s="830">
        <v>77485601.569999993</v>
      </c>
      <c r="M223" s="476"/>
      <c r="N223" s="438"/>
      <c r="O223" s="476"/>
      <c r="P223" s="476"/>
      <c r="Q223" s="438"/>
      <c r="R223" s="476"/>
    </row>
    <row r="224" spans="1:18" ht="13.5" thickTop="1">
      <c r="A224" s="880"/>
      <c r="B224" s="486"/>
      <c r="C224" s="487"/>
      <c r="D224" s="459"/>
      <c r="E224" s="459"/>
      <c r="F224" s="459"/>
      <c r="G224" s="479"/>
      <c r="H224" s="457"/>
      <c r="I224" s="801"/>
      <c r="J224" s="802"/>
      <c r="K224" s="803"/>
      <c r="L224" s="830"/>
      <c r="M224" s="476"/>
      <c r="N224" s="438"/>
      <c r="O224" s="476"/>
      <c r="P224" s="476"/>
      <c r="Q224" s="438"/>
      <c r="R224" s="476"/>
    </row>
    <row r="225" spans="1:18">
      <c r="A225" s="451" t="s">
        <v>265</v>
      </c>
      <c r="B225" s="452">
        <v>31</v>
      </c>
      <c r="C225" s="453" t="s">
        <v>675</v>
      </c>
      <c r="D225" s="459"/>
      <c r="E225" s="459"/>
      <c r="F225" s="459"/>
      <c r="G225" s="479"/>
      <c r="H225" s="457"/>
      <c r="I225" s="801">
        <v>3.5665000000000002E-2</v>
      </c>
      <c r="J225" s="802">
        <v>9.7712328767123296E-5</v>
      </c>
      <c r="K225" s="803"/>
      <c r="L225" s="830"/>
      <c r="M225" s="476"/>
      <c r="N225" s="438"/>
      <c r="O225" s="476"/>
      <c r="P225" s="476"/>
      <c r="Q225" s="438"/>
      <c r="R225" s="476"/>
    </row>
    <row r="226" spans="1:18">
      <c r="A226" s="451" t="s">
        <v>265</v>
      </c>
      <c r="B226" s="452"/>
      <c r="C226" s="459" t="s">
        <v>674</v>
      </c>
      <c r="D226" s="459"/>
      <c r="E226" s="459"/>
      <c r="F226" s="459"/>
      <c r="G226" s="479"/>
      <c r="H226" s="457">
        <v>233187.05</v>
      </c>
      <c r="I226" s="801">
        <v>3.5665000000000002E-2</v>
      </c>
      <c r="J226" s="802">
        <v>9.7712328767123296E-5</v>
      </c>
      <c r="K226" s="803">
        <v>-502860</v>
      </c>
      <c r="L226" s="830">
        <f>L223+K226</f>
        <v>76982741.569999993</v>
      </c>
      <c r="M226" s="476"/>
      <c r="N226" s="438"/>
      <c r="O226" s="476"/>
      <c r="P226" s="476"/>
      <c r="Q226" s="438"/>
      <c r="R226" s="476"/>
    </row>
    <row r="227" spans="1:18">
      <c r="A227" s="451" t="s">
        <v>266</v>
      </c>
      <c r="B227" s="452">
        <v>28</v>
      </c>
      <c r="C227" s="453" t="s">
        <v>675</v>
      </c>
      <c r="D227" s="459"/>
      <c r="E227" s="459"/>
      <c r="F227" s="459"/>
      <c r="G227" s="479"/>
      <c r="H227" s="457"/>
      <c r="I227" s="801">
        <v>3.5665000000000002E-2</v>
      </c>
      <c r="J227" s="802">
        <v>9.7712328767123296E-5</v>
      </c>
      <c r="K227" s="803"/>
      <c r="L227" s="830"/>
      <c r="M227" s="476"/>
      <c r="N227" s="438"/>
      <c r="O227" s="476"/>
      <c r="P227" s="476"/>
      <c r="Q227" s="438"/>
      <c r="R227" s="476"/>
    </row>
    <row r="228" spans="1:18">
      <c r="A228" s="451" t="s">
        <v>266</v>
      </c>
      <c r="B228" s="452"/>
      <c r="C228" s="459" t="s">
        <v>674</v>
      </c>
      <c r="D228" s="459"/>
      <c r="E228" s="459"/>
      <c r="F228" s="459"/>
      <c r="G228" s="479"/>
      <c r="H228" s="457">
        <v>209244.77</v>
      </c>
      <c r="I228" s="801">
        <v>3.5665000000000002E-2</v>
      </c>
      <c r="J228" s="802">
        <v>9.7712328767123296E-5</v>
      </c>
      <c r="K228" s="803">
        <v>-502860</v>
      </c>
      <c r="L228" s="830">
        <v>76479881.569999993</v>
      </c>
      <c r="M228" s="476"/>
      <c r="N228" s="438"/>
      <c r="O228" s="476"/>
      <c r="P228" s="476"/>
      <c r="Q228" s="438"/>
      <c r="R228" s="476"/>
    </row>
    <row r="229" spans="1:18">
      <c r="A229" s="451" t="s">
        <v>267</v>
      </c>
      <c r="B229" s="452">
        <v>31</v>
      </c>
      <c r="C229" s="453" t="s">
        <v>675</v>
      </c>
      <c r="D229" s="459"/>
      <c r="E229" s="459"/>
      <c r="F229" s="459"/>
      <c r="G229" s="479"/>
      <c r="H229" s="457"/>
      <c r="I229" s="801">
        <v>3.5665000000000002E-2</v>
      </c>
      <c r="J229" s="802">
        <v>9.7712328767123296E-5</v>
      </c>
      <c r="K229" s="803"/>
      <c r="L229" s="830"/>
      <c r="M229" s="476"/>
      <c r="N229" s="438"/>
      <c r="O229" s="476"/>
      <c r="P229" s="476"/>
      <c r="Q229" s="438"/>
      <c r="R229" s="476"/>
    </row>
    <row r="230" spans="1:18">
      <c r="A230" s="451" t="s">
        <v>267</v>
      </c>
      <c r="B230" s="452"/>
      <c r="C230" s="459" t="s">
        <v>674</v>
      </c>
      <c r="D230" s="459"/>
      <c r="E230" s="459"/>
      <c r="F230" s="459"/>
      <c r="G230" s="479"/>
      <c r="H230" s="874">
        <v>230140.64</v>
      </c>
      <c r="I230" s="801">
        <v>3.5665000000000002E-2</v>
      </c>
      <c r="J230" s="802">
        <v>9.7712328767123296E-5</v>
      </c>
      <c r="K230" s="803">
        <v>-502860</v>
      </c>
      <c r="L230" s="875">
        <v>75977021.569999993</v>
      </c>
      <c r="M230" s="476"/>
      <c r="N230" s="438"/>
      <c r="O230" s="476"/>
      <c r="P230" s="476"/>
      <c r="Q230" s="438"/>
      <c r="R230" s="476"/>
    </row>
    <row r="231" spans="1:18" ht="13.5" thickBot="1">
      <c r="A231" s="471" t="s">
        <v>814</v>
      </c>
      <c r="B231" s="486"/>
      <c r="C231" s="487"/>
      <c r="D231" s="459"/>
      <c r="E231" s="459"/>
      <c r="F231" s="459"/>
      <c r="G231" s="479"/>
      <c r="H231" s="457">
        <f>SUM(H226:H230)</f>
        <v>672572.46</v>
      </c>
      <c r="I231" s="801">
        <v>3.5665000000000002E-2</v>
      </c>
      <c r="J231" s="802">
        <v>9.7712328767123296E-5</v>
      </c>
      <c r="K231" s="803"/>
      <c r="L231" s="830">
        <v>76649594.030000001</v>
      </c>
      <c r="M231" s="476"/>
      <c r="N231" s="438"/>
      <c r="O231" s="476"/>
      <c r="P231" s="476"/>
      <c r="Q231" s="438"/>
      <c r="R231" s="476"/>
    </row>
    <row r="232" spans="1:18" ht="13.5" thickTop="1">
      <c r="A232" s="474"/>
      <c r="B232" s="486"/>
      <c r="C232" s="487"/>
      <c r="D232" s="459"/>
      <c r="E232" s="459"/>
      <c r="F232" s="459"/>
      <c r="G232" s="479"/>
      <c r="H232" s="457"/>
      <c r="I232" s="801"/>
      <c r="J232" s="802"/>
      <c r="K232" s="803"/>
      <c r="L232" s="830"/>
      <c r="M232" s="476"/>
      <c r="N232" s="438"/>
      <c r="O232" s="476"/>
      <c r="P232" s="476"/>
      <c r="Q232" s="438"/>
      <c r="R232" s="476"/>
    </row>
    <row r="233" spans="1:18">
      <c r="A233" s="451" t="s">
        <v>268</v>
      </c>
      <c r="B233" s="799">
        <v>30</v>
      </c>
      <c r="C233" s="453" t="s">
        <v>675</v>
      </c>
      <c r="D233" s="459"/>
      <c r="E233" s="459"/>
      <c r="F233" s="459"/>
      <c r="G233" s="479"/>
      <c r="H233" s="457"/>
      <c r="I233" s="801">
        <v>3.5665000000000002E-2</v>
      </c>
      <c r="J233" s="802">
        <v>9.7712328767123296E-5</v>
      </c>
      <c r="K233" s="803"/>
      <c r="L233" s="830"/>
      <c r="M233" s="476"/>
      <c r="N233" s="438"/>
      <c r="O233" s="476"/>
      <c r="P233" s="476"/>
      <c r="Q233" s="438"/>
      <c r="R233" s="476"/>
    </row>
    <row r="234" spans="1:18">
      <c r="A234" s="451" t="s">
        <v>268</v>
      </c>
      <c r="B234" s="799"/>
      <c r="C234" s="459" t="s">
        <v>674</v>
      </c>
      <c r="D234" s="459"/>
      <c r="E234" s="459"/>
      <c r="F234" s="459"/>
      <c r="G234" s="479"/>
      <c r="H234" s="457">
        <v>223214.24</v>
      </c>
      <c r="I234" s="801">
        <v>3.5665000000000002E-2</v>
      </c>
      <c r="J234" s="802">
        <v>9.7712328767123296E-5</v>
      </c>
      <c r="K234" s="803">
        <v>-502860</v>
      </c>
      <c r="L234" s="830">
        <f>L231+K234</f>
        <v>76146734.030000001</v>
      </c>
      <c r="M234" s="476"/>
      <c r="N234" s="438"/>
      <c r="O234" s="476"/>
      <c r="P234" s="476"/>
      <c r="Q234" s="438"/>
      <c r="R234" s="476"/>
    </row>
    <row r="235" spans="1:18">
      <c r="A235" s="451" t="s">
        <v>269</v>
      </c>
      <c r="B235" s="452">
        <v>31</v>
      </c>
      <c r="C235" s="453" t="s">
        <v>675</v>
      </c>
      <c r="D235" s="459"/>
      <c r="E235" s="459"/>
      <c r="F235" s="459"/>
      <c r="G235" s="479"/>
      <c r="H235" s="457"/>
      <c r="I235" s="801">
        <v>3.5665000000000002E-2</v>
      </c>
      <c r="J235" s="802">
        <v>9.7712328767123296E-5</v>
      </c>
      <c r="K235" s="803"/>
      <c r="L235" s="830"/>
      <c r="M235" s="476"/>
      <c r="N235" s="438"/>
      <c r="O235" s="476"/>
      <c r="P235" s="476"/>
      <c r="Q235" s="438"/>
      <c r="R235" s="476"/>
    </row>
    <row r="236" spans="1:18">
      <c r="A236" s="451" t="s">
        <v>269</v>
      </c>
      <c r="B236" s="452"/>
      <c r="C236" s="459" t="s">
        <v>674</v>
      </c>
      <c r="D236" s="459"/>
      <c r="E236" s="459"/>
      <c r="F236" s="459"/>
      <c r="G236" s="479"/>
      <c r="H236" s="457">
        <v>229131.51</v>
      </c>
      <c r="I236" s="801">
        <v>3.5665000000000002E-2</v>
      </c>
      <c r="J236" s="802">
        <v>9.7712328767123296E-5</v>
      </c>
      <c r="K236" s="803">
        <v>-502860</v>
      </c>
      <c r="L236" s="830">
        <f>L234+K236</f>
        <v>75643874.030000001</v>
      </c>
      <c r="M236" s="476"/>
      <c r="N236" s="438"/>
      <c r="O236" s="476"/>
      <c r="P236" s="476"/>
      <c r="Q236" s="438"/>
      <c r="R236" s="476"/>
    </row>
    <row r="237" spans="1:18">
      <c r="A237" s="451" t="s">
        <v>270</v>
      </c>
      <c r="B237" s="452">
        <v>30</v>
      </c>
      <c r="C237" s="459" t="s">
        <v>675</v>
      </c>
      <c r="D237" s="459"/>
      <c r="E237" s="459"/>
      <c r="F237" s="459"/>
      <c r="G237" s="479"/>
      <c r="H237" s="457"/>
      <c r="I237" s="801">
        <v>3.5665000000000002E-2</v>
      </c>
      <c r="J237" s="802">
        <v>9.7712328767123296E-5</v>
      </c>
      <c r="K237" s="803"/>
      <c r="L237" s="830"/>
      <c r="M237" s="476"/>
      <c r="N237" s="438"/>
      <c r="O237" s="476"/>
      <c r="P237" s="476"/>
      <c r="Q237" s="438"/>
      <c r="R237" s="476"/>
    </row>
    <row r="238" spans="1:18">
      <c r="A238" s="451" t="s">
        <v>270</v>
      </c>
      <c r="B238" s="486"/>
      <c r="C238" s="487" t="s">
        <v>674</v>
      </c>
      <c r="D238" s="459"/>
      <c r="E238" s="459"/>
      <c r="F238" s="459"/>
      <c r="G238" s="479"/>
      <c r="H238" s="874">
        <v>220266.1</v>
      </c>
      <c r="I238" s="801">
        <v>3.5665000000000002E-2</v>
      </c>
      <c r="J238" s="802">
        <v>9.7712328767123296E-5</v>
      </c>
      <c r="K238" s="803">
        <v>-502860</v>
      </c>
      <c r="L238" s="875">
        <f>L236+K238</f>
        <v>75141014.030000001</v>
      </c>
      <c r="M238" s="476"/>
      <c r="N238" s="438"/>
      <c r="O238" s="476"/>
      <c r="P238" s="476"/>
      <c r="Q238" s="438"/>
      <c r="R238" s="476"/>
    </row>
    <row r="239" spans="1:18" ht="13.5" thickBot="1">
      <c r="A239" s="471" t="s">
        <v>865</v>
      </c>
      <c r="B239" s="452"/>
      <c r="C239" s="459"/>
      <c r="D239" s="459"/>
      <c r="E239" s="459"/>
      <c r="F239" s="459"/>
      <c r="G239" s="479"/>
      <c r="H239" s="899">
        <f>SUM(H234:H238)</f>
        <v>672611.85</v>
      </c>
      <c r="I239" s="801">
        <v>3.5665000000000002E-2</v>
      </c>
      <c r="J239" s="802">
        <v>9.7712328767123296E-5</v>
      </c>
      <c r="K239" s="803"/>
      <c r="L239" s="900">
        <v>75813625.879999995</v>
      </c>
      <c r="M239" s="476"/>
      <c r="N239" s="438"/>
      <c r="O239" s="476"/>
      <c r="P239" s="476"/>
      <c r="Q239" s="438"/>
      <c r="R239" s="476"/>
    </row>
    <row r="240" spans="1:18" ht="13.5" thickTop="1">
      <c r="A240" s="474"/>
      <c r="B240" s="452"/>
      <c r="C240" s="459"/>
      <c r="D240" s="459"/>
      <c r="E240" s="459"/>
      <c r="F240" s="459"/>
      <c r="G240" s="479"/>
      <c r="H240" s="457"/>
      <c r="I240" s="801"/>
      <c r="J240" s="802"/>
      <c r="K240" s="803"/>
      <c r="L240" s="830"/>
      <c r="M240" s="476"/>
      <c r="N240" s="438"/>
      <c r="O240" s="476"/>
      <c r="P240" s="476"/>
      <c r="Q240" s="438"/>
      <c r="R240" s="476"/>
    </row>
    <row r="241" spans="1:18">
      <c r="A241" s="451" t="s">
        <v>271</v>
      </c>
      <c r="B241" s="452">
        <v>31</v>
      </c>
      <c r="C241" s="453" t="s">
        <v>675</v>
      </c>
      <c r="D241" s="459"/>
      <c r="E241" s="459"/>
      <c r="F241" s="459"/>
      <c r="G241" s="479"/>
      <c r="H241" s="457"/>
      <c r="I241" s="801">
        <v>3.5665000000000002E-2</v>
      </c>
      <c r="J241" s="802">
        <v>9.7712328767123296E-5</v>
      </c>
      <c r="K241" s="803"/>
      <c r="L241" s="830"/>
      <c r="M241" s="476"/>
      <c r="N241" s="438"/>
      <c r="O241" s="476"/>
      <c r="P241" s="476"/>
      <c r="Q241" s="438"/>
      <c r="R241" s="476"/>
    </row>
    <row r="242" spans="1:18">
      <c r="A242" s="451" t="s">
        <v>271</v>
      </c>
      <c r="B242" s="452"/>
      <c r="C242" s="459" t="s">
        <v>674</v>
      </c>
      <c r="D242" s="459"/>
      <c r="E242" s="459"/>
      <c r="F242" s="459"/>
      <c r="G242" s="479"/>
      <c r="H242" s="457">
        <v>228122.5</v>
      </c>
      <c r="I242" s="801">
        <v>3.5665000000000002E-2</v>
      </c>
      <c r="J242" s="802">
        <v>9.7712328767123296E-5</v>
      </c>
      <c r="K242" s="803">
        <v>-502860</v>
      </c>
      <c r="L242" s="830">
        <v>75310765.879999995</v>
      </c>
      <c r="M242" s="476"/>
      <c r="N242" s="438"/>
      <c r="O242" s="476"/>
      <c r="P242" s="476"/>
      <c r="Q242" s="438"/>
      <c r="R242" s="476"/>
    </row>
    <row r="243" spans="1:18">
      <c r="A243" s="451" t="s">
        <v>272</v>
      </c>
      <c r="B243" s="452">
        <v>31</v>
      </c>
      <c r="C243" s="453" t="s">
        <v>675</v>
      </c>
      <c r="D243" s="459"/>
      <c r="E243" s="459"/>
      <c r="F243" s="459"/>
      <c r="G243" s="479"/>
      <c r="H243" s="457"/>
      <c r="I243" s="801">
        <v>3.5665000000000002E-2</v>
      </c>
      <c r="J243" s="802">
        <v>9.7712328767123296E-5</v>
      </c>
      <c r="K243" s="803"/>
      <c r="L243" s="830"/>
      <c r="M243" s="476"/>
      <c r="N243" s="438"/>
      <c r="O243" s="476"/>
      <c r="P243" s="476"/>
      <c r="Q243" s="438"/>
      <c r="R243" s="476"/>
    </row>
    <row r="244" spans="1:18">
      <c r="A244" s="451" t="s">
        <v>272</v>
      </c>
      <c r="B244" s="452"/>
      <c r="C244" s="459" t="s">
        <v>674</v>
      </c>
      <c r="D244" s="459"/>
      <c r="E244" s="459"/>
      <c r="F244" s="459"/>
      <c r="G244" s="479"/>
      <c r="H244" s="457">
        <v>226599.3</v>
      </c>
      <c r="I244" s="801">
        <v>3.5665000000000002E-2</v>
      </c>
      <c r="J244" s="802">
        <v>9.7712328767123296E-5</v>
      </c>
      <c r="K244" s="803">
        <v>-502860</v>
      </c>
      <c r="L244" s="830">
        <v>74807905.879999995</v>
      </c>
      <c r="M244" s="476"/>
      <c r="N244" s="438"/>
      <c r="O244" s="476"/>
      <c r="P244" s="476"/>
      <c r="Q244" s="438"/>
      <c r="R244" s="476"/>
    </row>
    <row r="245" spans="1:18">
      <c r="A245" s="451" t="s">
        <v>273</v>
      </c>
      <c r="B245" s="452">
        <v>30</v>
      </c>
      <c r="C245" s="459" t="s">
        <v>675</v>
      </c>
      <c r="D245" s="459"/>
      <c r="E245" s="459"/>
      <c r="F245" s="459"/>
      <c r="G245" s="479"/>
      <c r="H245" s="457"/>
      <c r="I245" s="801">
        <v>3.5665000000000002E-2</v>
      </c>
      <c r="J245" s="802">
        <v>9.7712328767123296E-5</v>
      </c>
      <c r="K245" s="803"/>
      <c r="L245" s="830"/>
      <c r="M245" s="476"/>
      <c r="N245" s="438"/>
      <c r="O245" s="476"/>
      <c r="P245" s="476"/>
      <c r="Q245" s="438"/>
      <c r="R245" s="476"/>
    </row>
    <row r="246" spans="1:18">
      <c r="A246" s="451" t="s">
        <v>273</v>
      </c>
      <c r="B246" s="486"/>
      <c r="C246" s="487" t="s">
        <v>674</v>
      </c>
      <c r="D246" s="459"/>
      <c r="E246" s="459"/>
      <c r="F246" s="459"/>
      <c r="G246" s="479"/>
      <c r="H246" s="874">
        <v>217815.57</v>
      </c>
      <c r="I246" s="801">
        <v>3.5665000000000002E-2</v>
      </c>
      <c r="J246" s="802">
        <v>9.7712328767123296E-5</v>
      </c>
      <c r="K246" s="803">
        <v>-502860</v>
      </c>
      <c r="L246" s="875">
        <v>74305045.879999995</v>
      </c>
      <c r="M246" s="476"/>
      <c r="N246" s="438"/>
      <c r="O246" s="476"/>
      <c r="P246" s="476"/>
      <c r="Q246" s="438"/>
      <c r="R246" s="476"/>
    </row>
    <row r="247" spans="1:18" ht="13.5" thickBot="1">
      <c r="A247" s="471" t="s">
        <v>866</v>
      </c>
      <c r="B247" s="486"/>
      <c r="C247" s="487"/>
      <c r="D247" s="459"/>
      <c r="E247" s="459"/>
      <c r="F247" s="459"/>
      <c r="G247" s="479"/>
      <c r="H247" s="457">
        <f>SUM(H242:H246)</f>
        <v>672537.37</v>
      </c>
      <c r="I247" s="801"/>
      <c r="J247" s="802"/>
      <c r="K247" s="803"/>
      <c r="L247" s="830">
        <v>74977583.25</v>
      </c>
      <c r="M247" s="476"/>
      <c r="N247" s="438"/>
      <c r="O247" s="476"/>
      <c r="P247" s="476"/>
      <c r="Q247" s="438"/>
      <c r="R247" s="476"/>
    </row>
    <row r="248" spans="1:18" ht="13.5" thickTop="1">
      <c r="A248" s="474"/>
      <c r="B248" s="486"/>
      <c r="C248" s="487"/>
      <c r="D248" s="459"/>
      <c r="E248" s="459"/>
      <c r="F248" s="459"/>
      <c r="G248" s="479"/>
      <c r="H248" s="457"/>
      <c r="I248" s="801"/>
      <c r="J248" s="802"/>
      <c r="K248" s="803"/>
      <c r="L248" s="830"/>
      <c r="M248" s="476"/>
      <c r="N248" s="438"/>
      <c r="O248" s="476"/>
      <c r="P248" s="476"/>
      <c r="Q248" s="438"/>
      <c r="R248" s="476"/>
    </row>
    <row r="249" spans="1:18">
      <c r="A249" s="451" t="s">
        <v>274</v>
      </c>
      <c r="B249" s="452">
        <v>31</v>
      </c>
      <c r="C249" s="453" t="s">
        <v>675</v>
      </c>
      <c r="D249" s="459"/>
      <c r="E249" s="459"/>
      <c r="F249" s="459"/>
      <c r="G249" s="479"/>
      <c r="H249" s="457"/>
      <c r="I249" s="801">
        <v>3.5665000000000002E-2</v>
      </c>
      <c r="J249" s="802">
        <v>9.7712328767123296E-5</v>
      </c>
      <c r="K249" s="803"/>
      <c r="L249" s="830"/>
      <c r="M249" s="476"/>
      <c r="N249" s="438"/>
      <c r="O249" s="476"/>
      <c r="P249" s="476"/>
      <c r="Q249" s="438"/>
      <c r="R249" s="476"/>
    </row>
    <row r="250" spans="1:18">
      <c r="A250" s="451" t="s">
        <v>274</v>
      </c>
      <c r="B250" s="452"/>
      <c r="C250" s="459" t="s">
        <v>674</v>
      </c>
      <c r="D250" s="459"/>
      <c r="E250" s="459"/>
      <c r="F250" s="459"/>
      <c r="G250" s="479"/>
      <c r="H250" s="457">
        <v>225590.06</v>
      </c>
      <c r="I250" s="801">
        <v>3.5665000000000002E-2</v>
      </c>
      <c r="J250" s="802">
        <v>9.7712328767123296E-5</v>
      </c>
      <c r="K250" s="803">
        <v>-502860</v>
      </c>
      <c r="L250" s="830">
        <f>L247+K250</f>
        <v>74474723.25</v>
      </c>
      <c r="M250" s="476"/>
      <c r="N250" s="438"/>
      <c r="O250" s="476"/>
      <c r="P250" s="476"/>
      <c r="Q250" s="438"/>
      <c r="R250" s="476"/>
    </row>
    <row r="251" spans="1:18">
      <c r="A251" s="451" t="s">
        <v>275</v>
      </c>
      <c r="B251" s="452">
        <v>30</v>
      </c>
      <c r="C251" s="453" t="s">
        <v>675</v>
      </c>
      <c r="D251" s="459"/>
      <c r="E251" s="459"/>
      <c r="F251" s="459"/>
      <c r="G251" s="479"/>
      <c r="H251" s="457"/>
      <c r="I251" s="801">
        <v>3.5665000000000002E-2</v>
      </c>
      <c r="J251" s="802">
        <v>9.7712328767123296E-5</v>
      </c>
      <c r="K251" s="803"/>
      <c r="L251" s="830"/>
      <c r="M251" s="476"/>
      <c r="N251" s="438"/>
      <c r="O251" s="476"/>
      <c r="P251" s="476"/>
      <c r="Q251" s="438"/>
      <c r="R251" s="476"/>
    </row>
    <row r="252" spans="1:18">
      <c r="A252" s="451" t="s">
        <v>275</v>
      </c>
      <c r="B252" s="452"/>
      <c r="C252" s="459" t="s">
        <v>674</v>
      </c>
      <c r="D252" s="459"/>
      <c r="E252" s="459"/>
      <c r="F252" s="459"/>
      <c r="G252" s="479"/>
      <c r="H252" s="457">
        <v>216828.92</v>
      </c>
      <c r="I252" s="801">
        <v>3.5665000000000002E-2</v>
      </c>
      <c r="J252" s="802">
        <v>9.7712328767123296E-5</v>
      </c>
      <c r="K252" s="803">
        <v>-506260</v>
      </c>
      <c r="L252" s="830">
        <v>73968463.25</v>
      </c>
      <c r="M252" s="476"/>
      <c r="N252" s="438"/>
      <c r="O252" s="476"/>
      <c r="P252" s="476"/>
      <c r="Q252" s="438"/>
      <c r="R252" s="476"/>
    </row>
    <row r="253" spans="1:18">
      <c r="A253" s="451" t="s">
        <v>276</v>
      </c>
      <c r="B253" s="452">
        <v>31</v>
      </c>
      <c r="C253" s="453" t="s">
        <v>675</v>
      </c>
      <c r="D253" s="459"/>
      <c r="E253" s="459"/>
      <c r="F253" s="459"/>
      <c r="G253" s="479"/>
      <c r="H253" s="457"/>
      <c r="I253" s="801">
        <v>3.5665000000000002E-2</v>
      </c>
      <c r="J253" s="802">
        <v>9.7712328767123296E-5</v>
      </c>
      <c r="K253" s="803"/>
      <c r="L253" s="830"/>
      <c r="M253" s="476"/>
      <c r="N253" s="438"/>
      <c r="O253" s="476"/>
      <c r="P253" s="476"/>
      <c r="Q253" s="438"/>
      <c r="R253" s="476"/>
    </row>
    <row r="254" spans="1:18">
      <c r="A254" s="451" t="s">
        <v>276</v>
      </c>
      <c r="B254" s="452"/>
      <c r="C254" s="459" t="s">
        <v>674</v>
      </c>
      <c r="D254" s="459"/>
      <c r="E254" s="459"/>
      <c r="F254" s="459"/>
      <c r="G254" s="479"/>
      <c r="H254" s="874">
        <v>222523.05</v>
      </c>
      <c r="I254" s="801">
        <v>3.5665000000000002E-2</v>
      </c>
      <c r="J254" s="802">
        <v>9.7712328767123296E-5</v>
      </c>
      <c r="K254" s="803">
        <v>-506260</v>
      </c>
      <c r="L254" s="875">
        <v>73462203.25</v>
      </c>
      <c r="M254" s="476"/>
      <c r="N254" s="438"/>
      <c r="O254" s="476"/>
      <c r="P254" s="476"/>
      <c r="Q254" s="438"/>
      <c r="R254" s="476"/>
    </row>
    <row r="255" spans="1:18" ht="13.5" thickBot="1">
      <c r="A255" s="471" t="s">
        <v>867</v>
      </c>
      <c r="B255" s="452"/>
      <c r="C255" s="459"/>
      <c r="D255" s="459"/>
      <c r="E255" s="459"/>
      <c r="F255" s="459"/>
      <c r="G255" s="479"/>
      <c r="H255" s="457">
        <v>664942.03</v>
      </c>
      <c r="I255" s="801"/>
      <c r="J255" s="802"/>
      <c r="K255" s="803"/>
      <c r="L255" s="830">
        <v>74127145.280000001</v>
      </c>
      <c r="M255" s="476"/>
      <c r="N255" s="438"/>
      <c r="O255" s="476"/>
      <c r="P255" s="476"/>
      <c r="Q255" s="438"/>
      <c r="R255" s="476"/>
    </row>
    <row r="256" spans="1:18" ht="13.5" thickTop="1">
      <c r="A256" s="492"/>
      <c r="B256" s="452"/>
      <c r="C256" s="459"/>
      <c r="D256" s="459"/>
      <c r="E256" s="459"/>
      <c r="F256" s="459"/>
      <c r="G256" s="479"/>
      <c r="H256" s="457"/>
      <c r="I256" s="801"/>
      <c r="J256" s="802"/>
      <c r="K256" s="803"/>
      <c r="L256" s="830"/>
      <c r="M256" s="476"/>
      <c r="N256" s="438"/>
      <c r="O256" s="476"/>
      <c r="P256" s="476"/>
      <c r="Q256" s="438"/>
      <c r="R256" s="476"/>
    </row>
    <row r="257" spans="1:18">
      <c r="A257" s="451" t="s">
        <v>277</v>
      </c>
      <c r="B257" s="452">
        <v>31</v>
      </c>
      <c r="C257" s="453" t="s">
        <v>675</v>
      </c>
      <c r="D257" s="459"/>
      <c r="E257" s="459"/>
      <c r="F257" s="459"/>
      <c r="G257" s="479"/>
      <c r="H257" s="457"/>
      <c r="I257" s="801">
        <v>3.5665000000000002E-2</v>
      </c>
      <c r="J257" s="802">
        <v>9.7712328767123296E-5</v>
      </c>
      <c r="K257" s="803"/>
      <c r="L257" s="830"/>
      <c r="M257" s="476"/>
      <c r="N257" s="438"/>
      <c r="O257" s="476"/>
      <c r="P257" s="476"/>
      <c r="Q257" s="438"/>
      <c r="R257" s="476"/>
    </row>
    <row r="258" spans="1:18">
      <c r="A258" s="451" t="s">
        <v>277</v>
      </c>
      <c r="B258" s="452"/>
      <c r="C258" s="459" t="s">
        <v>674</v>
      </c>
      <c r="D258" s="459"/>
      <c r="E258" s="459"/>
      <c r="F258" s="459"/>
      <c r="G258" s="479"/>
      <c r="H258" s="457">
        <v>223003.71</v>
      </c>
      <c r="I258" s="801">
        <v>3.5665000000000002E-2</v>
      </c>
      <c r="J258" s="802">
        <v>9.7712328767123296E-5</v>
      </c>
      <c r="K258" s="803">
        <v>-506260</v>
      </c>
      <c r="L258" s="830">
        <f>L255+K258</f>
        <v>73620885.280000001</v>
      </c>
      <c r="M258" s="476"/>
      <c r="N258" s="438"/>
      <c r="O258" s="476"/>
      <c r="P258" s="476"/>
      <c r="Q258" s="438"/>
      <c r="R258" s="476"/>
    </row>
    <row r="259" spans="1:18">
      <c r="A259" s="451" t="s">
        <v>278</v>
      </c>
      <c r="B259" s="452">
        <v>29</v>
      </c>
      <c r="C259" s="453" t="s">
        <v>675</v>
      </c>
      <c r="D259" s="459"/>
      <c r="E259" s="459"/>
      <c r="F259" s="459"/>
      <c r="G259" s="479"/>
      <c r="H259" s="457"/>
      <c r="I259" s="801">
        <v>3.5665000000000002E-2</v>
      </c>
      <c r="J259" s="802">
        <v>9.7712328767123296E-5</v>
      </c>
      <c r="K259" s="803"/>
      <c r="L259" s="830"/>
      <c r="M259" s="476"/>
      <c r="N259" s="438"/>
      <c r="O259" s="476"/>
      <c r="P259" s="476"/>
      <c r="Q259" s="438"/>
      <c r="R259" s="476"/>
    </row>
    <row r="260" spans="1:18">
      <c r="A260" s="451" t="s">
        <v>278</v>
      </c>
      <c r="B260" s="452"/>
      <c r="C260" s="459" t="s">
        <v>674</v>
      </c>
      <c r="D260" s="459"/>
      <c r="E260" s="459"/>
      <c r="F260" s="459"/>
      <c r="G260" s="479"/>
      <c r="H260" s="457">
        <v>207181.81</v>
      </c>
      <c r="I260" s="801">
        <v>3.5665000000000002E-2</v>
      </c>
      <c r="J260" s="802">
        <v>9.7712328767123296E-5</v>
      </c>
      <c r="K260" s="803">
        <v>-506260</v>
      </c>
      <c r="L260" s="830">
        <f>L258+K260</f>
        <v>73114625.280000001</v>
      </c>
      <c r="M260" s="476"/>
      <c r="N260" s="438"/>
      <c r="O260" s="476"/>
      <c r="P260" s="476"/>
      <c r="Q260" s="438"/>
      <c r="R260" s="476"/>
    </row>
    <row r="261" spans="1:18">
      <c r="A261" s="451" t="s">
        <v>279</v>
      </c>
      <c r="B261" s="452">
        <v>31</v>
      </c>
      <c r="C261" s="453" t="s">
        <v>675</v>
      </c>
      <c r="D261" s="459"/>
      <c r="E261" s="459"/>
      <c r="F261" s="459"/>
      <c r="G261" s="479"/>
      <c r="H261" s="457"/>
      <c r="I261" s="801">
        <v>3.5665000000000002E-2</v>
      </c>
      <c r="J261" s="802">
        <v>9.7712328767123296E-5</v>
      </c>
      <c r="K261" s="803"/>
      <c r="L261" s="830"/>
      <c r="M261" s="476"/>
      <c r="N261" s="438"/>
      <c r="O261" s="476"/>
      <c r="P261" s="476"/>
      <c r="Q261" s="438"/>
      <c r="R261" s="476"/>
    </row>
    <row r="262" spans="1:18">
      <c r="A262" s="451" t="s">
        <v>279</v>
      </c>
      <c r="B262" s="452"/>
      <c r="C262" s="459" t="s">
        <v>674</v>
      </c>
      <c r="D262" s="459"/>
      <c r="E262" s="459"/>
      <c r="F262" s="459"/>
      <c r="G262" s="479"/>
      <c r="H262" s="874">
        <v>219936.71</v>
      </c>
      <c r="I262" s="801">
        <v>3.5665000000000002E-2</v>
      </c>
      <c r="J262" s="802">
        <v>9.7712328767123296E-5</v>
      </c>
      <c r="K262" s="803">
        <v>-506260</v>
      </c>
      <c r="L262" s="875">
        <v>73608365.280000001</v>
      </c>
      <c r="M262" s="476"/>
      <c r="N262" s="438"/>
      <c r="O262" s="476"/>
      <c r="P262" s="476"/>
      <c r="Q262" s="438"/>
      <c r="R262" s="476"/>
    </row>
    <row r="263" spans="1:18" ht="13.5" thickBot="1">
      <c r="A263" s="471" t="s">
        <v>868</v>
      </c>
      <c r="B263" s="486"/>
      <c r="C263" s="487"/>
      <c r="D263" s="459"/>
      <c r="E263" s="459"/>
      <c r="F263" s="459"/>
      <c r="G263" s="479"/>
      <c r="H263" s="457">
        <f>SUM(H258:H262)</f>
        <v>650122.23</v>
      </c>
      <c r="I263" s="801"/>
      <c r="J263" s="802"/>
      <c r="K263" s="803"/>
      <c r="L263" s="830">
        <v>73258487.510000005</v>
      </c>
      <c r="M263" s="476"/>
      <c r="N263" s="438"/>
      <c r="O263" s="476"/>
      <c r="P263" s="476"/>
      <c r="Q263" s="438"/>
      <c r="R263" s="476"/>
    </row>
    <row r="264" spans="1:18" ht="13.5" thickTop="1">
      <c r="A264" s="474"/>
      <c r="B264" s="486"/>
      <c r="C264" s="487"/>
      <c r="D264" s="459"/>
      <c r="E264" s="459"/>
      <c r="F264" s="459"/>
      <c r="G264" s="479"/>
      <c r="H264" s="457"/>
      <c r="I264" s="801"/>
      <c r="J264" s="802"/>
      <c r="K264" s="803"/>
      <c r="L264" s="830"/>
      <c r="M264" s="476"/>
      <c r="N264" s="438"/>
      <c r="O264" s="476"/>
      <c r="P264" s="476"/>
      <c r="Q264" s="438"/>
      <c r="R264" s="476"/>
    </row>
    <row r="265" spans="1:18">
      <c r="A265" s="451" t="s">
        <v>280</v>
      </c>
      <c r="B265" s="799">
        <v>30</v>
      </c>
      <c r="C265" s="453" t="s">
        <v>675</v>
      </c>
      <c r="D265" s="459"/>
      <c r="E265" s="459"/>
      <c r="F265" s="459"/>
      <c r="G265" s="479"/>
      <c r="H265" s="457"/>
      <c r="I265" s="801">
        <v>3.5665000000000002E-2</v>
      </c>
      <c r="J265" s="802">
        <v>9.7712328767123296E-5</v>
      </c>
      <c r="K265" s="803"/>
      <c r="L265" s="830"/>
      <c r="M265" s="476"/>
      <c r="N265" s="438"/>
      <c r="O265" s="476"/>
      <c r="P265" s="476"/>
      <c r="Q265" s="438"/>
      <c r="R265" s="476"/>
    </row>
    <row r="266" spans="1:18">
      <c r="A266" s="451" t="s">
        <v>280</v>
      </c>
      <c r="B266" s="799"/>
      <c r="C266" s="459" t="s">
        <v>674</v>
      </c>
      <c r="D266" s="459"/>
      <c r="E266" s="459"/>
      <c r="F266" s="459"/>
      <c r="G266" s="479"/>
      <c r="H266" s="457">
        <v>213263.69</v>
      </c>
      <c r="I266" s="801">
        <v>3.5665000000000002E-2</v>
      </c>
      <c r="J266" s="802">
        <v>9.7712328767123296E-5</v>
      </c>
      <c r="K266" s="803">
        <v>-506260</v>
      </c>
      <c r="L266" s="830">
        <v>72752227.510000005</v>
      </c>
      <c r="M266" s="476"/>
      <c r="N266" s="438"/>
      <c r="O266" s="476"/>
      <c r="P266" s="476"/>
      <c r="Q266" s="438"/>
      <c r="R266" s="476"/>
    </row>
    <row r="267" spans="1:18">
      <c r="A267" s="451" t="s">
        <v>281</v>
      </c>
      <c r="B267" s="452"/>
      <c r="C267" s="459" t="s">
        <v>674</v>
      </c>
      <c r="D267" s="459"/>
      <c r="E267" s="459"/>
      <c r="F267" s="459"/>
      <c r="G267" s="479"/>
      <c r="H267" s="457"/>
      <c r="I267" s="801">
        <v>3.5665000000000002E-2</v>
      </c>
      <c r="J267" s="802">
        <v>9.7712328767123296E-5</v>
      </c>
      <c r="K267" s="803"/>
      <c r="L267" s="830"/>
      <c r="M267" s="476"/>
      <c r="N267" s="438"/>
      <c r="O267" s="476"/>
      <c r="P267" s="476"/>
      <c r="Q267" s="438"/>
      <c r="R267" s="476"/>
    </row>
    <row r="268" spans="1:18">
      <c r="A268" s="451" t="s">
        <v>281</v>
      </c>
      <c r="B268" s="452">
        <v>30</v>
      </c>
      <c r="C268" s="459" t="s">
        <v>675</v>
      </c>
      <c r="D268" s="459"/>
      <c r="E268" s="459"/>
      <c r="F268" s="459"/>
      <c r="G268" s="479"/>
      <c r="H268" s="457">
        <v>218838.97</v>
      </c>
      <c r="I268" s="801">
        <v>3.5665000000000002E-2</v>
      </c>
      <c r="J268" s="802">
        <v>9.7712328767123296E-5</v>
      </c>
      <c r="K268" s="803">
        <v>-506260</v>
      </c>
      <c r="L268" s="830">
        <v>72245967.510000005</v>
      </c>
      <c r="M268" s="476"/>
      <c r="N268" s="438"/>
      <c r="O268" s="476"/>
      <c r="P268" s="476"/>
      <c r="Q268" s="438"/>
      <c r="R268" s="476"/>
    </row>
    <row r="269" spans="1:18">
      <c r="A269" s="451" t="s">
        <v>282</v>
      </c>
      <c r="B269" s="452">
        <v>30</v>
      </c>
      <c r="C269" s="459" t="s">
        <v>675</v>
      </c>
      <c r="D269" s="459"/>
      <c r="E269" s="459"/>
      <c r="F269" s="459"/>
      <c r="G269" s="479"/>
      <c r="H269" s="457"/>
      <c r="I269" s="801">
        <v>3.5665000000000002E-2</v>
      </c>
      <c r="J269" s="802">
        <v>9.7712328767123296E-5</v>
      </c>
      <c r="K269" s="803"/>
      <c r="L269" s="830"/>
      <c r="M269" s="476"/>
      <c r="N269" s="438"/>
      <c r="O269" s="476"/>
      <c r="P269" s="476"/>
      <c r="Q269" s="438"/>
      <c r="R269" s="476"/>
    </row>
    <row r="270" spans="1:18">
      <c r="A270" s="451" t="s">
        <v>282</v>
      </c>
      <c r="B270" s="486"/>
      <c r="C270" s="487" t="s">
        <v>674</v>
      </c>
      <c r="D270" s="459"/>
      <c r="E270" s="459"/>
      <c r="F270" s="459"/>
      <c r="G270" s="479"/>
      <c r="H270" s="874">
        <v>210295.62</v>
      </c>
      <c r="I270" s="801">
        <v>3.5665000000000002E-2</v>
      </c>
      <c r="J270" s="802">
        <v>9.7712328767123296E-5</v>
      </c>
      <c r="K270" s="803">
        <v>-506260</v>
      </c>
      <c r="L270" s="875">
        <v>71739707.510000005</v>
      </c>
      <c r="M270" s="476"/>
      <c r="N270" s="438"/>
      <c r="O270" s="476"/>
      <c r="P270" s="476"/>
      <c r="Q270" s="438"/>
      <c r="R270" s="476"/>
    </row>
    <row r="271" spans="1:18" ht="13.5" thickBot="1">
      <c r="A271" s="471" t="s">
        <v>869</v>
      </c>
      <c r="B271" s="486"/>
      <c r="C271" s="487"/>
      <c r="D271" s="459"/>
      <c r="E271" s="459"/>
      <c r="F271" s="459"/>
      <c r="G271" s="479"/>
      <c r="H271" s="457">
        <v>642398.28</v>
      </c>
      <c r="I271" s="801"/>
      <c r="J271" s="802"/>
      <c r="K271" s="803"/>
      <c r="L271" s="830">
        <v>72382105.790000007</v>
      </c>
      <c r="M271" s="476"/>
      <c r="N271" s="438"/>
      <c r="O271" s="476"/>
      <c r="P271" s="476"/>
      <c r="Q271" s="438"/>
      <c r="R271" s="476"/>
    </row>
    <row r="272" spans="1:18" ht="13.5" thickTop="1">
      <c r="A272" s="451"/>
      <c r="B272" s="486"/>
      <c r="C272" s="487"/>
      <c r="D272" s="459"/>
      <c r="E272" s="459"/>
      <c r="F272" s="459"/>
      <c r="G272" s="479"/>
      <c r="H272" s="457"/>
      <c r="I272" s="801"/>
      <c r="J272" s="802"/>
      <c r="K272" s="803"/>
      <c r="L272" s="830"/>
      <c r="M272" s="476"/>
      <c r="N272" s="438"/>
      <c r="O272" s="476"/>
      <c r="P272" s="476"/>
      <c r="Q272" s="438"/>
      <c r="R272" s="476"/>
    </row>
    <row r="273" spans="1:18">
      <c r="A273" s="451" t="s">
        <v>283</v>
      </c>
      <c r="B273" s="452">
        <v>31</v>
      </c>
      <c r="C273" s="453" t="s">
        <v>675</v>
      </c>
      <c r="D273" s="459"/>
      <c r="E273" s="459"/>
      <c r="F273" s="459"/>
      <c r="G273" s="479"/>
      <c r="H273" s="457"/>
      <c r="I273" s="801">
        <v>3.5665000000000002E-2</v>
      </c>
      <c r="J273" s="802">
        <v>9.7712328767123296E-5</v>
      </c>
      <c r="K273" s="803"/>
      <c r="L273" s="830"/>
      <c r="M273" s="476"/>
      <c r="N273" s="438"/>
      <c r="O273" s="476"/>
      <c r="P273" s="476"/>
      <c r="Q273" s="438"/>
      <c r="R273" s="476"/>
    </row>
    <row r="274" spans="1:18">
      <c r="A274" s="451" t="s">
        <v>283</v>
      </c>
      <c r="B274" s="452"/>
      <c r="C274" s="459" t="s">
        <v>674</v>
      </c>
      <c r="D274" s="459"/>
      <c r="E274" s="459"/>
      <c r="F274" s="459"/>
      <c r="G274" s="479"/>
      <c r="H274" s="457">
        <v>217717.84</v>
      </c>
      <c r="I274" s="801">
        <v>3.5665000000000002E-2</v>
      </c>
      <c r="J274" s="802">
        <v>9.7712328767123296E-5</v>
      </c>
      <c r="K274" s="803">
        <v>-506260</v>
      </c>
      <c r="L274" s="830">
        <v>71875845.790000007</v>
      </c>
      <c r="M274" s="476"/>
      <c r="N274" s="438"/>
      <c r="O274" s="476"/>
      <c r="P274" s="476"/>
      <c r="Q274" s="438"/>
      <c r="R274" s="476"/>
    </row>
    <row r="275" spans="1:18">
      <c r="A275" s="451" t="s">
        <v>284</v>
      </c>
      <c r="B275" s="452">
        <v>31</v>
      </c>
      <c r="C275" s="453" t="s">
        <v>675</v>
      </c>
      <c r="D275" s="459"/>
      <c r="E275" s="459"/>
      <c r="F275" s="459"/>
      <c r="G275" s="479"/>
      <c r="H275" s="457"/>
      <c r="I275" s="801">
        <v>3.5665000000000002E-2</v>
      </c>
      <c r="J275" s="802">
        <v>9.7712328767123296E-5</v>
      </c>
      <c r="K275" s="803"/>
      <c r="L275" s="830"/>
      <c r="M275" s="476"/>
      <c r="N275" s="438"/>
      <c r="O275" s="476"/>
      <c r="P275" s="476"/>
      <c r="Q275" s="438"/>
      <c r="R275" s="476"/>
    </row>
    <row r="276" spans="1:18">
      <c r="A276" s="451" t="s">
        <v>284</v>
      </c>
      <c r="B276" s="452"/>
      <c r="C276" s="459" t="s">
        <v>674</v>
      </c>
      <c r="D276" s="459"/>
      <c r="E276" s="459"/>
      <c r="F276" s="459"/>
      <c r="G276" s="479"/>
      <c r="H276" s="457">
        <v>216184.34</v>
      </c>
      <c r="I276" s="801">
        <v>3.5665000000000002E-2</v>
      </c>
      <c r="J276" s="802">
        <v>9.7712328767123296E-5</v>
      </c>
      <c r="K276" s="803">
        <v>-506260</v>
      </c>
      <c r="L276" s="830">
        <v>71369585.790000007</v>
      </c>
      <c r="M276" s="476"/>
      <c r="N276" s="438"/>
      <c r="O276" s="476"/>
      <c r="P276" s="476"/>
      <c r="Q276" s="438"/>
      <c r="R276" s="476"/>
    </row>
    <row r="277" spans="1:18">
      <c r="A277" s="451" t="s">
        <v>285</v>
      </c>
      <c r="B277" s="452">
        <v>30</v>
      </c>
      <c r="C277" s="459" t="s">
        <v>675</v>
      </c>
      <c r="D277" s="459"/>
      <c r="E277" s="459"/>
      <c r="F277" s="459"/>
      <c r="G277" s="479"/>
      <c r="H277" s="457"/>
      <c r="I277" s="801">
        <v>3.5665000000000002E-2</v>
      </c>
      <c r="J277" s="802">
        <v>9.7712328767123296E-5</v>
      </c>
      <c r="K277" s="803"/>
      <c r="L277" s="830"/>
      <c r="M277" s="476"/>
      <c r="N277" s="438"/>
      <c r="O277" s="476"/>
      <c r="P277" s="476"/>
      <c r="Q277" s="438"/>
      <c r="R277" s="476"/>
    </row>
    <row r="278" spans="1:18" ht="15">
      <c r="A278" s="451" t="s">
        <v>285</v>
      </c>
      <c r="B278" s="486"/>
      <c r="C278" s="487" t="s">
        <v>674</v>
      </c>
      <c r="D278" s="459"/>
      <c r="E278" s="459"/>
      <c r="F278" s="459"/>
      <c r="G278" s="479"/>
      <c r="H278" s="457">
        <v>207726.62</v>
      </c>
      <c r="I278" s="801">
        <v>3.5665000000000002E-2</v>
      </c>
      <c r="J278" s="802">
        <v>9.7712328767123296E-5</v>
      </c>
      <c r="K278" s="803">
        <v>-506260</v>
      </c>
      <c r="L278" s="936">
        <v>70863325.790000007</v>
      </c>
      <c r="M278" s="476"/>
      <c r="N278" s="438"/>
      <c r="O278" s="476"/>
      <c r="P278" s="476"/>
      <c r="Q278" s="438"/>
      <c r="R278" s="476"/>
    </row>
    <row r="279" spans="1:18" ht="13.5" thickBot="1">
      <c r="A279" s="471" t="s">
        <v>870</v>
      </c>
      <c r="B279" s="452"/>
      <c r="C279" s="459"/>
      <c r="D279" s="459"/>
      <c r="E279" s="459"/>
      <c r="F279" s="459"/>
      <c r="G279" s="479"/>
      <c r="H279" s="457"/>
      <c r="I279" s="801"/>
      <c r="J279" s="802"/>
      <c r="K279" s="803"/>
      <c r="L279" s="830">
        <v>71504954.590000004</v>
      </c>
      <c r="M279" s="476"/>
      <c r="N279" s="438"/>
      <c r="O279" s="476"/>
      <c r="P279" s="476"/>
      <c r="Q279" s="438"/>
      <c r="R279" s="476"/>
    </row>
    <row r="280" spans="1:18" ht="13.5" thickTop="1">
      <c r="A280" s="492"/>
      <c r="B280" s="452"/>
      <c r="C280" s="459"/>
      <c r="D280" s="459"/>
      <c r="E280" s="459"/>
      <c r="F280" s="459"/>
      <c r="G280" s="479"/>
      <c r="H280" s="457"/>
      <c r="I280" s="801"/>
      <c r="J280" s="802"/>
      <c r="K280" s="803"/>
      <c r="L280" s="830"/>
      <c r="M280" s="476"/>
      <c r="N280" s="438"/>
      <c r="O280" s="476"/>
      <c r="P280" s="476"/>
      <c r="Q280" s="438"/>
      <c r="R280" s="476"/>
    </row>
    <row r="281" spans="1:18" ht="13.5" thickBot="1">
      <c r="A281" s="881" t="s">
        <v>842</v>
      </c>
      <c r="B281" s="834"/>
      <c r="C281" s="835"/>
      <c r="D281" s="835"/>
      <c r="E281" s="835"/>
      <c r="F281" s="835"/>
      <c r="G281" s="889">
        <f>G207</f>
        <v>77273856.370000005</v>
      </c>
      <c r="H281" s="890">
        <v>20544507.219999999</v>
      </c>
      <c r="I281" s="821"/>
      <c r="J281" s="822"/>
      <c r="K281" s="820">
        <f>SUM(K207:K278)</f>
        <v>-26313409</v>
      </c>
      <c r="L281" s="832">
        <v>71504954.590000004</v>
      </c>
      <c r="M281" s="476"/>
      <c r="N281" s="438"/>
      <c r="O281" s="476"/>
      <c r="P281" s="476"/>
      <c r="Q281" s="438"/>
      <c r="R281" s="476"/>
    </row>
    <row r="282" spans="1:18" ht="13.5" thickTop="1">
      <c r="A282" s="474"/>
      <c r="B282" s="452"/>
      <c r="C282" s="836"/>
      <c r="D282" s="836"/>
      <c r="E282" s="836"/>
      <c r="F282" s="836"/>
      <c r="G282" s="837"/>
      <c r="H282" s="838"/>
      <c r="I282" s="839"/>
      <c r="J282" s="840"/>
      <c r="K282" s="841"/>
      <c r="L282" s="842"/>
      <c r="M282" s="476"/>
      <c r="N282" s="438"/>
      <c r="O282" s="476"/>
      <c r="P282" s="476"/>
      <c r="Q282" s="438"/>
      <c r="R282" s="476"/>
    </row>
    <row r="283" spans="1:18">
      <c r="A283" s="575" t="s">
        <v>710</v>
      </c>
      <c r="B283" s="572"/>
      <c r="C283" s="572"/>
      <c r="D283" s="572"/>
      <c r="E283" s="572"/>
      <c r="F283" s="572"/>
      <c r="G283" s="574"/>
      <c r="H283" s="573"/>
      <c r="I283" s="573"/>
    </row>
    <row r="284" spans="1:18">
      <c r="A284" s="495"/>
      <c r="B284" s="495"/>
      <c r="C284" s="495"/>
      <c r="D284" s="495"/>
      <c r="E284" s="495"/>
      <c r="F284" s="495"/>
      <c r="G284" s="576"/>
      <c r="H284" s="496"/>
      <c r="I284" s="496"/>
    </row>
    <row r="285" spans="1:18">
      <c r="A285" s="577" t="s">
        <v>711</v>
      </c>
      <c r="B285" s="495"/>
      <c r="C285" s="495"/>
      <c r="D285" s="495"/>
      <c r="E285" s="495"/>
      <c r="F285" s="495"/>
      <c r="G285" s="495"/>
      <c r="H285" s="496"/>
      <c r="I285" s="496"/>
    </row>
    <row r="286" spans="1:18">
      <c r="A286" s="495"/>
      <c r="B286" s="495"/>
      <c r="C286" s="495"/>
      <c r="D286" s="495"/>
      <c r="E286" s="495"/>
      <c r="F286" s="495"/>
      <c r="G286" s="495"/>
      <c r="H286" s="496"/>
      <c r="I286" s="496"/>
    </row>
    <row r="287" spans="1:18">
      <c r="A287" s="495"/>
      <c r="B287" s="495"/>
      <c r="C287" s="495"/>
      <c r="D287" s="495"/>
      <c r="E287" s="495"/>
      <c r="F287" s="495"/>
      <c r="G287" s="495"/>
      <c r="H287" s="496"/>
      <c r="I287" s="496"/>
    </row>
    <row r="288" spans="1:18">
      <c r="A288" s="495"/>
      <c r="B288" s="495"/>
      <c r="C288" s="495"/>
      <c r="D288" s="495"/>
      <c r="E288" s="495"/>
      <c r="F288" s="495"/>
      <c r="G288" s="495"/>
      <c r="H288" s="496"/>
      <c r="I288" s="496"/>
    </row>
    <row r="289" spans="1:12">
      <c r="A289" s="495"/>
      <c r="B289" s="495"/>
      <c r="C289" s="495"/>
      <c r="D289" s="495"/>
      <c r="E289" s="495"/>
      <c r="F289" s="495"/>
      <c r="G289" s="495"/>
      <c r="H289" s="496"/>
      <c r="I289" s="496"/>
    </row>
    <row r="290" spans="1:12">
      <c r="A290" s="495"/>
      <c r="B290" s="495"/>
      <c r="C290" s="495"/>
      <c r="D290" s="495"/>
      <c r="E290" s="495"/>
      <c r="F290" s="495"/>
      <c r="G290" s="495"/>
      <c r="H290" s="496"/>
      <c r="I290" s="496"/>
    </row>
    <row r="291" spans="1:12">
      <c r="A291" s="495"/>
      <c r="B291" s="495"/>
      <c r="C291" s="495"/>
      <c r="D291" s="495"/>
      <c r="E291" s="495"/>
      <c r="F291" s="495"/>
      <c r="G291" s="495"/>
      <c r="H291" s="496"/>
      <c r="I291" s="496"/>
    </row>
    <row r="292" spans="1:12">
      <c r="A292" s="495"/>
      <c r="B292" s="495"/>
      <c r="C292" s="495"/>
      <c r="D292" s="495"/>
      <c r="E292" s="495"/>
      <c r="F292" s="495"/>
      <c r="G292" s="495"/>
      <c r="H292" s="496"/>
      <c r="I292" s="496"/>
    </row>
    <row r="293" spans="1:12">
      <c r="A293" s="495"/>
      <c r="B293" s="495"/>
      <c r="C293" s="495"/>
      <c r="D293" s="495"/>
      <c r="E293" s="495"/>
      <c r="F293" s="495"/>
      <c r="G293" s="495"/>
      <c r="H293" s="496"/>
      <c r="I293" s="496"/>
    </row>
    <row r="294" spans="1:12">
      <c r="A294" s="495"/>
      <c r="B294" s="495"/>
      <c r="C294" s="495"/>
      <c r="D294" s="495"/>
      <c r="E294" s="495"/>
      <c r="F294" s="495"/>
      <c r="G294" s="495"/>
      <c r="H294" s="496"/>
      <c r="I294" s="496"/>
    </row>
    <row r="295" spans="1:12">
      <c r="A295" s="495"/>
      <c r="B295" s="495"/>
      <c r="C295" s="495"/>
      <c r="D295" s="495"/>
      <c r="E295" s="495"/>
      <c r="F295" s="495"/>
      <c r="G295" s="495"/>
      <c r="H295" s="496"/>
      <c r="I295" s="496"/>
    </row>
    <row r="296" spans="1:12">
      <c r="A296" s="495"/>
      <c r="B296" s="495"/>
      <c r="C296" s="495"/>
      <c r="D296" s="495"/>
      <c r="E296" s="495"/>
      <c r="F296" s="495"/>
      <c r="G296" s="495"/>
      <c r="H296" s="496"/>
      <c r="I296" s="496"/>
    </row>
    <row r="297" spans="1:12">
      <c r="A297" s="495"/>
      <c r="B297" s="495"/>
      <c r="C297" s="495"/>
      <c r="D297" s="495"/>
      <c r="E297" s="495"/>
      <c r="F297" s="495"/>
      <c r="G297" s="495"/>
      <c r="H297" s="496"/>
      <c r="I297" s="496"/>
      <c r="J297" s="497"/>
      <c r="K297" s="496"/>
      <c r="L297" s="495"/>
    </row>
    <row r="298" spans="1:12">
      <c r="A298" s="495"/>
      <c r="B298" s="495"/>
      <c r="C298" s="495"/>
      <c r="D298" s="495"/>
      <c r="E298" s="495"/>
      <c r="F298" s="495"/>
      <c r="G298" s="495"/>
      <c r="H298" s="496"/>
      <c r="I298" s="496"/>
      <c r="J298" s="497"/>
      <c r="K298" s="496"/>
      <c r="L298" s="495"/>
    </row>
    <row r="299" spans="1:12">
      <c r="A299" s="495"/>
      <c r="B299" s="495"/>
      <c r="C299" s="495"/>
      <c r="D299" s="495"/>
      <c r="E299" s="495"/>
      <c r="F299" s="495"/>
      <c r="G299" s="495"/>
      <c r="H299" s="496"/>
      <c r="I299" s="496"/>
      <c r="J299" s="497"/>
      <c r="K299" s="496"/>
      <c r="L299" s="495"/>
    </row>
    <row r="300" spans="1:12">
      <c r="A300" s="495"/>
      <c r="B300" s="495"/>
      <c r="C300" s="495"/>
      <c r="D300" s="495"/>
      <c r="E300" s="495"/>
      <c r="F300" s="495"/>
      <c r="G300" s="495"/>
      <c r="H300" s="496"/>
      <c r="I300" s="496"/>
      <c r="J300" s="497"/>
      <c r="K300" s="496"/>
      <c r="L300" s="495"/>
    </row>
    <row r="301" spans="1:12">
      <c r="A301" s="495"/>
      <c r="B301" s="495"/>
      <c r="C301" s="495"/>
      <c r="D301" s="495"/>
      <c r="E301" s="495"/>
      <c r="F301" s="495"/>
      <c r="G301" s="495"/>
      <c r="H301" s="496"/>
      <c r="I301" s="496"/>
    </row>
    <row r="462" spans="1:12">
      <c r="A462" s="495"/>
      <c r="B462" s="495"/>
      <c r="C462" s="495"/>
      <c r="D462" s="495"/>
      <c r="E462" s="495"/>
      <c r="F462" s="495"/>
      <c r="G462" s="495"/>
      <c r="H462" s="496"/>
      <c r="I462" s="496"/>
      <c r="J462" s="497"/>
      <c r="K462" s="496"/>
      <c r="L462" s="495"/>
    </row>
    <row r="463" spans="1:12">
      <c r="A463" s="495"/>
      <c r="B463" s="495"/>
      <c r="C463" s="495"/>
      <c r="D463" s="495"/>
      <c r="E463" s="495"/>
      <c r="F463" s="495"/>
      <c r="G463" s="495"/>
      <c r="H463" s="496"/>
      <c r="I463" s="496"/>
      <c r="J463" s="497"/>
      <c r="K463" s="496"/>
      <c r="L463" s="495"/>
    </row>
    <row r="464" spans="1:12">
      <c r="A464" s="495"/>
      <c r="B464" s="495"/>
      <c r="C464" s="495"/>
      <c r="D464" s="495"/>
      <c r="E464" s="495"/>
      <c r="F464" s="495"/>
      <c r="G464" s="495"/>
      <c r="H464" s="496"/>
      <c r="I464" s="496"/>
      <c r="J464" s="497"/>
      <c r="K464" s="496"/>
      <c r="L464" s="495"/>
    </row>
    <row r="465" spans="1:12">
      <c r="A465" s="495"/>
      <c r="B465" s="495"/>
      <c r="C465" s="495"/>
      <c r="D465" s="495"/>
      <c r="E465" s="495"/>
      <c r="F465" s="495"/>
      <c r="G465" s="495"/>
      <c r="H465" s="496"/>
      <c r="I465" s="496"/>
      <c r="J465" s="497"/>
      <c r="K465" s="496"/>
      <c r="L465" s="495"/>
    </row>
    <row r="466" spans="1:12">
      <c r="A466" s="495"/>
      <c r="B466" s="495"/>
      <c r="C466" s="495"/>
      <c r="D466" s="495"/>
      <c r="E466" s="495"/>
      <c r="F466" s="495"/>
      <c r="G466" s="495"/>
      <c r="H466" s="496"/>
      <c r="I466" s="496"/>
      <c r="J466" s="497"/>
      <c r="K466" s="496"/>
      <c r="L466" s="495"/>
    </row>
    <row r="467" spans="1:12">
      <c r="A467" s="495"/>
      <c r="B467" s="495"/>
      <c r="C467" s="495"/>
      <c r="D467" s="495"/>
      <c r="E467" s="495"/>
      <c r="F467" s="495"/>
      <c r="G467" s="495"/>
      <c r="H467" s="496"/>
      <c r="I467" s="496"/>
      <c r="J467" s="497"/>
      <c r="K467" s="496"/>
      <c r="L467" s="495"/>
    </row>
    <row r="468" spans="1:12">
      <c r="A468" s="495"/>
      <c r="B468" s="495"/>
      <c r="C468" s="495"/>
      <c r="D468" s="495"/>
      <c r="E468" s="495"/>
      <c r="F468" s="495"/>
      <c r="G468" s="495"/>
      <c r="H468" s="496"/>
      <c r="I468" s="496"/>
      <c r="J468" s="497"/>
      <c r="K468" s="496"/>
      <c r="L468" s="495"/>
    </row>
    <row r="469" spans="1:12">
      <c r="A469" s="495"/>
      <c r="B469" s="495"/>
      <c r="C469" s="495"/>
      <c r="D469" s="495"/>
      <c r="E469" s="495"/>
      <c r="F469" s="495"/>
      <c r="G469" s="495"/>
      <c r="H469" s="496"/>
      <c r="I469" s="496"/>
      <c r="J469" s="497"/>
      <c r="K469" s="496"/>
      <c r="L469" s="495"/>
    </row>
  </sheetData>
  <mergeCells count="2">
    <mergeCell ref="A7:G7"/>
    <mergeCell ref="C11:F11"/>
  </mergeCells>
  <pageMargins left="0.7" right="0.7" top="0.75" bottom="0.75" header="0.3" footer="0.3"/>
  <pageSetup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tabSelected="1" zoomScaleNormal="100" workbookViewId="0">
      <pane xSplit="2" ySplit="11" topLeftCell="C15" activePane="bottomRight" state="frozen"/>
      <selection activeCell="C105" sqref="C105"/>
      <selection pane="topRight" activeCell="C105" sqref="C105"/>
      <selection pane="bottomLeft" activeCell="C105" sqref="C105"/>
      <selection pane="bottomRight" activeCell="C23" sqref="C23"/>
    </sheetView>
  </sheetViews>
  <sheetFormatPr defaultRowHeight="12.75" customHeight="1"/>
  <cols>
    <col min="1" max="1" width="5.7109375" style="109" customWidth="1"/>
    <col min="2" max="2" width="65" style="109" customWidth="1"/>
    <col min="3" max="3" width="18" style="109" bestFit="1" customWidth="1"/>
    <col min="4" max="4" width="20.28515625" style="109" customWidth="1"/>
    <col min="5" max="5" width="18.42578125" style="109" customWidth="1"/>
    <col min="6" max="6" width="6" style="109" bestFit="1" customWidth="1"/>
    <col min="7" max="7" width="6.140625" style="109" bestFit="1" customWidth="1"/>
    <col min="8" max="9" width="7.140625" style="109" bestFit="1" customWidth="1"/>
    <col min="10" max="10" width="5.5703125" style="109" bestFit="1" customWidth="1"/>
    <col min="11" max="11" width="13.28515625" style="109" bestFit="1" customWidth="1"/>
    <col min="12" max="12" width="17.140625" style="109" bestFit="1" customWidth="1"/>
    <col min="13" max="13" width="18.28515625" style="109" bestFit="1" customWidth="1"/>
    <col min="14" max="14" width="18.140625" style="109" bestFit="1" customWidth="1"/>
    <col min="15" max="16384" width="9.140625" style="109"/>
  </cols>
  <sheetData>
    <row r="1" spans="1:11" ht="15" customHeight="1">
      <c r="A1" s="937"/>
      <c r="B1" s="938"/>
      <c r="C1" s="938"/>
      <c r="D1" s="939"/>
      <c r="E1" s="939"/>
    </row>
    <row r="2" spans="1:11" ht="15" customHeight="1" thickBot="1">
      <c r="A2" s="937"/>
      <c r="B2" s="938"/>
      <c r="C2" s="938"/>
      <c r="D2" s="939"/>
      <c r="E2" s="939"/>
    </row>
    <row r="3" spans="1:11" ht="15" customHeight="1" thickTop="1" thickBot="1">
      <c r="A3" s="938"/>
      <c r="B3" s="938"/>
      <c r="C3" s="939"/>
      <c r="D3" s="938"/>
      <c r="E3" s="940"/>
    </row>
    <row r="4" spans="1:11" ht="12.75" customHeight="1" thickTop="1">
      <c r="A4" s="941" t="s">
        <v>871</v>
      </c>
      <c r="B4" s="941"/>
      <c r="C4" s="942"/>
      <c r="D4" s="942"/>
      <c r="E4" s="942"/>
    </row>
    <row r="5" spans="1:11" ht="12.75" customHeight="1">
      <c r="A5" s="942" t="s">
        <v>872</v>
      </c>
      <c r="B5" s="942"/>
      <c r="C5" s="942"/>
      <c r="D5" s="942"/>
      <c r="E5" s="943"/>
    </row>
    <row r="6" spans="1:11" ht="12.75" customHeight="1">
      <c r="A6" s="944" t="s">
        <v>938</v>
      </c>
      <c r="B6" s="942"/>
      <c r="C6" s="942"/>
      <c r="D6" s="942"/>
      <c r="E6" s="945"/>
    </row>
    <row r="7" spans="1:11" ht="12.75" customHeight="1">
      <c r="A7" s="944"/>
      <c r="B7" s="942"/>
      <c r="C7" s="942"/>
      <c r="D7" s="942"/>
      <c r="E7" s="945"/>
    </row>
    <row r="9" spans="1:11" ht="12.75" customHeight="1">
      <c r="A9" s="937"/>
      <c r="B9" s="938"/>
      <c r="C9" s="937"/>
      <c r="D9" s="946"/>
      <c r="E9" s="937"/>
    </row>
    <row r="10" spans="1:11" ht="12.75" customHeight="1">
      <c r="A10" s="947" t="s">
        <v>873</v>
      </c>
      <c r="B10" s="937"/>
      <c r="C10" s="948" t="s">
        <v>874</v>
      </c>
      <c r="D10" s="1120" t="s">
        <v>875</v>
      </c>
      <c r="E10" s="948"/>
    </row>
    <row r="11" spans="1:11" ht="12.75" customHeight="1">
      <c r="A11" s="949" t="s">
        <v>876</v>
      </c>
      <c r="B11" s="950" t="s">
        <v>877</v>
      </c>
      <c r="C11" s="949" t="s">
        <v>878</v>
      </c>
      <c r="D11" s="949" t="s">
        <v>879</v>
      </c>
      <c r="E11" s="949" t="s">
        <v>880</v>
      </c>
    </row>
    <row r="12" spans="1:11" ht="12.75" customHeight="1">
      <c r="A12" s="938"/>
      <c r="B12" s="938"/>
      <c r="C12" s="938"/>
      <c r="D12" s="938"/>
      <c r="E12" s="938"/>
    </row>
    <row r="13" spans="1:11" ht="15" customHeight="1">
      <c r="A13" s="951">
        <v>1</v>
      </c>
      <c r="B13" s="952" t="s">
        <v>881</v>
      </c>
      <c r="C13" s="953"/>
      <c r="D13" s="953"/>
      <c r="E13" s="953"/>
      <c r="F13" s="1033"/>
      <c r="G13" s="1027"/>
      <c r="H13" s="1027"/>
      <c r="I13" s="1027"/>
      <c r="J13" s="1027"/>
      <c r="K13" s="1030"/>
    </row>
    <row r="14" spans="1:11" ht="15" customHeight="1">
      <c r="A14" s="951">
        <f>A13+1</f>
        <v>2</v>
      </c>
      <c r="B14" s="954" t="s">
        <v>6</v>
      </c>
      <c r="C14" s="955">
        <f>'TY Reg Assets RB'!D7</f>
        <v>0</v>
      </c>
      <c r="D14" s="955">
        <f>'BEP 2006 GRC'!Q217</f>
        <v>0</v>
      </c>
      <c r="E14" s="955">
        <f t="shared" ref="E14:E30" si="0">+D14-C14</f>
        <v>0</v>
      </c>
      <c r="F14" s="1028"/>
      <c r="G14" s="1028"/>
      <c r="H14" s="1029"/>
      <c r="I14" s="1387"/>
      <c r="J14" s="1030"/>
      <c r="K14" s="1030"/>
    </row>
    <row r="15" spans="1:11" ht="15" customHeight="1">
      <c r="A15" s="951">
        <f t="shared" ref="A15:A66" si="1">A14+1</f>
        <v>3</v>
      </c>
      <c r="B15" s="954" t="s">
        <v>882</v>
      </c>
      <c r="C15" s="955">
        <f>'TY Reg Assets RB'!C12</f>
        <v>-57518.44</v>
      </c>
      <c r="D15" s="955">
        <f>'FB Energy'!R135</f>
        <v>-61821.173175928787</v>
      </c>
      <c r="E15" s="955">
        <f t="shared" si="0"/>
        <v>-4302.7331759287845</v>
      </c>
      <c r="F15" s="1028"/>
      <c r="G15" s="1030"/>
      <c r="H15" s="1387"/>
      <c r="I15" s="1387"/>
      <c r="J15" s="1388"/>
      <c r="K15" s="1030"/>
    </row>
    <row r="16" spans="1:11" ht="15" customHeight="1">
      <c r="A16" s="951">
        <f t="shared" si="1"/>
        <v>4</v>
      </c>
      <c r="B16" s="954" t="s">
        <v>883</v>
      </c>
      <c r="C16" s="955">
        <f>'TY Reg Assets RB'!C17</f>
        <v>-78852.239999999991</v>
      </c>
      <c r="D16" s="955">
        <f>BNP!R119</f>
        <v>-84750.798948222815</v>
      </c>
      <c r="E16" s="955">
        <f t="shared" si="0"/>
        <v>-5898.5589482228243</v>
      </c>
      <c r="F16" s="1028"/>
      <c r="G16" s="1030"/>
      <c r="H16" s="1387"/>
      <c r="I16" s="1387"/>
      <c r="J16" s="1388"/>
      <c r="K16" s="1030"/>
    </row>
    <row r="17" spans="1:11" ht="15" customHeight="1">
      <c r="A17" s="951">
        <f t="shared" si="1"/>
        <v>5</v>
      </c>
      <c r="B17" s="954" t="s">
        <v>916</v>
      </c>
      <c r="C17" s="955">
        <f>'TY Reg Assets RB'!C26</f>
        <v>12348155.889999999</v>
      </c>
      <c r="D17" s="955">
        <f>'Mint Farm Def'!N133</f>
        <v>12348156.650861852</v>
      </c>
      <c r="E17" s="955">
        <f t="shared" si="0"/>
        <v>0.76086185313761234</v>
      </c>
      <c r="F17" s="1028"/>
      <c r="G17" s="1030"/>
      <c r="H17" s="1387"/>
      <c r="I17" s="1387"/>
      <c r="J17" s="1388"/>
      <c r="K17" s="1030"/>
    </row>
    <row r="18" spans="1:11" ht="15" customHeight="1">
      <c r="A18" s="951">
        <f t="shared" si="1"/>
        <v>6</v>
      </c>
      <c r="B18" s="954" t="s">
        <v>884</v>
      </c>
      <c r="C18" s="955">
        <f>'TY Reg Assets RB'!C30</f>
        <v>82012096.74000001</v>
      </c>
      <c r="D18" s="955">
        <f>'$89M Chelan PUD'!P164</f>
        <v>82012095.988068312</v>
      </c>
      <c r="E18" s="955">
        <f t="shared" si="0"/>
        <v>-0.75193169713020325</v>
      </c>
      <c r="F18" s="1028"/>
      <c r="G18" s="1030"/>
      <c r="H18" s="1387"/>
      <c r="I18" s="1387"/>
      <c r="J18" s="1388"/>
      <c r="K18" s="1030"/>
    </row>
    <row r="19" spans="1:11" ht="15" customHeight="1">
      <c r="A19" s="951">
        <f t="shared" si="1"/>
        <v>7</v>
      </c>
      <c r="B19" s="954" t="s">
        <v>885</v>
      </c>
      <c r="C19" s="955">
        <f>'TY Reg Assets RB'!C33</f>
        <v>18500000</v>
      </c>
      <c r="D19" s="955">
        <f>'$18.5M Chelan'!E112</f>
        <v>18500000</v>
      </c>
      <c r="E19" s="955">
        <f t="shared" si="0"/>
        <v>0</v>
      </c>
      <c r="F19" s="1032"/>
      <c r="G19" s="1031"/>
      <c r="H19" s="1031"/>
      <c r="I19" s="1387"/>
      <c r="J19" s="1030"/>
      <c r="K19" s="1030"/>
    </row>
    <row r="20" spans="1:11" ht="15" customHeight="1">
      <c r="A20" s="951">
        <f t="shared" si="1"/>
        <v>8</v>
      </c>
      <c r="B20" s="954" t="s">
        <v>886</v>
      </c>
      <c r="C20" s="955">
        <f>'TY Reg Assets RB'!C37</f>
        <v>749999.69</v>
      </c>
      <c r="D20" s="955">
        <f>'Colstrip 1&amp;2 Prepaid'!J117</f>
        <v>750000.00000000524</v>
      </c>
      <c r="E20" s="955">
        <f t="shared" si="0"/>
        <v>0.31000000529456884</v>
      </c>
      <c r="F20" s="1028"/>
      <c r="G20" s="1030"/>
      <c r="H20" s="1387"/>
      <c r="I20" s="1387"/>
      <c r="J20" s="1388"/>
      <c r="K20" s="1030"/>
    </row>
    <row r="21" spans="1:11" ht="15" customHeight="1">
      <c r="A21" s="951">
        <f t="shared" si="1"/>
        <v>9</v>
      </c>
      <c r="B21" s="954" t="s">
        <v>917</v>
      </c>
      <c r="C21" s="955">
        <f>'TY Reg Assets RB'!C40</f>
        <v>0</v>
      </c>
      <c r="D21" s="955">
        <f>'FERC PART 12 STUDY (Baker)'!I105</f>
        <v>0</v>
      </c>
      <c r="E21" s="955">
        <f t="shared" si="0"/>
        <v>0</v>
      </c>
      <c r="F21" s="1028"/>
      <c r="G21" s="1030"/>
      <c r="H21" s="1387"/>
      <c r="I21" s="1387"/>
      <c r="J21" s="1388"/>
      <c r="K21" s="1030"/>
    </row>
    <row r="22" spans="1:11" ht="15" customHeight="1">
      <c r="A22" s="951">
        <f t="shared" si="1"/>
        <v>10</v>
      </c>
      <c r="B22" s="954" t="s">
        <v>887</v>
      </c>
      <c r="C22" s="955">
        <f>'TY Reg Assets RB'!C44</f>
        <v>61189384.369999997</v>
      </c>
      <c r="D22" s="955">
        <f>'LSR Prepaid Principal'!Q134</f>
        <v>61188737.604696095</v>
      </c>
      <c r="E22" s="955">
        <f t="shared" si="0"/>
        <v>-646.76530390232801</v>
      </c>
      <c r="F22" s="1028"/>
      <c r="G22" s="1030"/>
      <c r="H22" s="1387"/>
      <c r="I22" s="1387"/>
      <c r="J22" s="1388"/>
      <c r="K22" s="1030"/>
    </row>
    <row r="23" spans="1:11" ht="15" customHeight="1">
      <c r="A23" s="951">
        <f t="shared" si="1"/>
        <v>11</v>
      </c>
      <c r="B23" s="954" t="s">
        <v>918</v>
      </c>
      <c r="C23" s="955">
        <f>'TY Reg Assets RB'!C49</f>
        <v>8418581.6999999993</v>
      </c>
      <c r="D23" s="955">
        <f>'LSR Prepaid carrying charges '!W148</f>
        <v>8418581.8744743615</v>
      </c>
      <c r="E23" s="955">
        <f t="shared" si="0"/>
        <v>0.17447436228394508</v>
      </c>
      <c r="F23" s="1028"/>
      <c r="G23" s="1030"/>
      <c r="H23" s="1387"/>
      <c r="I23" s="1387"/>
      <c r="J23" s="1388"/>
      <c r="K23" s="1030"/>
    </row>
    <row r="24" spans="1:11" ht="15" customHeight="1">
      <c r="A24" s="951">
        <f t="shared" si="1"/>
        <v>12</v>
      </c>
      <c r="B24" s="954" t="s">
        <v>919</v>
      </c>
      <c r="C24" s="955">
        <f>'TY Reg Assets RB'!C56</f>
        <v>0</v>
      </c>
      <c r="D24" s="955">
        <f>'LSR Deferral 4yrs'!N95</f>
        <v>0.16838636322063394</v>
      </c>
      <c r="E24" s="955">
        <f t="shared" si="0"/>
        <v>0.16838636322063394</v>
      </c>
      <c r="F24" s="1028"/>
      <c r="G24" s="1030"/>
      <c r="H24" s="1387"/>
      <c r="I24" s="1387"/>
      <c r="J24" s="1388"/>
      <c r="K24" s="1030"/>
    </row>
    <row r="25" spans="1:11" ht="15" customHeight="1">
      <c r="A25" s="951">
        <f t="shared" si="1"/>
        <v>13</v>
      </c>
      <c r="B25" s="954" t="s">
        <v>923</v>
      </c>
      <c r="C25" s="955">
        <f>'TY Reg Assets RB'!C62</f>
        <v>98747.76</v>
      </c>
      <c r="D25" s="955">
        <f>Baker!M78</f>
        <v>106146.39948313065</v>
      </c>
      <c r="E25" s="955">
        <f t="shared" si="0"/>
        <v>7398.6394831306534</v>
      </c>
      <c r="F25" s="1028"/>
      <c r="G25" s="1030"/>
      <c r="H25" s="1387"/>
      <c r="I25" s="1387"/>
      <c r="J25" s="1388"/>
      <c r="K25" s="1030"/>
    </row>
    <row r="26" spans="1:11" ht="15" customHeight="1">
      <c r="A26" s="951">
        <f t="shared" si="1"/>
        <v>14</v>
      </c>
      <c r="B26" s="954" t="s">
        <v>924</v>
      </c>
      <c r="C26" s="955">
        <f>'TY Reg Assets RB'!C69</f>
        <v>-564327.78</v>
      </c>
      <c r="D26" s="955">
        <f>Snoq!N80</f>
        <v>-113841.76161088841</v>
      </c>
      <c r="E26" s="955">
        <f t="shared" si="0"/>
        <v>450486.01838911162</v>
      </c>
      <c r="F26" s="1028"/>
      <c r="G26" s="1030"/>
      <c r="H26" s="1387"/>
      <c r="I26" s="1387"/>
      <c r="J26" s="1388"/>
      <c r="K26" s="1030"/>
    </row>
    <row r="27" spans="1:11" ht="15" customHeight="1">
      <c r="A27" s="951">
        <f t="shared" si="1"/>
        <v>15</v>
      </c>
      <c r="B27" s="954" t="s">
        <v>925</v>
      </c>
      <c r="C27" s="955">
        <f>'TY Reg Assets RB'!C77</f>
        <v>3601267.0599999996</v>
      </c>
      <c r="D27" s="955">
        <f>Ferndale!N85</f>
        <v>3601269.9318297999</v>
      </c>
      <c r="E27" s="955">
        <f t="shared" si="0"/>
        <v>2.8718298003077507</v>
      </c>
      <c r="F27" s="1028"/>
      <c r="G27" s="1030"/>
      <c r="H27" s="1387"/>
      <c r="I27" s="1387"/>
      <c r="J27" s="1388"/>
      <c r="K27" s="1030"/>
    </row>
    <row r="28" spans="1:11" ht="15" customHeight="1">
      <c r="A28" s="951">
        <f t="shared" si="1"/>
        <v>16</v>
      </c>
      <c r="B28" s="954" t="s">
        <v>920</v>
      </c>
      <c r="C28" s="955">
        <f>'TY Reg Assets RB'!C81</f>
        <v>-70409.37</v>
      </c>
      <c r="D28" s="955">
        <f>'T-Grant Baker Deferral'!N71</f>
        <v>-75670.737778508177</v>
      </c>
      <c r="E28" s="955">
        <f t="shared" si="0"/>
        <v>-5261.3677785081818</v>
      </c>
      <c r="F28" s="1028"/>
      <c r="G28" s="1030"/>
      <c r="H28" s="1387"/>
      <c r="I28" s="1387"/>
      <c r="J28" s="1388"/>
      <c r="K28" s="1030"/>
    </row>
    <row r="29" spans="1:11" ht="15" customHeight="1">
      <c r="A29" s="951">
        <f t="shared" si="1"/>
        <v>17</v>
      </c>
      <c r="B29" s="954" t="s">
        <v>921</v>
      </c>
      <c r="C29" s="955">
        <f>'TY Reg Assets RB'!C85</f>
        <v>-243209.5</v>
      </c>
      <c r="D29" s="955">
        <f>'T-Grant Snoq Deferral'!N71</f>
        <v>-261400.28314181394</v>
      </c>
      <c r="E29" s="955">
        <f t="shared" si="0"/>
        <v>-18190.783141813939</v>
      </c>
      <c r="F29" s="1028"/>
      <c r="G29" s="1030"/>
      <c r="H29" s="1387"/>
      <c r="I29" s="1387"/>
      <c r="J29" s="1388"/>
      <c r="K29" s="1030"/>
    </row>
    <row r="30" spans="1:11" ht="15" customHeight="1">
      <c r="A30" s="951">
        <f t="shared" si="1"/>
        <v>18</v>
      </c>
      <c r="B30" s="954" t="s">
        <v>922</v>
      </c>
      <c r="C30" s="955">
        <f>'TY Reg Assets RB'!C89</f>
        <v>1121457.6000000001</v>
      </c>
      <c r="D30" s="955">
        <f>'Electron Deferral'!L70</f>
        <v>840875.57063333876</v>
      </c>
      <c r="E30" s="955">
        <f t="shared" si="0"/>
        <v>-280582.02936666133</v>
      </c>
      <c r="F30" s="1028"/>
      <c r="G30" s="1030"/>
      <c r="H30" s="1387"/>
      <c r="I30" s="1387"/>
      <c r="J30" s="1388"/>
      <c r="K30" s="1030"/>
    </row>
    <row r="31" spans="1:11" ht="15" customHeight="1">
      <c r="A31" s="951">
        <f t="shared" si="1"/>
        <v>19</v>
      </c>
      <c r="B31" s="954"/>
      <c r="C31" s="957"/>
      <c r="D31" s="957"/>
      <c r="E31" s="957"/>
      <c r="H31" s="1389"/>
      <c r="I31" s="1389"/>
    </row>
    <row r="32" spans="1:11" ht="15" customHeight="1">
      <c r="A32" s="951">
        <f t="shared" si="1"/>
        <v>20</v>
      </c>
      <c r="B32" s="954" t="s">
        <v>888</v>
      </c>
      <c r="C32" s="953">
        <f>SUM(C14:C31)</f>
        <v>187025373.47999996</v>
      </c>
      <c r="D32" s="953">
        <f>SUM(D14:D31)</f>
        <v>187168379.43377793</v>
      </c>
      <c r="E32" s="953">
        <f>SUM(E14:E31)</f>
        <v>143005.95377789199</v>
      </c>
    </row>
    <row r="33" spans="1:11" ht="15" customHeight="1">
      <c r="A33" s="951">
        <f t="shared" si="1"/>
        <v>21</v>
      </c>
      <c r="B33" s="954"/>
      <c r="C33" s="958"/>
      <c r="D33" s="958"/>
      <c r="E33" s="958"/>
    </row>
    <row r="34" spans="1:11" ht="15" customHeight="1">
      <c r="A34" s="951">
        <f t="shared" si="1"/>
        <v>22</v>
      </c>
      <c r="B34" s="959"/>
      <c r="C34" s="960"/>
      <c r="D34" s="960"/>
      <c r="E34" s="960"/>
    </row>
    <row r="35" spans="1:11" ht="15" customHeight="1">
      <c r="A35" s="951">
        <f t="shared" si="1"/>
        <v>23</v>
      </c>
      <c r="B35" s="959" t="s">
        <v>889</v>
      </c>
      <c r="C35" s="955"/>
      <c r="D35" s="955"/>
      <c r="E35" s="955"/>
    </row>
    <row r="36" spans="1:11" ht="15" customHeight="1">
      <c r="A36" s="951">
        <f t="shared" si="1"/>
        <v>24</v>
      </c>
      <c r="B36" s="954" t="s">
        <v>6</v>
      </c>
      <c r="C36" s="1018" t="s">
        <v>890</v>
      </c>
      <c r="D36" s="961"/>
      <c r="E36" s="961"/>
      <c r="K36" s="162"/>
    </row>
    <row r="37" spans="1:11" ht="15" customHeight="1">
      <c r="A37" s="951">
        <f t="shared" si="1"/>
        <v>25</v>
      </c>
      <c r="B37" s="954" t="str">
        <f>B15</f>
        <v>WESTCOAST PIPELINE CAPACITY - UE-082013 (FB ENERGY)</v>
      </c>
      <c r="C37" s="1018" t="s">
        <v>890</v>
      </c>
      <c r="D37" s="1019"/>
      <c r="E37" s="961"/>
    </row>
    <row r="38" spans="1:11" ht="15" customHeight="1">
      <c r="A38" s="951">
        <f t="shared" si="1"/>
        <v>26</v>
      </c>
      <c r="B38" s="954" t="str">
        <f>B16</f>
        <v>WESTCOAST PIPELINE CAPACITY - UE-100503 (BNP PARIBUS)</v>
      </c>
      <c r="C38" s="1018" t="s">
        <v>890</v>
      </c>
      <c r="D38" s="1019"/>
      <c r="E38" s="961"/>
    </row>
    <row r="39" spans="1:11" ht="15" customHeight="1">
      <c r="A39" s="951">
        <f t="shared" si="1"/>
        <v>27</v>
      </c>
      <c r="B39" s="954" t="str">
        <f>B17</f>
        <v>MINT FARM DEFFRED - UE-090704 (FERC 407.3)</v>
      </c>
      <c r="C39" s="955">
        <f>SUM('Mint Farm Def'!G116:G127)</f>
        <v>2885052</v>
      </c>
      <c r="D39" s="955">
        <f>SUM('Mint Farm Def'!G122:G133)</f>
        <v>2885052</v>
      </c>
      <c r="E39" s="955">
        <f t="shared" ref="E39:E51" si="2">+D39-C39</f>
        <v>0</v>
      </c>
    </row>
    <row r="40" spans="1:11" ht="15" customHeight="1">
      <c r="A40" s="951">
        <f t="shared" si="1"/>
        <v>28</v>
      </c>
      <c r="B40" s="954" t="s">
        <v>884</v>
      </c>
      <c r="C40" s="1018" t="s">
        <v>890</v>
      </c>
      <c r="D40" s="961"/>
      <c r="E40" s="961"/>
    </row>
    <row r="41" spans="1:11" ht="15" customHeight="1">
      <c r="A41" s="951">
        <f t="shared" si="1"/>
        <v>29</v>
      </c>
      <c r="B41" s="954" t="s">
        <v>886</v>
      </c>
      <c r="C41" s="1018" t="s">
        <v>890</v>
      </c>
      <c r="D41" s="961"/>
      <c r="E41" s="961"/>
    </row>
    <row r="42" spans="1:11" ht="15" customHeight="1">
      <c r="A42" s="951">
        <f t="shared" si="1"/>
        <v>30</v>
      </c>
      <c r="B42" s="954" t="str">
        <f>B21</f>
        <v>FERC PART 12 STUDY NON-CONSTRUCTION COSTS UE-070074 (FERC 407)</v>
      </c>
      <c r="C42" s="955">
        <f>'FERC PART 12 STUDY (Baker)'!F108</f>
        <v>0</v>
      </c>
      <c r="D42" s="955">
        <f>'FERC PART 12 STUDY (Baker)'!F110</f>
        <v>0</v>
      </c>
      <c r="E42" s="955">
        <f t="shared" si="2"/>
        <v>0</v>
      </c>
    </row>
    <row r="43" spans="1:11" ht="15" customHeight="1">
      <c r="A43" s="951">
        <f t="shared" si="1"/>
        <v>31</v>
      </c>
      <c r="B43" s="954" t="s">
        <v>887</v>
      </c>
      <c r="C43" s="1018" t="s">
        <v>890</v>
      </c>
      <c r="D43" s="961"/>
      <c r="E43" s="961"/>
    </row>
    <row r="44" spans="1:11" ht="15" customHeight="1">
      <c r="A44" s="951">
        <f t="shared" si="1"/>
        <v>32</v>
      </c>
      <c r="B44" s="954" t="str">
        <f t="shared" ref="B44:B51" si="3">B23</f>
        <v>CARRYING CHARGES ON LSR PP TRANSM $99.8M (FERC 407.3)</v>
      </c>
      <c r="C44" s="955">
        <f>'LSR Prepaid carrying charges '!H385</f>
        <v>687420</v>
      </c>
      <c r="D44" s="955">
        <f>'LSR Prepaid carrying charges '!H386</f>
        <v>687420</v>
      </c>
      <c r="E44" s="955">
        <f t="shared" si="2"/>
        <v>0</v>
      </c>
    </row>
    <row r="45" spans="1:11" ht="15" customHeight="1">
      <c r="A45" s="951">
        <f t="shared" si="1"/>
        <v>33</v>
      </c>
      <c r="B45" s="954" t="str">
        <f t="shared" si="3"/>
        <v>LOWER SNAKE RIVER PLANT DEFERRAL $18.3M  (FERC 407.3)</v>
      </c>
      <c r="C45" s="955">
        <f>'LSR Deferral 4yrs'!G97</f>
        <v>0</v>
      </c>
      <c r="D45" s="955">
        <f>'LSR Deferral 4yrs'!G98</f>
        <v>0</v>
      </c>
      <c r="E45" s="955">
        <f t="shared" si="2"/>
        <v>0</v>
      </c>
    </row>
    <row r="46" spans="1:11" ht="15" customHeight="1">
      <c r="A46" s="951">
        <f t="shared" si="1"/>
        <v>34</v>
      </c>
      <c r="B46" s="954" t="str">
        <f t="shared" si="3"/>
        <v>BAKER LICENSE UPGRADE DEFERRAL (2013 PCORC) (FERC 407.3)</v>
      </c>
      <c r="C46" s="955">
        <f>Baker!F103</f>
        <v>673351.60905598255</v>
      </c>
      <c r="D46" s="955">
        <f>Baker!F104</f>
        <v>561126.34087998548</v>
      </c>
      <c r="E46" s="955">
        <f t="shared" si="2"/>
        <v>-112225.26817599707</v>
      </c>
    </row>
    <row r="47" spans="1:11" ht="15" customHeight="1">
      <c r="A47" s="951">
        <f t="shared" si="1"/>
        <v>35</v>
      </c>
      <c r="B47" s="954" t="str">
        <f t="shared" si="3"/>
        <v>SNOQUALMIE LICENSE UPGRADE DEFERRAL (2013 PCORC) (FERC 407.3)</v>
      </c>
      <c r="C47" s="955">
        <f>Snoq!G105</f>
        <v>2644123.3835876156</v>
      </c>
      <c r="D47" s="955">
        <f>Snoq!G106</f>
        <v>2203436.1529896799</v>
      </c>
      <c r="E47" s="955">
        <f t="shared" si="2"/>
        <v>-440687.23059793562</v>
      </c>
    </row>
    <row r="48" spans="1:11" ht="15" customHeight="1">
      <c r="A48" s="951">
        <f t="shared" si="1"/>
        <v>36</v>
      </c>
      <c r="B48" s="954" t="str">
        <f t="shared" si="3"/>
        <v>FERNDALE DEFERRAL (2013 PCORC) (FERC 407.3)</v>
      </c>
      <c r="C48" s="955">
        <f>Ferndale!G111</f>
        <v>4520422.508572978</v>
      </c>
      <c r="D48" s="955">
        <f>Ferndale!G112</f>
        <v>4520422.508572978</v>
      </c>
      <c r="E48" s="955">
        <f t="shared" si="2"/>
        <v>0</v>
      </c>
    </row>
    <row r="49" spans="1:11" ht="15" customHeight="1">
      <c r="A49" s="951">
        <f t="shared" si="1"/>
        <v>37</v>
      </c>
      <c r="B49" s="954" t="str">
        <f t="shared" si="3"/>
        <v>BAKER TREASURY GRANT DEFERRAL (2014 PCORC) (FERC 407.4)</v>
      </c>
      <c r="C49" s="955">
        <f>'T-Grant Baker Deferral'!G89</f>
        <v>-480025.82555530063</v>
      </c>
      <c r="D49" s="955">
        <f>'T-Grant Baker Deferral'!G90</f>
        <v>-400021.52129608387</v>
      </c>
      <c r="E49" s="955">
        <f t="shared" si="2"/>
        <v>80004.304259216762</v>
      </c>
    </row>
    <row r="50" spans="1:11" ht="15" customHeight="1">
      <c r="A50" s="951">
        <f t="shared" si="1"/>
        <v>38</v>
      </c>
      <c r="B50" s="954" t="str">
        <f t="shared" si="3"/>
        <v>SNOQUALMIE TREASURY GRANT DEFERRAL (2014 PCORC) (FERC 407.4)</v>
      </c>
      <c r="C50" s="955">
        <f>'T-Grant Snoq Deferral'!G84</f>
        <v>-1658222.0604590874</v>
      </c>
      <c r="D50" s="955">
        <f>'T-Grant Snoq Deferral'!G85</f>
        <v>-1381851.7170492394</v>
      </c>
      <c r="E50" s="955">
        <f t="shared" si="2"/>
        <v>276370.34340984793</v>
      </c>
    </row>
    <row r="51" spans="1:11" ht="15" customHeight="1">
      <c r="A51" s="951">
        <f t="shared" si="1"/>
        <v>39</v>
      </c>
      <c r="B51" s="954" t="str">
        <f t="shared" si="3"/>
        <v>ELECTRON UNRECOVERED COST (2014 PCORC) (FERC 407.3)</v>
      </c>
      <c r="C51" s="955">
        <f>'Electron Deferral'!E73</f>
        <v>3761008.8218181822</v>
      </c>
      <c r="D51" s="955">
        <f>'Electron Deferral'!E74</f>
        <v>3786307.8400000003</v>
      </c>
      <c r="E51" s="955">
        <f t="shared" si="2"/>
        <v>25299.018181818072</v>
      </c>
    </row>
    <row r="52" spans="1:11" ht="15" customHeight="1">
      <c r="A52" s="951">
        <f t="shared" si="1"/>
        <v>40</v>
      </c>
      <c r="B52" s="956" t="s">
        <v>891</v>
      </c>
      <c r="C52" s="963">
        <f>SUM(C36:C51)</f>
        <v>13033130.437020371</v>
      </c>
      <c r="D52" s="963">
        <f>SUM(D36:D51)</f>
        <v>12861891.60409732</v>
      </c>
      <c r="E52" s="963">
        <f>SUM(E36:E51)</f>
        <v>-171238.83292304992</v>
      </c>
    </row>
    <row r="53" spans="1:11" ht="15" customHeight="1">
      <c r="A53" s="951">
        <f t="shared" si="1"/>
        <v>41</v>
      </c>
    </row>
    <row r="54" spans="1:11" ht="15" customHeight="1">
      <c r="A54" s="951">
        <f t="shared" si="1"/>
        <v>42</v>
      </c>
      <c r="B54" s="956" t="s">
        <v>892</v>
      </c>
      <c r="D54" s="964"/>
      <c r="E54" s="962">
        <f>E52</f>
        <v>-171238.83292304992</v>
      </c>
    </row>
    <row r="55" spans="1:11" ht="15" customHeight="1">
      <c r="A55" s="951">
        <f t="shared" si="1"/>
        <v>43</v>
      </c>
      <c r="B55" s="956"/>
      <c r="D55" s="964"/>
      <c r="E55" s="965"/>
      <c r="K55" s="15"/>
    </row>
    <row r="56" spans="1:11" ht="15" customHeight="1">
      <c r="A56" s="951">
        <f t="shared" si="1"/>
        <v>44</v>
      </c>
      <c r="B56" s="956" t="s">
        <v>893</v>
      </c>
      <c r="D56" s="966">
        <v>0.21</v>
      </c>
      <c r="E56" s="967">
        <f>-E54*D56</f>
        <v>35960.154913840481</v>
      </c>
      <c r="K56" s="15"/>
    </row>
    <row r="57" spans="1:11" ht="15" customHeight="1">
      <c r="A57" s="951">
        <f t="shared" si="1"/>
        <v>45</v>
      </c>
      <c r="B57" s="956"/>
      <c r="D57" s="956"/>
      <c r="E57" s="956"/>
      <c r="K57" s="15"/>
    </row>
    <row r="58" spans="1:11" ht="15" customHeight="1" thickBot="1">
      <c r="A58" s="951">
        <f t="shared" si="1"/>
        <v>46</v>
      </c>
      <c r="B58" s="956" t="s">
        <v>894</v>
      </c>
      <c r="D58" s="956"/>
      <c r="E58" s="968">
        <f>-E54-E56</f>
        <v>135278.67800920946</v>
      </c>
      <c r="K58" s="15"/>
    </row>
    <row r="59" spans="1:11" ht="15" customHeight="1" thickTop="1">
      <c r="A59" s="951">
        <f t="shared" si="1"/>
        <v>47</v>
      </c>
      <c r="K59" s="15"/>
    </row>
    <row r="60" spans="1:11" ht="15" customHeight="1">
      <c r="A60" s="951">
        <f t="shared" si="1"/>
        <v>48</v>
      </c>
      <c r="B60" s="1020" t="s">
        <v>911</v>
      </c>
      <c r="K60" s="15"/>
    </row>
    <row r="61" spans="1:11" ht="15" customHeight="1">
      <c r="A61" s="951">
        <f t="shared" si="1"/>
        <v>49</v>
      </c>
      <c r="B61" s="1020" t="s">
        <v>912</v>
      </c>
      <c r="K61" s="15"/>
    </row>
    <row r="62" spans="1:11">
      <c r="A62" s="951">
        <f t="shared" si="1"/>
        <v>50</v>
      </c>
      <c r="B62" s="969"/>
      <c r="K62" s="15"/>
    </row>
    <row r="63" spans="1:11" ht="12.75" customHeight="1">
      <c r="A63" s="951">
        <f t="shared" si="1"/>
        <v>51</v>
      </c>
      <c r="B63" s="1020" t="s">
        <v>930</v>
      </c>
      <c r="C63" s="1042" t="s">
        <v>934</v>
      </c>
      <c r="D63" s="1042"/>
      <c r="E63" s="1042"/>
      <c r="H63" s="15"/>
      <c r="I63" s="970"/>
      <c r="J63" s="970"/>
      <c r="K63" s="15"/>
    </row>
    <row r="64" spans="1:11" ht="12.75" customHeight="1">
      <c r="A64" s="951">
        <f t="shared" si="1"/>
        <v>52</v>
      </c>
      <c r="B64" s="1043" t="s">
        <v>931</v>
      </c>
      <c r="C64" s="1044">
        <f>SUMIF('RB-IS by FERC'!$F$4:$F$88,"RA/L",'RB-IS by FERC'!$E$4:$E$88)</f>
        <v>-346065.93985135731</v>
      </c>
      <c r="D64" s="1020"/>
      <c r="E64" s="1020"/>
      <c r="H64" s="15"/>
      <c r="I64" s="15"/>
      <c r="J64" s="15"/>
      <c r="K64" s="15"/>
    </row>
    <row r="65" spans="1:3" ht="12.75" customHeight="1">
      <c r="A65" s="951">
        <f t="shared" si="1"/>
        <v>53</v>
      </c>
      <c r="B65" s="1043" t="s">
        <v>932</v>
      </c>
      <c r="C65" s="1045">
        <f>SUMIF('RB-IS by FERC'!$F$4:$F$88,"DFIT",'RB-IS by FERC'!$E$4:$E$88)</f>
        <v>489071.72524289537</v>
      </c>
    </row>
    <row r="66" spans="1:3" ht="12.75" customHeight="1" thickBot="1">
      <c r="A66" s="951">
        <f t="shared" si="1"/>
        <v>54</v>
      </c>
      <c r="B66" s="1043" t="s">
        <v>933</v>
      </c>
      <c r="C66" s="1046">
        <f>SUM(C64:C65)</f>
        <v>143005.78539153805</v>
      </c>
    </row>
    <row r="67" spans="1:3" ht="12.75" customHeight="1" thickTop="1"/>
  </sheetData>
  <pageMargins left="0.92" right="0.5" top="1" bottom="1" header="0.5" footer="0.5"/>
  <pageSetup scale="5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"/>
  <sheetViews>
    <sheetView zoomScaleNormal="100" workbookViewId="0">
      <pane ySplit="2" topLeftCell="A12" activePane="bottomLeft" state="frozen"/>
      <selection activeCell="C105" sqref="C105"/>
      <selection pane="bottomLeft" activeCell="C15" sqref="C15"/>
    </sheetView>
  </sheetViews>
  <sheetFormatPr defaultColWidth="9.28515625" defaultRowHeight="12.75"/>
  <cols>
    <col min="1" max="1" width="18.42578125" style="974" customWidth="1"/>
    <col min="2" max="2" width="63" style="974" customWidth="1"/>
    <col min="3" max="4" width="21.28515625" style="974" bestFit="1" customWidth="1"/>
    <col min="5" max="5" width="10.85546875" style="974" bestFit="1" customWidth="1"/>
    <col min="6" max="6" width="11.85546875" style="974" bestFit="1" customWidth="1"/>
    <col min="7" max="7" width="4.42578125" style="974" customWidth="1"/>
    <col min="8" max="8" width="17" style="1200" bestFit="1" customWidth="1"/>
    <col min="9" max="9" width="13.5703125" style="974" customWidth="1"/>
    <col min="10" max="16384" width="9.28515625" style="974"/>
  </cols>
  <sheetData>
    <row r="1" spans="1:9" ht="13.5" thickBot="1">
      <c r="A1" s="971"/>
      <c r="B1" s="972"/>
      <c r="C1" s="972"/>
      <c r="D1" s="972"/>
      <c r="E1" s="972"/>
      <c r="F1" s="973"/>
    </row>
    <row r="2" spans="1:9" ht="26.25" thickBot="1">
      <c r="A2" s="975" t="s">
        <v>760</v>
      </c>
      <c r="B2" s="975" t="s">
        <v>759</v>
      </c>
      <c r="C2" s="976">
        <v>43281</v>
      </c>
      <c r="D2" s="976" t="s">
        <v>937</v>
      </c>
      <c r="E2" s="977" t="s">
        <v>762</v>
      </c>
      <c r="F2" s="977" t="s">
        <v>761</v>
      </c>
    </row>
    <row r="3" spans="1:9" ht="13.5" thickTop="1">
      <c r="A3" s="978"/>
      <c r="B3" s="979" t="s">
        <v>6</v>
      </c>
      <c r="C3" s="980"/>
      <c r="D3" s="981"/>
      <c r="E3" s="982"/>
      <c r="F3" s="983"/>
    </row>
    <row r="4" spans="1:9">
      <c r="A4" s="984">
        <v>18230071</v>
      </c>
      <c r="B4" s="985" t="s">
        <v>758</v>
      </c>
      <c r="C4" s="335">
        <v>0</v>
      </c>
      <c r="D4" s="335">
        <v>0</v>
      </c>
      <c r="E4" s="986">
        <v>23</v>
      </c>
      <c r="F4" s="987">
        <v>10</v>
      </c>
      <c r="G4" s="335"/>
    </row>
    <row r="5" spans="1:9">
      <c r="A5" s="984">
        <v>18230081</v>
      </c>
      <c r="B5" s="985" t="s">
        <v>757</v>
      </c>
      <c r="C5" s="335">
        <v>0</v>
      </c>
      <c r="D5" s="335">
        <v>0</v>
      </c>
      <c r="E5" s="986">
        <v>23</v>
      </c>
      <c r="F5" s="987">
        <v>11</v>
      </c>
      <c r="G5" s="335"/>
    </row>
    <row r="6" spans="1:9">
      <c r="A6" s="984">
        <v>28300431</v>
      </c>
      <c r="B6" s="985" t="s">
        <v>756</v>
      </c>
      <c r="C6" s="335">
        <v>0</v>
      </c>
      <c r="D6" s="335">
        <v>0</v>
      </c>
      <c r="E6" s="986">
        <v>22</v>
      </c>
      <c r="F6" s="987" t="s">
        <v>799</v>
      </c>
      <c r="G6" s="335"/>
    </row>
    <row r="7" spans="1:9" ht="13.5" thickBot="1">
      <c r="A7" s="984"/>
      <c r="B7" s="985"/>
      <c r="C7" s="988">
        <f>SUM(C4:C6)</f>
        <v>0</v>
      </c>
      <c r="D7" s="988">
        <f>SUM(D4:D6)</f>
        <v>0</v>
      </c>
      <c r="E7" s="986"/>
      <c r="F7" s="987"/>
    </row>
    <row r="8" spans="1:9" ht="13.5" thickTop="1">
      <c r="A8" s="978"/>
      <c r="B8" s="979" t="s">
        <v>146</v>
      </c>
      <c r="C8" s="980"/>
      <c r="D8" s="981"/>
      <c r="E8" s="982"/>
      <c r="F8" s="983"/>
    </row>
    <row r="9" spans="1:9">
      <c r="A9" s="984">
        <v>25300601</v>
      </c>
      <c r="B9" s="985" t="s">
        <v>754</v>
      </c>
      <c r="C9" s="335">
        <v>0</v>
      </c>
      <c r="D9" s="335">
        <v>0</v>
      </c>
      <c r="E9" s="986"/>
      <c r="F9" s="987"/>
    </row>
    <row r="10" spans="1:9">
      <c r="A10" s="984">
        <v>25400201</v>
      </c>
      <c r="B10" s="985" t="s">
        <v>753</v>
      </c>
      <c r="C10" s="335">
        <v>-130723.44</v>
      </c>
      <c r="D10" s="335">
        <v>-326808.3</v>
      </c>
      <c r="E10" s="986" t="s">
        <v>764</v>
      </c>
      <c r="F10" s="987" t="s">
        <v>795</v>
      </c>
      <c r="G10" s="335"/>
    </row>
    <row r="11" spans="1:9">
      <c r="A11" s="984">
        <v>19000151</v>
      </c>
      <c r="B11" s="985" t="s">
        <v>752</v>
      </c>
      <c r="C11" s="335">
        <v>73205</v>
      </c>
      <c r="D11" s="335">
        <v>121245.78916666664</v>
      </c>
      <c r="E11" s="986" t="s">
        <v>791</v>
      </c>
      <c r="F11" s="987" t="s">
        <v>792</v>
      </c>
      <c r="G11" s="335"/>
    </row>
    <row r="12" spans="1:9" ht="13.5" thickBot="1">
      <c r="A12" s="991"/>
      <c r="B12" s="985"/>
      <c r="C12" s="988">
        <f>SUM(C9:C11)</f>
        <v>-57518.44</v>
      </c>
      <c r="D12" s="988">
        <f>SUM(D9:D11)</f>
        <v>-205562.51083333336</v>
      </c>
      <c r="E12" s="992"/>
      <c r="F12" s="993"/>
      <c r="H12" s="1200">
        <f>'FB Energy'!Q129</f>
        <v>-57518.200444447313</v>
      </c>
      <c r="I12" s="1200">
        <f>'FB Energy'!R129</f>
        <v>-205562.24961111372</v>
      </c>
    </row>
    <row r="13" spans="1:9" ht="13.5" thickTop="1">
      <c r="A13" s="991"/>
      <c r="B13" s="979" t="s">
        <v>749</v>
      </c>
      <c r="C13" s="994"/>
      <c r="D13" s="995"/>
      <c r="E13" s="992"/>
      <c r="F13" s="993"/>
    </row>
    <row r="14" spans="1:9">
      <c r="A14" s="996">
        <v>19000711</v>
      </c>
      <c r="B14" s="985" t="s">
        <v>751</v>
      </c>
      <c r="C14" s="335">
        <v>100356.94</v>
      </c>
      <c r="D14" s="335">
        <v>166216.14958333332</v>
      </c>
      <c r="E14" s="992">
        <v>22</v>
      </c>
      <c r="F14" s="993" t="s">
        <v>794</v>
      </c>
      <c r="G14" s="335"/>
    </row>
    <row r="15" spans="1:9">
      <c r="A15" s="996">
        <v>25400191</v>
      </c>
      <c r="B15" s="985" t="s">
        <v>750</v>
      </c>
      <c r="C15" s="335">
        <v>-179209.18</v>
      </c>
      <c r="D15" s="335">
        <v>-448022.26</v>
      </c>
      <c r="E15" s="992">
        <v>23</v>
      </c>
      <c r="F15" s="993">
        <v>29.1</v>
      </c>
      <c r="G15" s="335"/>
    </row>
    <row r="16" spans="1:9">
      <c r="A16" s="996">
        <v>25302121</v>
      </c>
      <c r="B16" s="985" t="s">
        <v>748</v>
      </c>
      <c r="C16" s="335">
        <v>0</v>
      </c>
      <c r="D16" s="335">
        <v>0</v>
      </c>
      <c r="E16" s="992"/>
      <c r="F16" s="993"/>
    </row>
    <row r="17" spans="1:10" ht="13.5" thickBot="1">
      <c r="A17" s="991"/>
      <c r="B17" s="985"/>
      <c r="C17" s="988">
        <f>SUM(C14:C16)</f>
        <v>-78852.239999999991</v>
      </c>
      <c r="D17" s="988">
        <f>SUM(D14:D16)</f>
        <v>-281806.11041666672</v>
      </c>
      <c r="E17" s="992"/>
      <c r="F17" s="993"/>
      <c r="H17" s="1200">
        <f>BNP!Q113</f>
        <v>-78851.844660198316</v>
      </c>
      <c r="I17" s="1200">
        <f>BNP!R113</f>
        <v>-281805.74029126554</v>
      </c>
    </row>
    <row r="18" spans="1:10" ht="13.5" thickTop="1">
      <c r="A18" s="991"/>
      <c r="B18" s="979" t="s">
        <v>898</v>
      </c>
      <c r="C18" s="994"/>
      <c r="D18" s="995"/>
      <c r="E18" s="992"/>
      <c r="F18" s="993"/>
    </row>
    <row r="19" spans="1:10">
      <c r="A19" s="996">
        <v>18600351</v>
      </c>
      <c r="B19" s="985" t="s">
        <v>747</v>
      </c>
      <c r="C19" s="335">
        <v>0</v>
      </c>
      <c r="D19" s="335">
        <v>0</v>
      </c>
      <c r="E19" s="992"/>
      <c r="F19" s="993"/>
    </row>
    <row r="20" spans="1:10">
      <c r="A20" s="996">
        <v>18600361</v>
      </c>
      <c r="B20" s="985" t="s">
        <v>746</v>
      </c>
      <c r="C20" s="335">
        <v>0</v>
      </c>
      <c r="D20" s="335">
        <v>0</v>
      </c>
      <c r="E20" s="992"/>
      <c r="F20" s="993"/>
      <c r="G20" s="997"/>
      <c r="H20" s="1201"/>
    </row>
    <row r="21" spans="1:10">
      <c r="A21" s="996">
        <v>18600371</v>
      </c>
      <c r="B21" s="985" t="s">
        <v>745</v>
      </c>
      <c r="C21" s="335">
        <v>0</v>
      </c>
      <c r="D21" s="335">
        <v>0</v>
      </c>
      <c r="E21" s="992"/>
      <c r="F21" s="993"/>
      <c r="G21" s="997"/>
      <c r="H21" s="1201"/>
    </row>
    <row r="22" spans="1:10">
      <c r="A22" s="996">
        <v>18235521</v>
      </c>
      <c r="B22" s="985" t="s">
        <v>744</v>
      </c>
      <c r="C22" s="335">
        <v>19307860.879999999</v>
      </c>
      <c r="D22" s="335">
        <v>20750386.879999999</v>
      </c>
      <c r="E22" s="992">
        <v>23</v>
      </c>
      <c r="F22" s="993" t="s">
        <v>773</v>
      </c>
      <c r="G22" s="998"/>
      <c r="H22" s="1201"/>
    </row>
    <row r="23" spans="1:10">
      <c r="A23" s="984">
        <v>28300601</v>
      </c>
      <c r="B23" s="985" t="s">
        <v>743</v>
      </c>
      <c r="C23" s="335">
        <v>0</v>
      </c>
      <c r="D23" s="335">
        <v>0</v>
      </c>
      <c r="E23" s="992"/>
      <c r="F23" s="993"/>
      <c r="G23" s="997"/>
      <c r="H23" s="1201"/>
    </row>
    <row r="24" spans="1:10">
      <c r="A24" s="984">
        <v>28300611</v>
      </c>
      <c r="B24" s="985" t="s">
        <v>742</v>
      </c>
      <c r="C24" s="335">
        <v>0</v>
      </c>
      <c r="D24" s="335">
        <v>0</v>
      </c>
      <c r="E24" s="992"/>
      <c r="F24" s="993"/>
      <c r="G24" s="997"/>
      <c r="H24" s="1201"/>
    </row>
    <row r="25" spans="1:10">
      <c r="A25" s="984">
        <v>28300661</v>
      </c>
      <c r="B25" s="985" t="s">
        <v>741</v>
      </c>
      <c r="C25" s="335">
        <v>-6959704.9900000002</v>
      </c>
      <c r="D25" s="335">
        <v>-7313123.8600000003</v>
      </c>
      <c r="E25" s="992">
        <v>22</v>
      </c>
      <c r="F25" s="993" t="s">
        <v>803</v>
      </c>
      <c r="G25" s="998"/>
      <c r="H25" s="1201"/>
    </row>
    <row r="26" spans="1:10" ht="13.5" thickBot="1">
      <c r="A26" s="991"/>
      <c r="B26" s="985"/>
      <c r="C26" s="988">
        <f>SUM(C19:C25)</f>
        <v>12348155.889999999</v>
      </c>
      <c r="D26" s="988">
        <f>SUM(D19:D25)</f>
        <v>13437263.02</v>
      </c>
      <c r="E26" s="992"/>
      <c r="F26" s="993"/>
      <c r="H26" s="1200">
        <f>'Mint Farm Def'!O127</f>
        <v>12348156.650861859</v>
      </c>
      <c r="I26" s="1200">
        <f>'Mint Farm Def'!N127</f>
        <v>13437263.780861851</v>
      </c>
      <c r="J26" s="1200"/>
    </row>
    <row r="27" spans="1:10" ht="13.5" thickTop="1">
      <c r="A27" s="991"/>
      <c r="B27" s="999" t="s">
        <v>156</v>
      </c>
      <c r="C27" s="994"/>
      <c r="D27" s="990"/>
      <c r="E27" s="992"/>
      <c r="F27" s="993"/>
      <c r="H27" s="1200">
        <f>+H26-C26</f>
        <v>0.76086186058819294</v>
      </c>
      <c r="I27" s="1200">
        <f>+I26-D26</f>
        <v>0.76086185127496719</v>
      </c>
    </row>
    <row r="28" spans="1:10">
      <c r="A28" s="996">
        <v>18230351</v>
      </c>
      <c r="B28" s="985" t="s">
        <v>738</v>
      </c>
      <c r="C28" s="335">
        <v>94507541.950000003</v>
      </c>
      <c r="D28" s="335">
        <v>98051574.730000019</v>
      </c>
      <c r="E28" s="992">
        <v>23</v>
      </c>
      <c r="F28" s="993" t="s">
        <v>763</v>
      </c>
      <c r="G28" s="335"/>
    </row>
    <row r="29" spans="1:10">
      <c r="A29" s="996">
        <v>28300561</v>
      </c>
      <c r="B29" s="985" t="s">
        <v>737</v>
      </c>
      <c r="C29" s="335">
        <v>-12495445.210000001</v>
      </c>
      <c r="D29" s="335">
        <v>-12818608.247916667</v>
      </c>
      <c r="E29" s="992">
        <v>22</v>
      </c>
      <c r="F29" s="993" t="s">
        <v>802</v>
      </c>
      <c r="G29" s="335"/>
    </row>
    <row r="30" spans="1:10" ht="13.5" thickBot="1">
      <c r="A30" s="991"/>
      <c r="B30" s="985"/>
      <c r="C30" s="988">
        <f>SUM(C28:C29)</f>
        <v>82012096.74000001</v>
      </c>
      <c r="D30" s="988">
        <f>SUM(D28:D29)</f>
        <v>85232966.48208335</v>
      </c>
      <c r="E30" s="992"/>
      <c r="F30" s="993"/>
      <c r="H30" s="1200">
        <f>'$89M Chelan PUD'!L158+'$89M Chelan PUD'!N158</f>
        <v>82012095.988068283</v>
      </c>
      <c r="I30" s="1200">
        <f>'$89M Chelan PUD'!P158</f>
        <v>85232965.748104542</v>
      </c>
    </row>
    <row r="31" spans="1:10" ht="13.5" thickTop="1">
      <c r="A31" s="991"/>
      <c r="B31" s="979" t="s">
        <v>900</v>
      </c>
      <c r="C31" s="994"/>
      <c r="D31" s="990"/>
      <c r="E31" s="992"/>
      <c r="F31" s="993"/>
      <c r="H31" s="1200">
        <f>+H30-C30</f>
        <v>-0.75193172693252563</v>
      </c>
      <c r="I31" s="1200">
        <f>+I30-D30</f>
        <v>-0.73397880792617798</v>
      </c>
    </row>
    <row r="32" spans="1:10">
      <c r="A32" s="996">
        <v>12800001</v>
      </c>
      <c r="B32" s="985" t="s">
        <v>736</v>
      </c>
      <c r="C32" s="335">
        <v>18500000</v>
      </c>
      <c r="D32" s="335">
        <v>18500000</v>
      </c>
      <c r="E32" s="992">
        <v>23</v>
      </c>
      <c r="F32" s="993" t="s">
        <v>763</v>
      </c>
      <c r="G32" s="335"/>
      <c r="H32" s="1200">
        <f>'$18.5M Chelan'!D106</f>
        <v>18500000</v>
      </c>
      <c r="I32" s="1200">
        <f>'$18.5M Chelan'!E106</f>
        <v>18500000</v>
      </c>
    </row>
    <row r="33" spans="1:10" ht="13.5" thickBot="1">
      <c r="A33" s="996"/>
      <c r="B33" s="985"/>
      <c r="C33" s="988">
        <f>SUM(C32)</f>
        <v>18500000</v>
      </c>
      <c r="D33" s="988">
        <f>SUM(D32)</f>
        <v>18500000</v>
      </c>
      <c r="E33" s="992"/>
      <c r="F33" s="993"/>
      <c r="H33" s="1200">
        <f>+H32-C32</f>
        <v>0</v>
      </c>
      <c r="I33" s="1200">
        <f>+I32-D32</f>
        <v>0</v>
      </c>
    </row>
    <row r="34" spans="1:10" ht="13.5" thickTop="1">
      <c r="A34" s="991"/>
      <c r="B34" s="1000" t="s">
        <v>740</v>
      </c>
      <c r="C34" s="994"/>
      <c r="D34" s="995"/>
      <c r="E34" s="992"/>
      <c r="F34" s="993"/>
    </row>
    <row r="35" spans="1:10">
      <c r="A35" s="996">
        <v>16599011</v>
      </c>
      <c r="B35" s="985" t="s">
        <v>739</v>
      </c>
      <c r="C35" s="335">
        <v>0</v>
      </c>
      <c r="D35" s="335">
        <v>0</v>
      </c>
      <c r="E35" s="992"/>
      <c r="F35" s="993"/>
    </row>
    <row r="36" spans="1:10">
      <c r="A36" s="996">
        <v>18232321</v>
      </c>
      <c r="B36" s="985" t="s">
        <v>739</v>
      </c>
      <c r="C36" s="335">
        <v>749999.69</v>
      </c>
      <c r="D36" s="335">
        <v>999999.70999999961</v>
      </c>
      <c r="E36" s="992">
        <v>23</v>
      </c>
      <c r="F36" s="993" t="s">
        <v>765</v>
      </c>
      <c r="G36" s="335"/>
    </row>
    <row r="37" spans="1:10" ht="13.5" thickBot="1">
      <c r="A37" s="996"/>
      <c r="B37" s="985"/>
      <c r="C37" s="988">
        <f>SUM(C35:C36)</f>
        <v>749999.69</v>
      </c>
      <c r="D37" s="988">
        <f>SUM(D35:D36)</f>
        <v>999999.70999999961</v>
      </c>
      <c r="E37" s="992"/>
      <c r="F37" s="993"/>
      <c r="H37" s="1200">
        <f>'Colstrip 1&amp;2 Prepaid'!I111</f>
        <v>750000.00000000559</v>
      </c>
      <c r="I37" s="1200">
        <f>'Colstrip 1&amp;2 Prepaid'!J111</f>
        <v>1000000.0000000057</v>
      </c>
    </row>
    <row r="38" spans="1:10" ht="13.5" thickTop="1">
      <c r="A38" s="996"/>
      <c r="B38" s="1001" t="s">
        <v>633</v>
      </c>
      <c r="C38" s="994"/>
      <c r="D38" s="995"/>
      <c r="E38" s="992"/>
      <c r="F38" s="993"/>
      <c r="H38" s="1200">
        <f>+H37-C37</f>
        <v>0.3100000056438148</v>
      </c>
      <c r="I38" s="1200">
        <f>+I37-D37</f>
        <v>0.29000000609084964</v>
      </c>
    </row>
    <row r="39" spans="1:10">
      <c r="A39" s="996">
        <v>18220091</v>
      </c>
      <c r="B39" s="985" t="s">
        <v>766</v>
      </c>
      <c r="C39" s="335">
        <v>0</v>
      </c>
      <c r="D39" s="335">
        <v>0</v>
      </c>
      <c r="E39" s="992" t="s">
        <v>764</v>
      </c>
      <c r="F39" s="993" t="s">
        <v>767</v>
      </c>
      <c r="G39" s="335"/>
    </row>
    <row r="40" spans="1:10" ht="13.5" thickBot="1">
      <c r="A40" s="996"/>
      <c r="B40" s="985"/>
      <c r="C40" s="988">
        <f>SUM(C39)</f>
        <v>0</v>
      </c>
      <c r="D40" s="988">
        <f>SUM(D39)</f>
        <v>0</v>
      </c>
      <c r="E40" s="992"/>
      <c r="F40" s="993"/>
      <c r="H40" s="1200">
        <f>'FERC PART 12 STUDY (Baker)'!H99</f>
        <v>0</v>
      </c>
      <c r="I40" s="1200">
        <f>'FERC PART 12 STUDY (Baker)'!I99</f>
        <v>0</v>
      </c>
    </row>
    <row r="41" spans="1:10" ht="13.5" thickTop="1">
      <c r="A41" s="996"/>
      <c r="B41" s="1000" t="s">
        <v>901</v>
      </c>
      <c r="C41" s="994"/>
      <c r="D41" s="995"/>
      <c r="E41" s="992"/>
      <c r="F41" s="993"/>
    </row>
    <row r="42" spans="1:10">
      <c r="A42" s="996">
        <v>18600581</v>
      </c>
      <c r="B42" s="985" t="s">
        <v>784</v>
      </c>
      <c r="C42" s="335">
        <v>0</v>
      </c>
      <c r="D42" s="335">
        <v>0</v>
      </c>
      <c r="E42" s="992"/>
      <c r="F42" s="993"/>
    </row>
    <row r="43" spans="1:10">
      <c r="A43" s="996">
        <v>18232301</v>
      </c>
      <c r="B43" s="985" t="s">
        <v>734</v>
      </c>
      <c r="C43" s="335">
        <v>61189384.369999997</v>
      </c>
      <c r="D43" s="335">
        <v>62948286.828333326</v>
      </c>
      <c r="E43" s="992">
        <v>23</v>
      </c>
      <c r="F43" s="993" t="s">
        <v>771</v>
      </c>
      <c r="G43" s="335"/>
    </row>
    <row r="44" spans="1:10" ht="13.5" thickBot="1">
      <c r="A44" s="996"/>
      <c r="B44" s="985"/>
      <c r="C44" s="988">
        <f>SUM(C42:C43)</f>
        <v>61189384.369999997</v>
      </c>
      <c r="D44" s="988">
        <f>SUM(D42:D43)</f>
        <v>62948286.828333326</v>
      </c>
      <c r="E44" s="992"/>
      <c r="F44" s="993"/>
      <c r="H44" s="1200">
        <f>'LSR Prepaid Principal'!P128</f>
        <v>61189389.095872805</v>
      </c>
      <c r="I44" s="1200">
        <f>'LSR Prepaid Principal'!Q128</f>
        <v>62948288.183836877</v>
      </c>
      <c r="J44" s="1002"/>
    </row>
    <row r="45" spans="1:10" ht="13.5" thickTop="1">
      <c r="A45" s="996"/>
      <c r="B45" s="1000" t="s">
        <v>902</v>
      </c>
      <c r="C45" s="994"/>
      <c r="D45" s="994"/>
      <c r="E45" s="992"/>
      <c r="F45" s="993"/>
      <c r="H45" s="1200">
        <f>+H44-C44</f>
        <v>4.7258728072047234</v>
      </c>
      <c r="I45" s="1200">
        <f>+I44-D44</f>
        <v>1.3555035516619682</v>
      </c>
    </row>
    <row r="46" spans="1:10">
      <c r="A46" s="996">
        <v>18600591</v>
      </c>
      <c r="B46" s="985" t="s">
        <v>785</v>
      </c>
      <c r="C46" s="335"/>
      <c r="D46" s="335">
        <v>0</v>
      </c>
      <c r="E46" s="992"/>
      <c r="F46" s="993"/>
    </row>
    <row r="47" spans="1:10">
      <c r="A47" s="996">
        <v>18232311</v>
      </c>
      <c r="B47" s="985" t="s">
        <v>733</v>
      </c>
      <c r="C47" s="335">
        <v>13025694</v>
      </c>
      <c r="D47" s="335">
        <v>13369404</v>
      </c>
      <c r="E47" s="992"/>
      <c r="F47" s="993" t="s">
        <v>771</v>
      </c>
      <c r="G47" s="335"/>
    </row>
    <row r="48" spans="1:10">
      <c r="A48" s="996">
        <v>28300081</v>
      </c>
      <c r="B48" s="985" t="s">
        <v>732</v>
      </c>
      <c r="C48" s="335">
        <v>-4607112.3</v>
      </c>
      <c r="D48" s="335">
        <v>-4691321.25</v>
      </c>
      <c r="E48" s="992">
        <v>22</v>
      </c>
      <c r="F48" s="993" t="s">
        <v>796</v>
      </c>
      <c r="G48" s="335"/>
    </row>
    <row r="49" spans="1:9" ht="13.5" thickBot="1">
      <c r="A49" s="996"/>
      <c r="B49" s="985"/>
      <c r="C49" s="988">
        <f>SUM(C46:C48)</f>
        <v>8418581.6999999993</v>
      </c>
      <c r="D49" s="988">
        <f>SUM(D46:D48)</f>
        <v>8678082.75</v>
      </c>
      <c r="E49" s="992"/>
      <c r="F49" s="993"/>
      <c r="H49" s="1200">
        <f>'LSR Prepaid carrying charges '!X142</f>
        <v>8418581.8744743578</v>
      </c>
      <c r="I49" s="1200">
        <f>'LSR Prepaid carrying charges '!W142</f>
        <v>8678082.9244743623</v>
      </c>
    </row>
    <row r="50" spans="1:9" ht="13.5" thickTop="1">
      <c r="A50" s="996"/>
      <c r="B50" s="1000" t="s">
        <v>209</v>
      </c>
      <c r="C50" s="994"/>
      <c r="D50" s="995"/>
      <c r="E50" s="992"/>
      <c r="F50" s="993"/>
      <c r="H50" s="1200">
        <f>+H49-C49</f>
        <v>0.17447435855865479</v>
      </c>
      <c r="I50" s="1200">
        <f>+I49-D49</f>
        <v>0.17447436228394508</v>
      </c>
    </row>
    <row r="51" spans="1:9">
      <c r="A51" s="996">
        <v>18600311</v>
      </c>
      <c r="B51" s="985" t="s">
        <v>778</v>
      </c>
      <c r="C51" s="335">
        <v>0</v>
      </c>
      <c r="D51" s="335">
        <v>0</v>
      </c>
      <c r="E51" s="992"/>
      <c r="F51" s="993"/>
    </row>
    <row r="52" spans="1:9">
      <c r="A52" s="996">
        <v>18600331</v>
      </c>
      <c r="B52" s="985" t="s">
        <v>779</v>
      </c>
      <c r="C52" s="335">
        <v>0</v>
      </c>
      <c r="D52" s="335">
        <v>0</v>
      </c>
      <c r="E52" s="992"/>
      <c r="F52" s="993"/>
    </row>
    <row r="53" spans="1:9">
      <c r="A53" s="996">
        <v>18600391</v>
      </c>
      <c r="B53" s="985" t="s">
        <v>780</v>
      </c>
      <c r="C53" s="335">
        <v>0</v>
      </c>
      <c r="D53" s="335">
        <v>0</v>
      </c>
      <c r="E53" s="992"/>
      <c r="F53" s="993"/>
    </row>
    <row r="54" spans="1:9">
      <c r="A54" s="996">
        <v>18232331</v>
      </c>
      <c r="B54" s="985" t="s">
        <v>772</v>
      </c>
      <c r="C54" s="335">
        <v>0</v>
      </c>
      <c r="D54" s="335">
        <v>0</v>
      </c>
      <c r="E54" s="992"/>
      <c r="F54" s="993"/>
      <c r="G54" s="335"/>
    </row>
    <row r="55" spans="1:9">
      <c r="A55" s="996">
        <v>28300721</v>
      </c>
      <c r="B55" s="985" t="s">
        <v>735</v>
      </c>
      <c r="C55" s="335">
        <v>0</v>
      </c>
      <c r="D55" s="335">
        <v>0</v>
      </c>
      <c r="E55" s="992"/>
      <c r="F55" s="993"/>
      <c r="G55" s="335"/>
    </row>
    <row r="56" spans="1:9" ht="13.5" thickBot="1">
      <c r="A56" s="996"/>
      <c r="B56" s="985"/>
      <c r="C56" s="988">
        <f>SUM(C51:C55)</f>
        <v>0</v>
      </c>
      <c r="D56" s="988">
        <f>SUM(D51:D55)</f>
        <v>0</v>
      </c>
      <c r="E56" s="992"/>
      <c r="F56" s="993"/>
    </row>
    <row r="57" spans="1:9" ht="13.5" thickTop="1">
      <c r="A57" s="996"/>
      <c r="B57" s="1003" t="s">
        <v>903</v>
      </c>
      <c r="C57" s="990"/>
      <c r="D57" s="990"/>
      <c r="E57" s="992"/>
      <c r="F57" s="993"/>
    </row>
    <row r="58" spans="1:9">
      <c r="A58" s="996">
        <v>18600801</v>
      </c>
      <c r="B58" s="985" t="s">
        <v>789</v>
      </c>
      <c r="C58" s="335">
        <v>0</v>
      </c>
      <c r="D58" s="335">
        <v>0</v>
      </c>
      <c r="E58" s="992"/>
      <c r="F58" s="993"/>
    </row>
    <row r="59" spans="1:9">
      <c r="A59" s="996">
        <v>18600811</v>
      </c>
      <c r="B59" s="985" t="s">
        <v>790</v>
      </c>
      <c r="C59" s="335">
        <v>0</v>
      </c>
      <c r="D59" s="335">
        <v>0</v>
      </c>
      <c r="E59" s="992"/>
      <c r="F59" s="993"/>
    </row>
    <row r="60" spans="1:9">
      <c r="A60" s="996">
        <v>18238321</v>
      </c>
      <c r="B60" s="985" t="s">
        <v>775</v>
      </c>
      <c r="C60" s="335">
        <v>224434.9</v>
      </c>
      <c r="D60" s="335">
        <v>561112.90000000026</v>
      </c>
      <c r="E60" s="992">
        <v>23</v>
      </c>
      <c r="F60" s="993" t="s">
        <v>769</v>
      </c>
      <c r="G60" s="335"/>
    </row>
    <row r="61" spans="1:9">
      <c r="A61" s="996">
        <v>28300741</v>
      </c>
      <c r="B61" s="985" t="s">
        <v>807</v>
      </c>
      <c r="C61" s="335">
        <v>-125687.14</v>
      </c>
      <c r="D61" s="335">
        <v>-208173.25000000003</v>
      </c>
      <c r="E61" s="992">
        <v>22</v>
      </c>
      <c r="F61" s="993" t="s">
        <v>800</v>
      </c>
      <c r="G61" s="335"/>
    </row>
    <row r="62" spans="1:9" ht="13.5" thickBot="1">
      <c r="A62" s="996"/>
      <c r="B62" s="985"/>
      <c r="C62" s="988">
        <f>SUM(C58:C61)</f>
        <v>98747.76</v>
      </c>
      <c r="D62" s="988">
        <f>SUM(D58:D61)</f>
        <v>352939.65000000026</v>
      </c>
      <c r="E62" s="992"/>
      <c r="F62" s="993"/>
      <c r="I62" s="1200">
        <f>Baker!M72</f>
        <v>352948.46841351001</v>
      </c>
    </row>
    <row r="63" spans="1:9" ht="13.5" thickTop="1">
      <c r="A63" s="996"/>
      <c r="B63" s="1003" t="s">
        <v>717</v>
      </c>
      <c r="C63" s="990"/>
      <c r="D63" s="990"/>
      <c r="E63" s="992"/>
      <c r="F63" s="993"/>
      <c r="I63" s="1200">
        <f>+I62-D62</f>
        <v>8.818413509754464</v>
      </c>
    </row>
    <row r="64" spans="1:9">
      <c r="A64" s="996">
        <v>18600001</v>
      </c>
      <c r="B64" s="985" t="s">
        <v>777</v>
      </c>
      <c r="C64" s="335">
        <v>0</v>
      </c>
      <c r="D64" s="335">
        <v>0</v>
      </c>
      <c r="E64" s="992"/>
      <c r="F64" s="993"/>
    </row>
    <row r="65" spans="1:9">
      <c r="A65" s="996">
        <v>18600451</v>
      </c>
      <c r="B65" s="985" t="s">
        <v>781</v>
      </c>
      <c r="C65" s="335">
        <v>0</v>
      </c>
      <c r="D65" s="335">
        <v>0</v>
      </c>
      <c r="E65" s="992"/>
      <c r="F65" s="993"/>
    </row>
    <row r="66" spans="1:9">
      <c r="A66" s="996">
        <v>18600461</v>
      </c>
      <c r="B66" s="985" t="s">
        <v>782</v>
      </c>
      <c r="C66" s="335">
        <v>0</v>
      </c>
      <c r="D66" s="335">
        <v>0</v>
      </c>
      <c r="E66" s="992"/>
      <c r="F66" s="993"/>
    </row>
    <row r="67" spans="1:9">
      <c r="A67" s="996">
        <v>18238331</v>
      </c>
      <c r="B67" s="985" t="s">
        <v>776</v>
      </c>
      <c r="C67" s="335">
        <v>881357.72</v>
      </c>
      <c r="D67" s="335">
        <v>2203421.7199999997</v>
      </c>
      <c r="E67" s="992">
        <v>23</v>
      </c>
      <c r="F67" s="993" t="s">
        <v>768</v>
      </c>
      <c r="G67" s="335"/>
    </row>
    <row r="68" spans="1:9">
      <c r="A68" s="996">
        <v>28300091</v>
      </c>
      <c r="B68" s="985" t="s">
        <v>797</v>
      </c>
      <c r="C68" s="335">
        <v>-1445685.5</v>
      </c>
      <c r="D68" s="335">
        <v>-1349740.7566666668</v>
      </c>
      <c r="E68" s="992">
        <v>22</v>
      </c>
      <c r="F68" s="993" t="s">
        <v>798</v>
      </c>
      <c r="G68" s="335"/>
    </row>
    <row r="69" spans="1:9" ht="13.5" thickBot="1">
      <c r="A69" s="996"/>
      <c r="B69" s="985"/>
      <c r="C69" s="988">
        <f>SUM(C64:C68)</f>
        <v>-564327.78</v>
      </c>
      <c r="D69" s="988">
        <f>SUM(D64:D68)</f>
        <v>853680.96333333291</v>
      </c>
      <c r="E69" s="992"/>
      <c r="F69" s="993"/>
    </row>
    <row r="70" spans="1:9" ht="13.5" thickTop="1">
      <c r="A70" s="996"/>
      <c r="B70" s="1003" t="s">
        <v>716</v>
      </c>
      <c r="C70" s="990"/>
      <c r="D70" s="990"/>
      <c r="E70" s="992"/>
      <c r="F70" s="993"/>
    </row>
    <row r="71" spans="1:9">
      <c r="A71" s="996">
        <v>18600531</v>
      </c>
      <c r="B71" s="985" t="s">
        <v>783</v>
      </c>
      <c r="C71" s="335">
        <v>0</v>
      </c>
      <c r="D71" s="335">
        <v>0</v>
      </c>
      <c r="E71" s="992"/>
      <c r="F71" s="993"/>
    </row>
    <row r="72" spans="1:9">
      <c r="A72" s="996">
        <v>18600671</v>
      </c>
      <c r="B72" s="985" t="s">
        <v>786</v>
      </c>
      <c r="C72" s="335">
        <v>0</v>
      </c>
      <c r="D72" s="335">
        <v>0</v>
      </c>
      <c r="E72" s="992"/>
      <c r="F72" s="993"/>
    </row>
    <row r="73" spans="1:9">
      <c r="A73" s="996">
        <v>18600691</v>
      </c>
      <c r="B73" s="985" t="s">
        <v>787</v>
      </c>
      <c r="C73" s="335">
        <v>0</v>
      </c>
      <c r="D73" s="335">
        <v>0</v>
      </c>
      <c r="E73" s="992"/>
      <c r="F73" s="993"/>
    </row>
    <row r="74" spans="1:9">
      <c r="A74" s="996">
        <v>18600791</v>
      </c>
      <c r="B74" s="985" t="s">
        <v>788</v>
      </c>
      <c r="C74" s="335">
        <v>0</v>
      </c>
      <c r="D74" s="335">
        <v>0</v>
      </c>
      <c r="E74" s="992"/>
      <c r="F74" s="993"/>
    </row>
    <row r="75" spans="1:9">
      <c r="A75" s="996">
        <v>18238311</v>
      </c>
      <c r="B75" s="985" t="s">
        <v>774</v>
      </c>
      <c r="C75" s="335">
        <v>6027225.7599999998</v>
      </c>
      <c r="D75" s="335">
        <v>8287437.7600000016</v>
      </c>
      <c r="E75" s="992">
        <v>23</v>
      </c>
      <c r="F75" s="993" t="s">
        <v>770</v>
      </c>
      <c r="G75" s="335"/>
    </row>
    <row r="76" spans="1:9">
      <c r="A76" s="996">
        <v>28300731</v>
      </c>
      <c r="B76" s="985" t="s">
        <v>806</v>
      </c>
      <c r="C76" s="335">
        <v>-2425958.7000000002</v>
      </c>
      <c r="D76" s="335">
        <v>-2979710.64</v>
      </c>
      <c r="E76" s="992">
        <v>22</v>
      </c>
      <c r="F76" s="993" t="s">
        <v>793</v>
      </c>
      <c r="G76" s="335"/>
    </row>
    <row r="77" spans="1:9" ht="13.5" thickBot="1">
      <c r="A77" s="996"/>
      <c r="B77" s="985"/>
      <c r="C77" s="988">
        <f>SUM(C71:C76)</f>
        <v>3601267.0599999996</v>
      </c>
      <c r="D77" s="988">
        <f>SUM(D71:D76)</f>
        <v>5307727.120000001</v>
      </c>
      <c r="E77" s="1004"/>
      <c r="F77" s="1005"/>
      <c r="H77" s="1200">
        <f>Ferndale!O79</f>
        <v>3601269.9318298036</v>
      </c>
      <c r="I77" s="1200">
        <f>Ferndale!N79</f>
        <v>5307729.4288160969</v>
      </c>
    </row>
    <row r="78" spans="1:9" ht="13.5" thickTop="1">
      <c r="A78" s="996"/>
      <c r="B78" s="1003" t="s">
        <v>904</v>
      </c>
      <c r="C78" s="990"/>
      <c r="D78" s="990"/>
      <c r="E78" s="1004"/>
      <c r="F78" s="1005"/>
      <c r="H78" s="1200">
        <f>+H77-C77</f>
        <v>2.871829804033041</v>
      </c>
      <c r="I78" s="1200">
        <f>+I77-D77</f>
        <v>2.3088160958141088</v>
      </c>
    </row>
    <row r="79" spans="1:9">
      <c r="A79" s="1006">
        <v>25400501</v>
      </c>
      <c r="B79" s="989" t="s">
        <v>838</v>
      </c>
      <c r="C79" s="335">
        <v>-160017</v>
      </c>
      <c r="D79" s="335">
        <v>-400029</v>
      </c>
      <c r="E79" s="992">
        <v>25</v>
      </c>
      <c r="F79" s="993">
        <v>22</v>
      </c>
    </row>
    <row r="80" spans="1:9">
      <c r="A80" s="996">
        <v>19003021</v>
      </c>
      <c r="B80" s="989" t="s">
        <v>837</v>
      </c>
      <c r="C80" s="335">
        <v>89607.63</v>
      </c>
      <c r="D80" s="335">
        <v>148410.56999999998</v>
      </c>
      <c r="E80" s="992">
        <v>25</v>
      </c>
      <c r="F80" s="993">
        <v>22</v>
      </c>
    </row>
    <row r="81" spans="1:9" ht="13.5" thickBot="1">
      <c r="A81" s="996"/>
      <c r="B81" s="985"/>
      <c r="C81" s="988">
        <f>SUM(C79:C80)</f>
        <v>-70409.37</v>
      </c>
      <c r="D81" s="988">
        <f>SUM(D79:D80)</f>
        <v>-251618.43000000002</v>
      </c>
      <c r="E81" s="1004"/>
      <c r="F81" s="1005"/>
      <c r="H81" s="1200">
        <f>'T-Grant Baker Deferral'!O65</f>
        <v>-70403.787748109389</v>
      </c>
      <c r="I81" s="1200">
        <f>'T-Grant Baker Deferral'!N65</f>
        <v>-251613.53689523615</v>
      </c>
    </row>
    <row r="82" spans="1:9" ht="13.5" thickTop="1">
      <c r="A82" s="996"/>
      <c r="B82" s="1003" t="s">
        <v>907</v>
      </c>
      <c r="C82" s="990"/>
      <c r="D82" s="990"/>
      <c r="E82" s="1004"/>
      <c r="F82" s="1005"/>
      <c r="H82" s="1200">
        <f>+H81-C81</f>
        <v>5.5822518906061305</v>
      </c>
      <c r="I82" s="1200">
        <f>+I81-D81</f>
        <v>4.8931047638761811</v>
      </c>
    </row>
    <row r="83" spans="1:9">
      <c r="A83" s="996">
        <v>25400491</v>
      </c>
      <c r="B83" s="989" t="s">
        <v>835</v>
      </c>
      <c r="C83" s="335">
        <v>-552746</v>
      </c>
      <c r="D83" s="335">
        <v>-1381856</v>
      </c>
      <c r="E83" s="992">
        <v>25</v>
      </c>
      <c r="F83" s="993">
        <v>22</v>
      </c>
    </row>
    <row r="84" spans="1:9">
      <c r="A84" s="996">
        <v>19003011</v>
      </c>
      <c r="B84" s="989" t="s">
        <v>834</v>
      </c>
      <c r="C84" s="335">
        <v>309536.5</v>
      </c>
      <c r="D84" s="335">
        <v>512668.44999999995</v>
      </c>
      <c r="E84" s="992">
        <v>25</v>
      </c>
      <c r="F84" s="993">
        <v>22</v>
      </c>
    </row>
    <row r="85" spans="1:9" ht="13.5" thickBot="1">
      <c r="A85" s="996"/>
      <c r="B85" s="985"/>
      <c r="C85" s="988">
        <f>SUM(C83:C84)</f>
        <v>-243209.5</v>
      </c>
      <c r="D85" s="988">
        <f>SUM(D83:D84)</f>
        <v>-869187.55</v>
      </c>
      <c r="E85" s="1004"/>
      <c r="F85" s="993"/>
      <c r="H85" s="1200">
        <f>'T-Grant Snoq Deferral'!O65</f>
        <v>-243205.90220066789</v>
      </c>
      <c r="I85" s="1200">
        <f>'T-Grant Snoq Deferral'!N65</f>
        <v>-869184.73002397036</v>
      </c>
    </row>
    <row r="86" spans="1:9" ht="13.5" thickTop="1">
      <c r="A86" s="996"/>
      <c r="B86" s="1003" t="s">
        <v>844</v>
      </c>
      <c r="C86" s="990"/>
      <c r="D86" s="990"/>
      <c r="E86" s="1004"/>
      <c r="F86" s="1005"/>
      <c r="H86" s="1200">
        <f>+H85-C85</f>
        <v>3.5977993321139365</v>
      </c>
      <c r="I86" s="1200">
        <f>+I85-D85</f>
        <v>2.8199760296847671</v>
      </c>
    </row>
    <row r="87" spans="1:9">
      <c r="A87" s="996">
        <v>18220101</v>
      </c>
      <c r="B87" s="989" t="s">
        <v>844</v>
      </c>
      <c r="C87" s="335">
        <v>2090557.84</v>
      </c>
      <c r="D87" s="335">
        <v>3786307.8400000012</v>
      </c>
      <c r="E87" s="992">
        <v>23</v>
      </c>
      <c r="F87" s="993" t="s">
        <v>845</v>
      </c>
    </row>
    <row r="88" spans="1:9">
      <c r="A88" s="996">
        <v>28302061</v>
      </c>
      <c r="B88" s="989" t="s">
        <v>861</v>
      </c>
      <c r="C88" s="335">
        <v>-969100.24</v>
      </c>
      <c r="D88" s="335">
        <v>-1384558.99</v>
      </c>
      <c r="E88" s="992">
        <v>22</v>
      </c>
      <c r="F88" s="993" t="s">
        <v>801</v>
      </c>
    </row>
    <row r="89" spans="1:9" ht="13.5" thickBot="1">
      <c r="A89" s="996"/>
      <c r="B89" s="985"/>
      <c r="C89" s="988">
        <f>SUM(C87:C88)</f>
        <v>1121457.6000000001</v>
      </c>
      <c r="D89" s="988">
        <f>SUM(D87:D88)</f>
        <v>2401748.8500000015</v>
      </c>
      <c r="E89" s="1004"/>
      <c r="F89" s="1005"/>
    </row>
    <row r="90" spans="1:9" ht="14.25" thickTop="1" thickBot="1">
      <c r="A90" s="1007"/>
      <c r="B90" s="1008"/>
      <c r="C90" s="1009"/>
      <c r="D90" s="1009"/>
      <c r="E90" s="1010"/>
      <c r="F90" s="1011"/>
    </row>
    <row r="91" spans="1:9" ht="13.5" thickBot="1">
      <c r="A91" s="1012"/>
      <c r="B91" s="1013" t="s">
        <v>8</v>
      </c>
      <c r="C91" s="1014">
        <f>C7+C12+C17+C26+C37+C40+C44+C49+C56+C30+C33+C62+C69+C77+C81+C85+C89</f>
        <v>187025373.47999999</v>
      </c>
      <c r="D91" s="1014">
        <f>D7+D12+D17+D26+D37+D40+D44+D49+D56+D30+D33+D62+D69+D77+D81+D85+D89</f>
        <v>197104520.77250001</v>
      </c>
      <c r="G91" s="335"/>
    </row>
    <row r="92" spans="1:9">
      <c r="B92" s="109"/>
      <c r="C92" s="1021"/>
      <c r="D92" s="1022"/>
    </row>
    <row r="93" spans="1:9">
      <c r="B93" s="974" t="s">
        <v>939</v>
      </c>
      <c r="C93" s="1121">
        <v>187025373.47999996</v>
      </c>
      <c r="D93" s="1023"/>
    </row>
    <row r="94" spans="1:9">
      <c r="C94" s="1122">
        <f>C91-C93</f>
        <v>0</v>
      </c>
      <c r="D94" s="1390"/>
    </row>
    <row r="95" spans="1:9">
      <c r="A95" s="1015"/>
      <c r="B95" s="1015"/>
      <c r="C95" s="1016"/>
      <c r="D95" s="1016"/>
      <c r="E95" s="1015"/>
      <c r="F95" s="1015"/>
      <c r="G95" s="1015"/>
      <c r="H95" s="1202"/>
    </row>
    <row r="96" spans="1:9">
      <c r="C96" s="335"/>
      <c r="D96" s="335"/>
    </row>
    <row r="97" spans="3:4">
      <c r="C97" s="335"/>
      <c r="D97" s="335"/>
    </row>
    <row r="98" spans="3:4">
      <c r="C98" s="335"/>
      <c r="D98" s="335"/>
    </row>
    <row r="99" spans="3:4">
      <c r="C99" s="335"/>
      <c r="D99" s="335"/>
    </row>
    <row r="100" spans="3:4">
      <c r="C100" s="335"/>
      <c r="D100" s="335"/>
    </row>
  </sheetData>
  <pageMargins left="0.7" right="0.7" top="0.75" bottom="0.75" header="0.3" footer="0.3"/>
  <pageSetup scale="77" fitToHeight="0" orientation="portrait" r:id="rId1"/>
  <rowBreaks count="3" manualBreakCount="3">
    <brk id="30" max="5" man="1"/>
    <brk id="91" max="5" man="1"/>
    <brk id="9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2" ySplit="2" topLeftCell="C63" activePane="bottomRight" state="frozen"/>
      <selection activeCell="E26" sqref="E26"/>
      <selection pane="topRight" activeCell="E26" sqref="E26"/>
      <selection pane="bottomLeft" activeCell="E26" sqref="E26"/>
      <selection pane="bottomRight" activeCell="D85" sqref="D85"/>
    </sheetView>
  </sheetViews>
  <sheetFormatPr defaultRowHeight="12.75"/>
  <cols>
    <col min="1" max="1" width="18.42578125" style="974" customWidth="1"/>
    <col min="2" max="2" width="64.140625" style="974" customWidth="1"/>
    <col min="3" max="5" width="21.28515625" style="974" bestFit="1" customWidth="1"/>
    <col min="6" max="7" width="9.140625" style="109"/>
    <col min="8" max="8" width="10.5703125" style="109" bestFit="1" customWidth="1"/>
    <col min="9" max="9" width="9.140625" style="109"/>
    <col min="10" max="10" width="19" style="331" bestFit="1" customWidth="1"/>
    <col min="11" max="12" width="9.140625" style="109"/>
    <col min="13" max="13" width="14.28515625" style="109" bestFit="1" customWidth="1"/>
    <col min="14" max="16384" width="9.140625" style="109"/>
  </cols>
  <sheetData>
    <row r="1" spans="1:10" ht="13.5" thickBot="1">
      <c r="A1" s="971"/>
      <c r="B1" s="972"/>
      <c r="C1" s="972"/>
      <c r="D1" s="972"/>
      <c r="E1" s="972"/>
      <c r="J1" s="1116"/>
    </row>
    <row r="2" spans="1:10" ht="13.5" thickBot="1">
      <c r="A2" s="975" t="s">
        <v>760</v>
      </c>
      <c r="B2" s="975" t="s">
        <v>759</v>
      </c>
      <c r="C2" s="976" t="s">
        <v>926</v>
      </c>
      <c r="D2" s="976" t="s">
        <v>927</v>
      </c>
      <c r="E2" s="976" t="s">
        <v>928</v>
      </c>
      <c r="J2" s="1117"/>
    </row>
    <row r="3" spans="1:10" ht="13.5" thickTop="1">
      <c r="A3" s="978"/>
      <c r="B3" s="979" t="s">
        <v>6</v>
      </c>
      <c r="C3" s="1034"/>
      <c r="D3" s="1034"/>
      <c r="E3" s="1035"/>
    </row>
    <row r="4" spans="1:10">
      <c r="A4" s="984">
        <v>18230071</v>
      </c>
      <c r="B4" s="985" t="s">
        <v>758</v>
      </c>
      <c r="C4" s="994">
        <f>'TY Reg Assets RB'!C4</f>
        <v>0</v>
      </c>
      <c r="D4" s="994">
        <f>'TY Reg Assets RB'!D4</f>
        <v>0</v>
      </c>
      <c r="E4" s="1036">
        <f>D4-C4</f>
        <v>0</v>
      </c>
      <c r="F4" s="109" t="s">
        <v>929</v>
      </c>
      <c r="J4" s="1118"/>
    </row>
    <row r="5" spans="1:10">
      <c r="A5" s="984">
        <v>18230081</v>
      </c>
      <c r="B5" s="985" t="s">
        <v>757</v>
      </c>
      <c r="C5" s="994">
        <f>'TY Reg Assets RB'!C5</f>
        <v>0</v>
      </c>
      <c r="D5" s="994">
        <f>'TY Reg Assets RB'!D5</f>
        <v>0</v>
      </c>
      <c r="E5" s="1036">
        <f>D5-C5</f>
        <v>0</v>
      </c>
      <c r="F5" s="109" t="s">
        <v>929</v>
      </c>
      <c r="J5" s="1118"/>
    </row>
    <row r="6" spans="1:10">
      <c r="A6" s="984">
        <v>28300431</v>
      </c>
      <c r="B6" s="985" t="s">
        <v>756</v>
      </c>
      <c r="C6" s="994">
        <f>'TY Reg Assets RB'!C6</f>
        <v>0</v>
      </c>
      <c r="D6" s="994">
        <f>'TY Reg Assets RB'!D6</f>
        <v>0</v>
      </c>
      <c r="E6" s="1036">
        <f>D6-C6</f>
        <v>0</v>
      </c>
      <c r="F6" s="109" t="s">
        <v>24</v>
      </c>
      <c r="G6" s="1391">
        <v>19000151</v>
      </c>
      <c r="H6" s="1392">
        <f>E11</f>
        <v>1143.8233055569581</v>
      </c>
      <c r="J6" s="1118"/>
    </row>
    <row r="7" spans="1:10" ht="13.5" thickBot="1">
      <c r="A7" s="984"/>
      <c r="B7" s="985"/>
      <c r="C7" s="988">
        <f>SUM(C4:C6)</f>
        <v>0</v>
      </c>
      <c r="D7" s="988">
        <f>SUM(D4:D6)</f>
        <v>0</v>
      </c>
      <c r="E7" s="1037">
        <f>SUM(E4:E6)</f>
        <v>0</v>
      </c>
      <c r="G7" s="1391">
        <v>19000711</v>
      </c>
      <c r="H7" s="1392">
        <f>E14</f>
        <v>1568.0296601959708</v>
      </c>
    </row>
    <row r="8" spans="1:10" ht="13.5" thickTop="1">
      <c r="A8" s="978"/>
      <c r="B8" s="979" t="s">
        <v>146</v>
      </c>
      <c r="C8" s="981"/>
      <c r="D8" s="981"/>
      <c r="E8" s="1038"/>
      <c r="G8" s="109">
        <v>19003011</v>
      </c>
      <c r="H8" s="1392">
        <f>E84</f>
        <v>4834.7656287041027</v>
      </c>
    </row>
    <row r="9" spans="1:10">
      <c r="A9" s="984" t="s">
        <v>895</v>
      </c>
      <c r="B9" s="985" t="s">
        <v>754</v>
      </c>
      <c r="C9" s="994">
        <f>'TY Reg Assets RB'!C9</f>
        <v>0</v>
      </c>
      <c r="D9" s="994">
        <f>'TY Reg Assets RB'!D9</f>
        <v>0</v>
      </c>
      <c r="E9" s="1036"/>
      <c r="F9" s="109" t="s">
        <v>929</v>
      </c>
      <c r="G9" s="109">
        <v>19003021</v>
      </c>
      <c r="H9" s="1392">
        <f>E80</f>
        <v>1397.2660948592675</v>
      </c>
    </row>
    <row r="10" spans="1:10">
      <c r="A10" s="984" t="s">
        <v>896</v>
      </c>
      <c r="B10" s="985" t="s">
        <v>753</v>
      </c>
      <c r="C10" s="994">
        <f>'TY Reg Assets RB'!C10</f>
        <v>-130723.44</v>
      </c>
      <c r="D10" s="994">
        <f>'FB Energy'!S135</f>
        <v>-136169.99648148575</v>
      </c>
      <c r="E10" s="1036">
        <f t="shared" ref="E10:E11" si="0">D10-C10</f>
        <v>-5446.5564814857498</v>
      </c>
      <c r="F10" s="109" t="s">
        <v>929</v>
      </c>
      <c r="G10" s="1391">
        <v>28300081</v>
      </c>
      <c r="H10" s="1392">
        <f>E48</f>
        <v>2.5243587791919708E-2</v>
      </c>
      <c r="J10" s="1118"/>
    </row>
    <row r="11" spans="1:10">
      <c r="A11" s="984">
        <v>19000151</v>
      </c>
      <c r="B11" s="985" t="s">
        <v>752</v>
      </c>
      <c r="C11" s="994">
        <f>'TY Reg Assets RB'!C11</f>
        <v>73205</v>
      </c>
      <c r="D11" s="994">
        <f>'FB Energy'!T135</f>
        <v>74348.823305556958</v>
      </c>
      <c r="E11" s="1036">
        <f t="shared" si="0"/>
        <v>1143.8233055569581</v>
      </c>
      <c r="F11" s="109" t="s">
        <v>24</v>
      </c>
      <c r="G11" s="1391">
        <v>28300091</v>
      </c>
      <c r="H11" s="1392">
        <f>E68</f>
        <v>413745.34131007409</v>
      </c>
      <c r="J11" s="1118"/>
    </row>
    <row r="12" spans="1:10" ht="13.5" thickBot="1">
      <c r="A12" s="991"/>
      <c r="B12" s="985"/>
      <c r="C12" s="988">
        <f>SUM(C9:C11)</f>
        <v>-57518.44</v>
      </c>
      <c r="D12" s="988">
        <f>SUM(D9:D11)</f>
        <v>-61821.173175928794</v>
      </c>
      <c r="E12" s="1037">
        <f>SUM(E9:E11)</f>
        <v>-4302.7331759287918</v>
      </c>
      <c r="G12" s="1391">
        <v>28300431</v>
      </c>
      <c r="H12" s="1392">
        <f>E6</f>
        <v>0</v>
      </c>
    </row>
    <row r="13" spans="1:10" ht="13.5" thickTop="1">
      <c r="A13" s="991"/>
      <c r="B13" s="979" t="s">
        <v>749</v>
      </c>
      <c r="C13" s="995"/>
      <c r="D13" s="995"/>
      <c r="E13" s="1039"/>
      <c r="G13" s="1391">
        <v>28300561</v>
      </c>
      <c r="H13" s="1392">
        <f>E29</f>
        <v>4.7349575906991959E-3</v>
      </c>
    </row>
    <row r="14" spans="1:10">
      <c r="A14" s="996">
        <v>19000711</v>
      </c>
      <c r="B14" s="985" t="s">
        <v>751</v>
      </c>
      <c r="C14" s="994">
        <f>'TY Reg Assets RB'!C14</f>
        <v>100356.94</v>
      </c>
      <c r="D14" s="994">
        <f>BNP!T119</f>
        <v>101924.96966019597</v>
      </c>
      <c r="E14" s="1036">
        <f t="shared" ref="E14" si="1">D14-C14</f>
        <v>1568.0296601959708</v>
      </c>
      <c r="F14" s="109" t="s">
        <v>24</v>
      </c>
      <c r="G14" s="109">
        <v>28300601</v>
      </c>
      <c r="H14" s="1392">
        <f>E23</f>
        <v>0</v>
      </c>
      <c r="J14" s="1118"/>
    </row>
    <row r="15" spans="1:10">
      <c r="A15" s="984" t="s">
        <v>897</v>
      </c>
      <c r="B15" s="985" t="s">
        <v>750</v>
      </c>
      <c r="C15" s="994">
        <f>'TY Reg Assets RB'!C15</f>
        <v>-179209.18</v>
      </c>
      <c r="D15" s="994">
        <f>BNP!S119</f>
        <v>-186675.76860841879</v>
      </c>
      <c r="E15" s="1036">
        <f t="shared" ref="E15" si="2">D15-C15</f>
        <v>-7466.588608418795</v>
      </c>
      <c r="F15" s="109" t="s">
        <v>929</v>
      </c>
      <c r="G15" s="109">
        <v>28300611</v>
      </c>
      <c r="H15" s="1392">
        <f>E24</f>
        <v>0</v>
      </c>
      <c r="J15" s="1118"/>
    </row>
    <row r="16" spans="1:10">
      <c r="A16" s="996">
        <v>25302121</v>
      </c>
      <c r="B16" s="985" t="s">
        <v>748</v>
      </c>
      <c r="C16" s="994">
        <f>'TY Reg Assets RB'!C16</f>
        <v>0</v>
      </c>
      <c r="D16" s="994">
        <f>'TY Reg Assets RB'!D16</f>
        <v>0</v>
      </c>
      <c r="E16" s="1036"/>
      <c r="F16" s="109" t="s">
        <v>929</v>
      </c>
      <c r="G16" s="109">
        <v>28300661</v>
      </c>
      <c r="H16" s="1392">
        <f>E25</f>
        <v>0.26583954505622387</v>
      </c>
      <c r="J16" s="1118"/>
    </row>
    <row r="17" spans="1:10" ht="13.5" thickBot="1">
      <c r="A17" s="991"/>
      <c r="B17" s="985"/>
      <c r="C17" s="988">
        <f>SUM(C14:C16)</f>
        <v>-78852.239999999991</v>
      </c>
      <c r="D17" s="988">
        <f t="shared" ref="D17:E17" si="3">SUM(D14:D16)</f>
        <v>-84750.798948222815</v>
      </c>
      <c r="E17" s="1037">
        <f t="shared" si="3"/>
        <v>-5898.5589482228243</v>
      </c>
      <c r="G17" s="1391">
        <v>28300721</v>
      </c>
      <c r="H17" s="1392">
        <f>E55</f>
        <v>0</v>
      </c>
      <c r="J17" s="1118"/>
    </row>
    <row r="18" spans="1:10" ht="13.5" thickTop="1">
      <c r="A18" s="991"/>
      <c r="B18" s="979" t="s">
        <v>898</v>
      </c>
      <c r="C18" s="995"/>
      <c r="D18" s="995"/>
      <c r="E18" s="1039"/>
      <c r="G18" s="1391">
        <v>28300731</v>
      </c>
      <c r="H18" s="1392">
        <f>E76</f>
        <v>-1.3796008247882128</v>
      </c>
      <c r="J18" s="1118"/>
    </row>
    <row r="19" spans="1:10">
      <c r="A19" s="996">
        <v>18600351</v>
      </c>
      <c r="B19" s="985" t="s">
        <v>747</v>
      </c>
      <c r="C19" s="994">
        <f>'TY Reg Assets RB'!C19</f>
        <v>0</v>
      </c>
      <c r="D19" s="994">
        <f>'TY Reg Assets RB'!D19</f>
        <v>0</v>
      </c>
      <c r="E19" s="1036"/>
      <c r="F19" s="109" t="s">
        <v>929</v>
      </c>
      <c r="G19" s="1391">
        <v>28300741</v>
      </c>
      <c r="H19" s="1392">
        <f>E61</f>
        <v>-1969.1025501967233</v>
      </c>
      <c r="J19" s="1118"/>
    </row>
    <row r="20" spans="1:10">
      <c r="A20" s="996">
        <v>18600361</v>
      </c>
      <c r="B20" s="985" t="s">
        <v>746</v>
      </c>
      <c r="C20" s="994">
        <f>'TY Reg Assets RB'!C20</f>
        <v>0</v>
      </c>
      <c r="D20" s="994">
        <f>'TY Reg Assets RB'!D20</f>
        <v>0</v>
      </c>
      <c r="E20" s="1036"/>
      <c r="F20" s="109" t="s">
        <v>929</v>
      </c>
      <c r="G20" s="109">
        <v>28302061</v>
      </c>
      <c r="H20" s="1392">
        <f>E88</f>
        <v>74584.717299999436</v>
      </c>
      <c r="J20" s="1118"/>
    </row>
    <row r="21" spans="1:10">
      <c r="A21" s="996">
        <v>18600371</v>
      </c>
      <c r="B21" s="985" t="s">
        <v>745</v>
      </c>
      <c r="C21" s="994">
        <f>'TY Reg Assets RB'!C21</f>
        <v>0</v>
      </c>
      <c r="D21" s="994">
        <f>'TY Reg Assets RB'!D21</f>
        <v>0</v>
      </c>
      <c r="E21" s="1036"/>
      <c r="F21" s="109" t="s">
        <v>929</v>
      </c>
      <c r="H21" s="1392"/>
      <c r="J21" s="1118"/>
    </row>
    <row r="22" spans="1:10">
      <c r="A22" s="984">
        <v>18235521</v>
      </c>
      <c r="B22" s="985" t="s">
        <v>744</v>
      </c>
      <c r="C22" s="994">
        <f>'TY Reg Assets RB'!C22</f>
        <v>19307860.879999999</v>
      </c>
      <c r="D22" s="994">
        <f>'Mint Farm Def'!J133</f>
        <v>19307861.375022307</v>
      </c>
      <c r="E22" s="1036">
        <f t="shared" ref="E22" si="4">D22-C22</f>
        <v>0.49502230808138847</v>
      </c>
      <c r="F22" s="109" t="s">
        <v>929</v>
      </c>
      <c r="J22" s="1118"/>
    </row>
    <row r="23" spans="1:10">
      <c r="A23" s="984" t="s">
        <v>899</v>
      </c>
      <c r="B23" s="985" t="s">
        <v>743</v>
      </c>
      <c r="C23" s="994">
        <f>'TY Reg Assets RB'!C23</f>
        <v>0</v>
      </c>
      <c r="D23" s="994">
        <f>'TY Reg Assets RB'!D23</f>
        <v>0</v>
      </c>
      <c r="E23" s="1036"/>
      <c r="F23" s="109" t="s">
        <v>24</v>
      </c>
      <c r="J23" s="1118"/>
    </row>
    <row r="24" spans="1:10">
      <c r="A24" s="984" t="s">
        <v>804</v>
      </c>
      <c r="B24" s="985" t="s">
        <v>742</v>
      </c>
      <c r="C24" s="994">
        <f>'TY Reg Assets RB'!C24</f>
        <v>0</v>
      </c>
      <c r="D24" s="994">
        <f>'TY Reg Assets RB'!D24</f>
        <v>0</v>
      </c>
      <c r="E24" s="1036"/>
      <c r="F24" s="109" t="s">
        <v>24</v>
      </c>
      <c r="J24" s="1118"/>
    </row>
    <row r="25" spans="1:10">
      <c r="A25" s="984" t="s">
        <v>805</v>
      </c>
      <c r="B25" s="985" t="s">
        <v>741</v>
      </c>
      <c r="C25" s="994">
        <f>'TY Reg Assets RB'!C25</f>
        <v>-6959704.9900000002</v>
      </c>
      <c r="D25" s="994">
        <f>'Mint Farm Def'!M133</f>
        <v>-6959704.7241604552</v>
      </c>
      <c r="E25" s="1036">
        <f t="shared" ref="E25" si="5">D25-C25</f>
        <v>0.26583954505622387</v>
      </c>
      <c r="F25" s="109" t="s">
        <v>24</v>
      </c>
      <c r="J25" s="1118"/>
    </row>
    <row r="26" spans="1:10" ht="13.5" thickBot="1">
      <c r="A26" s="991"/>
      <c r="B26" s="985"/>
      <c r="C26" s="988">
        <f>SUM(C19:C25)</f>
        <v>12348155.889999999</v>
      </c>
      <c r="D26" s="988">
        <f>SUM(D19:D25)</f>
        <v>12348156.650861852</v>
      </c>
      <c r="E26" s="1037">
        <f>SUM(E19:E25)</f>
        <v>0.76086185313761234</v>
      </c>
      <c r="J26" s="1118"/>
    </row>
    <row r="27" spans="1:10" ht="13.5" thickTop="1">
      <c r="A27" s="991"/>
      <c r="B27" s="999" t="s">
        <v>156</v>
      </c>
      <c r="C27" s="990"/>
      <c r="D27" s="990"/>
      <c r="E27" s="1040"/>
      <c r="J27" s="1118"/>
    </row>
    <row r="28" spans="1:10">
      <c r="A28" s="984">
        <v>18230351</v>
      </c>
      <c r="B28" s="985" t="s">
        <v>738</v>
      </c>
      <c r="C28" s="994">
        <f>'TY Reg Assets RB'!C28</f>
        <v>94507541.950000003</v>
      </c>
      <c r="D28" s="994">
        <f>'Chelan PUD'!K164</f>
        <v>94507541.193333358</v>
      </c>
      <c r="E28" s="1036">
        <f t="shared" ref="E28:E29" si="6">D28-C28</f>
        <v>-0.7566666454076767</v>
      </c>
      <c r="F28" s="109" t="s">
        <v>929</v>
      </c>
      <c r="J28" s="1118"/>
    </row>
    <row r="29" spans="1:10">
      <c r="A29" s="996">
        <v>28300561</v>
      </c>
      <c r="B29" s="985" t="s">
        <v>737</v>
      </c>
      <c r="C29" s="994">
        <f>'TY Reg Assets RB'!C29</f>
        <v>-12495445.210000001</v>
      </c>
      <c r="D29" s="994">
        <f>'Chelan PUD'!O164</f>
        <v>-12495445.205265043</v>
      </c>
      <c r="E29" s="1036">
        <f t="shared" si="6"/>
        <v>4.7349575906991959E-3</v>
      </c>
      <c r="F29" s="109" t="s">
        <v>24</v>
      </c>
      <c r="J29" s="1118"/>
    </row>
    <row r="30" spans="1:10" ht="13.5" thickBot="1">
      <c r="A30" s="991"/>
      <c r="B30" s="985"/>
      <c r="C30" s="988">
        <f>SUM(C28:C29)</f>
        <v>82012096.74000001</v>
      </c>
      <c r="D30" s="988">
        <f>SUM(D28:D29)</f>
        <v>82012095.988068312</v>
      </c>
      <c r="E30" s="1037">
        <f>SUM(E28:E29)</f>
        <v>-0.7519316878169775</v>
      </c>
      <c r="J30" s="1118"/>
    </row>
    <row r="31" spans="1:10" ht="13.5" thickTop="1">
      <c r="A31" s="991"/>
      <c r="B31" s="979" t="s">
        <v>900</v>
      </c>
      <c r="C31" s="990"/>
      <c r="D31" s="990"/>
      <c r="E31" s="1040"/>
      <c r="J31" s="1118"/>
    </row>
    <row r="32" spans="1:10">
      <c r="A32" s="996">
        <v>12800001</v>
      </c>
      <c r="B32" s="985" t="s">
        <v>736</v>
      </c>
      <c r="C32" s="994">
        <f>'TY Reg Assets RB'!C32</f>
        <v>18500000</v>
      </c>
      <c r="D32" s="994">
        <f>C32</f>
        <v>18500000</v>
      </c>
      <c r="E32" s="1036">
        <f t="shared" ref="E32" si="7">D32-C32</f>
        <v>0</v>
      </c>
      <c r="F32" s="109" t="s">
        <v>929</v>
      </c>
      <c r="J32" s="1118"/>
    </row>
    <row r="33" spans="1:10" ht="13.5" thickBot="1">
      <c r="A33" s="996"/>
      <c r="B33" s="985"/>
      <c r="C33" s="988">
        <f>SUM(C32)</f>
        <v>18500000</v>
      </c>
      <c r="D33" s="988">
        <f>SUM(D32)</f>
        <v>18500000</v>
      </c>
      <c r="E33" s="1037">
        <f>SUM(E32)</f>
        <v>0</v>
      </c>
      <c r="J33" s="1118"/>
    </row>
    <row r="34" spans="1:10" ht="13.5" thickTop="1">
      <c r="A34" s="991"/>
      <c r="B34" s="1000" t="s">
        <v>740</v>
      </c>
      <c r="C34" s="995"/>
      <c r="D34" s="995"/>
      <c r="E34" s="1039"/>
      <c r="J34" s="1118"/>
    </row>
    <row r="35" spans="1:10">
      <c r="A35" s="996">
        <v>16599011</v>
      </c>
      <c r="B35" s="985" t="s">
        <v>739</v>
      </c>
      <c r="C35" s="994">
        <f>'TY Reg Assets RB'!C35</f>
        <v>0</v>
      </c>
      <c r="D35" s="994">
        <f>'TY Reg Assets RB'!D35</f>
        <v>0</v>
      </c>
      <c r="E35" s="1036"/>
      <c r="F35" s="109" t="s">
        <v>929</v>
      </c>
      <c r="J35" s="1118"/>
    </row>
    <row r="36" spans="1:10">
      <c r="A36" s="996">
        <v>18232321</v>
      </c>
      <c r="B36" s="985" t="s">
        <v>739</v>
      </c>
      <c r="C36" s="994">
        <f>'TY Reg Assets RB'!C36</f>
        <v>749999.69</v>
      </c>
      <c r="D36" s="994">
        <f>'Colstrip 1&amp;2 Prepaid'!J117</f>
        <v>750000.00000000524</v>
      </c>
      <c r="E36" s="1036">
        <f t="shared" ref="E36" si="8">D36-C36</f>
        <v>0.31000000529456884</v>
      </c>
      <c r="F36" s="109" t="s">
        <v>929</v>
      </c>
      <c r="J36" s="1118"/>
    </row>
    <row r="37" spans="1:10" ht="13.5" thickBot="1">
      <c r="A37" s="996"/>
      <c r="B37" s="985"/>
      <c r="C37" s="988">
        <f>SUM(C35:C36)</f>
        <v>749999.69</v>
      </c>
      <c r="D37" s="988">
        <f>SUM(D35:D36)</f>
        <v>750000.00000000524</v>
      </c>
      <c r="E37" s="1037">
        <f>SUM(E36)</f>
        <v>0.31000000529456884</v>
      </c>
      <c r="J37" s="1118"/>
    </row>
    <row r="38" spans="1:10" ht="13.5" thickTop="1">
      <c r="A38" s="996"/>
      <c r="B38" s="1001" t="s">
        <v>633</v>
      </c>
      <c r="C38" s="995"/>
      <c r="D38" s="995"/>
      <c r="E38" s="1039"/>
      <c r="J38" s="1118"/>
    </row>
    <row r="39" spans="1:10">
      <c r="A39" s="996">
        <v>18220091</v>
      </c>
      <c r="B39" s="985" t="s">
        <v>766</v>
      </c>
      <c r="C39" s="994">
        <f>'TY Reg Assets RB'!C39</f>
        <v>0</v>
      </c>
      <c r="D39" s="994">
        <f>'TY Reg Assets RB'!D39</f>
        <v>0</v>
      </c>
      <c r="E39" s="1036">
        <f t="shared" ref="E39" si="9">D39-C39</f>
        <v>0</v>
      </c>
      <c r="F39" s="109" t="s">
        <v>929</v>
      </c>
      <c r="J39" s="1118"/>
    </row>
    <row r="40" spans="1:10" ht="13.5" thickBot="1">
      <c r="A40" s="996"/>
      <c r="B40" s="985"/>
      <c r="C40" s="988">
        <f>SUM(C39)</f>
        <v>0</v>
      </c>
      <c r="D40" s="988">
        <f>SUM(D39)</f>
        <v>0</v>
      </c>
      <c r="E40" s="1037">
        <f>SUM(E39)</f>
        <v>0</v>
      </c>
      <c r="J40" s="1118"/>
    </row>
    <row r="41" spans="1:10" ht="13.5" thickTop="1">
      <c r="A41" s="996"/>
      <c r="B41" s="1000" t="s">
        <v>901</v>
      </c>
      <c r="C41" s="995"/>
      <c r="D41" s="995"/>
      <c r="E41" s="1039"/>
      <c r="J41" s="1118"/>
    </row>
    <row r="42" spans="1:10">
      <c r="A42" s="996">
        <v>18600581</v>
      </c>
      <c r="B42" s="985" t="s">
        <v>784</v>
      </c>
      <c r="C42" s="994">
        <f>'TY Reg Assets RB'!C42</f>
        <v>0</v>
      </c>
      <c r="D42" s="994">
        <f>'TY Reg Assets RB'!D42</f>
        <v>0</v>
      </c>
      <c r="E42" s="1036"/>
      <c r="F42" s="109" t="s">
        <v>929</v>
      </c>
      <c r="J42" s="1118"/>
    </row>
    <row r="43" spans="1:10">
      <c r="A43" s="996">
        <v>18232301</v>
      </c>
      <c r="B43" s="985" t="s">
        <v>734</v>
      </c>
      <c r="C43" s="994">
        <f>'TY Reg Assets RB'!C43</f>
        <v>61189384.369999997</v>
      </c>
      <c r="D43" s="994">
        <f>'LSR Prepaid Principal'!Q134</f>
        <v>61188737.604696095</v>
      </c>
      <c r="E43" s="1036">
        <f t="shared" ref="E43" si="10">D43-C43</f>
        <v>-646.76530390232801</v>
      </c>
      <c r="F43" s="109" t="s">
        <v>929</v>
      </c>
      <c r="J43" s="1118"/>
    </row>
    <row r="44" spans="1:10" ht="13.5" thickBot="1">
      <c r="A44" s="996"/>
      <c r="B44" s="985"/>
      <c r="C44" s="988">
        <f>SUM(C42:C43)</f>
        <v>61189384.369999997</v>
      </c>
      <c r="D44" s="988">
        <f>SUM(D42:D43)</f>
        <v>61188737.604696095</v>
      </c>
      <c r="E44" s="1037">
        <f>SUM(E43)</f>
        <v>-646.76530390232801</v>
      </c>
      <c r="J44" s="1118"/>
    </row>
    <row r="45" spans="1:10" ht="13.5" thickTop="1">
      <c r="A45" s="996"/>
      <c r="B45" s="1000" t="s">
        <v>902</v>
      </c>
      <c r="C45" s="994"/>
      <c r="D45" s="994"/>
      <c r="E45" s="1036"/>
      <c r="J45" s="1118"/>
    </row>
    <row r="46" spans="1:10">
      <c r="A46" s="996">
        <v>18600591</v>
      </c>
      <c r="B46" s="985" t="s">
        <v>785</v>
      </c>
      <c r="C46" s="994">
        <f>'TY Reg Assets RB'!C46</f>
        <v>0</v>
      </c>
      <c r="D46" s="994">
        <f>'TY Reg Assets RB'!D46</f>
        <v>0</v>
      </c>
      <c r="E46" s="1036"/>
      <c r="F46" s="109" t="s">
        <v>929</v>
      </c>
      <c r="J46" s="1118"/>
    </row>
    <row r="47" spans="1:10">
      <c r="A47" s="996">
        <v>18232311</v>
      </c>
      <c r="B47" s="985" t="s">
        <v>733</v>
      </c>
      <c r="C47" s="994">
        <f>'TY Reg Assets RB'!C47</f>
        <v>13025694</v>
      </c>
      <c r="D47" s="994">
        <f>'LSR Prepaid carrying charges '!Y148</f>
        <v>13025694.149230774</v>
      </c>
      <c r="E47" s="1036">
        <f t="shared" ref="E47:E48" si="11">D47-C47</f>
        <v>0.14923077449202538</v>
      </c>
      <c r="F47" s="109" t="s">
        <v>929</v>
      </c>
      <c r="J47" s="1118"/>
    </row>
    <row r="48" spans="1:10">
      <c r="A48" s="996">
        <v>28300081</v>
      </c>
      <c r="B48" s="985" t="s">
        <v>732</v>
      </c>
      <c r="C48" s="994">
        <f>'TY Reg Assets RB'!C48</f>
        <v>-4607112.3</v>
      </c>
      <c r="D48" s="994">
        <f>'LSR Prepaid carrying charges '!V148</f>
        <v>-4607112.274756412</v>
      </c>
      <c r="E48" s="1036">
        <f t="shared" si="11"/>
        <v>2.5243587791919708E-2</v>
      </c>
      <c r="F48" s="109" t="s">
        <v>24</v>
      </c>
      <c r="J48" s="1118"/>
    </row>
    <row r="49" spans="1:10" ht="13.5" thickBot="1">
      <c r="A49" s="996"/>
      <c r="B49" s="985"/>
      <c r="C49" s="988">
        <f>SUM(C46:C48)</f>
        <v>8418581.6999999993</v>
      </c>
      <c r="D49" s="988">
        <f>SUM(D46:D48)</f>
        <v>8418581.8744743615</v>
      </c>
      <c r="E49" s="1037">
        <f>SUM(E46:E48)</f>
        <v>0.17447436228394508</v>
      </c>
      <c r="J49" s="1118"/>
    </row>
    <row r="50" spans="1:10" ht="13.5" thickTop="1">
      <c r="A50" s="996"/>
      <c r="B50" s="1000" t="s">
        <v>209</v>
      </c>
      <c r="C50" s="995"/>
      <c r="D50" s="995"/>
      <c r="E50" s="1039"/>
      <c r="J50" s="1118"/>
    </row>
    <row r="51" spans="1:10">
      <c r="A51" s="996">
        <v>18600311</v>
      </c>
      <c r="B51" s="985" t="s">
        <v>778</v>
      </c>
      <c r="C51" s="994">
        <f>'TY Reg Assets RB'!C51</f>
        <v>0</v>
      </c>
      <c r="D51" s="994">
        <f>'TY Reg Assets RB'!D51</f>
        <v>0</v>
      </c>
      <c r="E51" s="1036"/>
      <c r="F51" s="109" t="s">
        <v>929</v>
      </c>
      <c r="J51" s="1118"/>
    </row>
    <row r="52" spans="1:10">
      <c r="A52" s="996">
        <v>18600331</v>
      </c>
      <c r="B52" s="985" t="s">
        <v>779</v>
      </c>
      <c r="C52" s="994">
        <f>'TY Reg Assets RB'!C52</f>
        <v>0</v>
      </c>
      <c r="D52" s="994">
        <f>'TY Reg Assets RB'!D52</f>
        <v>0</v>
      </c>
      <c r="E52" s="1036"/>
      <c r="F52" s="109" t="s">
        <v>929</v>
      </c>
      <c r="J52" s="1118"/>
    </row>
    <row r="53" spans="1:10">
      <c r="A53" s="996">
        <v>18600391</v>
      </c>
      <c r="B53" s="985" t="s">
        <v>780</v>
      </c>
      <c r="C53" s="994">
        <f>'TY Reg Assets RB'!C53</f>
        <v>0</v>
      </c>
      <c r="D53" s="994">
        <f>'TY Reg Assets RB'!D53</f>
        <v>0</v>
      </c>
      <c r="E53" s="1036"/>
      <c r="F53" s="109" t="s">
        <v>929</v>
      </c>
      <c r="J53" s="1118"/>
    </row>
    <row r="54" spans="1:10">
      <c r="A54" s="996">
        <v>18232331</v>
      </c>
      <c r="B54" s="985" t="s">
        <v>772</v>
      </c>
      <c r="C54" s="994">
        <f>'TY Reg Assets RB'!C54</f>
        <v>0</v>
      </c>
      <c r="D54" s="994">
        <f>'TY Reg Assets RB'!D54</f>
        <v>0</v>
      </c>
      <c r="E54" s="1036">
        <f t="shared" ref="E54:E55" si="12">D54-C54</f>
        <v>0</v>
      </c>
      <c r="F54" s="109" t="s">
        <v>929</v>
      </c>
      <c r="J54" s="1118"/>
    </row>
    <row r="55" spans="1:10">
      <c r="A55" s="996">
        <v>28300721</v>
      </c>
      <c r="B55" s="985" t="s">
        <v>735</v>
      </c>
      <c r="C55" s="994">
        <f>'TY Reg Assets RB'!C55</f>
        <v>0</v>
      </c>
      <c r="D55" s="994">
        <f>'TY Reg Assets RB'!D55</f>
        <v>0</v>
      </c>
      <c r="E55" s="1036">
        <f t="shared" si="12"/>
        <v>0</v>
      </c>
      <c r="F55" s="109" t="s">
        <v>24</v>
      </c>
      <c r="J55" s="1118"/>
    </row>
    <row r="56" spans="1:10" ht="13.5" thickBot="1">
      <c r="A56" s="996"/>
      <c r="B56" s="985"/>
      <c r="C56" s="988">
        <f>SUM(C51:C55)</f>
        <v>0</v>
      </c>
      <c r="D56" s="988">
        <f t="shared" ref="D56" si="13">SUM(D51:D55)</f>
        <v>0</v>
      </c>
      <c r="E56" s="1037">
        <f>SUM(E53:E55)</f>
        <v>0</v>
      </c>
      <c r="J56" s="1118"/>
    </row>
    <row r="57" spans="1:10" ht="13.5" thickTop="1">
      <c r="A57" s="996"/>
      <c r="B57" s="1003" t="s">
        <v>903</v>
      </c>
      <c r="C57" s="990"/>
      <c r="D57" s="990"/>
      <c r="E57" s="1040"/>
      <c r="J57" s="1118"/>
    </row>
    <row r="58" spans="1:10">
      <c r="A58" s="996">
        <v>18600801</v>
      </c>
      <c r="B58" s="985" t="s">
        <v>789</v>
      </c>
      <c r="C58" s="994">
        <f>'TY Reg Assets RB'!C58</f>
        <v>0</v>
      </c>
      <c r="D58" s="994">
        <f>'TY Reg Assets RB'!D58</f>
        <v>0</v>
      </c>
      <c r="E58" s="1036"/>
      <c r="F58" s="109" t="s">
        <v>929</v>
      </c>
      <c r="J58" s="1118"/>
    </row>
    <row r="59" spans="1:10">
      <c r="A59" s="996">
        <v>18600811</v>
      </c>
      <c r="B59" s="985" t="s">
        <v>790</v>
      </c>
      <c r="C59" s="994">
        <f>'TY Reg Assets RB'!C59</f>
        <v>0</v>
      </c>
      <c r="D59" s="994">
        <f>'TY Reg Assets RB'!D59</f>
        <v>0</v>
      </c>
      <c r="E59" s="1036"/>
      <c r="F59" s="109" t="s">
        <v>929</v>
      </c>
      <c r="J59" s="1118"/>
    </row>
    <row r="60" spans="1:10">
      <c r="A60" s="996">
        <v>18238321</v>
      </c>
      <c r="B60" s="985" t="s">
        <v>775</v>
      </c>
      <c r="C60" s="994">
        <f>'TY Reg Assets RB'!C60</f>
        <v>224434.9</v>
      </c>
      <c r="D60" s="994">
        <f>Baker!I78</f>
        <v>233802.64203332737</v>
      </c>
      <c r="E60" s="1036">
        <f t="shared" ref="E60:E61" si="14">D60-C60</f>
        <v>9367.7420333273767</v>
      </c>
      <c r="F60" s="109" t="s">
        <v>929</v>
      </c>
      <c r="J60" s="1118"/>
    </row>
    <row r="61" spans="1:10">
      <c r="A61" s="996">
        <v>28300741</v>
      </c>
      <c r="B61" s="985" t="s">
        <v>807</v>
      </c>
      <c r="C61" s="994">
        <f>'TY Reg Assets RB'!C61</f>
        <v>-125687.14</v>
      </c>
      <c r="D61" s="994">
        <f>Baker!L78</f>
        <v>-127656.24255019672</v>
      </c>
      <c r="E61" s="1036">
        <f t="shared" si="14"/>
        <v>-1969.1025501967233</v>
      </c>
      <c r="F61" s="109" t="s">
        <v>24</v>
      </c>
      <c r="J61" s="1118"/>
    </row>
    <row r="62" spans="1:10" ht="13.5" thickBot="1">
      <c r="A62" s="996"/>
      <c r="B62" s="985"/>
      <c r="C62" s="988">
        <f>SUM(C58:C61)</f>
        <v>98747.76</v>
      </c>
      <c r="D62" s="988">
        <f>SUM(D58:D61)</f>
        <v>106146.39948313065</v>
      </c>
      <c r="E62" s="1037">
        <f>SUM(E59:E61)</f>
        <v>7398.6394831306534</v>
      </c>
      <c r="J62" s="1118"/>
    </row>
    <row r="63" spans="1:10" ht="13.5" thickTop="1">
      <c r="A63" s="996"/>
      <c r="B63" s="1003" t="s">
        <v>717</v>
      </c>
      <c r="C63" s="990"/>
      <c r="D63" s="990"/>
      <c r="E63" s="1040"/>
      <c r="J63" s="1118"/>
    </row>
    <row r="64" spans="1:10">
      <c r="A64" s="996">
        <v>18600001</v>
      </c>
      <c r="B64" s="985" t="s">
        <v>777</v>
      </c>
      <c r="C64" s="994">
        <f>'TY Reg Assets RB'!C64</f>
        <v>0</v>
      </c>
      <c r="D64" s="994">
        <f>'TY Reg Assets RB'!D64</f>
        <v>0</v>
      </c>
      <c r="E64" s="1036"/>
      <c r="F64" s="109" t="s">
        <v>929</v>
      </c>
      <c r="J64" s="1118"/>
    </row>
    <row r="65" spans="1:10">
      <c r="A65" s="996">
        <v>18600451</v>
      </c>
      <c r="B65" s="985" t="s">
        <v>781</v>
      </c>
      <c r="C65" s="994">
        <f>'TY Reg Assets RB'!C65</f>
        <v>0</v>
      </c>
      <c r="D65" s="994">
        <f>'TY Reg Assets RB'!D65</f>
        <v>0</v>
      </c>
      <c r="E65" s="1036"/>
      <c r="F65" s="109" t="s">
        <v>929</v>
      </c>
      <c r="J65" s="1118"/>
    </row>
    <row r="66" spans="1:10">
      <c r="A66" s="996">
        <v>18600461</v>
      </c>
      <c r="B66" s="985" t="s">
        <v>782</v>
      </c>
      <c r="C66" s="994">
        <f>'TY Reg Assets RB'!C66</f>
        <v>0</v>
      </c>
      <c r="D66" s="994">
        <f>'TY Reg Assets RB'!D66</f>
        <v>0</v>
      </c>
      <c r="E66" s="1036"/>
      <c r="F66" s="109" t="s">
        <v>929</v>
      </c>
      <c r="J66" s="1118"/>
    </row>
    <row r="67" spans="1:10">
      <c r="A67" s="996">
        <v>18238331</v>
      </c>
      <c r="B67" s="985" t="s">
        <v>776</v>
      </c>
      <c r="C67" s="994">
        <f>'TY Reg Assets RB'!C67</f>
        <v>881357.72</v>
      </c>
      <c r="D67" s="994">
        <f>Snoq!J80</f>
        <v>918098.3970790375</v>
      </c>
      <c r="E67" s="1036">
        <f t="shared" ref="E67:E68" si="15">D67-C67</f>
        <v>36740.67707903753</v>
      </c>
      <c r="F67" s="109" t="s">
        <v>929</v>
      </c>
      <c r="J67" s="1118"/>
    </row>
    <row r="68" spans="1:10">
      <c r="A68" s="996">
        <v>28300091</v>
      </c>
      <c r="B68" s="985" t="s">
        <v>797</v>
      </c>
      <c r="C68" s="994">
        <f>'TY Reg Assets RB'!C68</f>
        <v>-1445685.5</v>
      </c>
      <c r="D68" s="994">
        <f>Snoq!M80</f>
        <v>-1031940.1586899259</v>
      </c>
      <c r="E68" s="1036">
        <f t="shared" si="15"/>
        <v>413745.34131007409</v>
      </c>
      <c r="F68" s="109" t="s">
        <v>24</v>
      </c>
      <c r="J68" s="1118"/>
    </row>
    <row r="69" spans="1:10" ht="13.5" thickBot="1">
      <c r="A69" s="996"/>
      <c r="B69" s="985"/>
      <c r="C69" s="988">
        <f>SUM(C64:C68)</f>
        <v>-564327.78</v>
      </c>
      <c r="D69" s="988">
        <f>SUM(D64:D68)</f>
        <v>-113841.76161088841</v>
      </c>
      <c r="E69" s="1037">
        <f>SUM(E66:E68)</f>
        <v>450486.01838911162</v>
      </c>
      <c r="J69" s="1118"/>
    </row>
    <row r="70" spans="1:10" ht="13.5" thickTop="1">
      <c r="A70" s="996"/>
      <c r="B70" s="1003" t="s">
        <v>716</v>
      </c>
      <c r="C70" s="990"/>
      <c r="D70" s="990"/>
      <c r="E70" s="1040"/>
      <c r="J70" s="1118"/>
    </row>
    <row r="71" spans="1:10">
      <c r="A71" s="996">
        <v>18600531</v>
      </c>
      <c r="B71" s="985" t="s">
        <v>783</v>
      </c>
      <c r="C71" s="994">
        <f>'TY Reg Assets RB'!C71</f>
        <v>0</v>
      </c>
      <c r="D71" s="994">
        <f>'TY Reg Assets RB'!D71</f>
        <v>0</v>
      </c>
      <c r="E71" s="1036"/>
      <c r="F71" s="109" t="s">
        <v>929</v>
      </c>
      <c r="J71" s="1118"/>
    </row>
    <row r="72" spans="1:10">
      <c r="A72" s="996">
        <v>18600671</v>
      </c>
      <c r="B72" s="985" t="s">
        <v>786</v>
      </c>
      <c r="C72" s="994">
        <f>'TY Reg Assets RB'!C72</f>
        <v>0</v>
      </c>
      <c r="D72" s="994">
        <f>'TY Reg Assets RB'!D72</f>
        <v>0</v>
      </c>
      <c r="E72" s="1036"/>
      <c r="F72" s="109" t="s">
        <v>929</v>
      </c>
      <c r="J72" s="1118"/>
    </row>
    <row r="73" spans="1:10">
      <c r="A73" s="996">
        <v>18600691</v>
      </c>
      <c r="B73" s="985" t="s">
        <v>787</v>
      </c>
      <c r="C73" s="994">
        <f>'TY Reg Assets RB'!C73</f>
        <v>0</v>
      </c>
      <c r="D73" s="994">
        <f>'TY Reg Assets RB'!D73</f>
        <v>0</v>
      </c>
      <c r="E73" s="1036"/>
      <c r="F73" s="109" t="s">
        <v>929</v>
      </c>
      <c r="J73" s="1118"/>
    </row>
    <row r="74" spans="1:10">
      <c r="A74" s="996">
        <v>18600791</v>
      </c>
      <c r="B74" s="985" t="s">
        <v>788</v>
      </c>
      <c r="C74" s="994">
        <f>'TY Reg Assets RB'!C74</f>
        <v>0</v>
      </c>
      <c r="D74" s="994">
        <f>'TY Reg Assets RB'!D74</f>
        <v>0</v>
      </c>
      <c r="E74" s="1036"/>
      <c r="F74" s="109" t="s">
        <v>929</v>
      </c>
      <c r="J74" s="1118"/>
    </row>
    <row r="75" spans="1:10">
      <c r="A75" s="996">
        <v>18238311</v>
      </c>
      <c r="B75" s="985" t="s">
        <v>774</v>
      </c>
      <c r="C75" s="994">
        <f>'TY Reg Assets RB'!C75</f>
        <v>6027225.7599999998</v>
      </c>
      <c r="D75" s="994">
        <f>Ferndale!J85</f>
        <v>6027230.0114306249</v>
      </c>
      <c r="E75" s="1036">
        <f t="shared" ref="E75:E76" si="16">D75-C75</f>
        <v>4.2514306250959635</v>
      </c>
      <c r="F75" s="109" t="s">
        <v>929</v>
      </c>
      <c r="J75" s="1118"/>
    </row>
    <row r="76" spans="1:10">
      <c r="A76" s="996">
        <v>28300731</v>
      </c>
      <c r="B76" s="985" t="s">
        <v>806</v>
      </c>
      <c r="C76" s="994">
        <f>'TY Reg Assets RB'!C76</f>
        <v>-2425958.7000000002</v>
      </c>
      <c r="D76" s="994">
        <f>Ferndale!M85</f>
        <v>-2425960.079600825</v>
      </c>
      <c r="E76" s="1036">
        <f t="shared" si="16"/>
        <v>-1.3796008247882128</v>
      </c>
      <c r="F76" s="109" t="s">
        <v>24</v>
      </c>
      <c r="J76" s="1118"/>
    </row>
    <row r="77" spans="1:10" ht="13.5" thickBot="1">
      <c r="A77" s="996"/>
      <c r="B77" s="985"/>
      <c r="C77" s="988">
        <f>SUM(C71:C76)</f>
        <v>3601267.0599999996</v>
      </c>
      <c r="D77" s="988">
        <f>SUM(D71:D76)</f>
        <v>3601269.9318297999</v>
      </c>
      <c r="E77" s="1037">
        <f>SUM(E74:E76)</f>
        <v>2.8718298003077507</v>
      </c>
      <c r="J77" s="1118"/>
    </row>
    <row r="78" spans="1:10" ht="13.5" thickTop="1">
      <c r="A78" s="996"/>
      <c r="B78" s="1003" t="s">
        <v>904</v>
      </c>
      <c r="C78" s="990"/>
      <c r="D78" s="990"/>
      <c r="E78" s="1040"/>
      <c r="J78" s="1118"/>
    </row>
    <row r="79" spans="1:10">
      <c r="A79" s="996" t="s">
        <v>905</v>
      </c>
      <c r="B79" s="985" t="s">
        <v>838</v>
      </c>
      <c r="C79" s="994">
        <f>'TY Reg Assets RB'!C79</f>
        <v>-160017</v>
      </c>
      <c r="D79" s="994">
        <f>'T-Grant Baker Deferral'!J71</f>
        <v>-166675.63387336745</v>
      </c>
      <c r="E79" s="1036">
        <f t="shared" ref="E79:E80" si="17">D79-C79</f>
        <v>-6658.6338733674493</v>
      </c>
      <c r="F79" s="109" t="s">
        <v>929</v>
      </c>
      <c r="J79" s="1118"/>
    </row>
    <row r="80" spans="1:10">
      <c r="A80" s="996" t="s">
        <v>906</v>
      </c>
      <c r="B80" s="989" t="s">
        <v>837</v>
      </c>
      <c r="C80" s="994">
        <f>'TY Reg Assets RB'!C80</f>
        <v>89607.63</v>
      </c>
      <c r="D80" s="994">
        <f>'T-Grant Baker Deferral'!M71</f>
        <v>91004.896094859272</v>
      </c>
      <c r="E80" s="1036">
        <f t="shared" si="17"/>
        <v>1397.2660948592675</v>
      </c>
      <c r="F80" s="109" t="s">
        <v>929</v>
      </c>
      <c r="J80" s="1118"/>
    </row>
    <row r="81" spans="1:10" ht="13.5" thickBot="1">
      <c r="A81" s="996"/>
      <c r="B81" s="985"/>
      <c r="C81" s="988">
        <f>SUM(C79:C80)</f>
        <v>-70409.37</v>
      </c>
      <c r="D81" s="988">
        <f>SUM(D79:D80)</f>
        <v>-75670.737778508177</v>
      </c>
      <c r="E81" s="1037">
        <f>SUM(E78:E80)</f>
        <v>-5261.3677785081818</v>
      </c>
      <c r="J81" s="1118"/>
    </row>
    <row r="82" spans="1:10" ht="13.5" thickTop="1">
      <c r="A82" s="996"/>
      <c r="B82" s="1003" t="s">
        <v>907</v>
      </c>
      <c r="C82" s="990"/>
      <c r="D82" s="990"/>
      <c r="E82" s="1040"/>
      <c r="J82" s="1118"/>
    </row>
    <row r="83" spans="1:10">
      <c r="A83" s="996" t="s">
        <v>908</v>
      </c>
      <c r="B83" s="985" t="s">
        <v>835</v>
      </c>
      <c r="C83" s="994">
        <f>'TY Reg Assets RB'!C83</f>
        <v>-552746</v>
      </c>
      <c r="D83" s="994">
        <f>'T-Grant Snoq Deferral'!J71</f>
        <v>-575771.54877051804</v>
      </c>
      <c r="E83" s="1036">
        <f t="shared" ref="E83:E84" si="18">D83-C83</f>
        <v>-23025.548770518042</v>
      </c>
      <c r="F83" s="109" t="s">
        <v>929</v>
      </c>
      <c r="J83" s="1118"/>
    </row>
    <row r="84" spans="1:10">
      <c r="A84" s="996" t="s">
        <v>909</v>
      </c>
      <c r="B84" s="989" t="s">
        <v>834</v>
      </c>
      <c r="C84" s="994">
        <f>'TY Reg Assets RB'!C84</f>
        <v>309536.5</v>
      </c>
      <c r="D84" s="994">
        <f>'T-Grant Snoq Deferral'!M71</f>
        <v>314371.2656287041</v>
      </c>
      <c r="E84" s="1036">
        <f t="shared" si="18"/>
        <v>4834.7656287041027</v>
      </c>
      <c r="F84" s="109" t="s">
        <v>929</v>
      </c>
      <c r="J84" s="1118"/>
    </row>
    <row r="85" spans="1:10" ht="13.5" thickBot="1">
      <c r="A85" s="996"/>
      <c r="B85" s="985"/>
      <c r="C85" s="988">
        <f>SUM(C83:C84)</f>
        <v>-243209.5</v>
      </c>
      <c r="D85" s="988">
        <f>SUM(D83:D84)</f>
        <v>-261400.28314181394</v>
      </c>
      <c r="E85" s="1037">
        <f>SUM(E82:E84)</f>
        <v>-18190.783141813939</v>
      </c>
      <c r="J85" s="1118"/>
    </row>
    <row r="86" spans="1:10" ht="13.5" thickTop="1">
      <c r="A86" s="996"/>
      <c r="B86" s="1003" t="s">
        <v>844</v>
      </c>
      <c r="C86" s="990"/>
      <c r="D86" s="990"/>
      <c r="E86" s="1040"/>
      <c r="J86" s="1118"/>
    </row>
    <row r="87" spans="1:10">
      <c r="A87" s="996">
        <v>18220101</v>
      </c>
      <c r="B87" s="989" t="s">
        <v>844</v>
      </c>
      <c r="C87" s="994">
        <f>'TY Reg Assets RB'!C87</f>
        <v>2090557.84</v>
      </c>
      <c r="D87" s="994">
        <f>'Electron Deferral'!H70</f>
        <v>1735391.0933333393</v>
      </c>
      <c r="E87" s="1036">
        <f t="shared" ref="E87:E88" si="19">D87-C87</f>
        <v>-355166.74666666077</v>
      </c>
      <c r="F87" s="109" t="s">
        <v>929</v>
      </c>
      <c r="J87" s="1118"/>
    </row>
    <row r="88" spans="1:10">
      <c r="A88" s="996" t="s">
        <v>910</v>
      </c>
      <c r="B88" s="989" t="s">
        <v>861</v>
      </c>
      <c r="C88" s="994">
        <f>'TY Reg Assets RB'!C88</f>
        <v>-969100.24</v>
      </c>
      <c r="D88" s="994">
        <f>'Electron Deferral'!K70</f>
        <v>-894515.52270000055</v>
      </c>
      <c r="E88" s="1036">
        <f t="shared" si="19"/>
        <v>74584.717299999436</v>
      </c>
      <c r="F88" s="109" t="s">
        <v>24</v>
      </c>
      <c r="J88" s="1118"/>
    </row>
    <row r="89" spans="1:10" ht="13.5" thickBot="1">
      <c r="A89" s="996"/>
      <c r="B89" s="985"/>
      <c r="C89" s="988">
        <f>SUM(C87:C88)</f>
        <v>1121457.6000000001</v>
      </c>
      <c r="D89" s="988">
        <f>SUM(D87:D88)</f>
        <v>840875.57063333876</v>
      </c>
      <c r="E89" s="1037">
        <f>SUM(E86:E88)</f>
        <v>-280582.02936666133</v>
      </c>
      <c r="J89" s="1118"/>
    </row>
    <row r="90" spans="1:10" ht="14.25" thickTop="1" thickBot="1">
      <c r="A90" s="1007"/>
      <c r="B90" s="1008"/>
      <c r="C90" s="1009"/>
      <c r="D90" s="1009"/>
      <c r="E90" s="1041"/>
      <c r="J90" s="1118"/>
    </row>
    <row r="91" spans="1:10" ht="13.5" thickBot="1">
      <c r="A91" s="1012"/>
      <c r="B91" s="1013" t="s">
        <v>8</v>
      </c>
      <c r="C91" s="1014">
        <f>C7+C12+C17+C26+C37+C40+C44+C49+C56+C30+C33+C62+C69+C77+C81+C85+C89</f>
        <v>187025373.47999999</v>
      </c>
      <c r="D91" s="1014">
        <f t="shared" ref="D91:E91" si="20">D7+D12+D17+D26+D37+D40+D44+D49+D56+D30+D33+D62+D69+D77+D81+D85+D89</f>
        <v>187168379.26539156</v>
      </c>
      <c r="E91" s="1014">
        <f t="shared" si="20"/>
        <v>143005.78539153811</v>
      </c>
      <c r="J91" s="1118"/>
    </row>
    <row r="92" spans="1:10">
      <c r="B92" s="109"/>
      <c r="C92" s="1022">
        <f>'Lead E'!C32</f>
        <v>187025373.47999996</v>
      </c>
      <c r="D92" s="1022"/>
      <c r="E92" s="1022"/>
      <c r="J92" s="1118"/>
    </row>
    <row r="93" spans="1:10">
      <c r="C93" s="1023">
        <f>C91-C92</f>
        <v>0</v>
      </c>
      <c r="D93" s="1023"/>
      <c r="E93" s="1023"/>
      <c r="J93" s="1118"/>
    </row>
    <row r="94" spans="1:10">
      <c r="A94" s="1395" t="s">
        <v>936</v>
      </c>
      <c r="B94" s="1395"/>
      <c r="C94" s="1395"/>
      <c r="D94" s="1395"/>
      <c r="E94" s="1395"/>
      <c r="F94" s="1395"/>
      <c r="J94" s="1118"/>
    </row>
    <row r="95" spans="1:10">
      <c r="A95" s="974" t="s">
        <v>935</v>
      </c>
      <c r="B95" s="974" t="s">
        <v>755</v>
      </c>
      <c r="C95" s="994"/>
      <c r="D95" s="994"/>
      <c r="E95" s="1048">
        <f t="shared" ref="E95" si="21">D95-C95</f>
        <v>0</v>
      </c>
      <c r="F95" s="109" t="s">
        <v>24</v>
      </c>
      <c r="J95" s="1118"/>
    </row>
    <row r="96" spans="1:10" ht="13.5" thickBot="1">
      <c r="A96" s="1015"/>
      <c r="B96" s="1015"/>
      <c r="C96" s="1016"/>
      <c r="D96" s="1016"/>
      <c r="E96" s="1016"/>
    </row>
    <row r="97" spans="3:10" ht="13.5" thickBot="1">
      <c r="C97" s="335"/>
      <c r="D97" s="335"/>
      <c r="E97" s="1014">
        <f>+'Lead E'!E32</f>
        <v>143005.95377789199</v>
      </c>
      <c r="J97" s="1119"/>
    </row>
    <row r="98" spans="3:10">
      <c r="C98" s="335"/>
      <c r="D98" s="109"/>
      <c r="E98" s="109"/>
      <c r="J98" s="109"/>
    </row>
    <row r="99" spans="3:10">
      <c r="C99" s="335"/>
      <c r="D99" s="109"/>
      <c r="E99" s="1392">
        <f>+E91-E97</f>
        <v>-0.16838635387830436</v>
      </c>
      <c r="J99" s="109"/>
    </row>
    <row r="100" spans="3:10">
      <c r="C100" s="335"/>
      <c r="D100" s="109"/>
      <c r="E100" s="109"/>
      <c r="J100" s="109"/>
    </row>
    <row r="101" spans="3:10">
      <c r="C101" s="335"/>
      <c r="D101" s="335"/>
      <c r="E101" s="335"/>
    </row>
  </sheetData>
  <sortState ref="G6:H88">
    <sortCondition ref="G6:G88"/>
  </sortState>
  <mergeCells count="1">
    <mergeCell ref="A94:F9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zoomScale="90" zoomScaleNormal="90" workbookViewId="0">
      <pane ySplit="16" topLeftCell="A17" activePane="bottomLeft" state="frozen"/>
      <selection activeCell="L393" sqref="L393"/>
      <selection pane="bottomLeft" activeCell="E50" sqref="E50"/>
    </sheetView>
  </sheetViews>
  <sheetFormatPr defaultRowHeight="12.75" outlineLevelRow="1"/>
  <cols>
    <col min="1" max="1" width="2.7109375" style="845" customWidth="1"/>
    <col min="2" max="2" width="25.140625" style="845" customWidth="1"/>
    <col min="3" max="3" width="14.85546875" style="845" bestFit="1" customWidth="1"/>
    <col min="4" max="4" width="18.42578125" style="845" bestFit="1" customWidth="1"/>
    <col min="5" max="5" width="18.28515625" style="845" bestFit="1" customWidth="1"/>
    <col min="6" max="6" width="20.42578125" style="845" customWidth="1"/>
    <col min="7" max="7" width="15.7109375" style="845" bestFit="1" customWidth="1"/>
    <col min="8" max="8" width="15.28515625" style="845" customWidth="1"/>
    <col min="9" max="9" width="14.140625" style="845" customWidth="1"/>
    <col min="10" max="10" width="21.42578125" style="845" bestFit="1" customWidth="1"/>
    <col min="11" max="11" width="18.7109375" style="845" bestFit="1" customWidth="1"/>
    <col min="12" max="12" width="15.28515625" style="845" bestFit="1" customWidth="1"/>
    <col min="13" max="13" width="15.140625" style="845" bestFit="1" customWidth="1"/>
    <col min="14" max="14" width="12.28515625" style="845" bestFit="1" customWidth="1"/>
    <col min="15" max="255" width="9.140625" style="845"/>
    <col min="256" max="256" width="2.7109375" style="845" customWidth="1"/>
    <col min="257" max="257" width="17.140625" style="845" bestFit="1" customWidth="1"/>
    <col min="258" max="258" width="3.85546875" style="845" customWidth="1"/>
    <col min="259" max="260" width="16.42578125" style="845" customWidth="1"/>
    <col min="261" max="261" width="18.42578125" style="845" customWidth="1"/>
    <col min="262" max="262" width="16.42578125" style="845" bestFit="1" customWidth="1"/>
    <col min="263" max="263" width="21.140625" style="845" bestFit="1" customWidth="1"/>
    <col min="264" max="264" width="20.42578125" style="845" customWidth="1"/>
    <col min="265" max="265" width="18.42578125" style="845" customWidth="1"/>
    <col min="266" max="266" width="23.140625" style="845" bestFit="1" customWidth="1"/>
    <col min="267" max="267" width="22.28515625" style="845" bestFit="1" customWidth="1"/>
    <col min="268" max="268" width="15.42578125" style="845" bestFit="1" customWidth="1"/>
    <col min="269" max="269" width="18.42578125" style="845" customWidth="1"/>
    <col min="270" max="511" width="9.140625" style="845"/>
    <col min="512" max="512" width="2.7109375" style="845" customWidth="1"/>
    <col min="513" max="513" width="17.140625" style="845" bestFit="1" customWidth="1"/>
    <col min="514" max="514" width="3.85546875" style="845" customWidth="1"/>
    <col min="515" max="516" width="16.42578125" style="845" customWidth="1"/>
    <col min="517" max="517" width="18.42578125" style="845" customWidth="1"/>
    <col min="518" max="518" width="16.42578125" style="845" bestFit="1" customWidth="1"/>
    <col min="519" max="519" width="21.140625" style="845" bestFit="1" customWidth="1"/>
    <col min="520" max="520" width="20.42578125" style="845" customWidth="1"/>
    <col min="521" max="521" width="18.42578125" style="845" customWidth="1"/>
    <col min="522" max="522" width="23.140625" style="845" bestFit="1" customWidth="1"/>
    <col min="523" max="523" width="22.28515625" style="845" bestFit="1" customWidth="1"/>
    <col min="524" max="524" width="15.42578125" style="845" bestFit="1" customWidth="1"/>
    <col min="525" max="525" width="18.42578125" style="845" customWidth="1"/>
    <col min="526" max="767" width="9.140625" style="845"/>
    <col min="768" max="768" width="2.7109375" style="845" customWidth="1"/>
    <col min="769" max="769" width="17.140625" style="845" bestFit="1" customWidth="1"/>
    <col min="770" max="770" width="3.85546875" style="845" customWidth="1"/>
    <col min="771" max="772" width="16.42578125" style="845" customWidth="1"/>
    <col min="773" max="773" width="18.42578125" style="845" customWidth="1"/>
    <col min="774" max="774" width="16.42578125" style="845" bestFit="1" customWidth="1"/>
    <col min="775" max="775" width="21.140625" style="845" bestFit="1" customWidth="1"/>
    <col min="776" max="776" width="20.42578125" style="845" customWidth="1"/>
    <col min="777" max="777" width="18.42578125" style="845" customWidth="1"/>
    <col min="778" max="778" width="23.140625" style="845" bestFit="1" customWidth="1"/>
    <col min="779" max="779" width="22.28515625" style="845" bestFit="1" customWidth="1"/>
    <col min="780" max="780" width="15.42578125" style="845" bestFit="1" customWidth="1"/>
    <col min="781" max="781" width="18.42578125" style="845" customWidth="1"/>
    <col min="782" max="1023" width="9.140625" style="845"/>
    <col min="1024" max="1024" width="2.7109375" style="845" customWidth="1"/>
    <col min="1025" max="1025" width="17.140625" style="845" bestFit="1" customWidth="1"/>
    <col min="1026" max="1026" width="3.85546875" style="845" customWidth="1"/>
    <col min="1027" max="1028" width="16.42578125" style="845" customWidth="1"/>
    <col min="1029" max="1029" width="18.42578125" style="845" customWidth="1"/>
    <col min="1030" max="1030" width="16.42578125" style="845" bestFit="1" customWidth="1"/>
    <col min="1031" max="1031" width="21.140625" style="845" bestFit="1" customWidth="1"/>
    <col min="1032" max="1032" width="20.42578125" style="845" customWidth="1"/>
    <col min="1033" max="1033" width="18.42578125" style="845" customWidth="1"/>
    <col min="1034" max="1034" width="23.140625" style="845" bestFit="1" customWidth="1"/>
    <col min="1035" max="1035" width="22.28515625" style="845" bestFit="1" customWidth="1"/>
    <col min="1036" max="1036" width="15.42578125" style="845" bestFit="1" customWidth="1"/>
    <col min="1037" max="1037" width="18.42578125" style="845" customWidth="1"/>
    <col min="1038" max="1279" width="9.140625" style="845"/>
    <col min="1280" max="1280" width="2.7109375" style="845" customWidth="1"/>
    <col min="1281" max="1281" width="17.140625" style="845" bestFit="1" customWidth="1"/>
    <col min="1282" max="1282" width="3.85546875" style="845" customWidth="1"/>
    <col min="1283" max="1284" width="16.42578125" style="845" customWidth="1"/>
    <col min="1285" max="1285" width="18.42578125" style="845" customWidth="1"/>
    <col min="1286" max="1286" width="16.42578125" style="845" bestFit="1" customWidth="1"/>
    <col min="1287" max="1287" width="21.140625" style="845" bestFit="1" customWidth="1"/>
    <col min="1288" max="1288" width="20.42578125" style="845" customWidth="1"/>
    <col min="1289" max="1289" width="18.42578125" style="845" customWidth="1"/>
    <col min="1290" max="1290" width="23.140625" style="845" bestFit="1" customWidth="1"/>
    <col min="1291" max="1291" width="22.28515625" style="845" bestFit="1" customWidth="1"/>
    <col min="1292" max="1292" width="15.42578125" style="845" bestFit="1" customWidth="1"/>
    <col min="1293" max="1293" width="18.42578125" style="845" customWidth="1"/>
    <col min="1294" max="1535" width="9.140625" style="845"/>
    <col min="1536" max="1536" width="2.7109375" style="845" customWidth="1"/>
    <col min="1537" max="1537" width="17.140625" style="845" bestFit="1" customWidth="1"/>
    <col min="1538" max="1538" width="3.85546875" style="845" customWidth="1"/>
    <col min="1539" max="1540" width="16.42578125" style="845" customWidth="1"/>
    <col min="1541" max="1541" width="18.42578125" style="845" customWidth="1"/>
    <col min="1542" max="1542" width="16.42578125" style="845" bestFit="1" customWidth="1"/>
    <col min="1543" max="1543" width="21.140625" style="845" bestFit="1" customWidth="1"/>
    <col min="1544" max="1544" width="20.42578125" style="845" customWidth="1"/>
    <col min="1545" max="1545" width="18.42578125" style="845" customWidth="1"/>
    <col min="1546" max="1546" width="23.140625" style="845" bestFit="1" customWidth="1"/>
    <col min="1547" max="1547" width="22.28515625" style="845" bestFit="1" customWidth="1"/>
    <col min="1548" max="1548" width="15.42578125" style="845" bestFit="1" customWidth="1"/>
    <col min="1549" max="1549" width="18.42578125" style="845" customWidth="1"/>
    <col min="1550" max="1791" width="9.140625" style="845"/>
    <col min="1792" max="1792" width="2.7109375" style="845" customWidth="1"/>
    <col min="1793" max="1793" width="17.140625" style="845" bestFit="1" customWidth="1"/>
    <col min="1794" max="1794" width="3.85546875" style="845" customWidth="1"/>
    <col min="1795" max="1796" width="16.42578125" style="845" customWidth="1"/>
    <col min="1797" max="1797" width="18.42578125" style="845" customWidth="1"/>
    <col min="1798" max="1798" width="16.42578125" style="845" bestFit="1" customWidth="1"/>
    <col min="1799" max="1799" width="21.140625" style="845" bestFit="1" customWidth="1"/>
    <col min="1800" max="1800" width="20.42578125" style="845" customWidth="1"/>
    <col min="1801" max="1801" width="18.42578125" style="845" customWidth="1"/>
    <col min="1802" max="1802" width="23.140625" style="845" bestFit="1" customWidth="1"/>
    <col min="1803" max="1803" width="22.28515625" style="845" bestFit="1" customWidth="1"/>
    <col min="1804" max="1804" width="15.42578125" style="845" bestFit="1" customWidth="1"/>
    <col min="1805" max="1805" width="18.42578125" style="845" customWidth="1"/>
    <col min="1806" max="2047" width="9.140625" style="845"/>
    <col min="2048" max="2048" width="2.7109375" style="845" customWidth="1"/>
    <col min="2049" max="2049" width="17.140625" style="845" bestFit="1" customWidth="1"/>
    <col min="2050" max="2050" width="3.85546875" style="845" customWidth="1"/>
    <col min="2051" max="2052" width="16.42578125" style="845" customWidth="1"/>
    <col min="2053" max="2053" width="18.42578125" style="845" customWidth="1"/>
    <col min="2054" max="2054" width="16.42578125" style="845" bestFit="1" customWidth="1"/>
    <col min="2055" max="2055" width="21.140625" style="845" bestFit="1" customWidth="1"/>
    <col min="2056" max="2056" width="20.42578125" style="845" customWidth="1"/>
    <col min="2057" max="2057" width="18.42578125" style="845" customWidth="1"/>
    <col min="2058" max="2058" width="23.140625" style="845" bestFit="1" customWidth="1"/>
    <col min="2059" max="2059" width="22.28515625" style="845" bestFit="1" customWidth="1"/>
    <col min="2060" max="2060" width="15.42578125" style="845" bestFit="1" customWidth="1"/>
    <col min="2061" max="2061" width="18.42578125" style="845" customWidth="1"/>
    <col min="2062" max="2303" width="9.140625" style="845"/>
    <col min="2304" max="2304" width="2.7109375" style="845" customWidth="1"/>
    <col min="2305" max="2305" width="17.140625" style="845" bestFit="1" customWidth="1"/>
    <col min="2306" max="2306" width="3.85546875" style="845" customWidth="1"/>
    <col min="2307" max="2308" width="16.42578125" style="845" customWidth="1"/>
    <col min="2309" max="2309" width="18.42578125" style="845" customWidth="1"/>
    <col min="2310" max="2310" width="16.42578125" style="845" bestFit="1" customWidth="1"/>
    <col min="2311" max="2311" width="21.140625" style="845" bestFit="1" customWidth="1"/>
    <col min="2312" max="2312" width="20.42578125" style="845" customWidth="1"/>
    <col min="2313" max="2313" width="18.42578125" style="845" customWidth="1"/>
    <col min="2314" max="2314" width="23.140625" style="845" bestFit="1" customWidth="1"/>
    <col min="2315" max="2315" width="22.28515625" style="845" bestFit="1" customWidth="1"/>
    <col min="2316" max="2316" width="15.42578125" style="845" bestFit="1" customWidth="1"/>
    <col min="2317" max="2317" width="18.42578125" style="845" customWidth="1"/>
    <col min="2318" max="2559" width="9.140625" style="845"/>
    <col min="2560" max="2560" width="2.7109375" style="845" customWidth="1"/>
    <col min="2561" max="2561" width="17.140625" style="845" bestFit="1" customWidth="1"/>
    <col min="2562" max="2562" width="3.85546875" style="845" customWidth="1"/>
    <col min="2563" max="2564" width="16.42578125" style="845" customWidth="1"/>
    <col min="2565" max="2565" width="18.42578125" style="845" customWidth="1"/>
    <col min="2566" max="2566" width="16.42578125" style="845" bestFit="1" customWidth="1"/>
    <col min="2567" max="2567" width="21.140625" style="845" bestFit="1" customWidth="1"/>
    <col min="2568" max="2568" width="20.42578125" style="845" customWidth="1"/>
    <col min="2569" max="2569" width="18.42578125" style="845" customWidth="1"/>
    <col min="2570" max="2570" width="23.140625" style="845" bestFit="1" customWidth="1"/>
    <col min="2571" max="2571" width="22.28515625" style="845" bestFit="1" customWidth="1"/>
    <col min="2572" max="2572" width="15.42578125" style="845" bestFit="1" customWidth="1"/>
    <col min="2573" max="2573" width="18.42578125" style="845" customWidth="1"/>
    <col min="2574" max="2815" width="9.140625" style="845"/>
    <col min="2816" max="2816" width="2.7109375" style="845" customWidth="1"/>
    <col min="2817" max="2817" width="17.140625" style="845" bestFit="1" customWidth="1"/>
    <col min="2818" max="2818" width="3.85546875" style="845" customWidth="1"/>
    <col min="2819" max="2820" width="16.42578125" style="845" customWidth="1"/>
    <col min="2821" max="2821" width="18.42578125" style="845" customWidth="1"/>
    <col min="2822" max="2822" width="16.42578125" style="845" bestFit="1" customWidth="1"/>
    <col min="2823" max="2823" width="21.140625" style="845" bestFit="1" customWidth="1"/>
    <col min="2824" max="2824" width="20.42578125" style="845" customWidth="1"/>
    <col min="2825" max="2825" width="18.42578125" style="845" customWidth="1"/>
    <col min="2826" max="2826" width="23.140625" style="845" bestFit="1" customWidth="1"/>
    <col min="2827" max="2827" width="22.28515625" style="845" bestFit="1" customWidth="1"/>
    <col min="2828" max="2828" width="15.42578125" style="845" bestFit="1" customWidth="1"/>
    <col min="2829" max="2829" width="18.42578125" style="845" customWidth="1"/>
    <col min="2830" max="3071" width="9.140625" style="845"/>
    <col min="3072" max="3072" width="2.7109375" style="845" customWidth="1"/>
    <col min="3073" max="3073" width="17.140625" style="845" bestFit="1" customWidth="1"/>
    <col min="3074" max="3074" width="3.85546875" style="845" customWidth="1"/>
    <col min="3075" max="3076" width="16.42578125" style="845" customWidth="1"/>
    <col min="3077" max="3077" width="18.42578125" style="845" customWidth="1"/>
    <col min="3078" max="3078" width="16.42578125" style="845" bestFit="1" customWidth="1"/>
    <col min="3079" max="3079" width="21.140625" style="845" bestFit="1" customWidth="1"/>
    <col min="3080" max="3080" width="20.42578125" style="845" customWidth="1"/>
    <col min="3081" max="3081" width="18.42578125" style="845" customWidth="1"/>
    <col min="3082" max="3082" width="23.140625" style="845" bestFit="1" customWidth="1"/>
    <col min="3083" max="3083" width="22.28515625" style="845" bestFit="1" customWidth="1"/>
    <col min="3084" max="3084" width="15.42578125" style="845" bestFit="1" customWidth="1"/>
    <col min="3085" max="3085" width="18.42578125" style="845" customWidth="1"/>
    <col min="3086" max="3327" width="9.140625" style="845"/>
    <col min="3328" max="3328" width="2.7109375" style="845" customWidth="1"/>
    <col min="3329" max="3329" width="17.140625" style="845" bestFit="1" customWidth="1"/>
    <col min="3330" max="3330" width="3.85546875" style="845" customWidth="1"/>
    <col min="3331" max="3332" width="16.42578125" style="845" customWidth="1"/>
    <col min="3333" max="3333" width="18.42578125" style="845" customWidth="1"/>
    <col min="3334" max="3334" width="16.42578125" style="845" bestFit="1" customWidth="1"/>
    <col min="3335" max="3335" width="21.140625" style="845" bestFit="1" customWidth="1"/>
    <col min="3336" max="3336" width="20.42578125" style="845" customWidth="1"/>
    <col min="3337" max="3337" width="18.42578125" style="845" customWidth="1"/>
    <col min="3338" max="3338" width="23.140625" style="845" bestFit="1" customWidth="1"/>
    <col min="3339" max="3339" width="22.28515625" style="845" bestFit="1" customWidth="1"/>
    <col min="3340" max="3340" width="15.42578125" style="845" bestFit="1" customWidth="1"/>
    <col min="3341" max="3341" width="18.42578125" style="845" customWidth="1"/>
    <col min="3342" max="3583" width="9.140625" style="845"/>
    <col min="3584" max="3584" width="2.7109375" style="845" customWidth="1"/>
    <col min="3585" max="3585" width="17.140625" style="845" bestFit="1" customWidth="1"/>
    <col min="3586" max="3586" width="3.85546875" style="845" customWidth="1"/>
    <col min="3587" max="3588" width="16.42578125" style="845" customWidth="1"/>
    <col min="3589" max="3589" width="18.42578125" style="845" customWidth="1"/>
    <col min="3590" max="3590" width="16.42578125" style="845" bestFit="1" customWidth="1"/>
    <col min="3591" max="3591" width="21.140625" style="845" bestFit="1" customWidth="1"/>
    <col min="3592" max="3592" width="20.42578125" style="845" customWidth="1"/>
    <col min="3593" max="3593" width="18.42578125" style="845" customWidth="1"/>
    <col min="3594" max="3594" width="23.140625" style="845" bestFit="1" customWidth="1"/>
    <col min="3595" max="3595" width="22.28515625" style="845" bestFit="1" customWidth="1"/>
    <col min="3596" max="3596" width="15.42578125" style="845" bestFit="1" customWidth="1"/>
    <col min="3597" max="3597" width="18.42578125" style="845" customWidth="1"/>
    <col min="3598" max="3839" width="9.140625" style="845"/>
    <col min="3840" max="3840" width="2.7109375" style="845" customWidth="1"/>
    <col min="3841" max="3841" width="17.140625" style="845" bestFit="1" customWidth="1"/>
    <col min="3842" max="3842" width="3.85546875" style="845" customWidth="1"/>
    <col min="3843" max="3844" width="16.42578125" style="845" customWidth="1"/>
    <col min="3845" max="3845" width="18.42578125" style="845" customWidth="1"/>
    <col min="3846" max="3846" width="16.42578125" style="845" bestFit="1" customWidth="1"/>
    <col min="3847" max="3847" width="21.140625" style="845" bestFit="1" customWidth="1"/>
    <col min="3848" max="3848" width="20.42578125" style="845" customWidth="1"/>
    <col min="3849" max="3849" width="18.42578125" style="845" customWidth="1"/>
    <col min="3850" max="3850" width="23.140625" style="845" bestFit="1" customWidth="1"/>
    <col min="3851" max="3851" width="22.28515625" style="845" bestFit="1" customWidth="1"/>
    <col min="3852" max="3852" width="15.42578125" style="845" bestFit="1" customWidth="1"/>
    <col min="3853" max="3853" width="18.42578125" style="845" customWidth="1"/>
    <col min="3854" max="4095" width="9.140625" style="845"/>
    <col min="4096" max="4096" width="2.7109375" style="845" customWidth="1"/>
    <col min="4097" max="4097" width="17.140625" style="845" bestFit="1" customWidth="1"/>
    <col min="4098" max="4098" width="3.85546875" style="845" customWidth="1"/>
    <col min="4099" max="4100" width="16.42578125" style="845" customWidth="1"/>
    <col min="4101" max="4101" width="18.42578125" style="845" customWidth="1"/>
    <col min="4102" max="4102" width="16.42578125" style="845" bestFit="1" customWidth="1"/>
    <col min="4103" max="4103" width="21.140625" style="845" bestFit="1" customWidth="1"/>
    <col min="4104" max="4104" width="20.42578125" style="845" customWidth="1"/>
    <col min="4105" max="4105" width="18.42578125" style="845" customWidth="1"/>
    <col min="4106" max="4106" width="23.140625" style="845" bestFit="1" customWidth="1"/>
    <col min="4107" max="4107" width="22.28515625" style="845" bestFit="1" customWidth="1"/>
    <col min="4108" max="4108" width="15.42578125" style="845" bestFit="1" customWidth="1"/>
    <col min="4109" max="4109" width="18.42578125" style="845" customWidth="1"/>
    <col min="4110" max="4351" width="9.140625" style="845"/>
    <col min="4352" max="4352" width="2.7109375" style="845" customWidth="1"/>
    <col min="4353" max="4353" width="17.140625" style="845" bestFit="1" customWidth="1"/>
    <col min="4354" max="4354" width="3.85546875" style="845" customWidth="1"/>
    <col min="4355" max="4356" width="16.42578125" style="845" customWidth="1"/>
    <col min="4357" max="4357" width="18.42578125" style="845" customWidth="1"/>
    <col min="4358" max="4358" width="16.42578125" style="845" bestFit="1" customWidth="1"/>
    <col min="4359" max="4359" width="21.140625" style="845" bestFit="1" customWidth="1"/>
    <col min="4360" max="4360" width="20.42578125" style="845" customWidth="1"/>
    <col min="4361" max="4361" width="18.42578125" style="845" customWidth="1"/>
    <col min="4362" max="4362" width="23.140625" style="845" bestFit="1" customWidth="1"/>
    <col min="4363" max="4363" width="22.28515625" style="845" bestFit="1" customWidth="1"/>
    <col min="4364" max="4364" width="15.42578125" style="845" bestFit="1" customWidth="1"/>
    <col min="4365" max="4365" width="18.42578125" style="845" customWidth="1"/>
    <col min="4366" max="4607" width="9.140625" style="845"/>
    <col min="4608" max="4608" width="2.7109375" style="845" customWidth="1"/>
    <col min="4609" max="4609" width="17.140625" style="845" bestFit="1" customWidth="1"/>
    <col min="4610" max="4610" width="3.85546875" style="845" customWidth="1"/>
    <col min="4611" max="4612" width="16.42578125" style="845" customWidth="1"/>
    <col min="4613" max="4613" width="18.42578125" style="845" customWidth="1"/>
    <col min="4614" max="4614" width="16.42578125" style="845" bestFit="1" customWidth="1"/>
    <col min="4615" max="4615" width="21.140625" style="845" bestFit="1" customWidth="1"/>
    <col min="4616" max="4616" width="20.42578125" style="845" customWidth="1"/>
    <col min="4617" max="4617" width="18.42578125" style="845" customWidth="1"/>
    <col min="4618" max="4618" width="23.140625" style="845" bestFit="1" customWidth="1"/>
    <col min="4619" max="4619" width="22.28515625" style="845" bestFit="1" customWidth="1"/>
    <col min="4620" max="4620" width="15.42578125" style="845" bestFit="1" customWidth="1"/>
    <col min="4621" max="4621" width="18.42578125" style="845" customWidth="1"/>
    <col min="4622" max="4863" width="9.140625" style="845"/>
    <col min="4864" max="4864" width="2.7109375" style="845" customWidth="1"/>
    <col min="4865" max="4865" width="17.140625" style="845" bestFit="1" customWidth="1"/>
    <col min="4866" max="4866" width="3.85546875" style="845" customWidth="1"/>
    <col min="4867" max="4868" width="16.42578125" style="845" customWidth="1"/>
    <col min="4869" max="4869" width="18.42578125" style="845" customWidth="1"/>
    <col min="4870" max="4870" width="16.42578125" style="845" bestFit="1" customWidth="1"/>
    <col min="4871" max="4871" width="21.140625" style="845" bestFit="1" customWidth="1"/>
    <col min="4872" max="4872" width="20.42578125" style="845" customWidth="1"/>
    <col min="4873" max="4873" width="18.42578125" style="845" customWidth="1"/>
    <col min="4874" max="4874" width="23.140625" style="845" bestFit="1" customWidth="1"/>
    <col min="4875" max="4875" width="22.28515625" style="845" bestFit="1" customWidth="1"/>
    <col min="4876" max="4876" width="15.42578125" style="845" bestFit="1" customWidth="1"/>
    <col min="4877" max="4877" width="18.42578125" style="845" customWidth="1"/>
    <col min="4878" max="5119" width="9.140625" style="845"/>
    <col min="5120" max="5120" width="2.7109375" style="845" customWidth="1"/>
    <col min="5121" max="5121" width="17.140625" style="845" bestFit="1" customWidth="1"/>
    <col min="5122" max="5122" width="3.85546875" style="845" customWidth="1"/>
    <col min="5123" max="5124" width="16.42578125" style="845" customWidth="1"/>
    <col min="5125" max="5125" width="18.42578125" style="845" customWidth="1"/>
    <col min="5126" max="5126" width="16.42578125" style="845" bestFit="1" customWidth="1"/>
    <col min="5127" max="5127" width="21.140625" style="845" bestFit="1" customWidth="1"/>
    <col min="5128" max="5128" width="20.42578125" style="845" customWidth="1"/>
    <col min="5129" max="5129" width="18.42578125" style="845" customWidth="1"/>
    <col min="5130" max="5130" width="23.140625" style="845" bestFit="1" customWidth="1"/>
    <col min="5131" max="5131" width="22.28515625" style="845" bestFit="1" customWidth="1"/>
    <col min="5132" max="5132" width="15.42578125" style="845" bestFit="1" customWidth="1"/>
    <col min="5133" max="5133" width="18.42578125" style="845" customWidth="1"/>
    <col min="5134" max="5375" width="9.140625" style="845"/>
    <col min="5376" max="5376" width="2.7109375" style="845" customWidth="1"/>
    <col min="5377" max="5377" width="17.140625" style="845" bestFit="1" customWidth="1"/>
    <col min="5378" max="5378" width="3.85546875" style="845" customWidth="1"/>
    <col min="5379" max="5380" width="16.42578125" style="845" customWidth="1"/>
    <col min="5381" max="5381" width="18.42578125" style="845" customWidth="1"/>
    <col min="5382" max="5382" width="16.42578125" style="845" bestFit="1" customWidth="1"/>
    <col min="5383" max="5383" width="21.140625" style="845" bestFit="1" customWidth="1"/>
    <col min="5384" max="5384" width="20.42578125" style="845" customWidth="1"/>
    <col min="5385" max="5385" width="18.42578125" style="845" customWidth="1"/>
    <col min="5386" max="5386" width="23.140625" style="845" bestFit="1" customWidth="1"/>
    <col min="5387" max="5387" width="22.28515625" style="845" bestFit="1" customWidth="1"/>
    <col min="5388" max="5388" width="15.42578125" style="845" bestFit="1" customWidth="1"/>
    <col min="5389" max="5389" width="18.42578125" style="845" customWidth="1"/>
    <col min="5390" max="5631" width="9.140625" style="845"/>
    <col min="5632" max="5632" width="2.7109375" style="845" customWidth="1"/>
    <col min="5633" max="5633" width="17.140625" style="845" bestFit="1" customWidth="1"/>
    <col min="5634" max="5634" width="3.85546875" style="845" customWidth="1"/>
    <col min="5635" max="5636" width="16.42578125" style="845" customWidth="1"/>
    <col min="5637" max="5637" width="18.42578125" style="845" customWidth="1"/>
    <col min="5638" max="5638" width="16.42578125" style="845" bestFit="1" customWidth="1"/>
    <col min="5639" max="5639" width="21.140625" style="845" bestFit="1" customWidth="1"/>
    <col min="5640" max="5640" width="20.42578125" style="845" customWidth="1"/>
    <col min="5641" max="5641" width="18.42578125" style="845" customWidth="1"/>
    <col min="5642" max="5642" width="23.140625" style="845" bestFit="1" customWidth="1"/>
    <col min="5643" max="5643" width="22.28515625" style="845" bestFit="1" customWidth="1"/>
    <col min="5644" max="5644" width="15.42578125" style="845" bestFit="1" customWidth="1"/>
    <col min="5645" max="5645" width="18.42578125" style="845" customWidth="1"/>
    <col min="5646" max="5887" width="9.140625" style="845"/>
    <col min="5888" max="5888" width="2.7109375" style="845" customWidth="1"/>
    <col min="5889" max="5889" width="17.140625" style="845" bestFit="1" customWidth="1"/>
    <col min="5890" max="5890" width="3.85546875" style="845" customWidth="1"/>
    <col min="5891" max="5892" width="16.42578125" style="845" customWidth="1"/>
    <col min="5893" max="5893" width="18.42578125" style="845" customWidth="1"/>
    <col min="5894" max="5894" width="16.42578125" style="845" bestFit="1" customWidth="1"/>
    <col min="5895" max="5895" width="21.140625" style="845" bestFit="1" customWidth="1"/>
    <col min="5896" max="5896" width="20.42578125" style="845" customWidth="1"/>
    <col min="5897" max="5897" width="18.42578125" style="845" customWidth="1"/>
    <col min="5898" max="5898" width="23.140625" style="845" bestFit="1" customWidth="1"/>
    <col min="5899" max="5899" width="22.28515625" style="845" bestFit="1" customWidth="1"/>
    <col min="5900" max="5900" width="15.42578125" style="845" bestFit="1" customWidth="1"/>
    <col min="5901" max="5901" width="18.42578125" style="845" customWidth="1"/>
    <col min="5902" max="6143" width="9.140625" style="845"/>
    <col min="6144" max="6144" width="2.7109375" style="845" customWidth="1"/>
    <col min="6145" max="6145" width="17.140625" style="845" bestFit="1" customWidth="1"/>
    <col min="6146" max="6146" width="3.85546875" style="845" customWidth="1"/>
    <col min="6147" max="6148" width="16.42578125" style="845" customWidth="1"/>
    <col min="6149" max="6149" width="18.42578125" style="845" customWidth="1"/>
    <col min="6150" max="6150" width="16.42578125" style="845" bestFit="1" customWidth="1"/>
    <col min="6151" max="6151" width="21.140625" style="845" bestFit="1" customWidth="1"/>
    <col min="6152" max="6152" width="20.42578125" style="845" customWidth="1"/>
    <col min="6153" max="6153" width="18.42578125" style="845" customWidth="1"/>
    <col min="6154" max="6154" width="23.140625" style="845" bestFit="1" customWidth="1"/>
    <col min="6155" max="6155" width="22.28515625" style="845" bestFit="1" customWidth="1"/>
    <col min="6156" max="6156" width="15.42578125" style="845" bestFit="1" customWidth="1"/>
    <col min="6157" max="6157" width="18.42578125" style="845" customWidth="1"/>
    <col min="6158" max="6399" width="9.140625" style="845"/>
    <col min="6400" max="6400" width="2.7109375" style="845" customWidth="1"/>
    <col min="6401" max="6401" width="17.140625" style="845" bestFit="1" customWidth="1"/>
    <col min="6402" max="6402" width="3.85546875" style="845" customWidth="1"/>
    <col min="6403" max="6404" width="16.42578125" style="845" customWidth="1"/>
    <col min="6405" max="6405" width="18.42578125" style="845" customWidth="1"/>
    <col min="6406" max="6406" width="16.42578125" style="845" bestFit="1" customWidth="1"/>
    <col min="6407" max="6407" width="21.140625" style="845" bestFit="1" customWidth="1"/>
    <col min="6408" max="6408" width="20.42578125" style="845" customWidth="1"/>
    <col min="6409" max="6409" width="18.42578125" style="845" customWidth="1"/>
    <col min="6410" max="6410" width="23.140625" style="845" bestFit="1" customWidth="1"/>
    <col min="6411" max="6411" width="22.28515625" style="845" bestFit="1" customWidth="1"/>
    <col min="6412" max="6412" width="15.42578125" style="845" bestFit="1" customWidth="1"/>
    <col min="6413" max="6413" width="18.42578125" style="845" customWidth="1"/>
    <col min="6414" max="6655" width="9.140625" style="845"/>
    <col min="6656" max="6656" width="2.7109375" style="845" customWidth="1"/>
    <col min="6657" max="6657" width="17.140625" style="845" bestFit="1" customWidth="1"/>
    <col min="6658" max="6658" width="3.85546875" style="845" customWidth="1"/>
    <col min="6659" max="6660" width="16.42578125" style="845" customWidth="1"/>
    <col min="6661" max="6661" width="18.42578125" style="845" customWidth="1"/>
    <col min="6662" max="6662" width="16.42578125" style="845" bestFit="1" customWidth="1"/>
    <col min="6663" max="6663" width="21.140625" style="845" bestFit="1" customWidth="1"/>
    <col min="6664" max="6664" width="20.42578125" style="845" customWidth="1"/>
    <col min="6665" max="6665" width="18.42578125" style="845" customWidth="1"/>
    <col min="6666" max="6666" width="23.140625" style="845" bestFit="1" customWidth="1"/>
    <col min="6667" max="6667" width="22.28515625" style="845" bestFit="1" customWidth="1"/>
    <col min="6668" max="6668" width="15.42578125" style="845" bestFit="1" customWidth="1"/>
    <col min="6669" max="6669" width="18.42578125" style="845" customWidth="1"/>
    <col min="6670" max="6911" width="9.140625" style="845"/>
    <col min="6912" max="6912" width="2.7109375" style="845" customWidth="1"/>
    <col min="6913" max="6913" width="17.140625" style="845" bestFit="1" customWidth="1"/>
    <col min="6914" max="6914" width="3.85546875" style="845" customWidth="1"/>
    <col min="6915" max="6916" width="16.42578125" style="845" customWidth="1"/>
    <col min="6917" max="6917" width="18.42578125" style="845" customWidth="1"/>
    <col min="6918" max="6918" width="16.42578125" style="845" bestFit="1" customWidth="1"/>
    <col min="6919" max="6919" width="21.140625" style="845" bestFit="1" customWidth="1"/>
    <col min="6920" max="6920" width="20.42578125" style="845" customWidth="1"/>
    <col min="6921" max="6921" width="18.42578125" style="845" customWidth="1"/>
    <col min="6922" max="6922" width="23.140625" style="845" bestFit="1" customWidth="1"/>
    <col min="6923" max="6923" width="22.28515625" style="845" bestFit="1" customWidth="1"/>
    <col min="6924" max="6924" width="15.42578125" style="845" bestFit="1" customWidth="1"/>
    <col min="6925" max="6925" width="18.42578125" style="845" customWidth="1"/>
    <col min="6926" max="7167" width="9.140625" style="845"/>
    <col min="7168" max="7168" width="2.7109375" style="845" customWidth="1"/>
    <col min="7169" max="7169" width="17.140625" style="845" bestFit="1" customWidth="1"/>
    <col min="7170" max="7170" width="3.85546875" style="845" customWidth="1"/>
    <col min="7171" max="7172" width="16.42578125" style="845" customWidth="1"/>
    <col min="7173" max="7173" width="18.42578125" style="845" customWidth="1"/>
    <col min="7174" max="7174" width="16.42578125" style="845" bestFit="1" customWidth="1"/>
    <col min="7175" max="7175" width="21.140625" style="845" bestFit="1" customWidth="1"/>
    <col min="7176" max="7176" width="20.42578125" style="845" customWidth="1"/>
    <col min="7177" max="7177" width="18.42578125" style="845" customWidth="1"/>
    <col min="7178" max="7178" width="23.140625" style="845" bestFit="1" customWidth="1"/>
    <col min="7179" max="7179" width="22.28515625" style="845" bestFit="1" customWidth="1"/>
    <col min="7180" max="7180" width="15.42578125" style="845" bestFit="1" customWidth="1"/>
    <col min="7181" max="7181" width="18.42578125" style="845" customWidth="1"/>
    <col min="7182" max="7423" width="9.140625" style="845"/>
    <col min="7424" max="7424" width="2.7109375" style="845" customWidth="1"/>
    <col min="7425" max="7425" width="17.140625" style="845" bestFit="1" customWidth="1"/>
    <col min="7426" max="7426" width="3.85546875" style="845" customWidth="1"/>
    <col min="7427" max="7428" width="16.42578125" style="845" customWidth="1"/>
    <col min="7429" max="7429" width="18.42578125" style="845" customWidth="1"/>
    <col min="7430" max="7430" width="16.42578125" style="845" bestFit="1" customWidth="1"/>
    <col min="7431" max="7431" width="21.140625" style="845" bestFit="1" customWidth="1"/>
    <col min="7432" max="7432" width="20.42578125" style="845" customWidth="1"/>
    <col min="7433" max="7433" width="18.42578125" style="845" customWidth="1"/>
    <col min="7434" max="7434" width="23.140625" style="845" bestFit="1" customWidth="1"/>
    <col min="7435" max="7435" width="22.28515625" style="845" bestFit="1" customWidth="1"/>
    <col min="7436" max="7436" width="15.42578125" style="845" bestFit="1" customWidth="1"/>
    <col min="7437" max="7437" width="18.42578125" style="845" customWidth="1"/>
    <col min="7438" max="7679" width="9.140625" style="845"/>
    <col min="7680" max="7680" width="2.7109375" style="845" customWidth="1"/>
    <col min="7681" max="7681" width="17.140625" style="845" bestFit="1" customWidth="1"/>
    <col min="7682" max="7682" width="3.85546875" style="845" customWidth="1"/>
    <col min="7683" max="7684" width="16.42578125" style="845" customWidth="1"/>
    <col min="7685" max="7685" width="18.42578125" style="845" customWidth="1"/>
    <col min="7686" max="7686" width="16.42578125" style="845" bestFit="1" customWidth="1"/>
    <col min="7687" max="7687" width="21.140625" style="845" bestFit="1" customWidth="1"/>
    <col min="7688" max="7688" width="20.42578125" style="845" customWidth="1"/>
    <col min="7689" max="7689" width="18.42578125" style="845" customWidth="1"/>
    <col min="7690" max="7690" width="23.140625" style="845" bestFit="1" customWidth="1"/>
    <col min="7691" max="7691" width="22.28515625" style="845" bestFit="1" customWidth="1"/>
    <col min="7692" max="7692" width="15.42578125" style="845" bestFit="1" customWidth="1"/>
    <col min="7693" max="7693" width="18.42578125" style="845" customWidth="1"/>
    <col min="7694" max="7935" width="9.140625" style="845"/>
    <col min="7936" max="7936" width="2.7109375" style="845" customWidth="1"/>
    <col min="7937" max="7937" width="17.140625" style="845" bestFit="1" customWidth="1"/>
    <col min="7938" max="7938" width="3.85546875" style="845" customWidth="1"/>
    <col min="7939" max="7940" width="16.42578125" style="845" customWidth="1"/>
    <col min="7941" max="7941" width="18.42578125" style="845" customWidth="1"/>
    <col min="7942" max="7942" width="16.42578125" style="845" bestFit="1" customWidth="1"/>
    <col min="7943" max="7943" width="21.140625" style="845" bestFit="1" customWidth="1"/>
    <col min="7944" max="7944" width="20.42578125" style="845" customWidth="1"/>
    <col min="7945" max="7945" width="18.42578125" style="845" customWidth="1"/>
    <col min="7946" max="7946" width="23.140625" style="845" bestFit="1" customWidth="1"/>
    <col min="7947" max="7947" width="22.28515625" style="845" bestFit="1" customWidth="1"/>
    <col min="7948" max="7948" width="15.42578125" style="845" bestFit="1" customWidth="1"/>
    <col min="7949" max="7949" width="18.42578125" style="845" customWidth="1"/>
    <col min="7950" max="8191" width="9.140625" style="845"/>
    <col min="8192" max="8192" width="2.7109375" style="845" customWidth="1"/>
    <col min="8193" max="8193" width="17.140625" style="845" bestFit="1" customWidth="1"/>
    <col min="8194" max="8194" width="3.85546875" style="845" customWidth="1"/>
    <col min="8195" max="8196" width="16.42578125" style="845" customWidth="1"/>
    <col min="8197" max="8197" width="18.42578125" style="845" customWidth="1"/>
    <col min="8198" max="8198" width="16.42578125" style="845" bestFit="1" customWidth="1"/>
    <col min="8199" max="8199" width="21.140625" style="845" bestFit="1" customWidth="1"/>
    <col min="8200" max="8200" width="20.42578125" style="845" customWidth="1"/>
    <col min="8201" max="8201" width="18.42578125" style="845" customWidth="1"/>
    <col min="8202" max="8202" width="23.140625" style="845" bestFit="1" customWidth="1"/>
    <col min="8203" max="8203" width="22.28515625" style="845" bestFit="1" customWidth="1"/>
    <col min="8204" max="8204" width="15.42578125" style="845" bestFit="1" customWidth="1"/>
    <col min="8205" max="8205" width="18.42578125" style="845" customWidth="1"/>
    <col min="8206" max="8447" width="9.140625" style="845"/>
    <col min="8448" max="8448" width="2.7109375" style="845" customWidth="1"/>
    <col min="8449" max="8449" width="17.140625" style="845" bestFit="1" customWidth="1"/>
    <col min="8450" max="8450" width="3.85546875" style="845" customWidth="1"/>
    <col min="8451" max="8452" width="16.42578125" style="845" customWidth="1"/>
    <col min="8453" max="8453" width="18.42578125" style="845" customWidth="1"/>
    <col min="8454" max="8454" width="16.42578125" style="845" bestFit="1" customWidth="1"/>
    <col min="8455" max="8455" width="21.140625" style="845" bestFit="1" customWidth="1"/>
    <col min="8456" max="8456" width="20.42578125" style="845" customWidth="1"/>
    <col min="8457" max="8457" width="18.42578125" style="845" customWidth="1"/>
    <col min="8458" max="8458" width="23.140625" style="845" bestFit="1" customWidth="1"/>
    <col min="8459" max="8459" width="22.28515625" style="845" bestFit="1" customWidth="1"/>
    <col min="8460" max="8460" width="15.42578125" style="845" bestFit="1" customWidth="1"/>
    <col min="8461" max="8461" width="18.42578125" style="845" customWidth="1"/>
    <col min="8462" max="8703" width="9.140625" style="845"/>
    <col min="8704" max="8704" width="2.7109375" style="845" customWidth="1"/>
    <col min="8705" max="8705" width="17.140625" style="845" bestFit="1" customWidth="1"/>
    <col min="8706" max="8706" width="3.85546875" style="845" customWidth="1"/>
    <col min="8707" max="8708" width="16.42578125" style="845" customWidth="1"/>
    <col min="8709" max="8709" width="18.42578125" style="845" customWidth="1"/>
    <col min="8710" max="8710" width="16.42578125" style="845" bestFit="1" customWidth="1"/>
    <col min="8711" max="8711" width="21.140625" style="845" bestFit="1" customWidth="1"/>
    <col min="8712" max="8712" width="20.42578125" style="845" customWidth="1"/>
    <col min="8713" max="8713" width="18.42578125" style="845" customWidth="1"/>
    <col min="8714" max="8714" width="23.140625" style="845" bestFit="1" customWidth="1"/>
    <col min="8715" max="8715" width="22.28515625" style="845" bestFit="1" customWidth="1"/>
    <col min="8716" max="8716" width="15.42578125" style="845" bestFit="1" customWidth="1"/>
    <col min="8717" max="8717" width="18.42578125" style="845" customWidth="1"/>
    <col min="8718" max="8959" width="9.140625" style="845"/>
    <col min="8960" max="8960" width="2.7109375" style="845" customWidth="1"/>
    <col min="8961" max="8961" width="17.140625" style="845" bestFit="1" customWidth="1"/>
    <col min="8962" max="8962" width="3.85546875" style="845" customWidth="1"/>
    <col min="8963" max="8964" width="16.42578125" style="845" customWidth="1"/>
    <col min="8965" max="8965" width="18.42578125" style="845" customWidth="1"/>
    <col min="8966" max="8966" width="16.42578125" style="845" bestFit="1" customWidth="1"/>
    <col min="8967" max="8967" width="21.140625" style="845" bestFit="1" customWidth="1"/>
    <col min="8968" max="8968" width="20.42578125" style="845" customWidth="1"/>
    <col min="8969" max="8969" width="18.42578125" style="845" customWidth="1"/>
    <col min="8970" max="8970" width="23.140625" style="845" bestFit="1" customWidth="1"/>
    <col min="8971" max="8971" width="22.28515625" style="845" bestFit="1" customWidth="1"/>
    <col min="8972" max="8972" width="15.42578125" style="845" bestFit="1" customWidth="1"/>
    <col min="8973" max="8973" width="18.42578125" style="845" customWidth="1"/>
    <col min="8974" max="9215" width="9.140625" style="845"/>
    <col min="9216" max="9216" width="2.7109375" style="845" customWidth="1"/>
    <col min="9217" max="9217" width="17.140625" style="845" bestFit="1" customWidth="1"/>
    <col min="9218" max="9218" width="3.85546875" style="845" customWidth="1"/>
    <col min="9219" max="9220" width="16.42578125" style="845" customWidth="1"/>
    <col min="9221" max="9221" width="18.42578125" style="845" customWidth="1"/>
    <col min="9222" max="9222" width="16.42578125" style="845" bestFit="1" customWidth="1"/>
    <col min="9223" max="9223" width="21.140625" style="845" bestFit="1" customWidth="1"/>
    <col min="9224" max="9224" width="20.42578125" style="845" customWidth="1"/>
    <col min="9225" max="9225" width="18.42578125" style="845" customWidth="1"/>
    <col min="9226" max="9226" width="23.140625" style="845" bestFit="1" customWidth="1"/>
    <col min="9227" max="9227" width="22.28515625" style="845" bestFit="1" customWidth="1"/>
    <col min="9228" max="9228" width="15.42578125" style="845" bestFit="1" customWidth="1"/>
    <col min="9229" max="9229" width="18.42578125" style="845" customWidth="1"/>
    <col min="9230" max="9471" width="9.140625" style="845"/>
    <col min="9472" max="9472" width="2.7109375" style="845" customWidth="1"/>
    <col min="9473" max="9473" width="17.140625" style="845" bestFit="1" customWidth="1"/>
    <col min="9474" max="9474" width="3.85546875" style="845" customWidth="1"/>
    <col min="9475" max="9476" width="16.42578125" style="845" customWidth="1"/>
    <col min="9477" max="9477" width="18.42578125" style="845" customWidth="1"/>
    <col min="9478" max="9478" width="16.42578125" style="845" bestFit="1" customWidth="1"/>
    <col min="9479" max="9479" width="21.140625" style="845" bestFit="1" customWidth="1"/>
    <col min="9480" max="9480" width="20.42578125" style="845" customWidth="1"/>
    <col min="9481" max="9481" width="18.42578125" style="845" customWidth="1"/>
    <col min="9482" max="9482" width="23.140625" style="845" bestFit="1" customWidth="1"/>
    <col min="9483" max="9483" width="22.28515625" style="845" bestFit="1" customWidth="1"/>
    <col min="9484" max="9484" width="15.42578125" style="845" bestFit="1" customWidth="1"/>
    <col min="9485" max="9485" width="18.42578125" style="845" customWidth="1"/>
    <col min="9486" max="9727" width="9.140625" style="845"/>
    <col min="9728" max="9728" width="2.7109375" style="845" customWidth="1"/>
    <col min="9729" max="9729" width="17.140625" style="845" bestFit="1" customWidth="1"/>
    <col min="9730" max="9730" width="3.85546875" style="845" customWidth="1"/>
    <col min="9731" max="9732" width="16.42578125" style="845" customWidth="1"/>
    <col min="9733" max="9733" width="18.42578125" style="845" customWidth="1"/>
    <col min="9734" max="9734" width="16.42578125" style="845" bestFit="1" customWidth="1"/>
    <col min="9735" max="9735" width="21.140625" style="845" bestFit="1" customWidth="1"/>
    <col min="9736" max="9736" width="20.42578125" style="845" customWidth="1"/>
    <col min="9737" max="9737" width="18.42578125" style="845" customWidth="1"/>
    <col min="9738" max="9738" width="23.140625" style="845" bestFit="1" customWidth="1"/>
    <col min="9739" max="9739" width="22.28515625" style="845" bestFit="1" customWidth="1"/>
    <col min="9740" max="9740" width="15.42578125" style="845" bestFit="1" customWidth="1"/>
    <col min="9741" max="9741" width="18.42578125" style="845" customWidth="1"/>
    <col min="9742" max="9983" width="9.140625" style="845"/>
    <col min="9984" max="9984" width="2.7109375" style="845" customWidth="1"/>
    <col min="9985" max="9985" width="17.140625" style="845" bestFit="1" customWidth="1"/>
    <col min="9986" max="9986" width="3.85546875" style="845" customWidth="1"/>
    <col min="9987" max="9988" width="16.42578125" style="845" customWidth="1"/>
    <col min="9989" max="9989" width="18.42578125" style="845" customWidth="1"/>
    <col min="9990" max="9990" width="16.42578125" style="845" bestFit="1" customWidth="1"/>
    <col min="9991" max="9991" width="21.140625" style="845" bestFit="1" customWidth="1"/>
    <col min="9992" max="9992" width="20.42578125" style="845" customWidth="1"/>
    <col min="9993" max="9993" width="18.42578125" style="845" customWidth="1"/>
    <col min="9994" max="9994" width="23.140625" style="845" bestFit="1" customWidth="1"/>
    <col min="9995" max="9995" width="22.28515625" style="845" bestFit="1" customWidth="1"/>
    <col min="9996" max="9996" width="15.42578125" style="845" bestFit="1" customWidth="1"/>
    <col min="9997" max="9997" width="18.42578125" style="845" customWidth="1"/>
    <col min="9998" max="10239" width="9.140625" style="845"/>
    <col min="10240" max="10240" width="2.7109375" style="845" customWidth="1"/>
    <col min="10241" max="10241" width="17.140625" style="845" bestFit="1" customWidth="1"/>
    <col min="10242" max="10242" width="3.85546875" style="845" customWidth="1"/>
    <col min="10243" max="10244" width="16.42578125" style="845" customWidth="1"/>
    <col min="10245" max="10245" width="18.42578125" style="845" customWidth="1"/>
    <col min="10246" max="10246" width="16.42578125" style="845" bestFit="1" customWidth="1"/>
    <col min="10247" max="10247" width="21.140625" style="845" bestFit="1" customWidth="1"/>
    <col min="10248" max="10248" width="20.42578125" style="845" customWidth="1"/>
    <col min="10249" max="10249" width="18.42578125" style="845" customWidth="1"/>
    <col min="10250" max="10250" width="23.140625" style="845" bestFit="1" customWidth="1"/>
    <col min="10251" max="10251" width="22.28515625" style="845" bestFit="1" customWidth="1"/>
    <col min="10252" max="10252" width="15.42578125" style="845" bestFit="1" customWidth="1"/>
    <col min="10253" max="10253" width="18.42578125" style="845" customWidth="1"/>
    <col min="10254" max="10495" width="9.140625" style="845"/>
    <col min="10496" max="10496" width="2.7109375" style="845" customWidth="1"/>
    <col min="10497" max="10497" width="17.140625" style="845" bestFit="1" customWidth="1"/>
    <col min="10498" max="10498" width="3.85546875" style="845" customWidth="1"/>
    <col min="10499" max="10500" width="16.42578125" style="845" customWidth="1"/>
    <col min="10501" max="10501" width="18.42578125" style="845" customWidth="1"/>
    <col min="10502" max="10502" width="16.42578125" style="845" bestFit="1" customWidth="1"/>
    <col min="10503" max="10503" width="21.140625" style="845" bestFit="1" customWidth="1"/>
    <col min="10504" max="10504" width="20.42578125" style="845" customWidth="1"/>
    <col min="10505" max="10505" width="18.42578125" style="845" customWidth="1"/>
    <col min="10506" max="10506" width="23.140625" style="845" bestFit="1" customWidth="1"/>
    <col min="10507" max="10507" width="22.28515625" style="845" bestFit="1" customWidth="1"/>
    <col min="10508" max="10508" width="15.42578125" style="845" bestFit="1" customWidth="1"/>
    <col min="10509" max="10509" width="18.42578125" style="845" customWidth="1"/>
    <col min="10510" max="10751" width="9.140625" style="845"/>
    <col min="10752" max="10752" width="2.7109375" style="845" customWidth="1"/>
    <col min="10753" max="10753" width="17.140625" style="845" bestFit="1" customWidth="1"/>
    <col min="10754" max="10754" width="3.85546875" style="845" customWidth="1"/>
    <col min="10755" max="10756" width="16.42578125" style="845" customWidth="1"/>
    <col min="10757" max="10757" width="18.42578125" style="845" customWidth="1"/>
    <col min="10758" max="10758" width="16.42578125" style="845" bestFit="1" customWidth="1"/>
    <col min="10759" max="10759" width="21.140625" style="845" bestFit="1" customWidth="1"/>
    <col min="10760" max="10760" width="20.42578125" style="845" customWidth="1"/>
    <col min="10761" max="10761" width="18.42578125" style="845" customWidth="1"/>
    <col min="10762" max="10762" width="23.140625" style="845" bestFit="1" customWidth="1"/>
    <col min="10763" max="10763" width="22.28515625" style="845" bestFit="1" customWidth="1"/>
    <col min="10764" max="10764" width="15.42578125" style="845" bestFit="1" customWidth="1"/>
    <col min="10765" max="10765" width="18.42578125" style="845" customWidth="1"/>
    <col min="10766" max="11007" width="9.140625" style="845"/>
    <col min="11008" max="11008" width="2.7109375" style="845" customWidth="1"/>
    <col min="11009" max="11009" width="17.140625" style="845" bestFit="1" customWidth="1"/>
    <col min="11010" max="11010" width="3.85546875" style="845" customWidth="1"/>
    <col min="11011" max="11012" width="16.42578125" style="845" customWidth="1"/>
    <col min="11013" max="11013" width="18.42578125" style="845" customWidth="1"/>
    <col min="11014" max="11014" width="16.42578125" style="845" bestFit="1" customWidth="1"/>
    <col min="11015" max="11015" width="21.140625" style="845" bestFit="1" customWidth="1"/>
    <col min="11016" max="11016" width="20.42578125" style="845" customWidth="1"/>
    <col min="11017" max="11017" width="18.42578125" style="845" customWidth="1"/>
    <col min="11018" max="11018" width="23.140625" style="845" bestFit="1" customWidth="1"/>
    <col min="11019" max="11019" width="22.28515625" style="845" bestFit="1" customWidth="1"/>
    <col min="11020" max="11020" width="15.42578125" style="845" bestFit="1" customWidth="1"/>
    <col min="11021" max="11021" width="18.42578125" style="845" customWidth="1"/>
    <col min="11022" max="11263" width="9.140625" style="845"/>
    <col min="11264" max="11264" width="2.7109375" style="845" customWidth="1"/>
    <col min="11265" max="11265" width="17.140625" style="845" bestFit="1" customWidth="1"/>
    <col min="11266" max="11266" width="3.85546875" style="845" customWidth="1"/>
    <col min="11267" max="11268" width="16.42578125" style="845" customWidth="1"/>
    <col min="11269" max="11269" width="18.42578125" style="845" customWidth="1"/>
    <col min="11270" max="11270" width="16.42578125" style="845" bestFit="1" customWidth="1"/>
    <col min="11271" max="11271" width="21.140625" style="845" bestFit="1" customWidth="1"/>
    <col min="11272" max="11272" width="20.42578125" style="845" customWidth="1"/>
    <col min="11273" max="11273" width="18.42578125" style="845" customWidth="1"/>
    <col min="11274" max="11274" width="23.140625" style="845" bestFit="1" customWidth="1"/>
    <col min="11275" max="11275" width="22.28515625" style="845" bestFit="1" customWidth="1"/>
    <col min="11276" max="11276" width="15.42578125" style="845" bestFit="1" customWidth="1"/>
    <col min="11277" max="11277" width="18.42578125" style="845" customWidth="1"/>
    <col min="11278" max="11519" width="9.140625" style="845"/>
    <col min="11520" max="11520" width="2.7109375" style="845" customWidth="1"/>
    <col min="11521" max="11521" width="17.140625" style="845" bestFit="1" customWidth="1"/>
    <col min="11522" max="11522" width="3.85546875" style="845" customWidth="1"/>
    <col min="11523" max="11524" width="16.42578125" style="845" customWidth="1"/>
    <col min="11525" max="11525" width="18.42578125" style="845" customWidth="1"/>
    <col min="11526" max="11526" width="16.42578125" style="845" bestFit="1" customWidth="1"/>
    <col min="11527" max="11527" width="21.140625" style="845" bestFit="1" customWidth="1"/>
    <col min="11528" max="11528" width="20.42578125" style="845" customWidth="1"/>
    <col min="11529" max="11529" width="18.42578125" style="845" customWidth="1"/>
    <col min="11530" max="11530" width="23.140625" style="845" bestFit="1" customWidth="1"/>
    <col min="11531" max="11531" width="22.28515625" style="845" bestFit="1" customWidth="1"/>
    <col min="11532" max="11532" width="15.42578125" style="845" bestFit="1" customWidth="1"/>
    <col min="11533" max="11533" width="18.42578125" style="845" customWidth="1"/>
    <col min="11534" max="11775" width="9.140625" style="845"/>
    <col min="11776" max="11776" width="2.7109375" style="845" customWidth="1"/>
    <col min="11777" max="11777" width="17.140625" style="845" bestFit="1" customWidth="1"/>
    <col min="11778" max="11778" width="3.85546875" style="845" customWidth="1"/>
    <col min="11779" max="11780" width="16.42578125" style="845" customWidth="1"/>
    <col min="11781" max="11781" width="18.42578125" style="845" customWidth="1"/>
    <col min="11782" max="11782" width="16.42578125" style="845" bestFit="1" customWidth="1"/>
    <col min="11783" max="11783" width="21.140625" style="845" bestFit="1" customWidth="1"/>
    <col min="11784" max="11784" width="20.42578125" style="845" customWidth="1"/>
    <col min="11785" max="11785" width="18.42578125" style="845" customWidth="1"/>
    <col min="11786" max="11786" width="23.140625" style="845" bestFit="1" customWidth="1"/>
    <col min="11787" max="11787" width="22.28515625" style="845" bestFit="1" customWidth="1"/>
    <col min="11788" max="11788" width="15.42578125" style="845" bestFit="1" customWidth="1"/>
    <col min="11789" max="11789" width="18.42578125" style="845" customWidth="1"/>
    <col min="11790" max="12031" width="9.140625" style="845"/>
    <col min="12032" max="12032" width="2.7109375" style="845" customWidth="1"/>
    <col min="12033" max="12033" width="17.140625" style="845" bestFit="1" customWidth="1"/>
    <col min="12034" max="12034" width="3.85546875" style="845" customWidth="1"/>
    <col min="12035" max="12036" width="16.42578125" style="845" customWidth="1"/>
    <col min="12037" max="12037" width="18.42578125" style="845" customWidth="1"/>
    <col min="12038" max="12038" width="16.42578125" style="845" bestFit="1" customWidth="1"/>
    <col min="12039" max="12039" width="21.140625" style="845" bestFit="1" customWidth="1"/>
    <col min="12040" max="12040" width="20.42578125" style="845" customWidth="1"/>
    <col min="12041" max="12041" width="18.42578125" style="845" customWidth="1"/>
    <col min="12042" max="12042" width="23.140625" style="845" bestFit="1" customWidth="1"/>
    <col min="12043" max="12043" width="22.28515625" style="845" bestFit="1" customWidth="1"/>
    <col min="12044" max="12044" width="15.42578125" style="845" bestFit="1" customWidth="1"/>
    <col min="12045" max="12045" width="18.42578125" style="845" customWidth="1"/>
    <col min="12046" max="12287" width="9.140625" style="845"/>
    <col min="12288" max="12288" width="2.7109375" style="845" customWidth="1"/>
    <col min="12289" max="12289" width="17.140625" style="845" bestFit="1" customWidth="1"/>
    <col min="12290" max="12290" width="3.85546875" style="845" customWidth="1"/>
    <col min="12291" max="12292" width="16.42578125" style="845" customWidth="1"/>
    <col min="12293" max="12293" width="18.42578125" style="845" customWidth="1"/>
    <col min="12294" max="12294" width="16.42578125" style="845" bestFit="1" customWidth="1"/>
    <col min="12295" max="12295" width="21.140625" style="845" bestFit="1" customWidth="1"/>
    <col min="12296" max="12296" width="20.42578125" style="845" customWidth="1"/>
    <col min="12297" max="12297" width="18.42578125" style="845" customWidth="1"/>
    <col min="12298" max="12298" width="23.140625" style="845" bestFit="1" customWidth="1"/>
    <col min="12299" max="12299" width="22.28515625" style="845" bestFit="1" customWidth="1"/>
    <col min="12300" max="12300" width="15.42578125" style="845" bestFit="1" customWidth="1"/>
    <col min="12301" max="12301" width="18.42578125" style="845" customWidth="1"/>
    <col min="12302" max="12543" width="9.140625" style="845"/>
    <col min="12544" max="12544" width="2.7109375" style="845" customWidth="1"/>
    <col min="12545" max="12545" width="17.140625" style="845" bestFit="1" customWidth="1"/>
    <col min="12546" max="12546" width="3.85546875" style="845" customWidth="1"/>
    <col min="12547" max="12548" width="16.42578125" style="845" customWidth="1"/>
    <col min="12549" max="12549" width="18.42578125" style="845" customWidth="1"/>
    <col min="12550" max="12550" width="16.42578125" style="845" bestFit="1" customWidth="1"/>
    <col min="12551" max="12551" width="21.140625" style="845" bestFit="1" customWidth="1"/>
    <col min="12552" max="12552" width="20.42578125" style="845" customWidth="1"/>
    <col min="12553" max="12553" width="18.42578125" style="845" customWidth="1"/>
    <col min="12554" max="12554" width="23.140625" style="845" bestFit="1" customWidth="1"/>
    <col min="12555" max="12555" width="22.28515625" style="845" bestFit="1" customWidth="1"/>
    <col min="12556" max="12556" width="15.42578125" style="845" bestFit="1" customWidth="1"/>
    <col min="12557" max="12557" width="18.42578125" style="845" customWidth="1"/>
    <col min="12558" max="12799" width="9.140625" style="845"/>
    <col min="12800" max="12800" width="2.7109375" style="845" customWidth="1"/>
    <col min="12801" max="12801" width="17.140625" style="845" bestFit="1" customWidth="1"/>
    <col min="12802" max="12802" width="3.85546875" style="845" customWidth="1"/>
    <col min="12803" max="12804" width="16.42578125" style="845" customWidth="1"/>
    <col min="12805" max="12805" width="18.42578125" style="845" customWidth="1"/>
    <col min="12806" max="12806" width="16.42578125" style="845" bestFit="1" customWidth="1"/>
    <col min="12807" max="12807" width="21.140625" style="845" bestFit="1" customWidth="1"/>
    <col min="12808" max="12808" width="20.42578125" style="845" customWidth="1"/>
    <col min="12809" max="12809" width="18.42578125" style="845" customWidth="1"/>
    <col min="12810" max="12810" width="23.140625" style="845" bestFit="1" customWidth="1"/>
    <col min="12811" max="12811" width="22.28515625" style="845" bestFit="1" customWidth="1"/>
    <col min="12812" max="12812" width="15.42578125" style="845" bestFit="1" customWidth="1"/>
    <col min="12813" max="12813" width="18.42578125" style="845" customWidth="1"/>
    <col min="12814" max="13055" width="9.140625" style="845"/>
    <col min="13056" max="13056" width="2.7109375" style="845" customWidth="1"/>
    <col min="13057" max="13057" width="17.140625" style="845" bestFit="1" customWidth="1"/>
    <col min="13058" max="13058" width="3.85546875" style="845" customWidth="1"/>
    <col min="13059" max="13060" width="16.42578125" style="845" customWidth="1"/>
    <col min="13061" max="13061" width="18.42578125" style="845" customWidth="1"/>
    <col min="13062" max="13062" width="16.42578125" style="845" bestFit="1" customWidth="1"/>
    <col min="13063" max="13063" width="21.140625" style="845" bestFit="1" customWidth="1"/>
    <col min="13064" max="13064" width="20.42578125" style="845" customWidth="1"/>
    <col min="13065" max="13065" width="18.42578125" style="845" customWidth="1"/>
    <col min="13066" max="13066" width="23.140625" style="845" bestFit="1" customWidth="1"/>
    <col min="13067" max="13067" width="22.28515625" style="845" bestFit="1" customWidth="1"/>
    <col min="13068" max="13068" width="15.42578125" style="845" bestFit="1" customWidth="1"/>
    <col min="13069" max="13069" width="18.42578125" style="845" customWidth="1"/>
    <col min="13070" max="13311" width="9.140625" style="845"/>
    <col min="13312" max="13312" width="2.7109375" style="845" customWidth="1"/>
    <col min="13313" max="13313" width="17.140625" style="845" bestFit="1" customWidth="1"/>
    <col min="13314" max="13314" width="3.85546875" style="845" customWidth="1"/>
    <col min="13315" max="13316" width="16.42578125" style="845" customWidth="1"/>
    <col min="13317" max="13317" width="18.42578125" style="845" customWidth="1"/>
    <col min="13318" max="13318" width="16.42578125" style="845" bestFit="1" customWidth="1"/>
    <col min="13319" max="13319" width="21.140625" style="845" bestFit="1" customWidth="1"/>
    <col min="13320" max="13320" width="20.42578125" style="845" customWidth="1"/>
    <col min="13321" max="13321" width="18.42578125" style="845" customWidth="1"/>
    <col min="13322" max="13322" width="23.140625" style="845" bestFit="1" customWidth="1"/>
    <col min="13323" max="13323" width="22.28515625" style="845" bestFit="1" customWidth="1"/>
    <col min="13324" max="13324" width="15.42578125" style="845" bestFit="1" customWidth="1"/>
    <col min="13325" max="13325" width="18.42578125" style="845" customWidth="1"/>
    <col min="13326" max="13567" width="9.140625" style="845"/>
    <col min="13568" max="13568" width="2.7109375" style="845" customWidth="1"/>
    <col min="13569" max="13569" width="17.140625" style="845" bestFit="1" customWidth="1"/>
    <col min="13570" max="13570" width="3.85546875" style="845" customWidth="1"/>
    <col min="13571" max="13572" width="16.42578125" style="845" customWidth="1"/>
    <col min="13573" max="13573" width="18.42578125" style="845" customWidth="1"/>
    <col min="13574" max="13574" width="16.42578125" style="845" bestFit="1" customWidth="1"/>
    <col min="13575" max="13575" width="21.140625" style="845" bestFit="1" customWidth="1"/>
    <col min="13576" max="13576" width="20.42578125" style="845" customWidth="1"/>
    <col min="13577" max="13577" width="18.42578125" style="845" customWidth="1"/>
    <col min="13578" max="13578" width="23.140625" style="845" bestFit="1" customWidth="1"/>
    <col min="13579" max="13579" width="22.28515625" style="845" bestFit="1" customWidth="1"/>
    <col min="13580" max="13580" width="15.42578125" style="845" bestFit="1" customWidth="1"/>
    <col min="13581" max="13581" width="18.42578125" style="845" customWidth="1"/>
    <col min="13582" max="13823" width="9.140625" style="845"/>
    <col min="13824" max="13824" width="2.7109375" style="845" customWidth="1"/>
    <col min="13825" max="13825" width="17.140625" style="845" bestFit="1" customWidth="1"/>
    <col min="13826" max="13826" width="3.85546875" style="845" customWidth="1"/>
    <col min="13827" max="13828" width="16.42578125" style="845" customWidth="1"/>
    <col min="13829" max="13829" width="18.42578125" style="845" customWidth="1"/>
    <col min="13830" max="13830" width="16.42578125" style="845" bestFit="1" customWidth="1"/>
    <col min="13831" max="13831" width="21.140625" style="845" bestFit="1" customWidth="1"/>
    <col min="13832" max="13832" width="20.42578125" style="845" customWidth="1"/>
    <col min="13833" max="13833" width="18.42578125" style="845" customWidth="1"/>
    <col min="13834" max="13834" width="23.140625" style="845" bestFit="1" customWidth="1"/>
    <col min="13835" max="13835" width="22.28515625" style="845" bestFit="1" customWidth="1"/>
    <col min="13836" max="13836" width="15.42578125" style="845" bestFit="1" customWidth="1"/>
    <col min="13837" max="13837" width="18.42578125" style="845" customWidth="1"/>
    <col min="13838" max="14079" width="9.140625" style="845"/>
    <col min="14080" max="14080" width="2.7109375" style="845" customWidth="1"/>
    <col min="14081" max="14081" width="17.140625" style="845" bestFit="1" customWidth="1"/>
    <col min="14082" max="14082" width="3.85546875" style="845" customWidth="1"/>
    <col min="14083" max="14084" width="16.42578125" style="845" customWidth="1"/>
    <col min="14085" max="14085" width="18.42578125" style="845" customWidth="1"/>
    <col min="14086" max="14086" width="16.42578125" style="845" bestFit="1" customWidth="1"/>
    <col min="14087" max="14087" width="21.140625" style="845" bestFit="1" customWidth="1"/>
    <col min="14088" max="14088" width="20.42578125" style="845" customWidth="1"/>
    <col min="14089" max="14089" width="18.42578125" style="845" customWidth="1"/>
    <col min="14090" max="14090" width="23.140625" style="845" bestFit="1" customWidth="1"/>
    <col min="14091" max="14091" width="22.28515625" style="845" bestFit="1" customWidth="1"/>
    <col min="14092" max="14092" width="15.42578125" style="845" bestFit="1" customWidth="1"/>
    <col min="14093" max="14093" width="18.42578125" style="845" customWidth="1"/>
    <col min="14094" max="14335" width="9.140625" style="845"/>
    <col min="14336" max="14336" width="2.7109375" style="845" customWidth="1"/>
    <col min="14337" max="14337" width="17.140625" style="845" bestFit="1" customWidth="1"/>
    <col min="14338" max="14338" width="3.85546875" style="845" customWidth="1"/>
    <col min="14339" max="14340" width="16.42578125" style="845" customWidth="1"/>
    <col min="14341" max="14341" width="18.42578125" style="845" customWidth="1"/>
    <col min="14342" max="14342" width="16.42578125" style="845" bestFit="1" customWidth="1"/>
    <col min="14343" max="14343" width="21.140625" style="845" bestFit="1" customWidth="1"/>
    <col min="14344" max="14344" width="20.42578125" style="845" customWidth="1"/>
    <col min="14345" max="14345" width="18.42578125" style="845" customWidth="1"/>
    <col min="14346" max="14346" width="23.140625" style="845" bestFit="1" customWidth="1"/>
    <col min="14347" max="14347" width="22.28515625" style="845" bestFit="1" customWidth="1"/>
    <col min="14348" max="14348" width="15.42578125" style="845" bestFit="1" customWidth="1"/>
    <col min="14349" max="14349" width="18.42578125" style="845" customWidth="1"/>
    <col min="14350" max="14591" width="9.140625" style="845"/>
    <col min="14592" max="14592" width="2.7109375" style="845" customWidth="1"/>
    <col min="14593" max="14593" width="17.140625" style="845" bestFit="1" customWidth="1"/>
    <col min="14594" max="14594" width="3.85546875" style="845" customWidth="1"/>
    <col min="14595" max="14596" width="16.42578125" style="845" customWidth="1"/>
    <col min="14597" max="14597" width="18.42578125" style="845" customWidth="1"/>
    <col min="14598" max="14598" width="16.42578125" style="845" bestFit="1" customWidth="1"/>
    <col min="14599" max="14599" width="21.140625" style="845" bestFit="1" customWidth="1"/>
    <col min="14600" max="14600" width="20.42578125" style="845" customWidth="1"/>
    <col min="14601" max="14601" width="18.42578125" style="845" customWidth="1"/>
    <col min="14602" max="14602" width="23.140625" style="845" bestFit="1" customWidth="1"/>
    <col min="14603" max="14603" width="22.28515625" style="845" bestFit="1" customWidth="1"/>
    <col min="14604" max="14604" width="15.42578125" style="845" bestFit="1" customWidth="1"/>
    <col min="14605" max="14605" width="18.42578125" style="845" customWidth="1"/>
    <col min="14606" max="14847" width="9.140625" style="845"/>
    <col min="14848" max="14848" width="2.7109375" style="845" customWidth="1"/>
    <col min="14849" max="14849" width="17.140625" style="845" bestFit="1" customWidth="1"/>
    <col min="14850" max="14850" width="3.85546875" style="845" customWidth="1"/>
    <col min="14851" max="14852" width="16.42578125" style="845" customWidth="1"/>
    <col min="14853" max="14853" width="18.42578125" style="845" customWidth="1"/>
    <col min="14854" max="14854" width="16.42578125" style="845" bestFit="1" customWidth="1"/>
    <col min="14855" max="14855" width="21.140625" style="845" bestFit="1" customWidth="1"/>
    <col min="14856" max="14856" width="20.42578125" style="845" customWidth="1"/>
    <col min="14857" max="14857" width="18.42578125" style="845" customWidth="1"/>
    <col min="14858" max="14858" width="23.140625" style="845" bestFit="1" customWidth="1"/>
    <col min="14859" max="14859" width="22.28515625" style="845" bestFit="1" customWidth="1"/>
    <col min="14860" max="14860" width="15.42578125" style="845" bestFit="1" customWidth="1"/>
    <col min="14861" max="14861" width="18.42578125" style="845" customWidth="1"/>
    <col min="14862" max="15103" width="9.140625" style="845"/>
    <col min="15104" max="15104" width="2.7109375" style="845" customWidth="1"/>
    <col min="15105" max="15105" width="17.140625" style="845" bestFit="1" customWidth="1"/>
    <col min="15106" max="15106" width="3.85546875" style="845" customWidth="1"/>
    <col min="15107" max="15108" width="16.42578125" style="845" customWidth="1"/>
    <col min="15109" max="15109" width="18.42578125" style="845" customWidth="1"/>
    <col min="15110" max="15110" width="16.42578125" style="845" bestFit="1" customWidth="1"/>
    <col min="15111" max="15111" width="21.140625" style="845" bestFit="1" customWidth="1"/>
    <col min="15112" max="15112" width="20.42578125" style="845" customWidth="1"/>
    <col min="15113" max="15113" width="18.42578125" style="845" customWidth="1"/>
    <col min="15114" max="15114" width="23.140625" style="845" bestFit="1" customWidth="1"/>
    <col min="15115" max="15115" width="22.28515625" style="845" bestFit="1" customWidth="1"/>
    <col min="15116" max="15116" width="15.42578125" style="845" bestFit="1" customWidth="1"/>
    <col min="15117" max="15117" width="18.42578125" style="845" customWidth="1"/>
    <col min="15118" max="15359" width="9.140625" style="845"/>
    <col min="15360" max="15360" width="2.7109375" style="845" customWidth="1"/>
    <col min="15361" max="15361" width="17.140625" style="845" bestFit="1" customWidth="1"/>
    <col min="15362" max="15362" width="3.85546875" style="845" customWidth="1"/>
    <col min="15363" max="15364" width="16.42578125" style="845" customWidth="1"/>
    <col min="15365" max="15365" width="18.42578125" style="845" customWidth="1"/>
    <col min="15366" max="15366" width="16.42578125" style="845" bestFit="1" customWidth="1"/>
    <col min="15367" max="15367" width="21.140625" style="845" bestFit="1" customWidth="1"/>
    <col min="15368" max="15368" width="20.42578125" style="845" customWidth="1"/>
    <col min="15369" max="15369" width="18.42578125" style="845" customWidth="1"/>
    <col min="15370" max="15370" width="23.140625" style="845" bestFit="1" customWidth="1"/>
    <col min="15371" max="15371" width="22.28515625" style="845" bestFit="1" customWidth="1"/>
    <col min="15372" max="15372" width="15.42578125" style="845" bestFit="1" customWidth="1"/>
    <col min="15373" max="15373" width="18.42578125" style="845" customWidth="1"/>
    <col min="15374" max="15615" width="9.140625" style="845"/>
    <col min="15616" max="15616" width="2.7109375" style="845" customWidth="1"/>
    <col min="15617" max="15617" width="17.140625" style="845" bestFit="1" customWidth="1"/>
    <col min="15618" max="15618" width="3.85546875" style="845" customWidth="1"/>
    <col min="15619" max="15620" width="16.42578125" style="845" customWidth="1"/>
    <col min="15621" max="15621" width="18.42578125" style="845" customWidth="1"/>
    <col min="15622" max="15622" width="16.42578125" style="845" bestFit="1" customWidth="1"/>
    <col min="15623" max="15623" width="21.140625" style="845" bestFit="1" customWidth="1"/>
    <col min="15624" max="15624" width="20.42578125" style="845" customWidth="1"/>
    <col min="15625" max="15625" width="18.42578125" style="845" customWidth="1"/>
    <col min="15626" max="15626" width="23.140625" style="845" bestFit="1" customWidth="1"/>
    <col min="15627" max="15627" width="22.28515625" style="845" bestFit="1" customWidth="1"/>
    <col min="15628" max="15628" width="15.42578125" style="845" bestFit="1" customWidth="1"/>
    <col min="15629" max="15629" width="18.42578125" style="845" customWidth="1"/>
    <col min="15630" max="15871" width="9.140625" style="845"/>
    <col min="15872" max="15872" width="2.7109375" style="845" customWidth="1"/>
    <col min="15873" max="15873" width="17.140625" style="845" bestFit="1" customWidth="1"/>
    <col min="15874" max="15874" width="3.85546875" style="845" customWidth="1"/>
    <col min="15875" max="15876" width="16.42578125" style="845" customWidth="1"/>
    <col min="15877" max="15877" width="18.42578125" style="845" customWidth="1"/>
    <col min="15878" max="15878" width="16.42578125" style="845" bestFit="1" customWidth="1"/>
    <col min="15879" max="15879" width="21.140625" style="845" bestFit="1" customWidth="1"/>
    <col min="15880" max="15880" width="20.42578125" style="845" customWidth="1"/>
    <col min="15881" max="15881" width="18.42578125" style="845" customWidth="1"/>
    <col min="15882" max="15882" width="23.140625" style="845" bestFit="1" customWidth="1"/>
    <col min="15883" max="15883" width="22.28515625" style="845" bestFit="1" customWidth="1"/>
    <col min="15884" max="15884" width="15.42578125" style="845" bestFit="1" customWidth="1"/>
    <col min="15885" max="15885" width="18.42578125" style="845" customWidth="1"/>
    <col min="15886" max="16127" width="9.140625" style="845"/>
    <col min="16128" max="16128" width="2.7109375" style="845" customWidth="1"/>
    <col min="16129" max="16129" width="17.140625" style="845" bestFit="1" customWidth="1"/>
    <col min="16130" max="16130" width="3.85546875" style="845" customWidth="1"/>
    <col min="16131" max="16132" width="16.42578125" style="845" customWidth="1"/>
    <col min="16133" max="16133" width="18.42578125" style="845" customWidth="1"/>
    <col min="16134" max="16134" width="16.42578125" style="845" bestFit="1" customWidth="1"/>
    <col min="16135" max="16135" width="21.140625" style="845" bestFit="1" customWidth="1"/>
    <col min="16136" max="16136" width="20.42578125" style="845" customWidth="1"/>
    <col min="16137" max="16137" width="18.42578125" style="845" customWidth="1"/>
    <col min="16138" max="16138" width="23.140625" style="845" bestFit="1" customWidth="1"/>
    <col min="16139" max="16139" width="22.28515625" style="845" bestFit="1" customWidth="1"/>
    <col min="16140" max="16140" width="15.42578125" style="845" bestFit="1" customWidth="1"/>
    <col min="16141" max="16141" width="18.42578125" style="845" customWidth="1"/>
    <col min="16142" max="16384" width="9.140625" style="845"/>
  </cols>
  <sheetData>
    <row r="1" spans="1:15">
      <c r="A1" s="508"/>
      <c r="B1" s="507" t="s">
        <v>9</v>
      </c>
      <c r="C1" s="508"/>
      <c r="D1" s="508"/>
      <c r="E1" s="508"/>
      <c r="F1" s="508"/>
      <c r="G1" s="508"/>
      <c r="H1" s="508"/>
      <c r="I1" s="523"/>
      <c r="J1" s="523"/>
      <c r="K1" s="523"/>
      <c r="L1" s="523"/>
      <c r="M1" s="523"/>
    </row>
    <row r="2" spans="1:15">
      <c r="A2" s="508"/>
      <c r="B2" s="507" t="s">
        <v>856</v>
      </c>
      <c r="C2" s="508"/>
      <c r="D2" s="508"/>
      <c r="E2" s="508"/>
      <c r="F2" s="508"/>
      <c r="G2" s="508"/>
      <c r="H2" s="508"/>
      <c r="I2" s="523"/>
      <c r="J2" s="149"/>
      <c r="K2" s="523"/>
      <c r="L2" s="523"/>
      <c r="M2" s="523"/>
      <c r="N2" s="891"/>
    </row>
    <row r="3" spans="1:15">
      <c r="A3" s="508"/>
      <c r="B3" s="507" t="s">
        <v>846</v>
      </c>
      <c r="C3" s="508"/>
      <c r="D3" s="508"/>
      <c r="E3" s="508"/>
      <c r="F3" s="508"/>
      <c r="G3" s="508"/>
      <c r="H3" s="510">
        <v>48</v>
      </c>
      <c r="I3" s="512" t="s">
        <v>96</v>
      </c>
      <c r="J3" s="887"/>
      <c r="K3" s="523"/>
      <c r="L3" s="523"/>
      <c r="M3" s="523"/>
      <c r="O3" s="892"/>
    </row>
    <row r="4" spans="1:15" ht="18">
      <c r="A4" s="508"/>
      <c r="B4" s="1090" t="s">
        <v>859</v>
      </c>
      <c r="C4" s="846" t="s">
        <v>175</v>
      </c>
      <c r="D4" s="847"/>
      <c r="E4" s="888"/>
      <c r="F4" s="888"/>
      <c r="G4" s="511"/>
      <c r="H4" s="511"/>
      <c r="I4" s="512"/>
      <c r="J4" s="512"/>
      <c r="K4" s="512"/>
      <c r="L4" s="512"/>
      <c r="M4" s="512"/>
      <c r="N4" s="866"/>
    </row>
    <row r="5" spans="1:15" ht="13.5" thickBot="1">
      <c r="A5" s="848"/>
      <c r="B5" s="848"/>
      <c r="C5" s="865" t="s">
        <v>851</v>
      </c>
      <c r="D5" s="849"/>
      <c r="E5" s="513" t="s">
        <v>943</v>
      </c>
      <c r="F5" s="513"/>
      <c r="G5" s="513"/>
      <c r="H5" s="513"/>
      <c r="I5" s="865" t="s">
        <v>855</v>
      </c>
      <c r="J5" s="513"/>
      <c r="K5" s="513"/>
      <c r="L5" s="513"/>
      <c r="M5" s="515"/>
    </row>
    <row r="6" spans="1:15">
      <c r="A6" s="508"/>
      <c r="B6" s="508"/>
      <c r="C6" s="515" t="s">
        <v>847</v>
      </c>
      <c r="D6" s="850" t="s">
        <v>115</v>
      </c>
      <c r="E6" s="511" t="s">
        <v>19</v>
      </c>
      <c r="F6" s="511" t="s">
        <v>20</v>
      </c>
      <c r="G6" s="511" t="s">
        <v>116</v>
      </c>
      <c r="H6" s="511" t="s">
        <v>16</v>
      </c>
      <c r="I6" s="515" t="s">
        <v>19</v>
      </c>
      <c r="J6" s="515" t="s">
        <v>20</v>
      </c>
      <c r="K6" s="514" t="s">
        <v>117</v>
      </c>
      <c r="L6" s="515" t="s">
        <v>848</v>
      </c>
      <c r="M6" s="536" t="s">
        <v>2</v>
      </c>
    </row>
    <row r="7" spans="1:15">
      <c r="A7" s="523"/>
      <c r="B7" s="851" t="s">
        <v>17</v>
      </c>
      <c r="C7" s="515" t="s">
        <v>849</v>
      </c>
      <c r="D7" s="514" t="s">
        <v>2</v>
      </c>
      <c r="E7" s="515" t="s">
        <v>3</v>
      </c>
      <c r="F7" s="515" t="s">
        <v>3</v>
      </c>
      <c r="G7" s="515" t="s">
        <v>3</v>
      </c>
      <c r="H7" s="515" t="s">
        <v>18</v>
      </c>
      <c r="I7" s="515" t="s">
        <v>24</v>
      </c>
      <c r="J7" s="514" t="s">
        <v>24</v>
      </c>
      <c r="K7" s="515" t="s">
        <v>18</v>
      </c>
      <c r="L7" s="515" t="s">
        <v>850</v>
      </c>
      <c r="M7" s="538" t="s">
        <v>37</v>
      </c>
    </row>
    <row r="8" spans="1:15">
      <c r="A8" s="523"/>
      <c r="B8" s="515" t="s">
        <v>119</v>
      </c>
      <c r="C8" s="515" t="s">
        <v>31</v>
      </c>
      <c r="D8" s="514" t="s">
        <v>32</v>
      </c>
      <c r="E8" s="515" t="s">
        <v>120</v>
      </c>
      <c r="F8" s="514" t="s">
        <v>128</v>
      </c>
      <c r="G8" s="515" t="s">
        <v>33</v>
      </c>
      <c r="H8" s="515" t="s">
        <v>122</v>
      </c>
      <c r="I8" s="515" t="s">
        <v>123</v>
      </c>
      <c r="J8" s="514" t="s">
        <v>129</v>
      </c>
      <c r="K8" s="515" t="s">
        <v>94</v>
      </c>
      <c r="L8" s="515" t="s">
        <v>125</v>
      </c>
      <c r="M8" s="538" t="s">
        <v>35</v>
      </c>
      <c r="N8" s="852"/>
    </row>
    <row r="9" spans="1:15">
      <c r="A9" s="523"/>
      <c r="B9" s="515"/>
      <c r="C9" s="515"/>
      <c r="D9" s="514"/>
      <c r="E9" s="515"/>
      <c r="F9" s="514"/>
      <c r="G9" s="515"/>
      <c r="H9" s="515"/>
      <c r="I9" s="513" t="s">
        <v>127</v>
      </c>
      <c r="J9" s="514"/>
      <c r="K9" s="515"/>
      <c r="L9" s="515"/>
      <c r="M9" s="538"/>
      <c r="N9" s="852"/>
    </row>
    <row r="10" spans="1:15" hidden="1" outlineLevel="1">
      <c r="A10" s="523"/>
      <c r="B10" s="519">
        <v>41639</v>
      </c>
      <c r="C10" s="515"/>
      <c r="D10" s="514"/>
      <c r="E10" s="515"/>
      <c r="F10" s="514"/>
      <c r="G10" s="515"/>
      <c r="H10" s="515"/>
      <c r="I10" s="515"/>
      <c r="J10" s="514"/>
      <c r="K10" s="515"/>
      <c r="L10" s="515"/>
      <c r="M10" s="538"/>
      <c r="N10" s="852"/>
    </row>
    <row r="11" spans="1:15" hidden="1" outlineLevel="1">
      <c r="A11" s="523"/>
      <c r="B11" s="519">
        <v>41670</v>
      </c>
      <c r="C11" s="515"/>
      <c r="D11" s="514"/>
      <c r="E11" s="515"/>
      <c r="F11" s="514"/>
      <c r="G11" s="515"/>
      <c r="H11" s="515"/>
      <c r="I11" s="515"/>
      <c r="J11" s="514"/>
      <c r="K11" s="515"/>
      <c r="L11" s="515"/>
      <c r="M11" s="538"/>
      <c r="N11" s="852"/>
    </row>
    <row r="12" spans="1:15" hidden="1" outlineLevel="1">
      <c r="A12" s="523"/>
      <c r="B12" s="519">
        <v>41698</v>
      </c>
      <c r="C12" s="515"/>
      <c r="D12" s="514"/>
      <c r="E12" s="515"/>
      <c r="F12" s="514"/>
      <c r="G12" s="515"/>
      <c r="H12" s="515"/>
      <c r="I12" s="515"/>
      <c r="J12" s="514"/>
      <c r="K12" s="515"/>
      <c r="L12" s="515"/>
      <c r="M12" s="538"/>
      <c r="N12" s="852"/>
    </row>
    <row r="13" spans="1:15" hidden="1" outlineLevel="1">
      <c r="A13" s="523"/>
      <c r="B13" s="519">
        <v>41729</v>
      </c>
      <c r="C13" s="515"/>
      <c r="D13" s="514"/>
      <c r="E13" s="515"/>
      <c r="F13" s="514"/>
      <c r="G13" s="515"/>
      <c r="H13" s="515"/>
      <c r="I13" s="515"/>
      <c r="J13" s="514"/>
      <c r="K13" s="515"/>
      <c r="L13" s="515"/>
      <c r="M13" s="538"/>
      <c r="N13" s="852"/>
    </row>
    <row r="14" spans="1:15" hidden="1" outlineLevel="1">
      <c r="A14" s="523"/>
      <c r="B14" s="519">
        <v>41759</v>
      </c>
      <c r="C14" s="515"/>
      <c r="D14" s="514"/>
      <c r="E14" s="515"/>
      <c r="F14" s="514"/>
      <c r="G14" s="515"/>
      <c r="H14" s="515"/>
      <c r="I14" s="515"/>
      <c r="J14" s="514"/>
      <c r="K14" s="515"/>
      <c r="L14" s="515"/>
      <c r="M14" s="538"/>
      <c r="N14" s="852"/>
    </row>
    <row r="15" spans="1:15" hidden="1" outlineLevel="1">
      <c r="A15" s="523"/>
      <c r="B15" s="519">
        <v>41790</v>
      </c>
      <c r="C15" s="515"/>
      <c r="D15" s="514"/>
      <c r="E15" s="515"/>
      <c r="F15" s="514"/>
      <c r="G15" s="515"/>
      <c r="H15" s="515"/>
      <c r="I15" s="515"/>
      <c r="J15" s="514"/>
      <c r="K15" s="515"/>
      <c r="L15" s="515"/>
      <c r="M15" s="538"/>
      <c r="N15" s="852"/>
    </row>
    <row r="16" spans="1:15" ht="13.5" hidden="1" outlineLevel="1" thickBot="1">
      <c r="A16" s="848"/>
      <c r="B16" s="519">
        <v>41820</v>
      </c>
      <c r="C16" s="513"/>
      <c r="D16" s="853"/>
      <c r="E16" s="854"/>
      <c r="F16" s="853"/>
      <c r="G16" s="513"/>
      <c r="H16" s="513"/>
      <c r="J16" s="853"/>
      <c r="K16" s="513"/>
      <c r="L16" s="513"/>
      <c r="M16" s="541"/>
    </row>
    <row r="17" spans="1:17" ht="15.75" hidden="1" outlineLevel="1">
      <c r="A17" s="508"/>
      <c r="B17" s="519">
        <v>41851</v>
      </c>
      <c r="C17" s="855"/>
      <c r="D17" s="868"/>
      <c r="E17" s="869"/>
      <c r="F17" s="869"/>
      <c r="G17" s="868"/>
      <c r="H17" s="870">
        <f t="shared" ref="H17:H71" si="0">D17+G17</f>
        <v>0</v>
      </c>
      <c r="I17" s="871">
        <f>(-C17*0.35)+(E17*0.35)</f>
        <v>0</v>
      </c>
      <c r="J17" s="871">
        <f>J16+I17</f>
        <v>0</v>
      </c>
      <c r="K17" s="868"/>
      <c r="L17" s="872">
        <f>H17+K17</f>
        <v>0</v>
      </c>
      <c r="M17" s="858">
        <f>C17+F17+J17</f>
        <v>0</v>
      </c>
      <c r="O17" s="859"/>
    </row>
    <row r="18" spans="1:17" ht="12.75" hidden="1" customHeight="1" outlineLevel="1">
      <c r="A18" s="508"/>
      <c r="B18" s="522">
        <v>41852</v>
      </c>
      <c r="C18" s="857"/>
      <c r="D18" s="856">
        <f>(0+C18+SUM(C$17:C17)*2)/24</f>
        <v>0</v>
      </c>
      <c r="E18" s="856"/>
      <c r="F18" s="857">
        <f>F17-E18</f>
        <v>0</v>
      </c>
      <c r="G18" s="856">
        <f>(0+F18+SUM(F$17:F17)*2)/24</f>
        <v>0</v>
      </c>
      <c r="H18" s="856">
        <f t="shared" si="0"/>
        <v>0</v>
      </c>
      <c r="I18" s="857">
        <f>+(E18*0.35)</f>
        <v>0</v>
      </c>
      <c r="J18" s="857">
        <f>J17+I18</f>
        <v>0</v>
      </c>
      <c r="K18" s="856">
        <f>(0+J18+SUM(J$17:J17)*2)/24</f>
        <v>0</v>
      </c>
      <c r="L18" s="858">
        <f t="shared" ref="L18:L71" si="1">H18+K18</f>
        <v>0</v>
      </c>
      <c r="M18" s="858">
        <f t="shared" ref="M18:M71" si="2">C18+F18+J18</f>
        <v>0</v>
      </c>
      <c r="N18" s="860"/>
      <c r="O18" s="681"/>
      <c r="Q18" s="861"/>
    </row>
    <row r="19" spans="1:17" ht="12.75" hidden="1" customHeight="1" outlineLevel="1">
      <c r="A19" s="508"/>
      <c r="B19" s="522">
        <v>41912</v>
      </c>
      <c r="C19" s="857"/>
      <c r="D19" s="856">
        <f>(0+C19+SUM(C$17:C18)*2)/24</f>
        <v>0</v>
      </c>
      <c r="E19" s="856">
        <f>E18</f>
        <v>0</v>
      </c>
      <c r="F19" s="857">
        <f t="shared" ref="F19:F71" si="3">F18-E19</f>
        <v>0</v>
      </c>
      <c r="G19" s="856">
        <f>(0+F19+SUM(F$17:F18)*2)/24</f>
        <v>0</v>
      </c>
      <c r="H19" s="856">
        <f t="shared" si="0"/>
        <v>0</v>
      </c>
      <c r="I19" s="857">
        <f>+(E19*0.35)</f>
        <v>0</v>
      </c>
      <c r="J19" s="857">
        <f t="shared" ref="J19:J71" si="4">J18+I19</f>
        <v>0</v>
      </c>
      <c r="K19" s="856">
        <f>(0+J19+SUM(J$17:J18)*2)/24</f>
        <v>0</v>
      </c>
      <c r="L19" s="858">
        <f t="shared" si="1"/>
        <v>0</v>
      </c>
      <c r="M19" s="858">
        <f t="shared" si="2"/>
        <v>0</v>
      </c>
      <c r="N19" s="860"/>
      <c r="O19" s="681"/>
      <c r="Q19" s="862"/>
    </row>
    <row r="20" spans="1:17" ht="12.75" hidden="1" customHeight="1" outlineLevel="1">
      <c r="A20" s="508"/>
      <c r="B20" s="522">
        <v>41943</v>
      </c>
      <c r="C20" s="857"/>
      <c r="D20" s="856">
        <f>(0+C20+SUM(C$17:C19)*2)/24</f>
        <v>0</v>
      </c>
      <c r="E20" s="856">
        <f>E19</f>
        <v>0</v>
      </c>
      <c r="F20" s="857">
        <f t="shared" si="3"/>
        <v>0</v>
      </c>
      <c r="G20" s="856">
        <f>(0+F20+SUM(F$17:F19)*2)/24</f>
        <v>0</v>
      </c>
      <c r="H20" s="856">
        <f t="shared" si="0"/>
        <v>0</v>
      </c>
      <c r="I20" s="857">
        <f t="shared" ref="I20:I58" si="5">+(E20*0.35)</f>
        <v>0</v>
      </c>
      <c r="J20" s="857">
        <f t="shared" si="4"/>
        <v>0</v>
      </c>
      <c r="K20" s="856">
        <f>(0+J20+SUM(J$17:J19)*2)/24</f>
        <v>0</v>
      </c>
      <c r="L20" s="858">
        <f t="shared" si="1"/>
        <v>0</v>
      </c>
      <c r="M20" s="858">
        <f t="shared" si="2"/>
        <v>0</v>
      </c>
      <c r="N20" s="860"/>
      <c r="O20" s="681"/>
      <c r="Q20" s="862"/>
    </row>
    <row r="21" spans="1:17" s="864" customFormat="1" ht="15" hidden="1" outlineLevel="1">
      <c r="A21" s="508"/>
      <c r="B21" s="522">
        <v>41973</v>
      </c>
      <c r="C21" s="857">
        <v>14431226</v>
      </c>
      <c r="D21" s="856">
        <f>(0+C21+SUM(C$17:C20)*2)/24</f>
        <v>601301.08333333337</v>
      </c>
      <c r="E21" s="856">
        <f>E20</f>
        <v>0</v>
      </c>
      <c r="F21" s="857">
        <f>F20-E21</f>
        <v>0</v>
      </c>
      <c r="G21" s="856">
        <f>(0+F21+SUM(F$17:F20)*2)/24</f>
        <v>0</v>
      </c>
      <c r="H21" s="856">
        <f t="shared" si="0"/>
        <v>601301.08333333337</v>
      </c>
      <c r="I21" s="857">
        <f t="shared" si="5"/>
        <v>0</v>
      </c>
      <c r="J21" s="857">
        <f t="shared" si="4"/>
        <v>0</v>
      </c>
      <c r="K21" s="856">
        <f>(0+J21+SUM(J$17:J20)*2)/24</f>
        <v>0</v>
      </c>
      <c r="L21" s="858">
        <f t="shared" si="1"/>
        <v>601301.08333333337</v>
      </c>
      <c r="M21" s="858">
        <f>C21+F21+J21</f>
        <v>14431226</v>
      </c>
      <c r="N21" s="863"/>
      <c r="O21" s="879"/>
    </row>
    <row r="22" spans="1:17" ht="15" hidden="1" outlineLevel="1">
      <c r="A22" s="508"/>
      <c r="B22" s="519">
        <v>42004</v>
      </c>
      <c r="C22" s="856">
        <f t="shared" ref="C22:C71" si="6">C21</f>
        <v>14431226</v>
      </c>
      <c r="D22" s="856">
        <f>(C10+C22+SUM(C$11:C21)*2)/24</f>
        <v>1803903.25</v>
      </c>
      <c r="E22" s="856">
        <f>282625+140907</f>
        <v>423532</v>
      </c>
      <c r="F22" s="856">
        <f t="shared" si="3"/>
        <v>-423532</v>
      </c>
      <c r="G22" s="856">
        <f>(F10+F22+SUM(F$11:F21)*2)/24</f>
        <v>-17647.166666666668</v>
      </c>
      <c r="H22" s="856">
        <f t="shared" si="0"/>
        <v>1786256.0833333333</v>
      </c>
      <c r="I22" s="856">
        <v>-4902692.9000000004</v>
      </c>
      <c r="J22" s="856">
        <f>J21+I22</f>
        <v>-4902692.9000000004</v>
      </c>
      <c r="K22" s="856">
        <f>(0+J22+SUM(J$17:J21)*2)/24</f>
        <v>-204278.87083333335</v>
      </c>
      <c r="L22" s="858">
        <f t="shared" si="1"/>
        <v>1581977.2124999999</v>
      </c>
      <c r="M22" s="858">
        <f t="shared" si="2"/>
        <v>9105001.0999999996</v>
      </c>
      <c r="N22" s="863"/>
      <c r="O22" s="681"/>
      <c r="P22" s="861"/>
    </row>
    <row r="23" spans="1:17" ht="15" hidden="1" outlineLevel="1">
      <c r="A23" s="508"/>
      <c r="B23" s="519">
        <v>42035</v>
      </c>
      <c r="C23" s="856">
        <f t="shared" si="6"/>
        <v>14431226</v>
      </c>
      <c r="D23" s="856">
        <f>(C11+C23+SUM(C$11:C22)*2)/24</f>
        <v>3006505.4166666665</v>
      </c>
      <c r="E23" s="856">
        <f>282625-88404.87-140907</f>
        <v>53313.130000000005</v>
      </c>
      <c r="F23" s="856">
        <f t="shared" si="3"/>
        <v>-476845.13</v>
      </c>
      <c r="G23" s="856">
        <f>(F11+F23+SUM(F$11:F22)*2)/24</f>
        <v>-55162.88041666666</v>
      </c>
      <c r="H23" s="856">
        <f>D23+G23</f>
        <v>2951342.5362499999</v>
      </c>
      <c r="I23" s="856">
        <v>18659.599999999999</v>
      </c>
      <c r="J23" s="856">
        <f t="shared" si="4"/>
        <v>-4884033.3000000007</v>
      </c>
      <c r="K23" s="856">
        <f>(0+J23+SUM(J$17:J22)*2)/24</f>
        <v>-612059.12916666677</v>
      </c>
      <c r="L23" s="858">
        <f t="shared" si="1"/>
        <v>2339283.407083333</v>
      </c>
      <c r="M23" s="858">
        <f t="shared" si="2"/>
        <v>9070347.5699999984</v>
      </c>
      <c r="N23" s="863"/>
      <c r="O23" s="681"/>
      <c r="P23" s="861"/>
    </row>
    <row r="24" spans="1:17" hidden="1" outlineLevel="1">
      <c r="A24" s="508"/>
      <c r="B24" s="519">
        <v>42063</v>
      </c>
      <c r="C24" s="856">
        <f t="shared" si="6"/>
        <v>14431226</v>
      </c>
      <c r="D24" s="856">
        <f>(C12+C24+SUM(C13:C23)*2)/24</f>
        <v>4209107.583333333</v>
      </c>
      <c r="E24" s="856">
        <v>282625</v>
      </c>
      <c r="F24" s="856">
        <f t="shared" si="3"/>
        <v>-759470.13</v>
      </c>
      <c r="G24" s="856">
        <f>(F12+F24+SUM(F$11:F23)*2)/24</f>
        <v>-106676.01625</v>
      </c>
      <c r="H24" s="856">
        <f t="shared" si="0"/>
        <v>4102431.5670833332</v>
      </c>
      <c r="I24" s="856">
        <f>+(E24*0.35)</f>
        <v>98918.75</v>
      </c>
      <c r="J24" s="856">
        <f t="shared" si="4"/>
        <v>-4785114.5500000007</v>
      </c>
      <c r="K24" s="856">
        <f>(0+J24+SUM(J$17:J23)*2)/24</f>
        <v>-1014940.2895833334</v>
      </c>
      <c r="L24" s="858">
        <f t="shared" si="1"/>
        <v>3087491.2774999999</v>
      </c>
      <c r="M24" s="858">
        <f t="shared" si="2"/>
        <v>8886641.3199999984</v>
      </c>
      <c r="N24" s="863"/>
      <c r="P24" s="861"/>
    </row>
    <row r="25" spans="1:17" hidden="1" outlineLevel="1">
      <c r="A25" s="508"/>
      <c r="B25" s="519">
        <v>42094</v>
      </c>
      <c r="C25" s="856">
        <f t="shared" si="6"/>
        <v>14431226</v>
      </c>
      <c r="D25" s="856">
        <f>(C13+C25+SUM(C14:C24)*2)/24</f>
        <v>5411709.75</v>
      </c>
      <c r="E25" s="856">
        <f t="shared" ref="E25:E69" si="7">E24</f>
        <v>282625</v>
      </c>
      <c r="F25" s="856">
        <f t="shared" si="3"/>
        <v>-1042095.13</v>
      </c>
      <c r="G25" s="856">
        <f>(F13+F25+SUM(F14:F24)*2)/24</f>
        <v>-181741.23541666669</v>
      </c>
      <c r="H25" s="856">
        <f t="shared" si="0"/>
        <v>5229968.5145833334</v>
      </c>
      <c r="I25" s="856">
        <f t="shared" si="5"/>
        <v>98918.75</v>
      </c>
      <c r="J25" s="856">
        <f t="shared" si="4"/>
        <v>-4686195.8000000007</v>
      </c>
      <c r="K25" s="856">
        <f>(0+J25+SUM(J$17:J24)*2)/24</f>
        <v>-1409578.2208333334</v>
      </c>
      <c r="L25" s="858">
        <f t="shared" si="1"/>
        <v>3820390.2937500002</v>
      </c>
      <c r="M25" s="858">
        <f t="shared" si="2"/>
        <v>8702935.0699999984</v>
      </c>
      <c r="N25" s="863"/>
      <c r="P25" s="861"/>
    </row>
    <row r="26" spans="1:17" hidden="1" outlineLevel="1">
      <c r="A26" s="508"/>
      <c r="B26" s="519">
        <v>42124</v>
      </c>
      <c r="C26" s="856">
        <f>+C25-179513-88405</f>
        <v>14163308</v>
      </c>
      <c r="D26" s="856">
        <f>(C14+C26+SUM(C15:C25)*2)/24</f>
        <v>6603148.666666667</v>
      </c>
      <c r="E26" s="856">
        <f t="shared" si="7"/>
        <v>282625</v>
      </c>
      <c r="F26" s="856">
        <f t="shared" si="3"/>
        <v>-1324720.1299999999</v>
      </c>
      <c r="G26" s="856">
        <f t="shared" ref="G26:G30" si="8">(F14+F26+SUM(F15:F25)*2)/24</f>
        <v>-280358.53791666665</v>
      </c>
      <c r="H26" s="856">
        <f t="shared" si="0"/>
        <v>6322790.1287500001</v>
      </c>
      <c r="I26" s="856">
        <f>+(E26*0.35)+93771</f>
        <v>192689.75</v>
      </c>
      <c r="J26" s="856">
        <f>J25+I26</f>
        <v>-4493506.0500000007</v>
      </c>
      <c r="K26" s="856">
        <f>(0+J26+SUM(J$17:J25)*2)/24</f>
        <v>-1792065.7979166668</v>
      </c>
      <c r="L26" s="858">
        <f t="shared" si="1"/>
        <v>4530724.3308333335</v>
      </c>
      <c r="M26" s="858">
        <f t="shared" si="2"/>
        <v>8345081.8200000003</v>
      </c>
      <c r="N26" s="863"/>
      <c r="P26" s="861"/>
    </row>
    <row r="27" spans="1:17" hidden="1" outlineLevel="1">
      <c r="A27" s="508"/>
      <c r="B27" s="519">
        <v>42155</v>
      </c>
      <c r="C27" s="856">
        <f t="shared" si="6"/>
        <v>14163308</v>
      </c>
      <c r="D27" s="856">
        <f t="shared" ref="D27:D28" si="9">(C15+C27+SUM(C16:C26)*2)/24</f>
        <v>7783424.333333333</v>
      </c>
      <c r="E27" s="856">
        <f t="shared" si="7"/>
        <v>282625</v>
      </c>
      <c r="F27" s="856">
        <f t="shared" si="3"/>
        <v>-1607345.13</v>
      </c>
      <c r="G27" s="856">
        <f t="shared" si="8"/>
        <v>-402527.92375000002</v>
      </c>
      <c r="H27" s="856">
        <f t="shared" si="0"/>
        <v>7380896.4095833329</v>
      </c>
      <c r="I27" s="856">
        <f t="shared" si="5"/>
        <v>98918.75</v>
      </c>
      <c r="J27" s="856">
        <f>J26+I27</f>
        <v>-4394587.3000000007</v>
      </c>
      <c r="K27" s="856">
        <f>(0+J27+SUM(J$17:J26)*2)/24</f>
        <v>-2162403.020833334</v>
      </c>
      <c r="L27" s="858">
        <f t="shared" si="1"/>
        <v>5218493.388749999</v>
      </c>
      <c r="M27" s="858">
        <f t="shared" si="2"/>
        <v>8161375.5700000003</v>
      </c>
      <c r="N27" s="863"/>
      <c r="P27" s="861"/>
    </row>
    <row r="28" spans="1:17" hidden="1" outlineLevel="1">
      <c r="A28" s="508"/>
      <c r="B28" s="519">
        <v>42185</v>
      </c>
      <c r="C28" s="856">
        <f t="shared" si="6"/>
        <v>14163308</v>
      </c>
      <c r="D28" s="856">
        <f t="shared" si="9"/>
        <v>8963700</v>
      </c>
      <c r="E28" s="856">
        <f>E27+4959.6</f>
        <v>287584.59999999998</v>
      </c>
      <c r="F28" s="856">
        <f t="shared" si="3"/>
        <v>-1894929.73</v>
      </c>
      <c r="G28" s="856">
        <f t="shared" si="8"/>
        <v>-548456.04291666672</v>
      </c>
      <c r="H28" s="856">
        <f t="shared" si="0"/>
        <v>8415243.9570833333</v>
      </c>
      <c r="I28" s="856">
        <f>+(E28*0.35)</f>
        <v>100654.60999999999</v>
      </c>
      <c r="J28" s="856">
        <f t="shared" si="4"/>
        <v>-4293932.6900000004</v>
      </c>
      <c r="K28" s="856">
        <f>(0+J28+SUM(J$17:J27)*2)/24</f>
        <v>-2524424.6870833337</v>
      </c>
      <c r="L28" s="858">
        <f t="shared" si="1"/>
        <v>5890819.2699999996</v>
      </c>
      <c r="M28" s="858">
        <f t="shared" si="2"/>
        <v>7974445.5799999991</v>
      </c>
      <c r="N28" s="863"/>
      <c r="P28" s="861"/>
    </row>
    <row r="29" spans="1:17" hidden="1" outlineLevel="1">
      <c r="A29" s="508"/>
      <c r="B29" s="519">
        <v>42216</v>
      </c>
      <c r="C29" s="856">
        <f t="shared" si="6"/>
        <v>14163308</v>
      </c>
      <c r="D29" s="856">
        <f>(C17+C29+SUM(C$11:C28)*2)/24</f>
        <v>10143975.666666666</v>
      </c>
      <c r="E29" s="856">
        <f>E27</f>
        <v>282625</v>
      </c>
      <c r="F29" s="856">
        <f t="shared" si="3"/>
        <v>-2177554.73</v>
      </c>
      <c r="G29" s="856">
        <f t="shared" si="8"/>
        <v>-718142.89541666675</v>
      </c>
      <c r="H29" s="856">
        <f t="shared" si="0"/>
        <v>9425832.7712499984</v>
      </c>
      <c r="I29" s="856">
        <f t="shared" si="5"/>
        <v>98918.75</v>
      </c>
      <c r="J29" s="856">
        <f t="shared" si="4"/>
        <v>-4195013.9400000004</v>
      </c>
      <c r="K29" s="856">
        <f>(J16+J29+SUM(J17:J28)*2)/24</f>
        <v>-2878130.7966666673</v>
      </c>
      <c r="L29" s="858">
        <f t="shared" si="1"/>
        <v>6547701.9745833315</v>
      </c>
      <c r="M29" s="858">
        <f t="shared" si="2"/>
        <v>7790739.3299999991</v>
      </c>
      <c r="N29" s="863"/>
      <c r="P29" s="861"/>
    </row>
    <row r="30" spans="1:17" hidden="1" outlineLevel="1">
      <c r="A30" s="508"/>
      <c r="B30" s="519">
        <v>42247</v>
      </c>
      <c r="C30" s="856">
        <f t="shared" si="6"/>
        <v>14163308</v>
      </c>
      <c r="D30" s="856">
        <f>(C17+C30+SUM(C18:C29)*2)/24</f>
        <v>11324251.333333334</v>
      </c>
      <c r="E30" s="856">
        <f t="shared" si="7"/>
        <v>282625</v>
      </c>
      <c r="F30" s="856">
        <f t="shared" si="3"/>
        <v>-2460179.73</v>
      </c>
      <c r="G30" s="856">
        <f t="shared" si="8"/>
        <v>-911381.83125000016</v>
      </c>
      <c r="H30" s="856">
        <f t="shared" si="0"/>
        <v>10412869.502083333</v>
      </c>
      <c r="I30" s="856">
        <f t="shared" si="5"/>
        <v>98918.75</v>
      </c>
      <c r="J30" s="856">
        <f t="shared" si="4"/>
        <v>-4096095.1900000004</v>
      </c>
      <c r="K30" s="856">
        <f>(J17+J30+SUM(J18:J29)*2)/24</f>
        <v>-3223593.677083334</v>
      </c>
      <c r="L30" s="858">
        <f>H30+K30</f>
        <v>7189275.8249999993</v>
      </c>
      <c r="M30" s="858">
        <f t="shared" si="2"/>
        <v>7607033.0799999991</v>
      </c>
      <c r="N30" s="863"/>
      <c r="P30" s="861"/>
    </row>
    <row r="31" spans="1:17" collapsed="1">
      <c r="A31" s="508"/>
      <c r="B31" s="519">
        <v>42277</v>
      </c>
      <c r="C31" s="856">
        <f t="shared" si="6"/>
        <v>14163308</v>
      </c>
      <c r="D31" s="856">
        <f>(C18+C31+SUM(C19:C30)*2)/24</f>
        <v>12504527</v>
      </c>
      <c r="E31" s="856">
        <f t="shared" si="7"/>
        <v>282625</v>
      </c>
      <c r="F31" s="856">
        <f t="shared" si="3"/>
        <v>-2742804.73</v>
      </c>
      <c r="G31" s="856">
        <f>(F19+F31+SUM(F20:F30)*2)/24</f>
        <v>-1128172.8504166668</v>
      </c>
      <c r="H31" s="856">
        <f t="shared" si="0"/>
        <v>11376354.149583332</v>
      </c>
      <c r="I31" s="856">
        <f t="shared" si="5"/>
        <v>98918.75</v>
      </c>
      <c r="J31" s="856">
        <f t="shared" si="4"/>
        <v>-3997176.4400000004</v>
      </c>
      <c r="K31" s="856">
        <f>(J18+J31+SUM(J19:J30)*2)/24</f>
        <v>-3560813.3283333336</v>
      </c>
      <c r="L31" s="858">
        <f t="shared" si="1"/>
        <v>7815540.8212499991</v>
      </c>
      <c r="M31" s="858">
        <f t="shared" si="2"/>
        <v>7423326.8299999991</v>
      </c>
      <c r="N31" s="863"/>
      <c r="P31" s="861"/>
    </row>
    <row r="32" spans="1:17">
      <c r="A32" s="508"/>
      <c r="B32" s="519">
        <v>42308</v>
      </c>
      <c r="C32" s="856">
        <f t="shared" si="6"/>
        <v>14163308</v>
      </c>
      <c r="D32" s="856">
        <f>(C19+C32+SUM(C21:C31)*2)/24</f>
        <v>13684802.666666666</v>
      </c>
      <c r="E32" s="856">
        <f t="shared" si="7"/>
        <v>282625</v>
      </c>
      <c r="F32" s="856">
        <f t="shared" si="3"/>
        <v>-3025429.73</v>
      </c>
      <c r="G32" s="856">
        <f t="shared" ref="G32" si="10">(F19+F32+SUM(F21:F31)*2)/24</f>
        <v>-1368515.9529166669</v>
      </c>
      <c r="H32" s="856">
        <f t="shared" si="0"/>
        <v>12316286.713749999</v>
      </c>
      <c r="I32" s="856">
        <f t="shared" si="5"/>
        <v>98918.75</v>
      </c>
      <c r="J32" s="856">
        <f t="shared" si="4"/>
        <v>-3898257.6900000004</v>
      </c>
      <c r="K32" s="856">
        <f>(J19+J32+SUM(J21:J31)*2)/24</f>
        <v>-3889789.7504166667</v>
      </c>
      <c r="L32" s="858">
        <f t="shared" si="1"/>
        <v>8426496.9633333329</v>
      </c>
      <c r="M32" s="858">
        <f t="shared" si="2"/>
        <v>7239620.5799999991</v>
      </c>
      <c r="N32" s="863"/>
      <c r="P32" s="861"/>
    </row>
    <row r="33" spans="1:16">
      <c r="A33" s="508"/>
      <c r="B33" s="519">
        <v>42338</v>
      </c>
      <c r="C33" s="856">
        <f t="shared" si="6"/>
        <v>14163308</v>
      </c>
      <c r="D33" s="856">
        <f>(C21+C33+SUM(C22:C32)*2)/24</f>
        <v>14263777.25</v>
      </c>
      <c r="E33" s="856">
        <f>E32+3320.43</f>
        <v>285945.43</v>
      </c>
      <c r="F33" s="856">
        <f t="shared" si="3"/>
        <v>-3311375.16</v>
      </c>
      <c r="G33" s="856">
        <f t="shared" ref="G33:G71" si="11">(F21+F33+SUM(F22:F32)*2)/24</f>
        <v>-1632549.4900000002</v>
      </c>
      <c r="H33" s="856">
        <f>D33+G33</f>
        <v>12631227.76</v>
      </c>
      <c r="I33" s="856">
        <f t="shared" si="5"/>
        <v>100080.90049999999</v>
      </c>
      <c r="J33" s="856">
        <f t="shared" si="4"/>
        <v>-3798176.7895000004</v>
      </c>
      <c r="K33" s="856">
        <f t="shared" ref="K33:K58" si="12">(J21+J33+SUM(J22:J32)*2)/24</f>
        <v>-4210474.5203958331</v>
      </c>
      <c r="L33" s="858">
        <f t="shared" si="1"/>
        <v>8420753.2396041676</v>
      </c>
      <c r="M33" s="858">
        <f t="shared" si="2"/>
        <v>7053756.0504999999</v>
      </c>
      <c r="N33" s="863"/>
      <c r="P33" s="861"/>
    </row>
    <row r="34" spans="1:16">
      <c r="A34" s="508"/>
      <c r="B34" s="519">
        <v>42369</v>
      </c>
      <c r="C34" s="856">
        <f t="shared" si="6"/>
        <v>14163308</v>
      </c>
      <c r="D34" s="856">
        <f t="shared" ref="D34:D39" si="13">(C22+C34+SUM(C23:C33)*2)/24</f>
        <v>14241450.75</v>
      </c>
      <c r="E34" s="856">
        <f>E32</f>
        <v>282625</v>
      </c>
      <c r="F34" s="856">
        <f t="shared" si="3"/>
        <v>-3594000.16</v>
      </c>
      <c r="G34" s="856">
        <f t="shared" si="11"/>
        <v>-1902626.2949999999</v>
      </c>
      <c r="H34" s="856">
        <f t="shared" si="0"/>
        <v>12338824.455</v>
      </c>
      <c r="I34" s="856">
        <f t="shared" si="5"/>
        <v>98918.75</v>
      </c>
      <c r="J34" s="856">
        <f t="shared" si="4"/>
        <v>-3699258.0395000004</v>
      </c>
      <c r="K34" s="856">
        <f t="shared" si="12"/>
        <v>-4318588.7674374999</v>
      </c>
      <c r="L34" s="858">
        <f t="shared" si="1"/>
        <v>8020235.6875625001</v>
      </c>
      <c r="M34" s="858">
        <f t="shared" si="2"/>
        <v>6870049.8004999999</v>
      </c>
      <c r="N34" s="863"/>
      <c r="P34" s="861"/>
    </row>
    <row r="35" spans="1:16">
      <c r="A35" s="508"/>
      <c r="B35" s="519">
        <v>42400</v>
      </c>
      <c r="C35" s="856">
        <f t="shared" si="6"/>
        <v>14163308</v>
      </c>
      <c r="D35" s="856">
        <f t="shared" si="13"/>
        <v>14219124.25</v>
      </c>
      <c r="E35" s="856">
        <f t="shared" si="7"/>
        <v>282625</v>
      </c>
      <c r="F35" s="856">
        <f t="shared" si="3"/>
        <v>-3876625.16</v>
      </c>
      <c r="G35" s="856">
        <f t="shared" si="11"/>
        <v>-2176386.63625</v>
      </c>
      <c r="H35" s="856">
        <f t="shared" si="0"/>
        <v>12042737.61375</v>
      </c>
      <c r="I35" s="856">
        <f t="shared" si="5"/>
        <v>98918.75</v>
      </c>
      <c r="J35" s="856">
        <f t="shared" si="4"/>
        <v>-3600339.2895000004</v>
      </c>
      <c r="K35" s="856">
        <f t="shared" si="12"/>
        <v>-4214958.3978124997</v>
      </c>
      <c r="L35" s="858">
        <f>H35+K35</f>
        <v>7827779.2159374999</v>
      </c>
      <c r="M35" s="858">
        <f t="shared" si="2"/>
        <v>6686343.5504999999</v>
      </c>
      <c r="N35" s="863"/>
      <c r="P35" s="861"/>
    </row>
    <row r="36" spans="1:16">
      <c r="A36" s="508"/>
      <c r="B36" s="522">
        <v>42429</v>
      </c>
      <c r="C36" s="857">
        <f t="shared" si="6"/>
        <v>14163308</v>
      </c>
      <c r="D36" s="856">
        <f t="shared" si="13"/>
        <v>14196797.75</v>
      </c>
      <c r="E36" s="856">
        <f t="shared" si="7"/>
        <v>282625</v>
      </c>
      <c r="F36" s="857">
        <f t="shared" si="3"/>
        <v>-4159250.16</v>
      </c>
      <c r="G36" s="856">
        <f t="shared" si="11"/>
        <v>-2459701.6387500004</v>
      </c>
      <c r="H36" s="856">
        <f t="shared" si="0"/>
        <v>11737096.11125</v>
      </c>
      <c r="I36" s="857">
        <f t="shared" si="5"/>
        <v>98918.75</v>
      </c>
      <c r="J36" s="857">
        <f t="shared" si="4"/>
        <v>-3501420.5395000004</v>
      </c>
      <c r="K36" s="856">
        <f t="shared" si="12"/>
        <v>-4107983.8969375002</v>
      </c>
      <c r="L36" s="858">
        <f t="shared" si="1"/>
        <v>7629112.2143124994</v>
      </c>
      <c r="M36" s="858">
        <f t="shared" si="2"/>
        <v>6502637.3004999999</v>
      </c>
      <c r="N36" s="860"/>
      <c r="P36" s="861"/>
    </row>
    <row r="37" spans="1:16">
      <c r="A37" s="508"/>
      <c r="B37" s="522">
        <v>42460</v>
      </c>
      <c r="C37" s="857">
        <f t="shared" si="6"/>
        <v>14163308</v>
      </c>
      <c r="D37" s="856">
        <f t="shared" si="13"/>
        <v>14174471.25</v>
      </c>
      <c r="E37" s="856">
        <f t="shared" si="7"/>
        <v>282625</v>
      </c>
      <c r="F37" s="857">
        <f t="shared" si="3"/>
        <v>-4441875.16</v>
      </c>
      <c r="G37" s="856">
        <f t="shared" si="11"/>
        <v>-2743016.6412499999</v>
      </c>
      <c r="H37" s="856">
        <f t="shared" si="0"/>
        <v>11431454.608750001</v>
      </c>
      <c r="I37" s="857">
        <f t="shared" si="5"/>
        <v>98918.75</v>
      </c>
      <c r="J37" s="857">
        <f t="shared" si="4"/>
        <v>-3402501.7895000004</v>
      </c>
      <c r="K37" s="856">
        <f t="shared" si="12"/>
        <v>-4001009.3960625003</v>
      </c>
      <c r="L37" s="858">
        <f t="shared" si="1"/>
        <v>7430445.2126874998</v>
      </c>
      <c r="M37" s="858">
        <f t="shared" si="2"/>
        <v>6318931.0504999999</v>
      </c>
      <c r="N37" s="860"/>
      <c r="P37" s="861"/>
    </row>
    <row r="38" spans="1:16">
      <c r="A38" s="508"/>
      <c r="B38" s="522">
        <v>42490</v>
      </c>
      <c r="C38" s="857">
        <f t="shared" si="6"/>
        <v>14163308</v>
      </c>
      <c r="D38" s="856">
        <f t="shared" si="13"/>
        <v>14163308</v>
      </c>
      <c r="E38" s="856">
        <f t="shared" si="7"/>
        <v>282625</v>
      </c>
      <c r="F38" s="856">
        <f t="shared" si="3"/>
        <v>-4724500.16</v>
      </c>
      <c r="G38" s="856">
        <f t="shared" si="11"/>
        <v>-3026331.6437500003</v>
      </c>
      <c r="H38" s="856">
        <f t="shared" si="0"/>
        <v>11136976.356249999</v>
      </c>
      <c r="I38" s="856">
        <f t="shared" si="5"/>
        <v>98918.75</v>
      </c>
      <c r="J38" s="856">
        <f t="shared" si="4"/>
        <v>-3303583.0395000004</v>
      </c>
      <c r="K38" s="856">
        <f t="shared" si="12"/>
        <v>-3897942.0201875004</v>
      </c>
      <c r="L38" s="858">
        <f t="shared" si="1"/>
        <v>7239034.3360624984</v>
      </c>
      <c r="M38" s="858">
        <f t="shared" si="2"/>
        <v>6135224.8004999999</v>
      </c>
      <c r="N38" s="860"/>
      <c r="P38" s="861"/>
    </row>
    <row r="39" spans="1:16">
      <c r="A39" s="508"/>
      <c r="B39" s="522">
        <v>42521</v>
      </c>
      <c r="C39" s="857">
        <f t="shared" si="6"/>
        <v>14163308</v>
      </c>
      <c r="D39" s="856">
        <f t="shared" si="13"/>
        <v>14163308</v>
      </c>
      <c r="E39" s="856">
        <f t="shared" si="7"/>
        <v>282625</v>
      </c>
      <c r="F39" s="856">
        <f t="shared" si="3"/>
        <v>-5007125.16</v>
      </c>
      <c r="G39" s="856">
        <f t="shared" si="11"/>
        <v>-3309646.6462500002</v>
      </c>
      <c r="H39" s="856">
        <f t="shared" si="0"/>
        <v>10853661.35375</v>
      </c>
      <c r="I39" s="856">
        <f t="shared" si="5"/>
        <v>98918.75</v>
      </c>
      <c r="J39" s="856">
        <f t="shared" si="4"/>
        <v>-3204664.2895000004</v>
      </c>
      <c r="K39" s="856">
        <f t="shared" si="12"/>
        <v>-3798781.7693125005</v>
      </c>
      <c r="L39" s="858">
        <f t="shared" si="1"/>
        <v>7054879.5844374988</v>
      </c>
      <c r="M39" s="858">
        <f t="shared" si="2"/>
        <v>5951518.5504999999</v>
      </c>
      <c r="N39" s="860"/>
      <c r="P39" s="861"/>
    </row>
    <row r="40" spans="1:16" s="864" customFormat="1">
      <c r="A40" s="508"/>
      <c r="B40" s="522">
        <v>42551</v>
      </c>
      <c r="C40" s="857">
        <f t="shared" si="6"/>
        <v>14163308</v>
      </c>
      <c r="D40" s="856">
        <f t="shared" ref="D40:D71" si="14">(C28+C40+SUM(C29:C39)*2)/24</f>
        <v>14163308</v>
      </c>
      <c r="E40" s="856">
        <f t="shared" si="7"/>
        <v>282625</v>
      </c>
      <c r="F40" s="856">
        <f t="shared" si="3"/>
        <v>-5289750.16</v>
      </c>
      <c r="G40" s="856">
        <f t="shared" si="11"/>
        <v>-3592754.9987500007</v>
      </c>
      <c r="H40" s="856">
        <f t="shared" si="0"/>
        <v>10570553.001249999</v>
      </c>
      <c r="I40" s="856">
        <f t="shared" si="5"/>
        <v>98918.75</v>
      </c>
      <c r="J40" s="856">
        <f t="shared" si="4"/>
        <v>-3105745.5395000004</v>
      </c>
      <c r="K40" s="856">
        <f t="shared" si="12"/>
        <v>-3699693.8459375002</v>
      </c>
      <c r="L40" s="858">
        <f t="shared" si="1"/>
        <v>6870859.155312499</v>
      </c>
      <c r="M40" s="858">
        <f t="shared" si="2"/>
        <v>5767812.3004999999</v>
      </c>
      <c r="N40" s="863"/>
      <c r="P40" s="935"/>
    </row>
    <row r="41" spans="1:16">
      <c r="A41" s="508"/>
      <c r="B41" s="522">
        <v>42582</v>
      </c>
      <c r="C41" s="857">
        <f t="shared" si="6"/>
        <v>14163308</v>
      </c>
      <c r="D41" s="856">
        <f t="shared" si="14"/>
        <v>14163308</v>
      </c>
      <c r="E41" s="856">
        <f t="shared" si="7"/>
        <v>282625</v>
      </c>
      <c r="F41" s="856">
        <f t="shared" si="3"/>
        <v>-5572375.1600000001</v>
      </c>
      <c r="G41" s="856">
        <f t="shared" si="11"/>
        <v>-3875656.7012499999</v>
      </c>
      <c r="H41" s="856">
        <f t="shared" si="0"/>
        <v>10287651.29875</v>
      </c>
      <c r="I41" s="856">
        <f t="shared" si="5"/>
        <v>98918.75</v>
      </c>
      <c r="J41" s="856">
        <f t="shared" si="4"/>
        <v>-3006826.7895000004</v>
      </c>
      <c r="K41" s="856">
        <f t="shared" si="12"/>
        <v>-3600678.2500625006</v>
      </c>
      <c r="L41" s="858">
        <f t="shared" si="1"/>
        <v>6686973.048687499</v>
      </c>
      <c r="M41" s="858">
        <f t="shared" si="2"/>
        <v>5584106.0504999999</v>
      </c>
      <c r="N41" s="860"/>
      <c r="P41" s="861"/>
    </row>
    <row r="42" spans="1:16">
      <c r="A42" s="508"/>
      <c r="B42" s="522">
        <v>42613</v>
      </c>
      <c r="C42" s="857">
        <f t="shared" si="6"/>
        <v>14163308</v>
      </c>
      <c r="D42" s="856">
        <f t="shared" si="14"/>
        <v>14163308</v>
      </c>
      <c r="E42" s="856">
        <f t="shared" si="7"/>
        <v>282625</v>
      </c>
      <c r="F42" s="856">
        <f t="shared" si="3"/>
        <v>-5855000.1600000001</v>
      </c>
      <c r="G42" s="856">
        <f t="shared" si="11"/>
        <v>-4158558.4037499991</v>
      </c>
      <c r="H42" s="856">
        <f t="shared" si="0"/>
        <v>10004749.596250001</v>
      </c>
      <c r="I42" s="856">
        <f t="shared" si="5"/>
        <v>98918.75</v>
      </c>
      <c r="J42" s="856">
        <f t="shared" si="4"/>
        <v>-2907908.0395000004</v>
      </c>
      <c r="K42" s="856">
        <f t="shared" si="12"/>
        <v>-3501662.6541875005</v>
      </c>
      <c r="L42" s="858">
        <f t="shared" si="1"/>
        <v>6503086.9420625009</v>
      </c>
      <c r="M42" s="858">
        <f t="shared" si="2"/>
        <v>5400399.8004999999</v>
      </c>
      <c r="N42" s="860"/>
      <c r="P42" s="861"/>
    </row>
    <row r="43" spans="1:16">
      <c r="A43" s="508"/>
      <c r="B43" s="522">
        <v>42643</v>
      </c>
      <c r="C43" s="857">
        <f t="shared" si="6"/>
        <v>14163308</v>
      </c>
      <c r="D43" s="856">
        <f t="shared" si="14"/>
        <v>14163308</v>
      </c>
      <c r="E43" s="856">
        <f t="shared" si="7"/>
        <v>282625</v>
      </c>
      <c r="F43" s="856">
        <f t="shared" si="3"/>
        <v>-6137625.1600000001</v>
      </c>
      <c r="G43" s="856">
        <f t="shared" si="11"/>
        <v>-4441460.1062500002</v>
      </c>
      <c r="H43" s="856">
        <f t="shared" si="0"/>
        <v>9721847.8937500007</v>
      </c>
      <c r="I43" s="856">
        <f t="shared" si="5"/>
        <v>98918.75</v>
      </c>
      <c r="J43" s="856">
        <f t="shared" si="4"/>
        <v>-2808989.2895000004</v>
      </c>
      <c r="K43" s="856">
        <f t="shared" si="12"/>
        <v>-3402647.0583125004</v>
      </c>
      <c r="L43" s="858">
        <f t="shared" si="1"/>
        <v>6319200.8354375008</v>
      </c>
      <c r="M43" s="858">
        <f t="shared" si="2"/>
        <v>5216693.5504999999</v>
      </c>
      <c r="N43" s="863"/>
      <c r="P43" s="861"/>
    </row>
    <row r="44" spans="1:16">
      <c r="A44" s="508"/>
      <c r="B44" s="522">
        <v>42674</v>
      </c>
      <c r="C44" s="857">
        <f t="shared" si="6"/>
        <v>14163308</v>
      </c>
      <c r="D44" s="856">
        <f t="shared" si="14"/>
        <v>14163308</v>
      </c>
      <c r="E44" s="856">
        <f t="shared" si="7"/>
        <v>282625</v>
      </c>
      <c r="F44" s="856">
        <f t="shared" si="3"/>
        <v>-6420250.1600000001</v>
      </c>
      <c r="G44" s="856">
        <f t="shared" si="11"/>
        <v>-4724361.8087499989</v>
      </c>
      <c r="H44" s="856">
        <f t="shared" si="0"/>
        <v>9438946.1912500001</v>
      </c>
      <c r="I44" s="856">
        <f t="shared" si="5"/>
        <v>98918.75</v>
      </c>
      <c r="J44" s="856">
        <f t="shared" si="4"/>
        <v>-2710070.5395000004</v>
      </c>
      <c r="K44" s="856">
        <f t="shared" si="12"/>
        <v>-3303631.4624375007</v>
      </c>
      <c r="L44" s="858">
        <f t="shared" si="1"/>
        <v>6135314.728812499</v>
      </c>
      <c r="M44" s="858">
        <f t="shared" si="2"/>
        <v>5032987.3004999999</v>
      </c>
      <c r="N44" s="860"/>
      <c r="P44" s="861"/>
    </row>
    <row r="45" spans="1:16">
      <c r="A45" s="508"/>
      <c r="B45" s="522">
        <v>42704</v>
      </c>
      <c r="C45" s="857">
        <f t="shared" si="6"/>
        <v>14163308</v>
      </c>
      <c r="D45" s="856">
        <f t="shared" si="14"/>
        <v>14163308</v>
      </c>
      <c r="E45" s="856">
        <f t="shared" si="7"/>
        <v>282625</v>
      </c>
      <c r="F45" s="856">
        <f t="shared" si="3"/>
        <v>-6702875.1600000001</v>
      </c>
      <c r="G45" s="856">
        <f t="shared" si="11"/>
        <v>-5007125.1599999992</v>
      </c>
      <c r="H45" s="856">
        <f t="shared" si="0"/>
        <v>9156182.8399999999</v>
      </c>
      <c r="I45" s="856">
        <f t="shared" si="5"/>
        <v>98918.75</v>
      </c>
      <c r="J45" s="856">
        <f t="shared" si="4"/>
        <v>-2611151.7895000004</v>
      </c>
      <c r="K45" s="856">
        <f t="shared" si="12"/>
        <v>-3204664.2895000004</v>
      </c>
      <c r="L45" s="858">
        <f t="shared" si="1"/>
        <v>5951518.5504999999</v>
      </c>
      <c r="M45" s="858">
        <f t="shared" si="2"/>
        <v>4849281.0504999999</v>
      </c>
      <c r="N45" s="860"/>
      <c r="P45" s="861"/>
    </row>
    <row r="46" spans="1:16">
      <c r="B46" s="522">
        <v>42735</v>
      </c>
      <c r="C46" s="857">
        <f t="shared" si="6"/>
        <v>14163308</v>
      </c>
      <c r="D46" s="856">
        <f t="shared" si="14"/>
        <v>14163308</v>
      </c>
      <c r="E46" s="856">
        <f t="shared" si="7"/>
        <v>282625</v>
      </c>
      <c r="F46" s="856">
        <f t="shared" si="3"/>
        <v>-6985500.1600000001</v>
      </c>
      <c r="G46" s="856">
        <f t="shared" si="11"/>
        <v>-5289750.1599999992</v>
      </c>
      <c r="H46" s="856">
        <f t="shared" si="0"/>
        <v>8873557.8399999999</v>
      </c>
      <c r="I46" s="856">
        <f t="shared" si="5"/>
        <v>98918.75</v>
      </c>
      <c r="J46" s="856">
        <f t="shared" si="4"/>
        <v>-2512233.0395000004</v>
      </c>
      <c r="K46" s="856">
        <f t="shared" si="12"/>
        <v>-3105745.5395000004</v>
      </c>
      <c r="L46" s="858">
        <f t="shared" si="1"/>
        <v>5767812.3004999999</v>
      </c>
      <c r="M46" s="858">
        <f t="shared" si="2"/>
        <v>4665574.8004999999</v>
      </c>
      <c r="N46" s="860"/>
      <c r="P46" s="861"/>
    </row>
    <row r="47" spans="1:16">
      <c r="A47" s="508"/>
      <c r="B47" s="522">
        <v>42766</v>
      </c>
      <c r="C47" s="857">
        <f t="shared" si="6"/>
        <v>14163308</v>
      </c>
      <c r="D47" s="856">
        <f t="shared" si="14"/>
        <v>14163308</v>
      </c>
      <c r="E47" s="856">
        <f t="shared" si="7"/>
        <v>282625</v>
      </c>
      <c r="F47" s="856">
        <f t="shared" si="3"/>
        <v>-7268125.1600000001</v>
      </c>
      <c r="G47" s="856">
        <f t="shared" si="11"/>
        <v>-5572375.1599999992</v>
      </c>
      <c r="H47" s="856">
        <f t="shared" si="0"/>
        <v>8590932.8399999999</v>
      </c>
      <c r="I47" s="856">
        <f t="shared" si="5"/>
        <v>98918.75</v>
      </c>
      <c r="J47" s="856">
        <f t="shared" si="4"/>
        <v>-2413314.2895000004</v>
      </c>
      <c r="K47" s="856">
        <f t="shared" si="12"/>
        <v>-3006826.7895000014</v>
      </c>
      <c r="L47" s="858">
        <f t="shared" si="1"/>
        <v>5584106.050499998</v>
      </c>
      <c r="M47" s="858">
        <f t="shared" si="2"/>
        <v>4481868.5504999999</v>
      </c>
      <c r="N47" s="860"/>
      <c r="P47" s="861"/>
    </row>
    <row r="48" spans="1:16">
      <c r="A48" s="508"/>
      <c r="B48" s="522">
        <v>42794</v>
      </c>
      <c r="C48" s="857">
        <f t="shared" si="6"/>
        <v>14163308</v>
      </c>
      <c r="D48" s="856">
        <f t="shared" si="14"/>
        <v>14163308</v>
      </c>
      <c r="E48" s="856">
        <f t="shared" si="7"/>
        <v>282625</v>
      </c>
      <c r="F48" s="856">
        <f t="shared" si="3"/>
        <v>-7550750.1600000001</v>
      </c>
      <c r="G48" s="856">
        <f t="shared" si="11"/>
        <v>-5855000.1599999992</v>
      </c>
      <c r="H48" s="856">
        <f t="shared" si="0"/>
        <v>8308307.8400000008</v>
      </c>
      <c r="I48" s="856">
        <f t="shared" si="5"/>
        <v>98918.75</v>
      </c>
      <c r="J48" s="856">
        <f t="shared" si="4"/>
        <v>-2314395.5395000004</v>
      </c>
      <c r="K48" s="856">
        <f t="shared" si="12"/>
        <v>-2907908.0395000014</v>
      </c>
      <c r="L48" s="858">
        <f t="shared" si="1"/>
        <v>5400399.8004999999</v>
      </c>
      <c r="M48" s="858">
        <f t="shared" si="2"/>
        <v>4298162.3004999999</v>
      </c>
      <c r="N48" s="860"/>
      <c r="P48" s="861"/>
    </row>
    <row r="49" spans="1:16">
      <c r="A49" s="508"/>
      <c r="B49" s="522">
        <v>42825</v>
      </c>
      <c r="C49" s="857">
        <f t="shared" si="6"/>
        <v>14163308</v>
      </c>
      <c r="D49" s="856">
        <f t="shared" si="14"/>
        <v>14163308</v>
      </c>
      <c r="E49" s="856">
        <f t="shared" si="7"/>
        <v>282625</v>
      </c>
      <c r="F49" s="856">
        <f t="shared" si="3"/>
        <v>-7833375.1600000001</v>
      </c>
      <c r="G49" s="856">
        <f t="shared" si="11"/>
        <v>-6137625.1599999992</v>
      </c>
      <c r="H49" s="856">
        <f t="shared" si="0"/>
        <v>8025682.8400000008</v>
      </c>
      <c r="I49" s="856">
        <f t="shared" si="5"/>
        <v>98918.75</v>
      </c>
      <c r="J49" s="856">
        <f t="shared" si="4"/>
        <v>-2215476.7895000004</v>
      </c>
      <c r="K49" s="856">
        <f t="shared" si="12"/>
        <v>-2808989.2895000014</v>
      </c>
      <c r="L49" s="858">
        <f t="shared" si="1"/>
        <v>5216693.5504999999</v>
      </c>
      <c r="M49" s="858">
        <f t="shared" si="2"/>
        <v>4114456.0504999994</v>
      </c>
      <c r="N49" s="860"/>
      <c r="P49" s="861"/>
    </row>
    <row r="50" spans="1:16">
      <c r="A50" s="508"/>
      <c r="B50" s="522">
        <v>42855</v>
      </c>
      <c r="C50" s="857">
        <f t="shared" si="6"/>
        <v>14163308</v>
      </c>
      <c r="D50" s="856">
        <f t="shared" si="14"/>
        <v>14163308</v>
      </c>
      <c r="E50" s="856">
        <f t="shared" si="7"/>
        <v>282625</v>
      </c>
      <c r="F50" s="856">
        <f t="shared" si="3"/>
        <v>-8116000.1600000001</v>
      </c>
      <c r="G50" s="856">
        <f t="shared" si="11"/>
        <v>-6420250.1599999992</v>
      </c>
      <c r="H50" s="856">
        <f t="shared" si="0"/>
        <v>7743057.8400000008</v>
      </c>
      <c r="I50" s="856">
        <f t="shared" si="5"/>
        <v>98918.75</v>
      </c>
      <c r="J50" s="856">
        <f t="shared" si="4"/>
        <v>-2116558.0395000004</v>
      </c>
      <c r="K50" s="856">
        <f t="shared" si="12"/>
        <v>-2710070.5395000014</v>
      </c>
      <c r="L50" s="858">
        <f t="shared" si="1"/>
        <v>5032987.3004999999</v>
      </c>
      <c r="M50" s="858">
        <f t="shared" si="2"/>
        <v>3930749.8004999994</v>
      </c>
      <c r="N50" s="860"/>
      <c r="P50" s="861"/>
    </row>
    <row r="51" spans="1:16">
      <c r="A51" s="508"/>
      <c r="B51" s="522">
        <v>42886</v>
      </c>
      <c r="C51" s="857">
        <f t="shared" si="6"/>
        <v>14163308</v>
      </c>
      <c r="D51" s="856">
        <f t="shared" si="14"/>
        <v>14163308</v>
      </c>
      <c r="E51" s="856">
        <f t="shared" si="7"/>
        <v>282625</v>
      </c>
      <c r="F51" s="856">
        <f t="shared" si="3"/>
        <v>-8398625.1600000001</v>
      </c>
      <c r="G51" s="856">
        <f t="shared" si="11"/>
        <v>-6702875.1599999992</v>
      </c>
      <c r="H51" s="856">
        <f t="shared" si="0"/>
        <v>7460432.8400000008</v>
      </c>
      <c r="I51" s="856">
        <f t="shared" si="5"/>
        <v>98918.75</v>
      </c>
      <c r="J51" s="856">
        <f t="shared" si="4"/>
        <v>-2017639.2895000004</v>
      </c>
      <c r="K51" s="856">
        <f t="shared" si="12"/>
        <v>-2611151.7895000014</v>
      </c>
      <c r="L51" s="858">
        <f t="shared" si="1"/>
        <v>4849281.0504999999</v>
      </c>
      <c r="M51" s="858">
        <f t="shared" si="2"/>
        <v>3747043.5504999994</v>
      </c>
      <c r="N51" s="860"/>
      <c r="P51" s="861"/>
    </row>
    <row r="52" spans="1:16">
      <c r="A52" s="508"/>
      <c r="B52" s="522">
        <v>42916</v>
      </c>
      <c r="C52" s="857">
        <f t="shared" si="6"/>
        <v>14163308</v>
      </c>
      <c r="D52" s="856">
        <f t="shared" si="14"/>
        <v>14163308</v>
      </c>
      <c r="E52" s="856">
        <f t="shared" si="7"/>
        <v>282625</v>
      </c>
      <c r="F52" s="856">
        <f t="shared" si="3"/>
        <v>-8681250.1600000001</v>
      </c>
      <c r="G52" s="856">
        <f t="shared" si="11"/>
        <v>-6985500.1599999992</v>
      </c>
      <c r="H52" s="856">
        <f t="shared" si="0"/>
        <v>7177807.8400000008</v>
      </c>
      <c r="I52" s="856">
        <f t="shared" si="5"/>
        <v>98918.75</v>
      </c>
      <c r="J52" s="856">
        <f t="shared" si="4"/>
        <v>-1918720.5395000004</v>
      </c>
      <c r="K52" s="856">
        <f t="shared" si="12"/>
        <v>-2512233.0395000009</v>
      </c>
      <c r="L52" s="858">
        <f t="shared" si="1"/>
        <v>4665574.8004999999</v>
      </c>
      <c r="M52" s="858">
        <f t="shared" si="2"/>
        <v>3563337.3004999994</v>
      </c>
      <c r="N52" s="860"/>
      <c r="P52" s="861"/>
    </row>
    <row r="53" spans="1:16">
      <c r="A53" s="508"/>
      <c r="B53" s="522">
        <v>42947</v>
      </c>
      <c r="C53" s="857">
        <f t="shared" si="6"/>
        <v>14163308</v>
      </c>
      <c r="D53" s="856">
        <f t="shared" si="14"/>
        <v>14163308</v>
      </c>
      <c r="E53" s="856">
        <f t="shared" si="7"/>
        <v>282625</v>
      </c>
      <c r="F53" s="856">
        <f t="shared" si="3"/>
        <v>-8963875.1600000001</v>
      </c>
      <c r="G53" s="856">
        <f t="shared" si="11"/>
        <v>-7268125.1599999992</v>
      </c>
      <c r="H53" s="856">
        <f t="shared" si="0"/>
        <v>6895182.8400000008</v>
      </c>
      <c r="I53" s="856">
        <f t="shared" si="5"/>
        <v>98918.75</v>
      </c>
      <c r="J53" s="856">
        <f t="shared" si="4"/>
        <v>-1819801.7895000004</v>
      </c>
      <c r="K53" s="856">
        <f t="shared" si="12"/>
        <v>-2413314.2895000009</v>
      </c>
      <c r="L53" s="858">
        <f t="shared" si="1"/>
        <v>4481868.5504999999</v>
      </c>
      <c r="M53" s="858">
        <f t="shared" si="2"/>
        <v>3379631.0504999994</v>
      </c>
      <c r="N53" s="860"/>
      <c r="P53" s="861"/>
    </row>
    <row r="54" spans="1:16">
      <c r="A54" s="508"/>
      <c r="B54" s="522">
        <v>42978</v>
      </c>
      <c r="C54" s="857">
        <f t="shared" si="6"/>
        <v>14163308</v>
      </c>
      <c r="D54" s="856">
        <f t="shared" si="14"/>
        <v>14163308</v>
      </c>
      <c r="E54" s="856">
        <f t="shared" si="7"/>
        <v>282625</v>
      </c>
      <c r="F54" s="856">
        <f t="shared" si="3"/>
        <v>-9246500.1600000001</v>
      </c>
      <c r="G54" s="856">
        <f t="shared" si="11"/>
        <v>-7550750.1599999992</v>
      </c>
      <c r="H54" s="856">
        <f t="shared" si="0"/>
        <v>6612557.8400000008</v>
      </c>
      <c r="I54" s="856">
        <f t="shared" si="5"/>
        <v>98918.75</v>
      </c>
      <c r="J54" s="856">
        <f t="shared" si="4"/>
        <v>-1720883.0395000004</v>
      </c>
      <c r="K54" s="856">
        <f t="shared" si="12"/>
        <v>-2314395.5395000009</v>
      </c>
      <c r="L54" s="858">
        <f t="shared" si="1"/>
        <v>4298162.3004999999</v>
      </c>
      <c r="M54" s="858">
        <f t="shared" si="2"/>
        <v>3195924.8004999994</v>
      </c>
      <c r="N54" s="860"/>
      <c r="P54" s="861"/>
    </row>
    <row r="55" spans="1:16">
      <c r="A55" s="508"/>
      <c r="B55" s="522">
        <v>43008</v>
      </c>
      <c r="C55" s="857">
        <f t="shared" si="6"/>
        <v>14163308</v>
      </c>
      <c r="D55" s="856">
        <f t="shared" si="14"/>
        <v>14163308</v>
      </c>
      <c r="E55" s="856">
        <f t="shared" si="7"/>
        <v>282625</v>
      </c>
      <c r="F55" s="856">
        <f t="shared" si="3"/>
        <v>-9529125.1600000001</v>
      </c>
      <c r="G55" s="856">
        <f t="shared" si="11"/>
        <v>-7833375.1599999974</v>
      </c>
      <c r="H55" s="856">
        <f t="shared" si="0"/>
        <v>6329932.8400000026</v>
      </c>
      <c r="I55" s="856">
        <f t="shared" si="5"/>
        <v>98918.75</v>
      </c>
      <c r="J55" s="856">
        <f t="shared" si="4"/>
        <v>-1621964.2895000004</v>
      </c>
      <c r="K55" s="856">
        <f t="shared" si="12"/>
        <v>-2215476.7895000009</v>
      </c>
      <c r="L55" s="858">
        <f t="shared" si="1"/>
        <v>4114456.0505000018</v>
      </c>
      <c r="M55" s="858">
        <f t="shared" si="2"/>
        <v>3012218.5504999994</v>
      </c>
      <c r="N55" s="860"/>
      <c r="P55" s="861"/>
    </row>
    <row r="56" spans="1:16">
      <c r="A56" s="508"/>
      <c r="B56" s="522">
        <v>43039</v>
      </c>
      <c r="C56" s="857">
        <f t="shared" si="6"/>
        <v>14163308</v>
      </c>
      <c r="D56" s="856">
        <f t="shared" si="14"/>
        <v>14163308</v>
      </c>
      <c r="E56" s="856">
        <f t="shared" si="7"/>
        <v>282625</v>
      </c>
      <c r="F56" s="856">
        <f t="shared" si="3"/>
        <v>-9811750.1600000001</v>
      </c>
      <c r="G56" s="856">
        <f t="shared" si="11"/>
        <v>-8116000.1599999974</v>
      </c>
      <c r="H56" s="856">
        <f t="shared" si="0"/>
        <v>6047307.8400000026</v>
      </c>
      <c r="I56" s="856">
        <f t="shared" si="5"/>
        <v>98918.75</v>
      </c>
      <c r="J56" s="856">
        <f t="shared" si="4"/>
        <v>-1523045.5395000004</v>
      </c>
      <c r="K56" s="856">
        <f t="shared" si="12"/>
        <v>-2116558.0395000009</v>
      </c>
      <c r="L56" s="858">
        <f t="shared" si="1"/>
        <v>3930749.8005000018</v>
      </c>
      <c r="M56" s="858">
        <f t="shared" si="2"/>
        <v>2828512.3004999994</v>
      </c>
      <c r="N56" s="860"/>
      <c r="P56" s="861"/>
    </row>
    <row r="57" spans="1:16">
      <c r="A57" s="508"/>
      <c r="B57" s="522">
        <v>43069</v>
      </c>
      <c r="C57" s="857">
        <f t="shared" si="6"/>
        <v>14163308</v>
      </c>
      <c r="D57" s="856">
        <f t="shared" si="14"/>
        <v>14163308</v>
      </c>
      <c r="E57" s="856">
        <f t="shared" si="7"/>
        <v>282625</v>
      </c>
      <c r="F57" s="856">
        <f t="shared" si="3"/>
        <v>-10094375.16</v>
      </c>
      <c r="G57" s="856">
        <f t="shared" si="11"/>
        <v>-8398625.1599999983</v>
      </c>
      <c r="H57" s="856">
        <f t="shared" si="0"/>
        <v>5764682.8400000017</v>
      </c>
      <c r="I57" s="856">
        <f t="shared" si="5"/>
        <v>98918.75</v>
      </c>
      <c r="J57" s="856">
        <f t="shared" si="4"/>
        <v>-1424126.7895000004</v>
      </c>
      <c r="K57" s="856">
        <f t="shared" si="12"/>
        <v>-2017639.2895000009</v>
      </c>
      <c r="L57" s="858">
        <f t="shared" si="1"/>
        <v>3747043.5505000008</v>
      </c>
      <c r="M57" s="858">
        <f t="shared" si="2"/>
        <v>2644806.0504999994</v>
      </c>
      <c r="N57" s="860"/>
      <c r="P57" s="861"/>
    </row>
    <row r="58" spans="1:16">
      <c r="A58" s="508"/>
      <c r="B58" s="522">
        <v>43100</v>
      </c>
      <c r="C58" s="857">
        <f t="shared" si="6"/>
        <v>14163308</v>
      </c>
      <c r="D58" s="856">
        <f t="shared" si="14"/>
        <v>14163308</v>
      </c>
      <c r="E58" s="856">
        <f t="shared" si="7"/>
        <v>282625</v>
      </c>
      <c r="F58" s="856">
        <f t="shared" si="3"/>
        <v>-10377000.16</v>
      </c>
      <c r="G58" s="856">
        <f t="shared" si="11"/>
        <v>-8681250.1599999983</v>
      </c>
      <c r="H58" s="856">
        <f t="shared" si="0"/>
        <v>5482057.8400000017</v>
      </c>
      <c r="I58" s="856">
        <f t="shared" si="5"/>
        <v>98918.75</v>
      </c>
      <c r="J58" s="856">
        <f t="shared" si="4"/>
        <v>-1325208.0395000004</v>
      </c>
      <c r="K58" s="856">
        <f t="shared" si="12"/>
        <v>-1918720.5395000007</v>
      </c>
      <c r="L58" s="858">
        <f t="shared" si="1"/>
        <v>3563337.3005000008</v>
      </c>
      <c r="M58" s="858">
        <f t="shared" si="2"/>
        <v>2461099.8004999994</v>
      </c>
      <c r="N58" s="860"/>
      <c r="P58" s="861"/>
    </row>
    <row r="59" spans="1:16">
      <c r="B59" s="522">
        <v>43131</v>
      </c>
      <c r="C59" s="857">
        <f t="shared" si="6"/>
        <v>14163308</v>
      </c>
      <c r="D59" s="856">
        <f t="shared" si="14"/>
        <v>14163308</v>
      </c>
      <c r="E59" s="856">
        <f>(D58+F58)/11</f>
        <v>344209.80363636365</v>
      </c>
      <c r="F59" s="856">
        <f t="shared" si="3"/>
        <v>-10721209.963636363</v>
      </c>
      <c r="G59" s="856">
        <f t="shared" si="11"/>
        <v>-8966441.1934848465</v>
      </c>
      <c r="H59" s="856">
        <f t="shared" si="0"/>
        <v>5196866.8065151535</v>
      </c>
      <c r="I59" s="856">
        <f t="shared" ref="I59:I71" si="15">+(E59*0.21)</f>
        <v>72284.058763636363</v>
      </c>
      <c r="J59" s="856">
        <f t="shared" si="4"/>
        <v>-1252923.9807363641</v>
      </c>
      <c r="K59" s="856">
        <f t="shared" ref="K59:K71" si="16">(J47+J59+SUM(J48:J58)*2)/24</f>
        <v>-1820911.5683015157</v>
      </c>
      <c r="L59" s="858">
        <f t="shared" si="1"/>
        <v>3375955.2382136378</v>
      </c>
      <c r="M59" s="858">
        <f t="shared" si="2"/>
        <v>2189174.0556272729</v>
      </c>
      <c r="N59" s="860"/>
      <c r="P59" s="861"/>
    </row>
    <row r="60" spans="1:16">
      <c r="B60" s="522">
        <v>43159</v>
      </c>
      <c r="C60" s="857">
        <f t="shared" si="6"/>
        <v>14163308</v>
      </c>
      <c r="D60" s="856">
        <f t="shared" si="14"/>
        <v>14163308</v>
      </c>
      <c r="E60" s="856">
        <f t="shared" si="7"/>
        <v>344209.80363636365</v>
      </c>
      <c r="F60" s="856">
        <f t="shared" si="3"/>
        <v>-11065419.767272726</v>
      </c>
      <c r="G60" s="856">
        <f t="shared" si="11"/>
        <v>-9256764.293939393</v>
      </c>
      <c r="H60" s="856">
        <f t="shared" si="0"/>
        <v>4906543.706060607</v>
      </c>
      <c r="I60" s="856">
        <f t="shared" si="15"/>
        <v>72284.058763636363</v>
      </c>
      <c r="J60" s="856">
        <f t="shared" si="4"/>
        <v>-1180639.9219727279</v>
      </c>
      <c r="K60" s="856">
        <f t="shared" si="16"/>
        <v>-1725322.1547060609</v>
      </c>
      <c r="L60" s="858">
        <f t="shared" si="1"/>
        <v>3181221.5513545461</v>
      </c>
      <c r="M60" s="858">
        <f t="shared" si="2"/>
        <v>1917248.3107545464</v>
      </c>
      <c r="N60" s="860"/>
      <c r="P60" s="861"/>
    </row>
    <row r="61" spans="1:16">
      <c r="B61" s="522">
        <v>43190</v>
      </c>
      <c r="C61" s="857">
        <f t="shared" si="6"/>
        <v>14163308</v>
      </c>
      <c r="D61" s="856">
        <f t="shared" si="14"/>
        <v>14163308</v>
      </c>
      <c r="E61" s="856">
        <f t="shared" si="7"/>
        <v>344209.80363636365</v>
      </c>
      <c r="F61" s="856">
        <f t="shared" si="3"/>
        <v>-11409629.570909088</v>
      </c>
      <c r="G61" s="856">
        <f t="shared" si="11"/>
        <v>-9552219.4613636341</v>
      </c>
      <c r="H61" s="856">
        <f t="shared" si="0"/>
        <v>4611088.5386363659</v>
      </c>
      <c r="I61" s="856">
        <f t="shared" si="15"/>
        <v>72284.058763636363</v>
      </c>
      <c r="J61" s="856">
        <f t="shared" si="4"/>
        <v>-1108355.8632090916</v>
      </c>
      <c r="K61" s="856">
        <f t="shared" si="16"/>
        <v>-1631952.2987136366</v>
      </c>
      <c r="L61" s="858">
        <f t="shared" si="1"/>
        <v>2979136.2399227293</v>
      </c>
      <c r="M61" s="858">
        <f t="shared" si="2"/>
        <v>1645322.5658818199</v>
      </c>
      <c r="N61" s="860"/>
      <c r="P61" s="861"/>
    </row>
    <row r="62" spans="1:16">
      <c r="B62" s="522">
        <v>43220</v>
      </c>
      <c r="C62" s="857">
        <f t="shared" si="6"/>
        <v>14163308</v>
      </c>
      <c r="D62" s="856">
        <f t="shared" si="14"/>
        <v>14163308</v>
      </c>
      <c r="E62" s="856">
        <f t="shared" si="7"/>
        <v>344209.80363636365</v>
      </c>
      <c r="F62" s="856">
        <f t="shared" si="3"/>
        <v>-11753839.374545451</v>
      </c>
      <c r="G62" s="856">
        <f t="shared" si="11"/>
        <v>-9852806.6957575735</v>
      </c>
      <c r="H62" s="856">
        <f t="shared" si="0"/>
        <v>4310501.3042424265</v>
      </c>
      <c r="I62" s="856">
        <f t="shared" si="15"/>
        <v>72284.058763636363</v>
      </c>
      <c r="J62" s="856">
        <f t="shared" si="4"/>
        <v>-1036071.8044454552</v>
      </c>
      <c r="K62" s="856">
        <f t="shared" si="16"/>
        <v>-1540802.0003242427</v>
      </c>
      <c r="L62" s="858">
        <f t="shared" si="1"/>
        <v>2769699.3039181838</v>
      </c>
      <c r="M62" s="858">
        <f t="shared" si="2"/>
        <v>1373396.8210090934</v>
      </c>
      <c r="N62" s="860"/>
      <c r="P62" s="861"/>
    </row>
    <row r="63" spans="1:16">
      <c r="B63" s="522">
        <v>43251</v>
      </c>
      <c r="C63" s="857">
        <f t="shared" si="6"/>
        <v>14163308</v>
      </c>
      <c r="D63" s="856">
        <f t="shared" si="14"/>
        <v>14163308</v>
      </c>
      <c r="E63" s="856">
        <f t="shared" si="7"/>
        <v>344209.80363636365</v>
      </c>
      <c r="F63" s="856">
        <f t="shared" si="3"/>
        <v>-12098049.178181814</v>
      </c>
      <c r="G63" s="856">
        <f t="shared" si="11"/>
        <v>-10158525.997121211</v>
      </c>
      <c r="H63" s="856">
        <f t="shared" si="0"/>
        <v>4004782.0028787889</v>
      </c>
      <c r="I63" s="856">
        <f t="shared" si="15"/>
        <v>72284.058763636363</v>
      </c>
      <c r="J63" s="856">
        <f t="shared" si="4"/>
        <v>-963787.74568181881</v>
      </c>
      <c r="K63" s="856">
        <f t="shared" si="16"/>
        <v>-1451871.2595378791</v>
      </c>
      <c r="L63" s="858">
        <f t="shared" si="1"/>
        <v>2552910.7433409095</v>
      </c>
      <c r="M63" s="858">
        <f t="shared" si="2"/>
        <v>1101471.0761363672</v>
      </c>
      <c r="N63" s="860"/>
      <c r="P63" s="861"/>
    </row>
    <row r="64" spans="1:16" s="1326" customFormat="1">
      <c r="B64" s="1327">
        <v>43281</v>
      </c>
      <c r="C64" s="1328">
        <f t="shared" si="6"/>
        <v>14163308</v>
      </c>
      <c r="D64" s="1329">
        <f t="shared" si="14"/>
        <v>14163308</v>
      </c>
      <c r="E64" s="1329">
        <f t="shared" si="7"/>
        <v>344209.80363636365</v>
      </c>
      <c r="F64" s="1329">
        <f t="shared" si="3"/>
        <v>-12442258.981818177</v>
      </c>
      <c r="G64" s="1329">
        <f t="shared" si="11"/>
        <v>-10469377.365454543</v>
      </c>
      <c r="H64" s="1329">
        <f t="shared" si="0"/>
        <v>3693930.6345454566</v>
      </c>
      <c r="I64" s="1329">
        <f t="shared" si="15"/>
        <v>72284.058763636363</v>
      </c>
      <c r="J64" s="1329">
        <f t="shared" si="4"/>
        <v>-891503.68691818241</v>
      </c>
      <c r="K64" s="1329">
        <f t="shared" si="16"/>
        <v>-1365160.0763545458</v>
      </c>
      <c r="L64" s="1330">
        <f t="shared" si="1"/>
        <v>2328770.5581909111</v>
      </c>
      <c r="M64" s="1330">
        <f t="shared" si="2"/>
        <v>829545.33126364078</v>
      </c>
      <c r="N64" s="1331"/>
      <c r="P64" s="1332"/>
    </row>
    <row r="65" spans="1:16">
      <c r="B65" s="522">
        <v>43312</v>
      </c>
      <c r="C65" s="857">
        <f t="shared" si="6"/>
        <v>14163308</v>
      </c>
      <c r="D65" s="856">
        <f t="shared" si="14"/>
        <v>14163308</v>
      </c>
      <c r="E65" s="856">
        <f t="shared" si="7"/>
        <v>344209.80363636365</v>
      </c>
      <c r="F65" s="856">
        <f t="shared" si="3"/>
        <v>-12786468.78545454</v>
      </c>
      <c r="G65" s="856">
        <f t="shared" si="11"/>
        <v>-10785360.800757574</v>
      </c>
      <c r="H65" s="856">
        <f t="shared" si="0"/>
        <v>3377947.1992424261</v>
      </c>
      <c r="I65" s="856">
        <f t="shared" si="15"/>
        <v>72284.058763636363</v>
      </c>
      <c r="J65" s="856">
        <f t="shared" si="4"/>
        <v>-819219.62815454602</v>
      </c>
      <c r="K65" s="856">
        <f t="shared" si="16"/>
        <v>-1280668.4507742429</v>
      </c>
      <c r="L65" s="858">
        <f t="shared" si="1"/>
        <v>2097278.748468183</v>
      </c>
      <c r="M65" s="858">
        <f t="shared" si="2"/>
        <v>557619.5863909144</v>
      </c>
      <c r="N65" s="860"/>
      <c r="P65" s="861"/>
    </row>
    <row r="66" spans="1:16">
      <c r="B66" s="522">
        <v>43343</v>
      </c>
      <c r="C66" s="857">
        <f t="shared" si="6"/>
        <v>14163308</v>
      </c>
      <c r="D66" s="856">
        <f t="shared" si="14"/>
        <v>14163308</v>
      </c>
      <c r="E66" s="856">
        <f t="shared" si="7"/>
        <v>344209.80363636365</v>
      </c>
      <c r="F66" s="856">
        <f t="shared" si="3"/>
        <v>-13130678.589090902</v>
      </c>
      <c r="G66" s="856">
        <f t="shared" si="11"/>
        <v>-11106476.303030303</v>
      </c>
      <c r="H66" s="856">
        <f t="shared" si="0"/>
        <v>3056831.6969696973</v>
      </c>
      <c r="I66" s="856">
        <f t="shared" si="15"/>
        <v>72284.058763636363</v>
      </c>
      <c r="J66" s="856">
        <f t="shared" si="4"/>
        <v>-746935.56939090963</v>
      </c>
      <c r="K66" s="856">
        <f t="shared" si="16"/>
        <v>-1198396.38279697</v>
      </c>
      <c r="L66" s="858">
        <f t="shared" si="1"/>
        <v>1858435.3141727273</v>
      </c>
      <c r="M66" s="858">
        <f t="shared" si="2"/>
        <v>285693.84151818801</v>
      </c>
      <c r="N66" s="860"/>
      <c r="P66" s="861"/>
    </row>
    <row r="67" spans="1:16">
      <c r="B67" s="522">
        <v>43373</v>
      </c>
      <c r="C67" s="857">
        <f t="shared" si="6"/>
        <v>14163308</v>
      </c>
      <c r="D67" s="856">
        <f t="shared" si="14"/>
        <v>14163308</v>
      </c>
      <c r="E67" s="856">
        <f t="shared" si="7"/>
        <v>344209.80363636365</v>
      </c>
      <c r="F67" s="856">
        <f t="shared" si="3"/>
        <v>-13474888.392727265</v>
      </c>
      <c r="G67" s="856">
        <f t="shared" si="11"/>
        <v>-11432723.872272724</v>
      </c>
      <c r="H67" s="856">
        <f t="shared" si="0"/>
        <v>2730584.1277272757</v>
      </c>
      <c r="I67" s="856">
        <f t="shared" si="15"/>
        <v>72284.058763636363</v>
      </c>
      <c r="J67" s="856">
        <f t="shared" si="4"/>
        <v>-674651.51062727324</v>
      </c>
      <c r="K67" s="856">
        <f t="shared" si="16"/>
        <v>-1118343.8724227278</v>
      </c>
      <c r="L67" s="858">
        <f t="shared" si="1"/>
        <v>1612240.255304548</v>
      </c>
      <c r="M67" s="858">
        <f t="shared" si="2"/>
        <v>13768.096645461628</v>
      </c>
      <c r="N67" s="860"/>
      <c r="P67" s="861"/>
    </row>
    <row r="68" spans="1:16">
      <c r="B68" s="522">
        <v>43404</v>
      </c>
      <c r="C68" s="857">
        <f t="shared" si="6"/>
        <v>14163308</v>
      </c>
      <c r="D68" s="856">
        <f t="shared" si="14"/>
        <v>14163308</v>
      </c>
      <c r="E68" s="856">
        <f t="shared" si="7"/>
        <v>344209.80363636365</v>
      </c>
      <c r="F68" s="856">
        <f t="shared" si="3"/>
        <v>-13819098.196363628</v>
      </c>
      <c r="G68" s="856">
        <f t="shared" si="11"/>
        <v>-11764103.508484846</v>
      </c>
      <c r="H68" s="856">
        <f t="shared" si="0"/>
        <v>2399204.491515154</v>
      </c>
      <c r="I68" s="856">
        <f t="shared" si="15"/>
        <v>72284.058763636363</v>
      </c>
      <c r="J68" s="856">
        <f t="shared" si="4"/>
        <v>-602367.45186363684</v>
      </c>
      <c r="K68" s="856">
        <f t="shared" si="16"/>
        <v>-1040510.9196515157</v>
      </c>
      <c r="L68" s="858">
        <f t="shared" si="1"/>
        <v>1358693.5718636382</v>
      </c>
      <c r="M68" s="858">
        <f t="shared" si="2"/>
        <v>-258157.64822726476</v>
      </c>
      <c r="N68" s="860"/>
      <c r="P68" s="861"/>
    </row>
    <row r="69" spans="1:16">
      <c r="B69" s="522">
        <v>43434</v>
      </c>
      <c r="C69" s="857">
        <f t="shared" si="6"/>
        <v>14163308</v>
      </c>
      <c r="D69" s="856">
        <f t="shared" si="14"/>
        <v>14163308</v>
      </c>
      <c r="E69" s="856">
        <f t="shared" si="7"/>
        <v>344209.80363636365</v>
      </c>
      <c r="F69" s="856">
        <f t="shared" si="3"/>
        <v>-14163307.999999991</v>
      </c>
      <c r="G69" s="856">
        <f t="shared" si="11"/>
        <v>-12100615.21166666</v>
      </c>
      <c r="H69" s="856">
        <f t="shared" si="0"/>
        <v>2062692.7883333396</v>
      </c>
      <c r="I69" s="856">
        <f t="shared" si="15"/>
        <v>72284.058763636363</v>
      </c>
      <c r="J69" s="856">
        <f t="shared" si="4"/>
        <v>-530083.39310000045</v>
      </c>
      <c r="K69" s="856">
        <f t="shared" si="16"/>
        <v>-964897.52448333392</v>
      </c>
      <c r="L69" s="858">
        <f t="shared" si="1"/>
        <v>1097795.2638500058</v>
      </c>
      <c r="M69" s="858">
        <f t="shared" si="2"/>
        <v>-530083.39309999114</v>
      </c>
      <c r="N69" s="860"/>
      <c r="P69" s="861"/>
    </row>
    <row r="70" spans="1:16" s="1326" customFormat="1">
      <c r="B70" s="1327">
        <v>43465</v>
      </c>
      <c r="C70" s="1328">
        <f t="shared" si="6"/>
        <v>14163308</v>
      </c>
      <c r="D70" s="1329">
        <f t="shared" si="14"/>
        <v>14163308</v>
      </c>
      <c r="E70" s="1329"/>
      <c r="F70" s="1329">
        <f t="shared" si="3"/>
        <v>-14163307.999999991</v>
      </c>
      <c r="G70" s="1329">
        <f t="shared" si="11"/>
        <v>-12427916.906666661</v>
      </c>
      <c r="H70" s="1329">
        <f t="shared" si="0"/>
        <v>1735391.0933333393</v>
      </c>
      <c r="I70" s="856">
        <f t="shared" si="15"/>
        <v>0</v>
      </c>
      <c r="J70" s="1329">
        <f t="shared" si="4"/>
        <v>-530083.39310000045</v>
      </c>
      <c r="K70" s="1329">
        <f t="shared" si="16"/>
        <v>-894515.52270000055</v>
      </c>
      <c r="L70" s="1330">
        <f t="shared" si="1"/>
        <v>840875.57063333876</v>
      </c>
      <c r="M70" s="1330">
        <f t="shared" si="2"/>
        <v>-530083.39309999114</v>
      </c>
      <c r="N70" s="1331"/>
      <c r="P70" s="1332"/>
    </row>
    <row r="71" spans="1:16">
      <c r="B71" s="522">
        <v>43496</v>
      </c>
      <c r="C71" s="857">
        <f t="shared" si="6"/>
        <v>14163308</v>
      </c>
      <c r="D71" s="856">
        <f t="shared" si="14"/>
        <v>14163308</v>
      </c>
      <c r="E71" s="856">
        <v>0</v>
      </c>
      <c r="F71" s="856">
        <f t="shared" si="3"/>
        <v>-14163307.999999991</v>
      </c>
      <c r="G71" s="856">
        <f t="shared" si="11"/>
        <v>-12729100.484848477</v>
      </c>
      <c r="H71" s="856">
        <f t="shared" si="0"/>
        <v>1434207.5151515231</v>
      </c>
      <c r="I71" s="856">
        <f t="shared" si="15"/>
        <v>0</v>
      </c>
      <c r="J71" s="856">
        <f t="shared" si="4"/>
        <v>-530083.39310000045</v>
      </c>
      <c r="K71" s="856">
        <f t="shared" si="16"/>
        <v>-831266.97128181893</v>
      </c>
      <c r="L71" s="858">
        <f t="shared" si="1"/>
        <v>602940.54386970412</v>
      </c>
      <c r="M71" s="858">
        <f t="shared" si="2"/>
        <v>-530083.39309999114</v>
      </c>
      <c r="N71" s="860"/>
      <c r="P71" s="861"/>
    </row>
    <row r="72" spans="1:16">
      <c r="B72" s="522"/>
      <c r="C72" s="857"/>
      <c r="D72" s="856"/>
      <c r="E72" s="856"/>
      <c r="F72" s="856"/>
      <c r="G72" s="856"/>
      <c r="H72" s="856"/>
      <c r="I72" s="856"/>
      <c r="J72" s="856"/>
      <c r="K72" s="856"/>
      <c r="L72" s="858"/>
      <c r="M72" s="858"/>
      <c r="N72" s="860"/>
      <c r="P72" s="861"/>
    </row>
    <row r="73" spans="1:16">
      <c r="B73" s="1333" t="s">
        <v>941</v>
      </c>
      <c r="C73" s="857"/>
      <c r="D73" s="856"/>
      <c r="E73" s="856">
        <f>SUM(E53:E64)</f>
        <v>3761008.8218181822</v>
      </c>
      <c r="F73" s="856"/>
      <c r="G73" s="856"/>
      <c r="H73" s="856"/>
      <c r="I73" s="856"/>
      <c r="J73" s="856"/>
      <c r="K73" s="856"/>
      <c r="L73" s="858"/>
      <c r="M73" s="858"/>
      <c r="N73" s="860"/>
      <c r="P73" s="861"/>
    </row>
    <row r="74" spans="1:16">
      <c r="B74" s="1333" t="s">
        <v>942</v>
      </c>
      <c r="C74" s="856"/>
      <c r="D74" s="856"/>
      <c r="E74" s="856">
        <f>SUM(E59:E70)</f>
        <v>3786307.8400000003</v>
      </c>
      <c r="F74" s="856"/>
      <c r="G74" s="856"/>
      <c r="H74" s="856"/>
      <c r="I74" s="856"/>
      <c r="J74" s="856"/>
      <c r="K74" s="856"/>
      <c r="L74" s="858"/>
      <c r="M74" s="858"/>
      <c r="N74" s="860"/>
    </row>
    <row r="75" spans="1:16">
      <c r="B75" s="864"/>
      <c r="C75" s="864"/>
      <c r="D75" s="864"/>
      <c r="E75" s="864"/>
      <c r="F75" s="864"/>
      <c r="G75" s="864"/>
      <c r="H75" s="864"/>
      <c r="I75" s="864"/>
      <c r="J75" s="864"/>
      <c r="K75" s="864"/>
      <c r="L75" s="864"/>
      <c r="M75" s="864"/>
    </row>
    <row r="76" spans="1:16">
      <c r="A76" s="508"/>
      <c r="B76" s="1025"/>
      <c r="C76" s="856"/>
      <c r="D76" s="856"/>
      <c r="E76" s="856"/>
      <c r="F76" s="856"/>
      <c r="G76" s="856"/>
      <c r="H76" s="856"/>
      <c r="I76" s="856"/>
      <c r="J76" s="856"/>
      <c r="K76" s="856"/>
      <c r="L76" s="858"/>
      <c r="M76" s="858"/>
    </row>
    <row r="77" spans="1:16">
      <c r="B77" s="1026"/>
      <c r="C77" s="1026"/>
      <c r="D77" s="1026"/>
      <c r="E77" s="1026"/>
      <c r="F77" s="1026"/>
      <c r="G77" s="1026"/>
      <c r="H77" s="1026"/>
      <c r="I77" s="1026"/>
      <c r="J77" s="1026"/>
      <c r="K77" s="1026"/>
      <c r="L77" s="1026"/>
      <c r="M77" s="864"/>
    </row>
    <row r="78" spans="1:16">
      <c r="B78" s="864"/>
      <c r="C78" s="864"/>
      <c r="D78" s="864"/>
      <c r="E78" s="864"/>
      <c r="F78" s="864"/>
      <c r="G78" s="864"/>
      <c r="H78" s="864"/>
      <c r="I78" s="864"/>
      <c r="J78" s="864"/>
      <c r="K78" s="864"/>
      <c r="L78" s="864"/>
      <c r="M78" s="864"/>
    </row>
    <row r="79" spans="1:16">
      <c r="B79" s="864"/>
      <c r="C79" s="864"/>
      <c r="D79" s="864"/>
      <c r="E79" s="864"/>
      <c r="F79" s="864"/>
      <c r="G79" s="864"/>
      <c r="H79" s="864"/>
      <c r="I79" s="864"/>
      <c r="J79" s="864"/>
      <c r="K79" s="864"/>
      <c r="L79" s="864"/>
      <c r="M79" s="864"/>
    </row>
    <row r="80" spans="1:16">
      <c r="B80" s="864"/>
      <c r="C80" s="864"/>
      <c r="D80" s="864"/>
      <c r="E80" s="864"/>
      <c r="F80" s="864"/>
      <c r="G80" s="864"/>
      <c r="H80" s="864"/>
      <c r="I80" s="864"/>
      <c r="J80" s="864"/>
      <c r="K80" s="864"/>
      <c r="L80" s="864"/>
      <c r="M80" s="864"/>
    </row>
    <row r="81" spans="2:13">
      <c r="B81" s="864"/>
      <c r="C81" s="864"/>
      <c r="D81" s="864"/>
      <c r="E81" s="864"/>
      <c r="F81" s="864"/>
      <c r="G81" s="864"/>
      <c r="H81" s="864"/>
      <c r="I81" s="864"/>
      <c r="J81" s="864"/>
      <c r="K81" s="864"/>
      <c r="L81" s="864"/>
      <c r="M81" s="864"/>
    </row>
    <row r="82" spans="2:13">
      <c r="B82" s="864"/>
      <c r="C82" s="864"/>
      <c r="D82" s="864"/>
      <c r="E82" s="864"/>
      <c r="F82" s="864"/>
      <c r="G82" s="864"/>
      <c r="H82" s="864"/>
      <c r="I82" s="864"/>
      <c r="J82" s="864"/>
      <c r="K82" s="864"/>
      <c r="L82" s="864"/>
      <c r="M82" s="864"/>
    </row>
    <row r="83" spans="2:13">
      <c r="B83" s="864"/>
      <c r="C83" s="864"/>
      <c r="D83" s="864"/>
      <c r="E83" s="864"/>
      <c r="F83" s="864"/>
      <c r="G83" s="864"/>
      <c r="H83" s="864"/>
      <c r="I83" s="864"/>
      <c r="J83" s="864"/>
      <c r="K83" s="864"/>
      <c r="L83" s="864"/>
      <c r="M83" s="864"/>
    </row>
    <row r="84" spans="2:13">
      <c r="B84" s="864"/>
      <c r="C84" s="864"/>
      <c r="D84" s="864"/>
      <c r="E84" s="864"/>
      <c r="F84" s="864"/>
      <c r="G84" s="864"/>
      <c r="H84" s="864"/>
      <c r="I84" s="864"/>
      <c r="J84" s="864"/>
      <c r="K84" s="864"/>
      <c r="L84" s="864"/>
      <c r="M84" s="864"/>
    </row>
    <row r="85" spans="2:13">
      <c r="B85" s="864"/>
      <c r="C85" s="864"/>
      <c r="D85" s="864"/>
      <c r="E85" s="864"/>
      <c r="F85" s="864"/>
      <c r="G85" s="864"/>
      <c r="H85" s="864"/>
      <c r="I85" s="864"/>
      <c r="J85" s="864"/>
      <c r="K85" s="864"/>
      <c r="L85" s="864"/>
      <c r="M85" s="864"/>
    </row>
    <row r="86" spans="2:13">
      <c r="B86" s="864"/>
      <c r="C86" s="864"/>
      <c r="D86" s="864"/>
      <c r="E86" s="864"/>
      <c r="F86" s="864"/>
      <c r="G86" s="864"/>
      <c r="H86" s="864"/>
      <c r="I86" s="864"/>
      <c r="J86" s="864"/>
      <c r="K86" s="864"/>
      <c r="L86" s="864"/>
      <c r="M86" s="864"/>
    </row>
  </sheetData>
  <printOptions horizontalCentered="1"/>
  <pageMargins left="0.45" right="0.45" top="0.75" bottom="0.5" header="0.05" footer="0.05"/>
  <pageSetup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5"/>
  <sheetViews>
    <sheetView zoomScale="88" zoomScaleNormal="88" workbookViewId="0">
      <pane xSplit="2" ySplit="13" topLeftCell="C52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RowHeight="12.75" outlineLevelRow="1"/>
  <cols>
    <col min="1" max="1" width="2.42578125" style="554" customWidth="1"/>
    <col min="2" max="2" width="12" style="554" bestFit="1" customWidth="1"/>
    <col min="3" max="3" width="3.42578125" style="554" customWidth="1"/>
    <col min="4" max="4" width="13.42578125" style="554" bestFit="1" customWidth="1"/>
    <col min="5" max="5" width="15.140625" style="554" bestFit="1" customWidth="1"/>
    <col min="6" max="6" width="18.42578125" style="554" bestFit="1" customWidth="1"/>
    <col min="7" max="7" width="15.7109375" style="554" bestFit="1" customWidth="1"/>
    <col min="8" max="8" width="15.140625" style="554" bestFit="1" customWidth="1"/>
    <col min="9" max="9" width="15" style="554" bestFit="1" customWidth="1"/>
    <col min="10" max="10" width="15.140625" style="554" bestFit="1" customWidth="1"/>
    <col min="11" max="11" width="18.28515625" style="554" customWidth="1"/>
    <col min="12" max="12" width="15" style="554" customWidth="1"/>
    <col min="13" max="13" width="17" style="554" bestFit="1" customWidth="1"/>
    <col min="14" max="14" width="16.42578125" style="554" customWidth="1"/>
    <col min="15" max="15" width="15.140625" style="554" bestFit="1" customWidth="1"/>
    <col min="16" max="256" width="9.140625" style="554"/>
    <col min="257" max="257" width="2.42578125" style="554" customWidth="1"/>
    <col min="258" max="258" width="15.42578125" style="554" bestFit="1" customWidth="1"/>
    <col min="259" max="259" width="3.42578125" style="554" customWidth="1"/>
    <col min="260" max="261" width="15" style="554" customWidth="1"/>
    <col min="262" max="262" width="16.7109375" style="554" customWidth="1"/>
    <col min="263" max="263" width="15" style="554" bestFit="1" customWidth="1"/>
    <col min="264" max="264" width="19.140625" style="554" bestFit="1" customWidth="1"/>
    <col min="265" max="265" width="18.42578125" style="554" customWidth="1"/>
    <col min="266" max="266" width="16.7109375" style="554" customWidth="1"/>
    <col min="267" max="267" width="21" style="554" bestFit="1" customWidth="1"/>
    <col min="268" max="268" width="20.140625" style="554" bestFit="1" customWidth="1"/>
    <col min="269" max="269" width="14.140625" style="554" bestFit="1" customWidth="1"/>
    <col min="270" max="270" width="16.85546875" style="554" customWidth="1"/>
    <col min="271" max="512" width="9.140625" style="554"/>
    <col min="513" max="513" width="2.42578125" style="554" customWidth="1"/>
    <col min="514" max="514" width="15.42578125" style="554" bestFit="1" customWidth="1"/>
    <col min="515" max="515" width="3.42578125" style="554" customWidth="1"/>
    <col min="516" max="517" width="15" style="554" customWidth="1"/>
    <col min="518" max="518" width="16.7109375" style="554" customWidth="1"/>
    <col min="519" max="519" width="15" style="554" bestFit="1" customWidth="1"/>
    <col min="520" max="520" width="19.140625" style="554" bestFit="1" customWidth="1"/>
    <col min="521" max="521" width="18.42578125" style="554" customWidth="1"/>
    <col min="522" max="522" width="16.7109375" style="554" customWidth="1"/>
    <col min="523" max="523" width="21" style="554" bestFit="1" customWidth="1"/>
    <col min="524" max="524" width="20.140625" style="554" bestFit="1" customWidth="1"/>
    <col min="525" max="525" width="14.140625" style="554" bestFit="1" customWidth="1"/>
    <col min="526" max="526" width="16.85546875" style="554" customWidth="1"/>
    <col min="527" max="768" width="9.140625" style="554"/>
    <col min="769" max="769" width="2.42578125" style="554" customWidth="1"/>
    <col min="770" max="770" width="15.42578125" style="554" bestFit="1" customWidth="1"/>
    <col min="771" max="771" width="3.42578125" style="554" customWidth="1"/>
    <col min="772" max="773" width="15" style="554" customWidth="1"/>
    <col min="774" max="774" width="16.7109375" style="554" customWidth="1"/>
    <col min="775" max="775" width="15" style="554" bestFit="1" customWidth="1"/>
    <col min="776" max="776" width="19.140625" style="554" bestFit="1" customWidth="1"/>
    <col min="777" max="777" width="18.42578125" style="554" customWidth="1"/>
    <col min="778" max="778" width="16.7109375" style="554" customWidth="1"/>
    <col min="779" max="779" width="21" style="554" bestFit="1" customWidth="1"/>
    <col min="780" max="780" width="20.140625" style="554" bestFit="1" customWidth="1"/>
    <col min="781" max="781" width="14.140625" style="554" bestFit="1" customWidth="1"/>
    <col min="782" max="782" width="16.85546875" style="554" customWidth="1"/>
    <col min="783" max="1024" width="9.140625" style="554"/>
    <col min="1025" max="1025" width="2.42578125" style="554" customWidth="1"/>
    <col min="1026" max="1026" width="15.42578125" style="554" bestFit="1" customWidth="1"/>
    <col min="1027" max="1027" width="3.42578125" style="554" customWidth="1"/>
    <col min="1028" max="1029" width="15" style="554" customWidth="1"/>
    <col min="1030" max="1030" width="16.7109375" style="554" customWidth="1"/>
    <col min="1031" max="1031" width="15" style="554" bestFit="1" customWidth="1"/>
    <col min="1032" max="1032" width="19.140625" style="554" bestFit="1" customWidth="1"/>
    <col min="1033" max="1033" width="18.42578125" style="554" customWidth="1"/>
    <col min="1034" max="1034" width="16.7109375" style="554" customWidth="1"/>
    <col min="1035" max="1035" width="21" style="554" bestFit="1" customWidth="1"/>
    <col min="1036" max="1036" width="20.140625" style="554" bestFit="1" customWidth="1"/>
    <col min="1037" max="1037" width="14.140625" style="554" bestFit="1" customWidth="1"/>
    <col min="1038" max="1038" width="16.85546875" style="554" customWidth="1"/>
    <col min="1039" max="1280" width="9.140625" style="554"/>
    <col min="1281" max="1281" width="2.42578125" style="554" customWidth="1"/>
    <col min="1282" max="1282" width="15.42578125" style="554" bestFit="1" customWidth="1"/>
    <col min="1283" max="1283" width="3.42578125" style="554" customWidth="1"/>
    <col min="1284" max="1285" width="15" style="554" customWidth="1"/>
    <col min="1286" max="1286" width="16.7109375" style="554" customWidth="1"/>
    <col min="1287" max="1287" width="15" style="554" bestFit="1" customWidth="1"/>
    <col min="1288" max="1288" width="19.140625" style="554" bestFit="1" customWidth="1"/>
    <col min="1289" max="1289" width="18.42578125" style="554" customWidth="1"/>
    <col min="1290" max="1290" width="16.7109375" style="554" customWidth="1"/>
    <col min="1291" max="1291" width="21" style="554" bestFit="1" customWidth="1"/>
    <col min="1292" max="1292" width="20.140625" style="554" bestFit="1" customWidth="1"/>
    <col min="1293" max="1293" width="14.140625" style="554" bestFit="1" customWidth="1"/>
    <col min="1294" max="1294" width="16.85546875" style="554" customWidth="1"/>
    <col min="1295" max="1536" width="9.140625" style="554"/>
    <col min="1537" max="1537" width="2.42578125" style="554" customWidth="1"/>
    <col min="1538" max="1538" width="15.42578125" style="554" bestFit="1" customWidth="1"/>
    <col min="1539" max="1539" width="3.42578125" style="554" customWidth="1"/>
    <col min="1540" max="1541" width="15" style="554" customWidth="1"/>
    <col min="1542" max="1542" width="16.7109375" style="554" customWidth="1"/>
    <col min="1543" max="1543" width="15" style="554" bestFit="1" customWidth="1"/>
    <col min="1544" max="1544" width="19.140625" style="554" bestFit="1" customWidth="1"/>
    <col min="1545" max="1545" width="18.42578125" style="554" customWidth="1"/>
    <col min="1546" max="1546" width="16.7109375" style="554" customWidth="1"/>
    <col min="1547" max="1547" width="21" style="554" bestFit="1" customWidth="1"/>
    <col min="1548" max="1548" width="20.140625" style="554" bestFit="1" customWidth="1"/>
    <col min="1549" max="1549" width="14.140625" style="554" bestFit="1" customWidth="1"/>
    <col min="1550" max="1550" width="16.85546875" style="554" customWidth="1"/>
    <col min="1551" max="1792" width="9.140625" style="554"/>
    <col min="1793" max="1793" width="2.42578125" style="554" customWidth="1"/>
    <col min="1794" max="1794" width="15.42578125" style="554" bestFit="1" customWidth="1"/>
    <col min="1795" max="1795" width="3.42578125" style="554" customWidth="1"/>
    <col min="1796" max="1797" width="15" style="554" customWidth="1"/>
    <col min="1798" max="1798" width="16.7109375" style="554" customWidth="1"/>
    <col min="1799" max="1799" width="15" style="554" bestFit="1" customWidth="1"/>
    <col min="1800" max="1800" width="19.140625" style="554" bestFit="1" customWidth="1"/>
    <col min="1801" max="1801" width="18.42578125" style="554" customWidth="1"/>
    <col min="1802" max="1802" width="16.7109375" style="554" customWidth="1"/>
    <col min="1803" max="1803" width="21" style="554" bestFit="1" customWidth="1"/>
    <col min="1804" max="1804" width="20.140625" style="554" bestFit="1" customWidth="1"/>
    <col min="1805" max="1805" width="14.140625" style="554" bestFit="1" customWidth="1"/>
    <col min="1806" max="1806" width="16.85546875" style="554" customWidth="1"/>
    <col min="1807" max="2048" width="9.140625" style="554"/>
    <col min="2049" max="2049" width="2.42578125" style="554" customWidth="1"/>
    <col min="2050" max="2050" width="15.42578125" style="554" bestFit="1" customWidth="1"/>
    <col min="2051" max="2051" width="3.42578125" style="554" customWidth="1"/>
    <col min="2052" max="2053" width="15" style="554" customWidth="1"/>
    <col min="2054" max="2054" width="16.7109375" style="554" customWidth="1"/>
    <col min="2055" max="2055" width="15" style="554" bestFit="1" customWidth="1"/>
    <col min="2056" max="2056" width="19.140625" style="554" bestFit="1" customWidth="1"/>
    <col min="2057" max="2057" width="18.42578125" style="554" customWidth="1"/>
    <col min="2058" max="2058" width="16.7109375" style="554" customWidth="1"/>
    <col min="2059" max="2059" width="21" style="554" bestFit="1" customWidth="1"/>
    <col min="2060" max="2060" width="20.140625" style="554" bestFit="1" customWidth="1"/>
    <col min="2061" max="2061" width="14.140625" style="554" bestFit="1" customWidth="1"/>
    <col min="2062" max="2062" width="16.85546875" style="554" customWidth="1"/>
    <col min="2063" max="2304" width="9.140625" style="554"/>
    <col min="2305" max="2305" width="2.42578125" style="554" customWidth="1"/>
    <col min="2306" max="2306" width="15.42578125" style="554" bestFit="1" customWidth="1"/>
    <col min="2307" max="2307" width="3.42578125" style="554" customWidth="1"/>
    <col min="2308" max="2309" width="15" style="554" customWidth="1"/>
    <col min="2310" max="2310" width="16.7109375" style="554" customWidth="1"/>
    <col min="2311" max="2311" width="15" style="554" bestFit="1" customWidth="1"/>
    <col min="2312" max="2312" width="19.140625" style="554" bestFit="1" customWidth="1"/>
    <col min="2313" max="2313" width="18.42578125" style="554" customWidth="1"/>
    <col min="2314" max="2314" width="16.7109375" style="554" customWidth="1"/>
    <col min="2315" max="2315" width="21" style="554" bestFit="1" customWidth="1"/>
    <col min="2316" max="2316" width="20.140625" style="554" bestFit="1" customWidth="1"/>
    <col min="2317" max="2317" width="14.140625" style="554" bestFit="1" customWidth="1"/>
    <col min="2318" max="2318" width="16.85546875" style="554" customWidth="1"/>
    <col min="2319" max="2560" width="9.140625" style="554"/>
    <col min="2561" max="2561" width="2.42578125" style="554" customWidth="1"/>
    <col min="2562" max="2562" width="15.42578125" style="554" bestFit="1" customWidth="1"/>
    <col min="2563" max="2563" width="3.42578125" style="554" customWidth="1"/>
    <col min="2564" max="2565" width="15" style="554" customWidth="1"/>
    <col min="2566" max="2566" width="16.7109375" style="554" customWidth="1"/>
    <col min="2567" max="2567" width="15" style="554" bestFit="1" customWidth="1"/>
    <col min="2568" max="2568" width="19.140625" style="554" bestFit="1" customWidth="1"/>
    <col min="2569" max="2569" width="18.42578125" style="554" customWidth="1"/>
    <col min="2570" max="2570" width="16.7109375" style="554" customWidth="1"/>
    <col min="2571" max="2571" width="21" style="554" bestFit="1" customWidth="1"/>
    <col min="2572" max="2572" width="20.140625" style="554" bestFit="1" customWidth="1"/>
    <col min="2573" max="2573" width="14.140625" style="554" bestFit="1" customWidth="1"/>
    <col min="2574" max="2574" width="16.85546875" style="554" customWidth="1"/>
    <col min="2575" max="2816" width="9.140625" style="554"/>
    <col min="2817" max="2817" width="2.42578125" style="554" customWidth="1"/>
    <col min="2818" max="2818" width="15.42578125" style="554" bestFit="1" customWidth="1"/>
    <col min="2819" max="2819" width="3.42578125" style="554" customWidth="1"/>
    <col min="2820" max="2821" width="15" style="554" customWidth="1"/>
    <col min="2822" max="2822" width="16.7109375" style="554" customWidth="1"/>
    <col min="2823" max="2823" width="15" style="554" bestFit="1" customWidth="1"/>
    <col min="2824" max="2824" width="19.140625" style="554" bestFit="1" customWidth="1"/>
    <col min="2825" max="2825" width="18.42578125" style="554" customWidth="1"/>
    <col min="2826" max="2826" width="16.7109375" style="554" customWidth="1"/>
    <col min="2827" max="2827" width="21" style="554" bestFit="1" customWidth="1"/>
    <col min="2828" max="2828" width="20.140625" style="554" bestFit="1" customWidth="1"/>
    <col min="2829" max="2829" width="14.140625" style="554" bestFit="1" customWidth="1"/>
    <col min="2830" max="2830" width="16.85546875" style="554" customWidth="1"/>
    <col min="2831" max="3072" width="9.140625" style="554"/>
    <col min="3073" max="3073" width="2.42578125" style="554" customWidth="1"/>
    <col min="3074" max="3074" width="15.42578125" style="554" bestFit="1" customWidth="1"/>
    <col min="3075" max="3075" width="3.42578125" style="554" customWidth="1"/>
    <col min="3076" max="3077" width="15" style="554" customWidth="1"/>
    <col min="3078" max="3078" width="16.7109375" style="554" customWidth="1"/>
    <col min="3079" max="3079" width="15" style="554" bestFit="1" customWidth="1"/>
    <col min="3080" max="3080" width="19.140625" style="554" bestFit="1" customWidth="1"/>
    <col min="3081" max="3081" width="18.42578125" style="554" customWidth="1"/>
    <col min="3082" max="3082" width="16.7109375" style="554" customWidth="1"/>
    <col min="3083" max="3083" width="21" style="554" bestFit="1" customWidth="1"/>
    <col min="3084" max="3084" width="20.140625" style="554" bestFit="1" customWidth="1"/>
    <col min="3085" max="3085" width="14.140625" style="554" bestFit="1" customWidth="1"/>
    <col min="3086" max="3086" width="16.85546875" style="554" customWidth="1"/>
    <col min="3087" max="3328" width="9.140625" style="554"/>
    <col min="3329" max="3329" width="2.42578125" style="554" customWidth="1"/>
    <col min="3330" max="3330" width="15.42578125" style="554" bestFit="1" customWidth="1"/>
    <col min="3331" max="3331" width="3.42578125" style="554" customWidth="1"/>
    <col min="3332" max="3333" width="15" style="554" customWidth="1"/>
    <col min="3334" max="3334" width="16.7109375" style="554" customWidth="1"/>
    <col min="3335" max="3335" width="15" style="554" bestFit="1" customWidth="1"/>
    <col min="3336" max="3336" width="19.140625" style="554" bestFit="1" customWidth="1"/>
    <col min="3337" max="3337" width="18.42578125" style="554" customWidth="1"/>
    <col min="3338" max="3338" width="16.7109375" style="554" customWidth="1"/>
    <col min="3339" max="3339" width="21" style="554" bestFit="1" customWidth="1"/>
    <col min="3340" max="3340" width="20.140625" style="554" bestFit="1" customWidth="1"/>
    <col min="3341" max="3341" width="14.140625" style="554" bestFit="1" customWidth="1"/>
    <col min="3342" max="3342" width="16.85546875" style="554" customWidth="1"/>
    <col min="3343" max="3584" width="9.140625" style="554"/>
    <col min="3585" max="3585" width="2.42578125" style="554" customWidth="1"/>
    <col min="3586" max="3586" width="15.42578125" style="554" bestFit="1" customWidth="1"/>
    <col min="3587" max="3587" width="3.42578125" style="554" customWidth="1"/>
    <col min="3588" max="3589" width="15" style="554" customWidth="1"/>
    <col min="3590" max="3590" width="16.7109375" style="554" customWidth="1"/>
    <col min="3591" max="3591" width="15" style="554" bestFit="1" customWidth="1"/>
    <col min="3592" max="3592" width="19.140625" style="554" bestFit="1" customWidth="1"/>
    <col min="3593" max="3593" width="18.42578125" style="554" customWidth="1"/>
    <col min="3594" max="3594" width="16.7109375" style="554" customWidth="1"/>
    <col min="3595" max="3595" width="21" style="554" bestFit="1" customWidth="1"/>
    <col min="3596" max="3596" width="20.140625" style="554" bestFit="1" customWidth="1"/>
    <col min="3597" max="3597" width="14.140625" style="554" bestFit="1" customWidth="1"/>
    <col min="3598" max="3598" width="16.85546875" style="554" customWidth="1"/>
    <col min="3599" max="3840" width="9.140625" style="554"/>
    <col min="3841" max="3841" width="2.42578125" style="554" customWidth="1"/>
    <col min="3842" max="3842" width="15.42578125" style="554" bestFit="1" customWidth="1"/>
    <col min="3843" max="3843" width="3.42578125" style="554" customWidth="1"/>
    <col min="3844" max="3845" width="15" style="554" customWidth="1"/>
    <col min="3846" max="3846" width="16.7109375" style="554" customWidth="1"/>
    <col min="3847" max="3847" width="15" style="554" bestFit="1" customWidth="1"/>
    <col min="3848" max="3848" width="19.140625" style="554" bestFit="1" customWidth="1"/>
    <col min="3849" max="3849" width="18.42578125" style="554" customWidth="1"/>
    <col min="3850" max="3850" width="16.7109375" style="554" customWidth="1"/>
    <col min="3851" max="3851" width="21" style="554" bestFit="1" customWidth="1"/>
    <col min="3852" max="3852" width="20.140625" style="554" bestFit="1" customWidth="1"/>
    <col min="3853" max="3853" width="14.140625" style="554" bestFit="1" customWidth="1"/>
    <col min="3854" max="3854" width="16.85546875" style="554" customWidth="1"/>
    <col min="3855" max="4096" width="9.140625" style="554"/>
    <col min="4097" max="4097" width="2.42578125" style="554" customWidth="1"/>
    <col min="4098" max="4098" width="15.42578125" style="554" bestFit="1" customWidth="1"/>
    <col min="4099" max="4099" width="3.42578125" style="554" customWidth="1"/>
    <col min="4100" max="4101" width="15" style="554" customWidth="1"/>
    <col min="4102" max="4102" width="16.7109375" style="554" customWidth="1"/>
    <col min="4103" max="4103" width="15" style="554" bestFit="1" customWidth="1"/>
    <col min="4104" max="4104" width="19.140625" style="554" bestFit="1" customWidth="1"/>
    <col min="4105" max="4105" width="18.42578125" style="554" customWidth="1"/>
    <col min="4106" max="4106" width="16.7109375" style="554" customWidth="1"/>
    <col min="4107" max="4107" width="21" style="554" bestFit="1" customWidth="1"/>
    <col min="4108" max="4108" width="20.140625" style="554" bestFit="1" customWidth="1"/>
    <col min="4109" max="4109" width="14.140625" style="554" bestFit="1" customWidth="1"/>
    <col min="4110" max="4110" width="16.85546875" style="554" customWidth="1"/>
    <col min="4111" max="4352" width="9.140625" style="554"/>
    <col min="4353" max="4353" width="2.42578125" style="554" customWidth="1"/>
    <col min="4354" max="4354" width="15.42578125" style="554" bestFit="1" customWidth="1"/>
    <col min="4355" max="4355" width="3.42578125" style="554" customWidth="1"/>
    <col min="4356" max="4357" width="15" style="554" customWidth="1"/>
    <col min="4358" max="4358" width="16.7109375" style="554" customWidth="1"/>
    <col min="4359" max="4359" width="15" style="554" bestFit="1" customWidth="1"/>
    <col min="4360" max="4360" width="19.140625" style="554" bestFit="1" customWidth="1"/>
    <col min="4361" max="4361" width="18.42578125" style="554" customWidth="1"/>
    <col min="4362" max="4362" width="16.7109375" style="554" customWidth="1"/>
    <col min="4363" max="4363" width="21" style="554" bestFit="1" customWidth="1"/>
    <col min="4364" max="4364" width="20.140625" style="554" bestFit="1" customWidth="1"/>
    <col min="4365" max="4365" width="14.140625" style="554" bestFit="1" customWidth="1"/>
    <col min="4366" max="4366" width="16.85546875" style="554" customWidth="1"/>
    <col min="4367" max="4608" width="9.140625" style="554"/>
    <col min="4609" max="4609" width="2.42578125" style="554" customWidth="1"/>
    <col min="4610" max="4610" width="15.42578125" style="554" bestFit="1" customWidth="1"/>
    <col min="4611" max="4611" width="3.42578125" style="554" customWidth="1"/>
    <col min="4612" max="4613" width="15" style="554" customWidth="1"/>
    <col min="4614" max="4614" width="16.7109375" style="554" customWidth="1"/>
    <col min="4615" max="4615" width="15" style="554" bestFit="1" customWidth="1"/>
    <col min="4616" max="4616" width="19.140625" style="554" bestFit="1" customWidth="1"/>
    <col min="4617" max="4617" width="18.42578125" style="554" customWidth="1"/>
    <col min="4618" max="4618" width="16.7109375" style="554" customWidth="1"/>
    <col min="4619" max="4619" width="21" style="554" bestFit="1" customWidth="1"/>
    <col min="4620" max="4620" width="20.140625" style="554" bestFit="1" customWidth="1"/>
    <col min="4621" max="4621" width="14.140625" style="554" bestFit="1" customWidth="1"/>
    <col min="4622" max="4622" width="16.85546875" style="554" customWidth="1"/>
    <col min="4623" max="4864" width="9.140625" style="554"/>
    <col min="4865" max="4865" width="2.42578125" style="554" customWidth="1"/>
    <col min="4866" max="4866" width="15.42578125" style="554" bestFit="1" customWidth="1"/>
    <col min="4867" max="4867" width="3.42578125" style="554" customWidth="1"/>
    <col min="4868" max="4869" width="15" style="554" customWidth="1"/>
    <col min="4870" max="4870" width="16.7109375" style="554" customWidth="1"/>
    <col min="4871" max="4871" width="15" style="554" bestFit="1" customWidth="1"/>
    <col min="4872" max="4872" width="19.140625" style="554" bestFit="1" customWidth="1"/>
    <col min="4873" max="4873" width="18.42578125" style="554" customWidth="1"/>
    <col min="4874" max="4874" width="16.7109375" style="554" customWidth="1"/>
    <col min="4875" max="4875" width="21" style="554" bestFit="1" customWidth="1"/>
    <col min="4876" max="4876" width="20.140625" style="554" bestFit="1" customWidth="1"/>
    <col min="4877" max="4877" width="14.140625" style="554" bestFit="1" customWidth="1"/>
    <col min="4878" max="4878" width="16.85546875" style="554" customWidth="1"/>
    <col min="4879" max="5120" width="9.140625" style="554"/>
    <col min="5121" max="5121" width="2.42578125" style="554" customWidth="1"/>
    <col min="5122" max="5122" width="15.42578125" style="554" bestFit="1" customWidth="1"/>
    <col min="5123" max="5123" width="3.42578125" style="554" customWidth="1"/>
    <col min="5124" max="5125" width="15" style="554" customWidth="1"/>
    <col min="5126" max="5126" width="16.7109375" style="554" customWidth="1"/>
    <col min="5127" max="5127" width="15" style="554" bestFit="1" customWidth="1"/>
    <col min="5128" max="5128" width="19.140625" style="554" bestFit="1" customWidth="1"/>
    <col min="5129" max="5129" width="18.42578125" style="554" customWidth="1"/>
    <col min="5130" max="5130" width="16.7109375" style="554" customWidth="1"/>
    <col min="5131" max="5131" width="21" style="554" bestFit="1" customWidth="1"/>
    <col min="5132" max="5132" width="20.140625" style="554" bestFit="1" customWidth="1"/>
    <col min="5133" max="5133" width="14.140625" style="554" bestFit="1" customWidth="1"/>
    <col min="5134" max="5134" width="16.85546875" style="554" customWidth="1"/>
    <col min="5135" max="5376" width="9.140625" style="554"/>
    <col min="5377" max="5377" width="2.42578125" style="554" customWidth="1"/>
    <col min="5378" max="5378" width="15.42578125" style="554" bestFit="1" customWidth="1"/>
    <col min="5379" max="5379" width="3.42578125" style="554" customWidth="1"/>
    <col min="5380" max="5381" width="15" style="554" customWidth="1"/>
    <col min="5382" max="5382" width="16.7109375" style="554" customWidth="1"/>
    <col min="5383" max="5383" width="15" style="554" bestFit="1" customWidth="1"/>
    <col min="5384" max="5384" width="19.140625" style="554" bestFit="1" customWidth="1"/>
    <col min="5385" max="5385" width="18.42578125" style="554" customWidth="1"/>
    <col min="5386" max="5386" width="16.7109375" style="554" customWidth="1"/>
    <col min="5387" max="5387" width="21" style="554" bestFit="1" customWidth="1"/>
    <col min="5388" max="5388" width="20.140625" style="554" bestFit="1" customWidth="1"/>
    <col min="5389" max="5389" width="14.140625" style="554" bestFit="1" customWidth="1"/>
    <col min="5390" max="5390" width="16.85546875" style="554" customWidth="1"/>
    <col min="5391" max="5632" width="9.140625" style="554"/>
    <col min="5633" max="5633" width="2.42578125" style="554" customWidth="1"/>
    <col min="5634" max="5634" width="15.42578125" style="554" bestFit="1" customWidth="1"/>
    <col min="5635" max="5635" width="3.42578125" style="554" customWidth="1"/>
    <col min="5636" max="5637" width="15" style="554" customWidth="1"/>
    <col min="5638" max="5638" width="16.7109375" style="554" customWidth="1"/>
    <col min="5639" max="5639" width="15" style="554" bestFit="1" customWidth="1"/>
    <col min="5640" max="5640" width="19.140625" style="554" bestFit="1" customWidth="1"/>
    <col min="5641" max="5641" width="18.42578125" style="554" customWidth="1"/>
    <col min="5642" max="5642" width="16.7109375" style="554" customWidth="1"/>
    <col min="5643" max="5643" width="21" style="554" bestFit="1" customWidth="1"/>
    <col min="5644" max="5644" width="20.140625" style="554" bestFit="1" customWidth="1"/>
    <col min="5645" max="5645" width="14.140625" style="554" bestFit="1" customWidth="1"/>
    <col min="5646" max="5646" width="16.85546875" style="554" customWidth="1"/>
    <col min="5647" max="5888" width="9.140625" style="554"/>
    <col min="5889" max="5889" width="2.42578125" style="554" customWidth="1"/>
    <col min="5890" max="5890" width="15.42578125" style="554" bestFit="1" customWidth="1"/>
    <col min="5891" max="5891" width="3.42578125" style="554" customWidth="1"/>
    <col min="5892" max="5893" width="15" style="554" customWidth="1"/>
    <col min="5894" max="5894" width="16.7109375" style="554" customWidth="1"/>
    <col min="5895" max="5895" width="15" style="554" bestFit="1" customWidth="1"/>
    <col min="5896" max="5896" width="19.140625" style="554" bestFit="1" customWidth="1"/>
    <col min="5897" max="5897" width="18.42578125" style="554" customWidth="1"/>
    <col min="5898" max="5898" width="16.7109375" style="554" customWidth="1"/>
    <col min="5899" max="5899" width="21" style="554" bestFit="1" customWidth="1"/>
    <col min="5900" max="5900" width="20.140625" style="554" bestFit="1" customWidth="1"/>
    <col min="5901" max="5901" width="14.140625" style="554" bestFit="1" customWidth="1"/>
    <col min="5902" max="5902" width="16.85546875" style="554" customWidth="1"/>
    <col min="5903" max="6144" width="9.140625" style="554"/>
    <col min="6145" max="6145" width="2.42578125" style="554" customWidth="1"/>
    <col min="6146" max="6146" width="15.42578125" style="554" bestFit="1" customWidth="1"/>
    <col min="6147" max="6147" width="3.42578125" style="554" customWidth="1"/>
    <col min="6148" max="6149" width="15" style="554" customWidth="1"/>
    <col min="6150" max="6150" width="16.7109375" style="554" customWidth="1"/>
    <col min="6151" max="6151" width="15" style="554" bestFit="1" customWidth="1"/>
    <col min="6152" max="6152" width="19.140625" style="554" bestFit="1" customWidth="1"/>
    <col min="6153" max="6153" width="18.42578125" style="554" customWidth="1"/>
    <col min="6154" max="6154" width="16.7109375" style="554" customWidth="1"/>
    <col min="6155" max="6155" width="21" style="554" bestFit="1" customWidth="1"/>
    <col min="6156" max="6156" width="20.140625" style="554" bestFit="1" customWidth="1"/>
    <col min="6157" max="6157" width="14.140625" style="554" bestFit="1" customWidth="1"/>
    <col min="6158" max="6158" width="16.85546875" style="554" customWidth="1"/>
    <col min="6159" max="6400" width="9.140625" style="554"/>
    <col min="6401" max="6401" width="2.42578125" style="554" customWidth="1"/>
    <col min="6402" max="6402" width="15.42578125" style="554" bestFit="1" customWidth="1"/>
    <col min="6403" max="6403" width="3.42578125" style="554" customWidth="1"/>
    <col min="6404" max="6405" width="15" style="554" customWidth="1"/>
    <col min="6406" max="6406" width="16.7109375" style="554" customWidth="1"/>
    <col min="6407" max="6407" width="15" style="554" bestFit="1" customWidth="1"/>
    <col min="6408" max="6408" width="19.140625" style="554" bestFit="1" customWidth="1"/>
    <col min="6409" max="6409" width="18.42578125" style="554" customWidth="1"/>
    <col min="6410" max="6410" width="16.7109375" style="554" customWidth="1"/>
    <col min="6411" max="6411" width="21" style="554" bestFit="1" customWidth="1"/>
    <col min="6412" max="6412" width="20.140625" style="554" bestFit="1" customWidth="1"/>
    <col min="6413" max="6413" width="14.140625" style="554" bestFit="1" customWidth="1"/>
    <col min="6414" max="6414" width="16.85546875" style="554" customWidth="1"/>
    <col min="6415" max="6656" width="9.140625" style="554"/>
    <col min="6657" max="6657" width="2.42578125" style="554" customWidth="1"/>
    <col min="6658" max="6658" width="15.42578125" style="554" bestFit="1" customWidth="1"/>
    <col min="6659" max="6659" width="3.42578125" style="554" customWidth="1"/>
    <col min="6660" max="6661" width="15" style="554" customWidth="1"/>
    <col min="6662" max="6662" width="16.7109375" style="554" customWidth="1"/>
    <col min="6663" max="6663" width="15" style="554" bestFit="1" customWidth="1"/>
    <col min="6664" max="6664" width="19.140625" style="554" bestFit="1" customWidth="1"/>
    <col min="6665" max="6665" width="18.42578125" style="554" customWidth="1"/>
    <col min="6666" max="6666" width="16.7109375" style="554" customWidth="1"/>
    <col min="6667" max="6667" width="21" style="554" bestFit="1" customWidth="1"/>
    <col min="6668" max="6668" width="20.140625" style="554" bestFit="1" customWidth="1"/>
    <col min="6669" max="6669" width="14.140625" style="554" bestFit="1" customWidth="1"/>
    <col min="6670" max="6670" width="16.85546875" style="554" customWidth="1"/>
    <col min="6671" max="6912" width="9.140625" style="554"/>
    <col min="6913" max="6913" width="2.42578125" style="554" customWidth="1"/>
    <col min="6914" max="6914" width="15.42578125" style="554" bestFit="1" customWidth="1"/>
    <col min="6915" max="6915" width="3.42578125" style="554" customWidth="1"/>
    <col min="6916" max="6917" width="15" style="554" customWidth="1"/>
    <col min="6918" max="6918" width="16.7109375" style="554" customWidth="1"/>
    <col min="6919" max="6919" width="15" style="554" bestFit="1" customWidth="1"/>
    <col min="6920" max="6920" width="19.140625" style="554" bestFit="1" customWidth="1"/>
    <col min="6921" max="6921" width="18.42578125" style="554" customWidth="1"/>
    <col min="6922" max="6922" width="16.7109375" style="554" customWidth="1"/>
    <col min="6923" max="6923" width="21" style="554" bestFit="1" customWidth="1"/>
    <col min="6924" max="6924" width="20.140625" style="554" bestFit="1" customWidth="1"/>
    <col min="6925" max="6925" width="14.140625" style="554" bestFit="1" customWidth="1"/>
    <col min="6926" max="6926" width="16.85546875" style="554" customWidth="1"/>
    <col min="6927" max="7168" width="9.140625" style="554"/>
    <col min="7169" max="7169" width="2.42578125" style="554" customWidth="1"/>
    <col min="7170" max="7170" width="15.42578125" style="554" bestFit="1" customWidth="1"/>
    <col min="7171" max="7171" width="3.42578125" style="554" customWidth="1"/>
    <col min="7172" max="7173" width="15" style="554" customWidth="1"/>
    <col min="7174" max="7174" width="16.7109375" style="554" customWidth="1"/>
    <col min="7175" max="7175" width="15" style="554" bestFit="1" customWidth="1"/>
    <col min="7176" max="7176" width="19.140625" style="554" bestFit="1" customWidth="1"/>
    <col min="7177" max="7177" width="18.42578125" style="554" customWidth="1"/>
    <col min="7178" max="7178" width="16.7109375" style="554" customWidth="1"/>
    <col min="7179" max="7179" width="21" style="554" bestFit="1" customWidth="1"/>
    <col min="7180" max="7180" width="20.140625" style="554" bestFit="1" customWidth="1"/>
    <col min="7181" max="7181" width="14.140625" style="554" bestFit="1" customWidth="1"/>
    <col min="7182" max="7182" width="16.85546875" style="554" customWidth="1"/>
    <col min="7183" max="7424" width="9.140625" style="554"/>
    <col min="7425" max="7425" width="2.42578125" style="554" customWidth="1"/>
    <col min="7426" max="7426" width="15.42578125" style="554" bestFit="1" customWidth="1"/>
    <col min="7427" max="7427" width="3.42578125" style="554" customWidth="1"/>
    <col min="7428" max="7429" width="15" style="554" customWidth="1"/>
    <col min="7430" max="7430" width="16.7109375" style="554" customWidth="1"/>
    <col min="7431" max="7431" width="15" style="554" bestFit="1" customWidth="1"/>
    <col min="7432" max="7432" width="19.140625" style="554" bestFit="1" customWidth="1"/>
    <col min="7433" max="7433" width="18.42578125" style="554" customWidth="1"/>
    <col min="7434" max="7434" width="16.7109375" style="554" customWidth="1"/>
    <col min="7435" max="7435" width="21" style="554" bestFit="1" customWidth="1"/>
    <col min="7436" max="7436" width="20.140625" style="554" bestFit="1" customWidth="1"/>
    <col min="7437" max="7437" width="14.140625" style="554" bestFit="1" customWidth="1"/>
    <col min="7438" max="7438" width="16.85546875" style="554" customWidth="1"/>
    <col min="7439" max="7680" width="9.140625" style="554"/>
    <col min="7681" max="7681" width="2.42578125" style="554" customWidth="1"/>
    <col min="7682" max="7682" width="15.42578125" style="554" bestFit="1" customWidth="1"/>
    <col min="7683" max="7683" width="3.42578125" style="554" customWidth="1"/>
    <col min="7684" max="7685" width="15" style="554" customWidth="1"/>
    <col min="7686" max="7686" width="16.7109375" style="554" customWidth="1"/>
    <col min="7687" max="7687" width="15" style="554" bestFit="1" customWidth="1"/>
    <col min="7688" max="7688" width="19.140625" style="554" bestFit="1" customWidth="1"/>
    <col min="7689" max="7689" width="18.42578125" style="554" customWidth="1"/>
    <col min="7690" max="7690" width="16.7109375" style="554" customWidth="1"/>
    <col min="7691" max="7691" width="21" style="554" bestFit="1" customWidth="1"/>
    <col min="7692" max="7692" width="20.140625" style="554" bestFit="1" customWidth="1"/>
    <col min="7693" max="7693" width="14.140625" style="554" bestFit="1" customWidth="1"/>
    <col min="7694" max="7694" width="16.85546875" style="554" customWidth="1"/>
    <col min="7695" max="7936" width="9.140625" style="554"/>
    <col min="7937" max="7937" width="2.42578125" style="554" customWidth="1"/>
    <col min="7938" max="7938" width="15.42578125" style="554" bestFit="1" customWidth="1"/>
    <col min="7939" max="7939" width="3.42578125" style="554" customWidth="1"/>
    <col min="7940" max="7941" width="15" style="554" customWidth="1"/>
    <col min="7942" max="7942" width="16.7109375" style="554" customWidth="1"/>
    <col min="7943" max="7943" width="15" style="554" bestFit="1" customWidth="1"/>
    <col min="7944" max="7944" width="19.140625" style="554" bestFit="1" customWidth="1"/>
    <col min="7945" max="7945" width="18.42578125" style="554" customWidth="1"/>
    <col min="7946" max="7946" width="16.7109375" style="554" customWidth="1"/>
    <col min="7947" max="7947" width="21" style="554" bestFit="1" customWidth="1"/>
    <col min="7948" max="7948" width="20.140625" style="554" bestFit="1" customWidth="1"/>
    <col min="7949" max="7949" width="14.140625" style="554" bestFit="1" customWidth="1"/>
    <col min="7950" max="7950" width="16.85546875" style="554" customWidth="1"/>
    <col min="7951" max="8192" width="9.140625" style="554"/>
    <col min="8193" max="8193" width="2.42578125" style="554" customWidth="1"/>
    <col min="8194" max="8194" width="15.42578125" style="554" bestFit="1" customWidth="1"/>
    <col min="8195" max="8195" width="3.42578125" style="554" customWidth="1"/>
    <col min="8196" max="8197" width="15" style="554" customWidth="1"/>
    <col min="8198" max="8198" width="16.7109375" style="554" customWidth="1"/>
    <col min="8199" max="8199" width="15" style="554" bestFit="1" customWidth="1"/>
    <col min="8200" max="8200" width="19.140625" style="554" bestFit="1" customWidth="1"/>
    <col min="8201" max="8201" width="18.42578125" style="554" customWidth="1"/>
    <col min="8202" max="8202" width="16.7109375" style="554" customWidth="1"/>
    <col min="8203" max="8203" width="21" style="554" bestFit="1" customWidth="1"/>
    <col min="8204" max="8204" width="20.140625" style="554" bestFit="1" customWidth="1"/>
    <col min="8205" max="8205" width="14.140625" style="554" bestFit="1" customWidth="1"/>
    <col min="8206" max="8206" width="16.85546875" style="554" customWidth="1"/>
    <col min="8207" max="8448" width="9.140625" style="554"/>
    <col min="8449" max="8449" width="2.42578125" style="554" customWidth="1"/>
    <col min="8450" max="8450" width="15.42578125" style="554" bestFit="1" customWidth="1"/>
    <col min="8451" max="8451" width="3.42578125" style="554" customWidth="1"/>
    <col min="8452" max="8453" width="15" style="554" customWidth="1"/>
    <col min="8454" max="8454" width="16.7109375" style="554" customWidth="1"/>
    <col min="8455" max="8455" width="15" style="554" bestFit="1" customWidth="1"/>
    <col min="8456" max="8456" width="19.140625" style="554" bestFit="1" customWidth="1"/>
    <col min="8457" max="8457" width="18.42578125" style="554" customWidth="1"/>
    <col min="8458" max="8458" width="16.7109375" style="554" customWidth="1"/>
    <col min="8459" max="8459" width="21" style="554" bestFit="1" customWidth="1"/>
    <col min="8460" max="8460" width="20.140625" style="554" bestFit="1" customWidth="1"/>
    <col min="8461" max="8461" width="14.140625" style="554" bestFit="1" customWidth="1"/>
    <col min="8462" max="8462" width="16.85546875" style="554" customWidth="1"/>
    <col min="8463" max="8704" width="9.140625" style="554"/>
    <col min="8705" max="8705" width="2.42578125" style="554" customWidth="1"/>
    <col min="8706" max="8706" width="15.42578125" style="554" bestFit="1" customWidth="1"/>
    <col min="8707" max="8707" width="3.42578125" style="554" customWidth="1"/>
    <col min="8708" max="8709" width="15" style="554" customWidth="1"/>
    <col min="8710" max="8710" width="16.7109375" style="554" customWidth="1"/>
    <col min="8711" max="8711" width="15" style="554" bestFit="1" customWidth="1"/>
    <col min="8712" max="8712" width="19.140625" style="554" bestFit="1" customWidth="1"/>
    <col min="8713" max="8713" width="18.42578125" style="554" customWidth="1"/>
    <col min="8714" max="8714" width="16.7109375" style="554" customWidth="1"/>
    <col min="8715" max="8715" width="21" style="554" bestFit="1" customWidth="1"/>
    <col min="8716" max="8716" width="20.140625" style="554" bestFit="1" customWidth="1"/>
    <col min="8717" max="8717" width="14.140625" style="554" bestFit="1" customWidth="1"/>
    <col min="8718" max="8718" width="16.85546875" style="554" customWidth="1"/>
    <col min="8719" max="8960" width="9.140625" style="554"/>
    <col min="8961" max="8961" width="2.42578125" style="554" customWidth="1"/>
    <col min="8962" max="8962" width="15.42578125" style="554" bestFit="1" customWidth="1"/>
    <col min="8963" max="8963" width="3.42578125" style="554" customWidth="1"/>
    <col min="8964" max="8965" width="15" style="554" customWidth="1"/>
    <col min="8966" max="8966" width="16.7109375" style="554" customWidth="1"/>
    <col min="8967" max="8967" width="15" style="554" bestFit="1" customWidth="1"/>
    <col min="8968" max="8968" width="19.140625" style="554" bestFit="1" customWidth="1"/>
    <col min="8969" max="8969" width="18.42578125" style="554" customWidth="1"/>
    <col min="8970" max="8970" width="16.7109375" style="554" customWidth="1"/>
    <col min="8971" max="8971" width="21" style="554" bestFit="1" customWidth="1"/>
    <col min="8972" max="8972" width="20.140625" style="554" bestFit="1" customWidth="1"/>
    <col min="8973" max="8973" width="14.140625" style="554" bestFit="1" customWidth="1"/>
    <col min="8974" max="8974" width="16.85546875" style="554" customWidth="1"/>
    <col min="8975" max="9216" width="9.140625" style="554"/>
    <col min="9217" max="9217" width="2.42578125" style="554" customWidth="1"/>
    <col min="9218" max="9218" width="15.42578125" style="554" bestFit="1" customWidth="1"/>
    <col min="9219" max="9219" width="3.42578125" style="554" customWidth="1"/>
    <col min="9220" max="9221" width="15" style="554" customWidth="1"/>
    <col min="9222" max="9222" width="16.7109375" style="554" customWidth="1"/>
    <col min="9223" max="9223" width="15" style="554" bestFit="1" customWidth="1"/>
    <col min="9224" max="9224" width="19.140625" style="554" bestFit="1" customWidth="1"/>
    <col min="9225" max="9225" width="18.42578125" style="554" customWidth="1"/>
    <col min="9226" max="9226" width="16.7109375" style="554" customWidth="1"/>
    <col min="9227" max="9227" width="21" style="554" bestFit="1" customWidth="1"/>
    <col min="9228" max="9228" width="20.140625" style="554" bestFit="1" customWidth="1"/>
    <col min="9229" max="9229" width="14.140625" style="554" bestFit="1" customWidth="1"/>
    <col min="9230" max="9230" width="16.85546875" style="554" customWidth="1"/>
    <col min="9231" max="9472" width="9.140625" style="554"/>
    <col min="9473" max="9473" width="2.42578125" style="554" customWidth="1"/>
    <col min="9474" max="9474" width="15.42578125" style="554" bestFit="1" customWidth="1"/>
    <col min="9475" max="9475" width="3.42578125" style="554" customWidth="1"/>
    <col min="9476" max="9477" width="15" style="554" customWidth="1"/>
    <col min="9478" max="9478" width="16.7109375" style="554" customWidth="1"/>
    <col min="9479" max="9479" width="15" style="554" bestFit="1" customWidth="1"/>
    <col min="9480" max="9480" width="19.140625" style="554" bestFit="1" customWidth="1"/>
    <col min="9481" max="9481" width="18.42578125" style="554" customWidth="1"/>
    <col min="9482" max="9482" width="16.7109375" style="554" customWidth="1"/>
    <col min="9483" max="9483" width="21" style="554" bestFit="1" customWidth="1"/>
    <col min="9484" max="9484" width="20.140625" style="554" bestFit="1" customWidth="1"/>
    <col min="9485" max="9485" width="14.140625" style="554" bestFit="1" customWidth="1"/>
    <col min="9486" max="9486" width="16.85546875" style="554" customWidth="1"/>
    <col min="9487" max="9728" width="9.140625" style="554"/>
    <col min="9729" max="9729" width="2.42578125" style="554" customWidth="1"/>
    <col min="9730" max="9730" width="15.42578125" style="554" bestFit="1" customWidth="1"/>
    <col min="9731" max="9731" width="3.42578125" style="554" customWidth="1"/>
    <col min="9732" max="9733" width="15" style="554" customWidth="1"/>
    <col min="9734" max="9734" width="16.7109375" style="554" customWidth="1"/>
    <col min="9735" max="9735" width="15" style="554" bestFit="1" customWidth="1"/>
    <col min="9736" max="9736" width="19.140625" style="554" bestFit="1" customWidth="1"/>
    <col min="9737" max="9737" width="18.42578125" style="554" customWidth="1"/>
    <col min="9738" max="9738" width="16.7109375" style="554" customWidth="1"/>
    <col min="9739" max="9739" width="21" style="554" bestFit="1" customWidth="1"/>
    <col min="9740" max="9740" width="20.140625" style="554" bestFit="1" customWidth="1"/>
    <col min="9741" max="9741" width="14.140625" style="554" bestFit="1" customWidth="1"/>
    <col min="9742" max="9742" width="16.85546875" style="554" customWidth="1"/>
    <col min="9743" max="9984" width="9.140625" style="554"/>
    <col min="9985" max="9985" width="2.42578125" style="554" customWidth="1"/>
    <col min="9986" max="9986" width="15.42578125" style="554" bestFit="1" customWidth="1"/>
    <col min="9987" max="9987" width="3.42578125" style="554" customWidth="1"/>
    <col min="9988" max="9989" width="15" style="554" customWidth="1"/>
    <col min="9990" max="9990" width="16.7109375" style="554" customWidth="1"/>
    <col min="9991" max="9991" width="15" style="554" bestFit="1" customWidth="1"/>
    <col min="9992" max="9992" width="19.140625" style="554" bestFit="1" customWidth="1"/>
    <col min="9993" max="9993" width="18.42578125" style="554" customWidth="1"/>
    <col min="9994" max="9994" width="16.7109375" style="554" customWidth="1"/>
    <col min="9995" max="9995" width="21" style="554" bestFit="1" customWidth="1"/>
    <col min="9996" max="9996" width="20.140625" style="554" bestFit="1" customWidth="1"/>
    <col min="9997" max="9997" width="14.140625" style="554" bestFit="1" customWidth="1"/>
    <col min="9998" max="9998" width="16.85546875" style="554" customWidth="1"/>
    <col min="9999" max="10240" width="9.140625" style="554"/>
    <col min="10241" max="10241" width="2.42578125" style="554" customWidth="1"/>
    <col min="10242" max="10242" width="15.42578125" style="554" bestFit="1" customWidth="1"/>
    <col min="10243" max="10243" width="3.42578125" style="554" customWidth="1"/>
    <col min="10244" max="10245" width="15" style="554" customWidth="1"/>
    <col min="10246" max="10246" width="16.7109375" style="554" customWidth="1"/>
    <col min="10247" max="10247" width="15" style="554" bestFit="1" customWidth="1"/>
    <col min="10248" max="10248" width="19.140625" style="554" bestFit="1" customWidth="1"/>
    <col min="10249" max="10249" width="18.42578125" style="554" customWidth="1"/>
    <col min="10250" max="10250" width="16.7109375" style="554" customWidth="1"/>
    <col min="10251" max="10251" width="21" style="554" bestFit="1" customWidth="1"/>
    <col min="10252" max="10252" width="20.140625" style="554" bestFit="1" customWidth="1"/>
    <col min="10253" max="10253" width="14.140625" style="554" bestFit="1" customWidth="1"/>
    <col min="10254" max="10254" width="16.85546875" style="554" customWidth="1"/>
    <col min="10255" max="10496" width="9.140625" style="554"/>
    <col min="10497" max="10497" width="2.42578125" style="554" customWidth="1"/>
    <col min="10498" max="10498" width="15.42578125" style="554" bestFit="1" customWidth="1"/>
    <col min="10499" max="10499" width="3.42578125" style="554" customWidth="1"/>
    <col min="10500" max="10501" width="15" style="554" customWidth="1"/>
    <col min="10502" max="10502" width="16.7109375" style="554" customWidth="1"/>
    <col min="10503" max="10503" width="15" style="554" bestFit="1" customWidth="1"/>
    <col min="10504" max="10504" width="19.140625" style="554" bestFit="1" customWidth="1"/>
    <col min="10505" max="10505" width="18.42578125" style="554" customWidth="1"/>
    <col min="10506" max="10506" width="16.7109375" style="554" customWidth="1"/>
    <col min="10507" max="10507" width="21" style="554" bestFit="1" customWidth="1"/>
    <col min="10508" max="10508" width="20.140625" style="554" bestFit="1" customWidth="1"/>
    <col min="10509" max="10509" width="14.140625" style="554" bestFit="1" customWidth="1"/>
    <col min="10510" max="10510" width="16.85546875" style="554" customWidth="1"/>
    <col min="10511" max="10752" width="9.140625" style="554"/>
    <col min="10753" max="10753" width="2.42578125" style="554" customWidth="1"/>
    <col min="10754" max="10754" width="15.42578125" style="554" bestFit="1" customWidth="1"/>
    <col min="10755" max="10755" width="3.42578125" style="554" customWidth="1"/>
    <col min="10756" max="10757" width="15" style="554" customWidth="1"/>
    <col min="10758" max="10758" width="16.7109375" style="554" customWidth="1"/>
    <col min="10759" max="10759" width="15" style="554" bestFit="1" customWidth="1"/>
    <col min="10760" max="10760" width="19.140625" style="554" bestFit="1" customWidth="1"/>
    <col min="10761" max="10761" width="18.42578125" style="554" customWidth="1"/>
    <col min="10762" max="10762" width="16.7109375" style="554" customWidth="1"/>
    <col min="10763" max="10763" width="21" style="554" bestFit="1" customWidth="1"/>
    <col min="10764" max="10764" width="20.140625" style="554" bestFit="1" customWidth="1"/>
    <col min="10765" max="10765" width="14.140625" style="554" bestFit="1" customWidth="1"/>
    <col min="10766" max="10766" width="16.85546875" style="554" customWidth="1"/>
    <col min="10767" max="11008" width="9.140625" style="554"/>
    <col min="11009" max="11009" width="2.42578125" style="554" customWidth="1"/>
    <col min="11010" max="11010" width="15.42578125" style="554" bestFit="1" customWidth="1"/>
    <col min="11011" max="11011" width="3.42578125" style="554" customWidth="1"/>
    <col min="11012" max="11013" width="15" style="554" customWidth="1"/>
    <col min="11014" max="11014" width="16.7109375" style="554" customWidth="1"/>
    <col min="11015" max="11015" width="15" style="554" bestFit="1" customWidth="1"/>
    <col min="11016" max="11016" width="19.140625" style="554" bestFit="1" customWidth="1"/>
    <col min="11017" max="11017" width="18.42578125" style="554" customWidth="1"/>
    <col min="11018" max="11018" width="16.7109375" style="554" customWidth="1"/>
    <col min="11019" max="11019" width="21" style="554" bestFit="1" customWidth="1"/>
    <col min="11020" max="11020" width="20.140625" style="554" bestFit="1" customWidth="1"/>
    <col min="11021" max="11021" width="14.140625" style="554" bestFit="1" customWidth="1"/>
    <col min="11022" max="11022" width="16.85546875" style="554" customWidth="1"/>
    <col min="11023" max="11264" width="9.140625" style="554"/>
    <col min="11265" max="11265" width="2.42578125" style="554" customWidth="1"/>
    <col min="11266" max="11266" width="15.42578125" style="554" bestFit="1" customWidth="1"/>
    <col min="11267" max="11267" width="3.42578125" style="554" customWidth="1"/>
    <col min="11268" max="11269" width="15" style="554" customWidth="1"/>
    <col min="11270" max="11270" width="16.7109375" style="554" customWidth="1"/>
    <col min="11271" max="11271" width="15" style="554" bestFit="1" customWidth="1"/>
    <col min="11272" max="11272" width="19.140625" style="554" bestFit="1" customWidth="1"/>
    <col min="11273" max="11273" width="18.42578125" style="554" customWidth="1"/>
    <col min="11274" max="11274" width="16.7109375" style="554" customWidth="1"/>
    <col min="11275" max="11275" width="21" style="554" bestFit="1" customWidth="1"/>
    <col min="11276" max="11276" width="20.140625" style="554" bestFit="1" customWidth="1"/>
    <col min="11277" max="11277" width="14.140625" style="554" bestFit="1" customWidth="1"/>
    <col min="11278" max="11278" width="16.85546875" style="554" customWidth="1"/>
    <col min="11279" max="11520" width="9.140625" style="554"/>
    <col min="11521" max="11521" width="2.42578125" style="554" customWidth="1"/>
    <col min="11522" max="11522" width="15.42578125" style="554" bestFit="1" customWidth="1"/>
    <col min="11523" max="11523" width="3.42578125" style="554" customWidth="1"/>
    <col min="11524" max="11525" width="15" style="554" customWidth="1"/>
    <col min="11526" max="11526" width="16.7109375" style="554" customWidth="1"/>
    <col min="11527" max="11527" width="15" style="554" bestFit="1" customWidth="1"/>
    <col min="11528" max="11528" width="19.140625" style="554" bestFit="1" customWidth="1"/>
    <col min="11529" max="11529" width="18.42578125" style="554" customWidth="1"/>
    <col min="11530" max="11530" width="16.7109375" style="554" customWidth="1"/>
    <col min="11531" max="11531" width="21" style="554" bestFit="1" customWidth="1"/>
    <col min="11532" max="11532" width="20.140625" style="554" bestFit="1" customWidth="1"/>
    <col min="11533" max="11533" width="14.140625" style="554" bestFit="1" customWidth="1"/>
    <col min="11534" max="11534" width="16.85546875" style="554" customWidth="1"/>
    <col min="11535" max="11776" width="9.140625" style="554"/>
    <col min="11777" max="11777" width="2.42578125" style="554" customWidth="1"/>
    <col min="11778" max="11778" width="15.42578125" style="554" bestFit="1" customWidth="1"/>
    <col min="11779" max="11779" width="3.42578125" style="554" customWidth="1"/>
    <col min="11780" max="11781" width="15" style="554" customWidth="1"/>
    <col min="11782" max="11782" width="16.7109375" style="554" customWidth="1"/>
    <col min="11783" max="11783" width="15" style="554" bestFit="1" customWidth="1"/>
    <col min="11784" max="11784" width="19.140625" style="554" bestFit="1" customWidth="1"/>
    <col min="11785" max="11785" width="18.42578125" style="554" customWidth="1"/>
    <col min="11786" max="11786" width="16.7109375" style="554" customWidth="1"/>
    <col min="11787" max="11787" width="21" style="554" bestFit="1" customWidth="1"/>
    <col min="11788" max="11788" width="20.140625" style="554" bestFit="1" customWidth="1"/>
    <col min="11789" max="11789" width="14.140625" style="554" bestFit="1" customWidth="1"/>
    <col min="11790" max="11790" width="16.85546875" style="554" customWidth="1"/>
    <col min="11791" max="12032" width="9.140625" style="554"/>
    <col min="12033" max="12033" width="2.42578125" style="554" customWidth="1"/>
    <col min="12034" max="12034" width="15.42578125" style="554" bestFit="1" customWidth="1"/>
    <col min="12035" max="12035" width="3.42578125" style="554" customWidth="1"/>
    <col min="12036" max="12037" width="15" style="554" customWidth="1"/>
    <col min="12038" max="12038" width="16.7109375" style="554" customWidth="1"/>
    <col min="12039" max="12039" width="15" style="554" bestFit="1" customWidth="1"/>
    <col min="12040" max="12040" width="19.140625" style="554" bestFit="1" customWidth="1"/>
    <col min="12041" max="12041" width="18.42578125" style="554" customWidth="1"/>
    <col min="12042" max="12042" width="16.7109375" style="554" customWidth="1"/>
    <col min="12043" max="12043" width="21" style="554" bestFit="1" customWidth="1"/>
    <col min="12044" max="12044" width="20.140625" style="554" bestFit="1" customWidth="1"/>
    <col min="12045" max="12045" width="14.140625" style="554" bestFit="1" customWidth="1"/>
    <col min="12046" max="12046" width="16.85546875" style="554" customWidth="1"/>
    <col min="12047" max="12288" width="9.140625" style="554"/>
    <col min="12289" max="12289" width="2.42578125" style="554" customWidth="1"/>
    <col min="12290" max="12290" width="15.42578125" style="554" bestFit="1" customWidth="1"/>
    <col min="12291" max="12291" width="3.42578125" style="554" customWidth="1"/>
    <col min="12292" max="12293" width="15" style="554" customWidth="1"/>
    <col min="12294" max="12294" width="16.7109375" style="554" customWidth="1"/>
    <col min="12295" max="12295" width="15" style="554" bestFit="1" customWidth="1"/>
    <col min="12296" max="12296" width="19.140625" style="554" bestFit="1" customWidth="1"/>
    <col min="12297" max="12297" width="18.42578125" style="554" customWidth="1"/>
    <col min="12298" max="12298" width="16.7109375" style="554" customWidth="1"/>
    <col min="12299" max="12299" width="21" style="554" bestFit="1" customWidth="1"/>
    <col min="12300" max="12300" width="20.140625" style="554" bestFit="1" customWidth="1"/>
    <col min="12301" max="12301" width="14.140625" style="554" bestFit="1" customWidth="1"/>
    <col min="12302" max="12302" width="16.85546875" style="554" customWidth="1"/>
    <col min="12303" max="12544" width="9.140625" style="554"/>
    <col min="12545" max="12545" width="2.42578125" style="554" customWidth="1"/>
    <col min="12546" max="12546" width="15.42578125" style="554" bestFit="1" customWidth="1"/>
    <col min="12547" max="12547" width="3.42578125" style="554" customWidth="1"/>
    <col min="12548" max="12549" width="15" style="554" customWidth="1"/>
    <col min="12550" max="12550" width="16.7109375" style="554" customWidth="1"/>
    <col min="12551" max="12551" width="15" style="554" bestFit="1" customWidth="1"/>
    <col min="12552" max="12552" width="19.140625" style="554" bestFit="1" customWidth="1"/>
    <col min="12553" max="12553" width="18.42578125" style="554" customWidth="1"/>
    <col min="12554" max="12554" width="16.7109375" style="554" customWidth="1"/>
    <col min="12555" max="12555" width="21" style="554" bestFit="1" customWidth="1"/>
    <col min="12556" max="12556" width="20.140625" style="554" bestFit="1" customWidth="1"/>
    <col min="12557" max="12557" width="14.140625" style="554" bestFit="1" customWidth="1"/>
    <col min="12558" max="12558" width="16.85546875" style="554" customWidth="1"/>
    <col min="12559" max="12800" width="9.140625" style="554"/>
    <col min="12801" max="12801" width="2.42578125" style="554" customWidth="1"/>
    <col min="12802" max="12802" width="15.42578125" style="554" bestFit="1" customWidth="1"/>
    <col min="12803" max="12803" width="3.42578125" style="554" customWidth="1"/>
    <col min="12804" max="12805" width="15" style="554" customWidth="1"/>
    <col min="12806" max="12806" width="16.7109375" style="554" customWidth="1"/>
    <col min="12807" max="12807" width="15" style="554" bestFit="1" customWidth="1"/>
    <col min="12808" max="12808" width="19.140625" style="554" bestFit="1" customWidth="1"/>
    <col min="12809" max="12809" width="18.42578125" style="554" customWidth="1"/>
    <col min="12810" max="12810" width="16.7109375" style="554" customWidth="1"/>
    <col min="12811" max="12811" width="21" style="554" bestFit="1" customWidth="1"/>
    <col min="12812" max="12812" width="20.140625" style="554" bestFit="1" customWidth="1"/>
    <col min="12813" max="12813" width="14.140625" style="554" bestFit="1" customWidth="1"/>
    <col min="12814" max="12814" width="16.85546875" style="554" customWidth="1"/>
    <col min="12815" max="13056" width="9.140625" style="554"/>
    <col min="13057" max="13057" width="2.42578125" style="554" customWidth="1"/>
    <col min="13058" max="13058" width="15.42578125" style="554" bestFit="1" customWidth="1"/>
    <col min="13059" max="13059" width="3.42578125" style="554" customWidth="1"/>
    <col min="13060" max="13061" width="15" style="554" customWidth="1"/>
    <col min="13062" max="13062" width="16.7109375" style="554" customWidth="1"/>
    <col min="13063" max="13063" width="15" style="554" bestFit="1" customWidth="1"/>
    <col min="13064" max="13064" width="19.140625" style="554" bestFit="1" customWidth="1"/>
    <col min="13065" max="13065" width="18.42578125" style="554" customWidth="1"/>
    <col min="13066" max="13066" width="16.7109375" style="554" customWidth="1"/>
    <col min="13067" max="13067" width="21" style="554" bestFit="1" customWidth="1"/>
    <col min="13068" max="13068" width="20.140625" style="554" bestFit="1" customWidth="1"/>
    <col min="13069" max="13069" width="14.140625" style="554" bestFit="1" customWidth="1"/>
    <col min="13070" max="13070" width="16.85546875" style="554" customWidth="1"/>
    <col min="13071" max="13312" width="9.140625" style="554"/>
    <col min="13313" max="13313" width="2.42578125" style="554" customWidth="1"/>
    <col min="13314" max="13314" width="15.42578125" style="554" bestFit="1" customWidth="1"/>
    <col min="13315" max="13315" width="3.42578125" style="554" customWidth="1"/>
    <col min="13316" max="13317" width="15" style="554" customWidth="1"/>
    <col min="13318" max="13318" width="16.7109375" style="554" customWidth="1"/>
    <col min="13319" max="13319" width="15" style="554" bestFit="1" customWidth="1"/>
    <col min="13320" max="13320" width="19.140625" style="554" bestFit="1" customWidth="1"/>
    <col min="13321" max="13321" width="18.42578125" style="554" customWidth="1"/>
    <col min="13322" max="13322" width="16.7109375" style="554" customWidth="1"/>
    <col min="13323" max="13323" width="21" style="554" bestFit="1" customWidth="1"/>
    <col min="13324" max="13324" width="20.140625" style="554" bestFit="1" customWidth="1"/>
    <col min="13325" max="13325" width="14.140625" style="554" bestFit="1" customWidth="1"/>
    <col min="13326" max="13326" width="16.85546875" style="554" customWidth="1"/>
    <col min="13327" max="13568" width="9.140625" style="554"/>
    <col min="13569" max="13569" width="2.42578125" style="554" customWidth="1"/>
    <col min="13570" max="13570" width="15.42578125" style="554" bestFit="1" customWidth="1"/>
    <col min="13571" max="13571" width="3.42578125" style="554" customWidth="1"/>
    <col min="13572" max="13573" width="15" style="554" customWidth="1"/>
    <col min="13574" max="13574" width="16.7109375" style="554" customWidth="1"/>
    <col min="13575" max="13575" width="15" style="554" bestFit="1" customWidth="1"/>
    <col min="13576" max="13576" width="19.140625" style="554" bestFit="1" customWidth="1"/>
    <col min="13577" max="13577" width="18.42578125" style="554" customWidth="1"/>
    <col min="13578" max="13578" width="16.7109375" style="554" customWidth="1"/>
    <col min="13579" max="13579" width="21" style="554" bestFit="1" customWidth="1"/>
    <col min="13580" max="13580" width="20.140625" style="554" bestFit="1" customWidth="1"/>
    <col min="13581" max="13581" width="14.140625" style="554" bestFit="1" customWidth="1"/>
    <col min="13582" max="13582" width="16.85546875" style="554" customWidth="1"/>
    <col min="13583" max="13824" width="9.140625" style="554"/>
    <col min="13825" max="13825" width="2.42578125" style="554" customWidth="1"/>
    <col min="13826" max="13826" width="15.42578125" style="554" bestFit="1" customWidth="1"/>
    <col min="13827" max="13827" width="3.42578125" style="554" customWidth="1"/>
    <col min="13828" max="13829" width="15" style="554" customWidth="1"/>
    <col min="13830" max="13830" width="16.7109375" style="554" customWidth="1"/>
    <col min="13831" max="13831" width="15" style="554" bestFit="1" customWidth="1"/>
    <col min="13832" max="13832" width="19.140625" style="554" bestFit="1" customWidth="1"/>
    <col min="13833" max="13833" width="18.42578125" style="554" customWidth="1"/>
    <col min="13834" max="13834" width="16.7109375" style="554" customWidth="1"/>
    <col min="13835" max="13835" width="21" style="554" bestFit="1" customWidth="1"/>
    <col min="13836" max="13836" width="20.140625" style="554" bestFit="1" customWidth="1"/>
    <col min="13837" max="13837" width="14.140625" style="554" bestFit="1" customWidth="1"/>
    <col min="13838" max="13838" width="16.85546875" style="554" customWidth="1"/>
    <col min="13839" max="14080" width="9.140625" style="554"/>
    <col min="14081" max="14081" width="2.42578125" style="554" customWidth="1"/>
    <col min="14082" max="14082" width="15.42578125" style="554" bestFit="1" customWidth="1"/>
    <col min="14083" max="14083" width="3.42578125" style="554" customWidth="1"/>
    <col min="14084" max="14085" width="15" style="554" customWidth="1"/>
    <col min="14086" max="14086" width="16.7109375" style="554" customWidth="1"/>
    <col min="14087" max="14087" width="15" style="554" bestFit="1" customWidth="1"/>
    <col min="14088" max="14088" width="19.140625" style="554" bestFit="1" customWidth="1"/>
    <col min="14089" max="14089" width="18.42578125" style="554" customWidth="1"/>
    <col min="14090" max="14090" width="16.7109375" style="554" customWidth="1"/>
    <col min="14091" max="14091" width="21" style="554" bestFit="1" customWidth="1"/>
    <col min="14092" max="14092" width="20.140625" style="554" bestFit="1" customWidth="1"/>
    <col min="14093" max="14093" width="14.140625" style="554" bestFit="1" customWidth="1"/>
    <col min="14094" max="14094" width="16.85546875" style="554" customWidth="1"/>
    <col min="14095" max="14336" width="9.140625" style="554"/>
    <col min="14337" max="14337" width="2.42578125" style="554" customWidth="1"/>
    <col min="14338" max="14338" width="15.42578125" style="554" bestFit="1" customWidth="1"/>
    <col min="14339" max="14339" width="3.42578125" style="554" customWidth="1"/>
    <col min="14340" max="14341" width="15" style="554" customWidth="1"/>
    <col min="14342" max="14342" width="16.7109375" style="554" customWidth="1"/>
    <col min="14343" max="14343" width="15" style="554" bestFit="1" customWidth="1"/>
    <col min="14344" max="14344" width="19.140625" style="554" bestFit="1" customWidth="1"/>
    <col min="14345" max="14345" width="18.42578125" style="554" customWidth="1"/>
    <col min="14346" max="14346" width="16.7109375" style="554" customWidth="1"/>
    <col min="14347" max="14347" width="21" style="554" bestFit="1" customWidth="1"/>
    <col min="14348" max="14348" width="20.140625" style="554" bestFit="1" customWidth="1"/>
    <col min="14349" max="14349" width="14.140625" style="554" bestFit="1" customWidth="1"/>
    <col min="14350" max="14350" width="16.85546875" style="554" customWidth="1"/>
    <col min="14351" max="14592" width="9.140625" style="554"/>
    <col min="14593" max="14593" width="2.42578125" style="554" customWidth="1"/>
    <col min="14594" max="14594" width="15.42578125" style="554" bestFit="1" customWidth="1"/>
    <col min="14595" max="14595" width="3.42578125" style="554" customWidth="1"/>
    <col min="14596" max="14597" width="15" style="554" customWidth="1"/>
    <col min="14598" max="14598" width="16.7109375" style="554" customWidth="1"/>
    <col min="14599" max="14599" width="15" style="554" bestFit="1" customWidth="1"/>
    <col min="14600" max="14600" width="19.140625" style="554" bestFit="1" customWidth="1"/>
    <col min="14601" max="14601" width="18.42578125" style="554" customWidth="1"/>
    <col min="14602" max="14602" width="16.7109375" style="554" customWidth="1"/>
    <col min="14603" max="14603" width="21" style="554" bestFit="1" customWidth="1"/>
    <col min="14604" max="14604" width="20.140625" style="554" bestFit="1" customWidth="1"/>
    <col min="14605" max="14605" width="14.140625" style="554" bestFit="1" customWidth="1"/>
    <col min="14606" max="14606" width="16.85546875" style="554" customWidth="1"/>
    <col min="14607" max="14848" width="9.140625" style="554"/>
    <col min="14849" max="14849" width="2.42578125" style="554" customWidth="1"/>
    <col min="14850" max="14850" width="15.42578125" style="554" bestFit="1" customWidth="1"/>
    <col min="14851" max="14851" width="3.42578125" style="554" customWidth="1"/>
    <col min="14852" max="14853" width="15" style="554" customWidth="1"/>
    <col min="14854" max="14854" width="16.7109375" style="554" customWidth="1"/>
    <col min="14855" max="14855" width="15" style="554" bestFit="1" customWidth="1"/>
    <col min="14856" max="14856" width="19.140625" style="554" bestFit="1" customWidth="1"/>
    <col min="14857" max="14857" width="18.42578125" style="554" customWidth="1"/>
    <col min="14858" max="14858" width="16.7109375" style="554" customWidth="1"/>
    <col min="14859" max="14859" width="21" style="554" bestFit="1" customWidth="1"/>
    <col min="14860" max="14860" width="20.140625" style="554" bestFit="1" customWidth="1"/>
    <col min="14861" max="14861" width="14.140625" style="554" bestFit="1" customWidth="1"/>
    <col min="14862" max="14862" width="16.85546875" style="554" customWidth="1"/>
    <col min="14863" max="15104" width="9.140625" style="554"/>
    <col min="15105" max="15105" width="2.42578125" style="554" customWidth="1"/>
    <col min="15106" max="15106" width="15.42578125" style="554" bestFit="1" customWidth="1"/>
    <col min="15107" max="15107" width="3.42578125" style="554" customWidth="1"/>
    <col min="15108" max="15109" width="15" style="554" customWidth="1"/>
    <col min="15110" max="15110" width="16.7109375" style="554" customWidth="1"/>
    <col min="15111" max="15111" width="15" style="554" bestFit="1" customWidth="1"/>
    <col min="15112" max="15112" width="19.140625" style="554" bestFit="1" customWidth="1"/>
    <col min="15113" max="15113" width="18.42578125" style="554" customWidth="1"/>
    <col min="15114" max="15114" width="16.7109375" style="554" customWidth="1"/>
    <col min="15115" max="15115" width="21" style="554" bestFit="1" customWidth="1"/>
    <col min="15116" max="15116" width="20.140625" style="554" bestFit="1" customWidth="1"/>
    <col min="15117" max="15117" width="14.140625" style="554" bestFit="1" customWidth="1"/>
    <col min="15118" max="15118" width="16.85546875" style="554" customWidth="1"/>
    <col min="15119" max="15360" width="9.140625" style="554"/>
    <col min="15361" max="15361" width="2.42578125" style="554" customWidth="1"/>
    <col min="15362" max="15362" width="15.42578125" style="554" bestFit="1" customWidth="1"/>
    <col min="15363" max="15363" width="3.42578125" style="554" customWidth="1"/>
    <col min="15364" max="15365" width="15" style="554" customWidth="1"/>
    <col min="15366" max="15366" width="16.7109375" style="554" customWidth="1"/>
    <col min="15367" max="15367" width="15" style="554" bestFit="1" customWidth="1"/>
    <col min="15368" max="15368" width="19.140625" style="554" bestFit="1" customWidth="1"/>
    <col min="15369" max="15369" width="18.42578125" style="554" customWidth="1"/>
    <col min="15370" max="15370" width="16.7109375" style="554" customWidth="1"/>
    <col min="15371" max="15371" width="21" style="554" bestFit="1" customWidth="1"/>
    <col min="15372" max="15372" width="20.140625" style="554" bestFit="1" customWidth="1"/>
    <col min="15373" max="15373" width="14.140625" style="554" bestFit="1" customWidth="1"/>
    <col min="15374" max="15374" width="16.85546875" style="554" customWidth="1"/>
    <col min="15375" max="15616" width="9.140625" style="554"/>
    <col min="15617" max="15617" width="2.42578125" style="554" customWidth="1"/>
    <col min="15618" max="15618" width="15.42578125" style="554" bestFit="1" customWidth="1"/>
    <col min="15619" max="15619" width="3.42578125" style="554" customWidth="1"/>
    <col min="15620" max="15621" width="15" style="554" customWidth="1"/>
    <col min="15622" max="15622" width="16.7109375" style="554" customWidth="1"/>
    <col min="15623" max="15623" width="15" style="554" bestFit="1" customWidth="1"/>
    <col min="15624" max="15624" width="19.140625" style="554" bestFit="1" customWidth="1"/>
    <col min="15625" max="15625" width="18.42578125" style="554" customWidth="1"/>
    <col min="15626" max="15626" width="16.7109375" style="554" customWidth="1"/>
    <col min="15627" max="15627" width="21" style="554" bestFit="1" customWidth="1"/>
    <col min="15628" max="15628" width="20.140625" style="554" bestFit="1" customWidth="1"/>
    <col min="15629" max="15629" width="14.140625" style="554" bestFit="1" customWidth="1"/>
    <col min="15630" max="15630" width="16.85546875" style="554" customWidth="1"/>
    <col min="15631" max="15872" width="9.140625" style="554"/>
    <col min="15873" max="15873" width="2.42578125" style="554" customWidth="1"/>
    <col min="15874" max="15874" width="15.42578125" style="554" bestFit="1" customWidth="1"/>
    <col min="15875" max="15875" width="3.42578125" style="554" customWidth="1"/>
    <col min="15876" max="15877" width="15" style="554" customWidth="1"/>
    <col min="15878" max="15878" width="16.7109375" style="554" customWidth="1"/>
    <col min="15879" max="15879" width="15" style="554" bestFit="1" customWidth="1"/>
    <col min="15880" max="15880" width="19.140625" style="554" bestFit="1" customWidth="1"/>
    <col min="15881" max="15881" width="18.42578125" style="554" customWidth="1"/>
    <col min="15882" max="15882" width="16.7109375" style="554" customWidth="1"/>
    <col min="15883" max="15883" width="21" style="554" bestFit="1" customWidth="1"/>
    <col min="15884" max="15884" width="20.140625" style="554" bestFit="1" customWidth="1"/>
    <col min="15885" max="15885" width="14.140625" style="554" bestFit="1" customWidth="1"/>
    <col min="15886" max="15886" width="16.85546875" style="554" customWidth="1"/>
    <col min="15887" max="16128" width="9.140625" style="554"/>
    <col min="16129" max="16129" width="2.42578125" style="554" customWidth="1"/>
    <col min="16130" max="16130" width="15.42578125" style="554" bestFit="1" customWidth="1"/>
    <col min="16131" max="16131" width="3.42578125" style="554" customWidth="1"/>
    <col min="16132" max="16133" width="15" style="554" customWidth="1"/>
    <col min="16134" max="16134" width="16.7109375" style="554" customWidth="1"/>
    <col min="16135" max="16135" width="15" style="554" bestFit="1" customWidth="1"/>
    <col min="16136" max="16136" width="19.140625" style="554" bestFit="1" customWidth="1"/>
    <col min="16137" max="16137" width="18.42578125" style="554" customWidth="1"/>
    <col min="16138" max="16138" width="16.7109375" style="554" customWidth="1"/>
    <col min="16139" max="16139" width="21" style="554" bestFit="1" customWidth="1"/>
    <col min="16140" max="16140" width="20.140625" style="554" bestFit="1" customWidth="1"/>
    <col min="16141" max="16141" width="14.140625" style="554" bestFit="1" customWidth="1"/>
    <col min="16142" max="16142" width="16.85546875" style="554" customWidth="1"/>
    <col min="16143" max="16384" width="9.140625" style="554"/>
  </cols>
  <sheetData>
    <row r="1" spans="1:17">
      <c r="A1" s="578" t="s">
        <v>9</v>
      </c>
      <c r="C1" s="579"/>
      <c r="D1" s="579"/>
      <c r="E1" s="579"/>
      <c r="F1" s="579"/>
      <c r="G1" s="579"/>
      <c r="H1" s="580"/>
      <c r="I1" s="580"/>
      <c r="J1" s="580"/>
      <c r="K1" s="581"/>
      <c r="L1" s="581"/>
      <c r="M1" s="581"/>
      <c r="N1" s="581"/>
    </row>
    <row r="2" spans="1:17" ht="14.25" customHeight="1">
      <c r="A2" s="1086" t="s">
        <v>857</v>
      </c>
      <c r="C2" s="579"/>
      <c r="D2" s="579"/>
      <c r="E2" s="579"/>
      <c r="F2" s="579"/>
      <c r="G2" s="579"/>
      <c r="H2" s="580"/>
      <c r="I2" s="580"/>
      <c r="J2" s="580"/>
      <c r="K2" s="581"/>
      <c r="L2" s="581"/>
      <c r="M2" s="581"/>
      <c r="N2" s="581"/>
    </row>
    <row r="3" spans="1:17">
      <c r="A3" s="578" t="s">
        <v>815</v>
      </c>
      <c r="C3" s="579"/>
      <c r="D3" s="579"/>
      <c r="E3" s="579"/>
      <c r="F3" s="579"/>
      <c r="G3" s="579"/>
      <c r="H3" s="580"/>
      <c r="I3" s="580"/>
      <c r="J3" s="580"/>
      <c r="K3" s="581"/>
      <c r="L3" s="581"/>
      <c r="M3" s="581"/>
      <c r="N3" s="581"/>
    </row>
    <row r="4" spans="1:17">
      <c r="A4" s="579"/>
      <c r="B4" s="68"/>
      <c r="C4" s="579"/>
      <c r="D4" s="579"/>
      <c r="E4" s="867" t="s">
        <v>853</v>
      </c>
      <c r="F4" s="579"/>
      <c r="G4" s="579"/>
      <c r="H4" s="580"/>
      <c r="I4" s="580"/>
      <c r="J4" s="580"/>
      <c r="K4" s="581"/>
      <c r="L4" s="581"/>
      <c r="M4" s="581"/>
      <c r="N4" s="581"/>
    </row>
    <row r="5" spans="1:17">
      <c r="A5" s="579"/>
      <c r="B5" s="579"/>
      <c r="C5" s="579"/>
      <c r="D5" s="876" t="s">
        <v>818</v>
      </c>
      <c r="E5" s="876" t="s">
        <v>819</v>
      </c>
      <c r="F5" s="1088"/>
      <c r="G5" s="584" t="s">
        <v>864</v>
      </c>
      <c r="H5" s="585"/>
      <c r="I5" s="585"/>
      <c r="J5" s="585"/>
      <c r="K5" s="1089" t="s">
        <v>820</v>
      </c>
      <c r="L5" s="586"/>
      <c r="M5" s="586"/>
      <c r="N5" s="586"/>
    </row>
    <row r="6" spans="1:17" ht="13.5" thickBot="1">
      <c r="A6" s="587"/>
      <c r="B6" s="587"/>
      <c r="C6" s="587"/>
      <c r="D6" s="588" t="s">
        <v>92</v>
      </c>
      <c r="E6" s="588" t="s">
        <v>92</v>
      </c>
      <c r="F6" s="589"/>
      <c r="G6" s="590"/>
      <c r="H6" s="591"/>
      <c r="I6" s="591"/>
      <c r="J6" s="591"/>
      <c r="K6" s="588" t="s">
        <v>92</v>
      </c>
      <c r="L6" s="591"/>
      <c r="M6" s="591"/>
      <c r="N6" s="591"/>
    </row>
    <row r="7" spans="1:17">
      <c r="A7" s="579"/>
      <c r="B7" s="579"/>
      <c r="C7" s="579"/>
      <c r="D7" s="584" t="s">
        <v>93</v>
      </c>
      <c r="E7" s="592" t="s">
        <v>2</v>
      </c>
      <c r="F7" s="593" t="s">
        <v>115</v>
      </c>
      <c r="G7" s="584" t="s">
        <v>19</v>
      </c>
      <c r="H7" s="585" t="s">
        <v>20</v>
      </c>
      <c r="I7" s="585" t="s">
        <v>116</v>
      </c>
      <c r="J7" s="585" t="s">
        <v>18</v>
      </c>
      <c r="K7" s="592" t="s">
        <v>19</v>
      </c>
      <c r="L7" s="592" t="s">
        <v>20</v>
      </c>
      <c r="M7" s="594" t="s">
        <v>117</v>
      </c>
      <c r="N7" s="592" t="s">
        <v>118</v>
      </c>
      <c r="O7" s="536" t="s">
        <v>2</v>
      </c>
    </row>
    <row r="8" spans="1:17">
      <c r="A8" s="581"/>
      <c r="B8" s="592" t="s">
        <v>718</v>
      </c>
      <c r="C8" s="595"/>
      <c r="D8" s="592" t="s">
        <v>28</v>
      </c>
      <c r="E8" s="592"/>
      <c r="F8" s="594" t="s">
        <v>2</v>
      </c>
      <c r="G8" s="592" t="s">
        <v>3</v>
      </c>
      <c r="H8" s="596" t="s">
        <v>3</v>
      </c>
      <c r="I8" s="596" t="s">
        <v>712</v>
      </c>
      <c r="J8" s="596" t="s">
        <v>16</v>
      </c>
      <c r="K8" s="592" t="s">
        <v>24</v>
      </c>
      <c r="L8" s="594" t="s">
        <v>24</v>
      </c>
      <c r="M8" s="592" t="s">
        <v>18</v>
      </c>
      <c r="N8" s="592" t="s">
        <v>117</v>
      </c>
      <c r="O8" s="538" t="s">
        <v>37</v>
      </c>
    </row>
    <row r="9" spans="1:17">
      <c r="A9" s="581"/>
      <c r="B9" s="592" t="s">
        <v>7</v>
      </c>
      <c r="C9" s="595"/>
      <c r="D9" s="596" t="s">
        <v>119</v>
      </c>
      <c r="E9" s="596" t="s">
        <v>31</v>
      </c>
      <c r="F9" s="594" t="s">
        <v>32</v>
      </c>
      <c r="G9" s="596" t="s">
        <v>120</v>
      </c>
      <c r="H9" s="594" t="s">
        <v>719</v>
      </c>
      <c r="I9" s="596" t="s">
        <v>33</v>
      </c>
      <c r="J9" s="596" t="s">
        <v>122</v>
      </c>
      <c r="K9" s="596" t="s">
        <v>720</v>
      </c>
      <c r="L9" s="594" t="s">
        <v>721</v>
      </c>
      <c r="M9" s="596" t="s">
        <v>94</v>
      </c>
      <c r="N9" s="596" t="s">
        <v>125</v>
      </c>
      <c r="O9" s="538" t="s">
        <v>35</v>
      </c>
    </row>
    <row r="10" spans="1:17" ht="13.5" thickBot="1">
      <c r="A10" s="587"/>
      <c r="B10" s="597"/>
      <c r="C10" s="597"/>
      <c r="D10" s="591"/>
      <c r="E10" s="591"/>
      <c r="F10" s="598"/>
      <c r="G10" s="1087" t="s">
        <v>816</v>
      </c>
      <c r="H10" s="598" t="s">
        <v>722</v>
      </c>
      <c r="I10" s="591"/>
      <c r="J10" s="591"/>
      <c r="K10" s="591" t="s">
        <v>723</v>
      </c>
      <c r="L10" s="599" t="s">
        <v>724</v>
      </c>
      <c r="M10" s="591"/>
      <c r="N10" s="591"/>
      <c r="O10" s="541"/>
    </row>
    <row r="11" spans="1:17" hidden="1" outlineLevel="1">
      <c r="A11" s="581"/>
      <c r="B11" s="604">
        <v>42004</v>
      </c>
      <c r="C11" s="595"/>
      <c r="D11" s="596"/>
      <c r="E11" s="596"/>
      <c r="F11" s="594"/>
      <c r="G11" s="877"/>
      <c r="H11" s="594"/>
      <c r="I11" s="596"/>
      <c r="J11" s="596"/>
      <c r="K11" s="596"/>
      <c r="L11" s="878"/>
      <c r="M11" s="596"/>
      <c r="N11" s="596"/>
      <c r="O11" s="629"/>
    </row>
    <row r="12" spans="1:17" hidden="1" outlineLevel="1">
      <c r="A12" s="581"/>
      <c r="B12" s="604">
        <v>42035</v>
      </c>
      <c r="C12" s="595"/>
      <c r="D12" s="596"/>
      <c r="E12" s="596"/>
      <c r="F12" s="594"/>
      <c r="G12" s="877"/>
      <c r="H12" s="594"/>
      <c r="I12" s="596"/>
      <c r="J12" s="596"/>
      <c r="K12" s="596"/>
      <c r="L12" s="878"/>
      <c r="M12" s="596"/>
      <c r="N12" s="596"/>
      <c r="O12" s="629"/>
    </row>
    <row r="13" spans="1:17" ht="12.6" hidden="1" customHeight="1" outlineLevel="1">
      <c r="A13" s="579"/>
      <c r="B13" s="604">
        <v>42063</v>
      </c>
      <c r="C13" s="579"/>
      <c r="D13" s="584"/>
      <c r="E13" s="600"/>
      <c r="F13" s="601"/>
      <c r="G13" s="584"/>
      <c r="H13" s="585"/>
      <c r="I13" s="602"/>
      <c r="J13" s="602"/>
      <c r="K13" s="603"/>
      <c r="L13" s="603"/>
      <c r="M13" s="603"/>
      <c r="N13" s="603"/>
    </row>
    <row r="14" spans="1:17" hidden="1" outlineLevel="1">
      <c r="A14" s="579"/>
      <c r="B14" s="604">
        <v>42094</v>
      </c>
      <c r="C14" s="605"/>
      <c r="D14" s="606"/>
      <c r="E14" s="607">
        <f>E13+D14</f>
        <v>0</v>
      </c>
      <c r="F14" s="608"/>
      <c r="G14" s="600"/>
      <c r="H14" s="609"/>
      <c r="I14" s="602"/>
      <c r="J14" s="602"/>
      <c r="K14" s="610">
        <f>(-D14*0.35)+(G14*0.35)</f>
        <v>0</v>
      </c>
      <c r="L14" s="610">
        <f>L13+K14</f>
        <v>0</v>
      </c>
      <c r="M14" s="610"/>
      <c r="N14" s="603"/>
    </row>
    <row r="15" spans="1:17" hidden="1" outlineLevel="1">
      <c r="A15" s="579"/>
      <c r="B15" s="604">
        <v>41759</v>
      </c>
      <c r="C15" s="605"/>
      <c r="D15" s="611">
        <v>-209506.55064940077</v>
      </c>
      <c r="E15" s="611">
        <f>E14+D15</f>
        <v>-209506.55064940077</v>
      </c>
      <c r="F15" s="608"/>
      <c r="G15" s="600"/>
      <c r="H15" s="609"/>
      <c r="I15" s="602"/>
      <c r="J15" s="602"/>
      <c r="K15" s="610">
        <f t="shared" ref="K15:K43" si="0">(-D15*0.35)+(G15*0.35)</f>
        <v>73327.29272729026</v>
      </c>
      <c r="L15" s="610">
        <f t="shared" ref="L15:L44" si="1">L14+K15</f>
        <v>73327.29272729026</v>
      </c>
      <c r="M15" s="610"/>
      <c r="N15" s="603"/>
      <c r="O15" s="619">
        <f>E15+H15+L15</f>
        <v>-136179.2579221105</v>
      </c>
      <c r="Q15" s="682"/>
    </row>
    <row r="16" spans="1:17" hidden="1" outlineLevel="1">
      <c r="A16" s="579"/>
      <c r="B16" s="604">
        <v>41790</v>
      </c>
      <c r="C16" s="604"/>
      <c r="D16" s="612">
        <v>-897885.21706886054</v>
      </c>
      <c r="E16" s="612">
        <f>E15+D16</f>
        <v>-1107391.7677182613</v>
      </c>
      <c r="F16" s="608"/>
      <c r="G16" s="613"/>
      <c r="H16" s="602"/>
      <c r="I16" s="602"/>
      <c r="J16" s="602"/>
      <c r="K16" s="608">
        <f t="shared" si="0"/>
        <v>314259.82597410114</v>
      </c>
      <c r="L16" s="608">
        <f t="shared" si="1"/>
        <v>387587.11870139139</v>
      </c>
      <c r="M16" s="608"/>
      <c r="N16" s="603"/>
      <c r="O16" s="619">
        <f t="shared" ref="O16:O68" si="2">E16+H16+L16</f>
        <v>-719804.64901686995</v>
      </c>
      <c r="P16" s="555"/>
      <c r="Q16" s="682"/>
    </row>
    <row r="17" spans="1:30" hidden="1" outlineLevel="1">
      <c r="A17" s="579"/>
      <c r="B17" s="614">
        <v>41820</v>
      </c>
      <c r="C17" s="604"/>
      <c r="D17" s="612">
        <v>-897885.21706886054</v>
      </c>
      <c r="E17" s="612">
        <f t="shared" ref="E17:E80" si="3">E16+D17</f>
        <v>-2005276.9847871219</v>
      </c>
      <c r="F17" s="608"/>
      <c r="G17" s="612"/>
      <c r="H17" s="608"/>
      <c r="I17" s="602"/>
      <c r="J17" s="602"/>
      <c r="K17" s="608">
        <f>(-D17*0.35)+(G17*0.35)</f>
        <v>314259.82597410114</v>
      </c>
      <c r="L17" s="608">
        <f t="shared" si="1"/>
        <v>701846.94467549259</v>
      </c>
      <c r="M17" s="608"/>
      <c r="N17" s="603"/>
      <c r="O17" s="619">
        <f t="shared" si="2"/>
        <v>-1303430.0401116293</v>
      </c>
      <c r="P17" s="555"/>
      <c r="Q17" s="682"/>
    </row>
    <row r="18" spans="1:30" hidden="1" outlineLevel="1">
      <c r="A18" s="579"/>
      <c r="B18" s="604">
        <v>41851</v>
      </c>
      <c r="C18" s="615"/>
      <c r="D18" s="612">
        <v>-897885.21706886054</v>
      </c>
      <c r="E18" s="612">
        <f t="shared" si="3"/>
        <v>-2903162.2018559827</v>
      </c>
      <c r="F18" s="608"/>
      <c r="G18" s="612"/>
      <c r="H18" s="608"/>
      <c r="I18" s="602"/>
      <c r="J18" s="602"/>
      <c r="K18" s="608">
        <f t="shared" si="0"/>
        <v>314259.82597410114</v>
      </c>
      <c r="L18" s="608">
        <f t="shared" si="1"/>
        <v>1016106.7706495938</v>
      </c>
      <c r="M18" s="612"/>
      <c r="N18" s="603"/>
      <c r="O18" s="619">
        <f t="shared" si="2"/>
        <v>-1887055.4312063889</v>
      </c>
      <c r="P18" s="555"/>
      <c r="Q18" s="682"/>
    </row>
    <row r="19" spans="1:30" hidden="1" outlineLevel="1">
      <c r="A19" s="579"/>
      <c r="B19" s="604">
        <v>41882</v>
      </c>
      <c r="C19" s="604"/>
      <c r="D19" s="612">
        <v>-897885.21706886054</v>
      </c>
      <c r="E19" s="612">
        <f t="shared" si="3"/>
        <v>-3801047.418924843</v>
      </c>
      <c r="F19" s="608"/>
      <c r="G19" s="612"/>
      <c r="H19" s="608"/>
      <c r="I19" s="608"/>
      <c r="J19" s="602"/>
      <c r="K19" s="608">
        <f>(-D19*0.35)+(G19*0.35)</f>
        <v>314259.82597410114</v>
      </c>
      <c r="L19" s="608">
        <f t="shared" si="1"/>
        <v>1330366.596623695</v>
      </c>
      <c r="M19" s="612"/>
      <c r="N19" s="603"/>
      <c r="O19" s="619">
        <f t="shared" si="2"/>
        <v>-2470680.822301148</v>
      </c>
      <c r="P19" s="555"/>
      <c r="Q19" s="682"/>
    </row>
    <row r="20" spans="1:30" hidden="1" outlineLevel="1">
      <c r="A20" s="579"/>
      <c r="B20" s="604">
        <v>41912</v>
      </c>
      <c r="C20" s="604"/>
      <c r="D20" s="612">
        <v>-897885.21706886054</v>
      </c>
      <c r="E20" s="612">
        <f t="shared" si="3"/>
        <v>-4698932.6359937033</v>
      </c>
      <c r="F20" s="608"/>
      <c r="G20" s="612"/>
      <c r="H20" s="608"/>
      <c r="I20" s="608"/>
      <c r="J20" s="608"/>
      <c r="K20" s="608">
        <f>(-D20*0.35)+(G20*0.35)</f>
        <v>314259.82597410114</v>
      </c>
      <c r="L20" s="608">
        <f t="shared" si="1"/>
        <v>1644626.4225977962</v>
      </c>
      <c r="M20" s="612"/>
      <c r="N20" s="603"/>
      <c r="O20" s="619">
        <f t="shared" si="2"/>
        <v>-3054306.2133959071</v>
      </c>
      <c r="Q20" s="682"/>
    </row>
    <row r="21" spans="1:30" hidden="1" outlineLevel="1">
      <c r="A21" s="579"/>
      <c r="B21" s="604">
        <v>41943</v>
      </c>
      <c r="C21" s="604"/>
      <c r="D21" s="612">
        <v>-897885.21706886054</v>
      </c>
      <c r="E21" s="612">
        <f t="shared" si="3"/>
        <v>-5596817.8530625636</v>
      </c>
      <c r="F21" s="608"/>
      <c r="G21" s="612"/>
      <c r="H21" s="608"/>
      <c r="I21" s="608"/>
      <c r="J21" s="608"/>
      <c r="K21" s="608">
        <f t="shared" si="0"/>
        <v>314259.82597410114</v>
      </c>
      <c r="L21" s="608">
        <f t="shared" si="1"/>
        <v>1958886.2485718974</v>
      </c>
      <c r="M21" s="612"/>
      <c r="N21" s="603"/>
      <c r="O21" s="619">
        <f>E21+H21+L21</f>
        <v>-3637931.6044906662</v>
      </c>
      <c r="Q21" s="682"/>
    </row>
    <row r="22" spans="1:30" hidden="1" outlineLevel="1">
      <c r="A22" s="579"/>
      <c r="B22" s="604">
        <v>41973</v>
      </c>
      <c r="C22" s="604"/>
      <c r="D22" s="612">
        <v>-897885.21706886054</v>
      </c>
      <c r="E22" s="612">
        <f t="shared" si="3"/>
        <v>-6494703.0701314239</v>
      </c>
      <c r="F22" s="608">
        <f>(E14+E22+SUM(E15:E21)*2)/24</f>
        <v>-1964123.9123381323</v>
      </c>
      <c r="G22" s="612"/>
      <c r="H22" s="608"/>
      <c r="I22" s="608"/>
      <c r="J22" s="608">
        <f>F22+I22</f>
        <v>-1964123.9123381323</v>
      </c>
      <c r="K22" s="608">
        <f t="shared" si="0"/>
        <v>314259.82597410114</v>
      </c>
      <c r="L22" s="608">
        <f>L21+K22</f>
        <v>2273146.0745459986</v>
      </c>
      <c r="M22" s="608">
        <f>(L14+L22+SUM(L15:L21)*2)/24</f>
        <v>687443.36931834638</v>
      </c>
      <c r="N22" s="616">
        <f>M22+J22</f>
        <v>-1276680.543019786</v>
      </c>
      <c r="O22" s="619">
        <f t="shared" si="2"/>
        <v>-4221556.9955854248</v>
      </c>
      <c r="Q22" s="682"/>
    </row>
    <row r="23" spans="1:30" hidden="1" outlineLevel="1">
      <c r="A23" s="579"/>
      <c r="B23" s="604">
        <v>42004</v>
      </c>
      <c r="C23" s="604"/>
      <c r="D23" s="612"/>
      <c r="E23" s="612">
        <f t="shared" si="3"/>
        <v>-6494703.0701314239</v>
      </c>
      <c r="F23" s="608">
        <f>(E11+E23+SUM(E12:E22)*2)/24</f>
        <v>-2505349.1681824178</v>
      </c>
      <c r="G23" s="612">
        <f>E23/47</f>
        <v>-138185.17170492391</v>
      </c>
      <c r="H23" s="608">
        <f>H22-G23</f>
        <v>138185.17170492391</v>
      </c>
      <c r="I23" s="608">
        <f>(H15+H23+SUM(H16:H22)*2)/24</f>
        <v>5757.7154877051626</v>
      </c>
      <c r="J23" s="608">
        <f>F23+I23</f>
        <v>-2499591.4526947127</v>
      </c>
      <c r="K23" s="608">
        <f t="shared" si="0"/>
        <v>-48364.810096723362</v>
      </c>
      <c r="L23" s="608">
        <f t="shared" si="1"/>
        <v>2224781.2644492751</v>
      </c>
      <c r="M23" s="608">
        <f>(L11+L23+SUM(L12:L22)*2)/24</f>
        <v>874857.00844314939</v>
      </c>
      <c r="N23" s="616">
        <f>M23+J23</f>
        <v>-1624734.4442515634</v>
      </c>
      <c r="O23" s="894">
        <f>E23+H23+L23</f>
        <v>-4131736.6339772251</v>
      </c>
      <c r="P23" s="833"/>
      <c r="Q23" s="682"/>
      <c r="R23" s="833"/>
      <c r="S23" s="833"/>
      <c r="T23" s="833"/>
      <c r="U23" s="833"/>
      <c r="V23" s="833"/>
      <c r="W23" s="833"/>
      <c r="X23" s="833"/>
      <c r="Y23" s="833"/>
      <c r="Z23" s="833"/>
      <c r="AA23" s="833"/>
      <c r="AB23" s="833"/>
      <c r="AC23" s="833"/>
      <c r="AD23" s="833"/>
    </row>
    <row r="24" spans="1:30" hidden="1" outlineLevel="1">
      <c r="A24" s="579"/>
      <c r="B24" s="604">
        <v>42035</v>
      </c>
      <c r="C24" s="604"/>
      <c r="D24" s="612"/>
      <c r="E24" s="612">
        <f t="shared" si="3"/>
        <v>-6494703.0701314239</v>
      </c>
      <c r="F24" s="608">
        <f t="shared" ref="F24:F29" si="4">(E12+E24+SUM(E13:E23)*2)/24</f>
        <v>-3046574.4240267035</v>
      </c>
      <c r="G24" s="612">
        <f t="shared" ref="G24:G34" si="5">E24/47</f>
        <v>-138185.17170492391</v>
      </c>
      <c r="H24" s="608">
        <f t="shared" ref="H24:H68" si="6">H23-G24</f>
        <v>276370.34340984782</v>
      </c>
      <c r="I24" s="608">
        <f>(H15+H24+SUM(H16:H23)*2)/24</f>
        <v>23030.86195082065</v>
      </c>
      <c r="J24" s="608">
        <f t="shared" ref="J24:J44" si="7">F24+I24</f>
        <v>-3023543.5620758827</v>
      </c>
      <c r="K24" s="608">
        <f>(-D24*0.35)+(G24*0.35)</f>
        <v>-48364.810096723362</v>
      </c>
      <c r="L24" s="608">
        <f t="shared" si="1"/>
        <v>2176416.4543525516</v>
      </c>
      <c r="M24" s="608">
        <f t="shared" ref="M24:M31" si="8">(L12+L24+SUM(L13:L23)*2)/24</f>
        <v>1058240.2467265588</v>
      </c>
      <c r="N24" s="616">
        <f t="shared" ref="N24" si="9">M24+J24</f>
        <v>-1965303.3153493239</v>
      </c>
      <c r="O24" s="894">
        <f t="shared" si="2"/>
        <v>-4041916.2723690248</v>
      </c>
      <c r="P24" s="833"/>
      <c r="Q24" s="682"/>
      <c r="R24" s="833"/>
      <c r="S24" s="833"/>
      <c r="T24" s="833"/>
      <c r="U24" s="833"/>
      <c r="V24" s="833"/>
      <c r="W24" s="833"/>
      <c r="X24" s="833"/>
      <c r="Y24" s="833"/>
      <c r="Z24" s="833"/>
      <c r="AA24" s="833"/>
      <c r="AB24" s="833"/>
      <c r="AC24" s="833"/>
      <c r="AD24" s="833"/>
    </row>
    <row r="25" spans="1:30" hidden="1" outlineLevel="1">
      <c r="A25" s="579"/>
      <c r="B25" s="604">
        <v>42063</v>
      </c>
      <c r="C25" s="604"/>
      <c r="D25" s="612"/>
      <c r="E25" s="612">
        <f t="shared" si="3"/>
        <v>-6494703.0701314239</v>
      </c>
      <c r="F25" s="608">
        <f t="shared" si="4"/>
        <v>-3587799.6798709887</v>
      </c>
      <c r="G25" s="612">
        <f t="shared" si="5"/>
        <v>-138185.17170492391</v>
      </c>
      <c r="H25" s="608">
        <f>H24-G25</f>
        <v>414555.51511477173</v>
      </c>
      <c r="I25" s="608">
        <f>(H15+H25+SUM(H16:H24)*2)/24</f>
        <v>51819.439389346466</v>
      </c>
      <c r="J25" s="608">
        <f t="shared" si="7"/>
        <v>-3535980.2404816421</v>
      </c>
      <c r="K25" s="608">
        <f t="shared" si="0"/>
        <v>-48364.810096723362</v>
      </c>
      <c r="L25" s="608">
        <f t="shared" si="1"/>
        <v>2128051.6442558281</v>
      </c>
      <c r="M25" s="608">
        <f t="shared" si="8"/>
        <v>1237593.0841685748</v>
      </c>
      <c r="N25" s="616">
        <f>M25+J25</f>
        <v>-2298387.1563130673</v>
      </c>
      <c r="O25" s="894">
        <f t="shared" si="2"/>
        <v>-3952095.9107608236</v>
      </c>
      <c r="P25" s="833"/>
      <c r="Q25" s="682"/>
      <c r="R25" s="833"/>
      <c r="S25" s="833"/>
      <c r="T25" s="833"/>
      <c r="U25" s="833"/>
      <c r="V25" s="833"/>
      <c r="W25" s="833"/>
      <c r="X25" s="833"/>
      <c r="Y25" s="833"/>
      <c r="Z25" s="833"/>
      <c r="AA25" s="833"/>
      <c r="AB25" s="833"/>
      <c r="AC25" s="833"/>
      <c r="AD25" s="833"/>
    </row>
    <row r="26" spans="1:30" s="833" customFormat="1" hidden="1" outlineLevel="1">
      <c r="A26" s="579"/>
      <c r="B26" s="604">
        <v>42094</v>
      </c>
      <c r="C26" s="604"/>
      <c r="D26" s="612"/>
      <c r="E26" s="612">
        <f t="shared" si="3"/>
        <v>-6494703.0701314239</v>
      </c>
      <c r="F26" s="608">
        <f t="shared" si="4"/>
        <v>-4129024.9357152735</v>
      </c>
      <c r="G26" s="612">
        <f t="shared" si="5"/>
        <v>-138185.17170492391</v>
      </c>
      <c r="H26" s="608">
        <f t="shared" si="6"/>
        <v>552740.68681969563</v>
      </c>
      <c r="I26" s="608">
        <f>(H15+H26+SUM(H16:H25)*2)/24</f>
        <v>92123.447803282601</v>
      </c>
      <c r="J26" s="608">
        <f t="shared" si="7"/>
        <v>-4036901.4879119908</v>
      </c>
      <c r="K26" s="608">
        <f t="shared" si="0"/>
        <v>-48364.810096723362</v>
      </c>
      <c r="L26" s="608">
        <f t="shared" si="1"/>
        <v>2079686.8341591049</v>
      </c>
      <c r="M26" s="608">
        <f t="shared" si="8"/>
        <v>1412915.5207691968</v>
      </c>
      <c r="N26" s="616">
        <f t="shared" ref="N26:N39" si="10">M26+J26</f>
        <v>-2623985.9671427943</v>
      </c>
      <c r="O26" s="894">
        <f t="shared" si="2"/>
        <v>-3862275.5491526229</v>
      </c>
      <c r="Q26" s="682"/>
    </row>
    <row r="27" spans="1:30" s="833" customFormat="1" hidden="1" outlineLevel="1">
      <c r="A27" s="579"/>
      <c r="B27" s="604">
        <v>42124</v>
      </c>
      <c r="C27" s="604"/>
      <c r="D27" s="612"/>
      <c r="E27" s="612">
        <f t="shared" si="3"/>
        <v>-6494703.0701314239</v>
      </c>
      <c r="F27" s="608">
        <f t="shared" si="4"/>
        <v>-4661520.7519491669</v>
      </c>
      <c r="G27" s="612">
        <f t="shared" si="5"/>
        <v>-138185.17170492391</v>
      </c>
      <c r="H27" s="608">
        <f t="shared" si="6"/>
        <v>690925.8585246196</v>
      </c>
      <c r="I27" s="608">
        <f>(H15+H27+SUM(H16:H26)*2)/24</f>
        <v>143942.88719262907</v>
      </c>
      <c r="J27" s="608">
        <f t="shared" si="7"/>
        <v>-4517577.8647565376</v>
      </c>
      <c r="K27" s="608">
        <f t="shared" si="0"/>
        <v>-48364.810096723362</v>
      </c>
      <c r="L27" s="608">
        <f t="shared" si="1"/>
        <v>2031322.0240623816</v>
      </c>
      <c r="M27" s="608">
        <f t="shared" si="8"/>
        <v>1581152.2526647884</v>
      </c>
      <c r="N27" s="616">
        <f t="shared" si="10"/>
        <v>-2936425.612091749</v>
      </c>
      <c r="O27" s="894">
        <f t="shared" si="2"/>
        <v>-3772455.1875444227</v>
      </c>
      <c r="Q27" s="682"/>
    </row>
    <row r="28" spans="1:30" s="833" customFormat="1" hidden="1" outlineLevel="1">
      <c r="A28" s="579"/>
      <c r="B28" s="604">
        <v>42155</v>
      </c>
      <c r="C28" s="604"/>
      <c r="D28" s="612"/>
      <c r="E28" s="612">
        <f t="shared" si="3"/>
        <v>-6494703.0701314239</v>
      </c>
      <c r="F28" s="608">
        <f t="shared" si="4"/>
        <v>-5147875.2445281325</v>
      </c>
      <c r="G28" s="612">
        <f t="shared" si="5"/>
        <v>-138185.17170492391</v>
      </c>
      <c r="H28" s="608">
        <f t="shared" si="6"/>
        <v>829111.03022954357</v>
      </c>
      <c r="I28" s="608">
        <f>(H16+H28+SUM(H17:H27)*2)/24</f>
        <v>207277.75755738586</v>
      </c>
      <c r="J28" s="608">
        <f t="shared" si="7"/>
        <v>-4940597.4869707469</v>
      </c>
      <c r="K28" s="608">
        <f t="shared" si="0"/>
        <v>-48364.810096723362</v>
      </c>
      <c r="L28" s="608">
        <f t="shared" si="1"/>
        <v>1982957.2139656583</v>
      </c>
      <c r="M28" s="608">
        <f t="shared" si="8"/>
        <v>1729209.1204397616</v>
      </c>
      <c r="N28" s="616">
        <f t="shared" si="10"/>
        <v>-3211388.3665309856</v>
      </c>
      <c r="O28" s="894">
        <f t="shared" si="2"/>
        <v>-3682634.8259362224</v>
      </c>
      <c r="Q28" s="682"/>
    </row>
    <row r="29" spans="1:30" hidden="1" outlineLevel="1">
      <c r="A29" s="579"/>
      <c r="B29" s="604">
        <v>42185</v>
      </c>
      <c r="C29" s="604"/>
      <c r="D29" s="612"/>
      <c r="E29" s="612">
        <f>E28+D29</f>
        <v>-6494703.0701314239</v>
      </c>
      <c r="F29" s="608">
        <f t="shared" si="4"/>
        <v>-5559405.9690180263</v>
      </c>
      <c r="G29" s="612">
        <f t="shared" si="5"/>
        <v>-138185.17170492391</v>
      </c>
      <c r="H29" s="608">
        <f t="shared" si="6"/>
        <v>967296.20193446754</v>
      </c>
      <c r="I29" s="608">
        <f>(H17+H29+SUM(H18:H28)*2)/24</f>
        <v>282128.05889755301</v>
      </c>
      <c r="J29" s="608">
        <f t="shared" si="7"/>
        <v>-5277277.9101204732</v>
      </c>
      <c r="K29" s="608">
        <f>(-D29*0.35)+(G29*0.35)</f>
        <v>-48364.810096723362</v>
      </c>
      <c r="L29" s="608">
        <f t="shared" si="1"/>
        <v>1934592.4038689351</v>
      </c>
      <c r="M29" s="608">
        <f t="shared" si="8"/>
        <v>1847047.2685421659</v>
      </c>
      <c r="N29" s="616">
        <f t="shared" si="10"/>
        <v>-3430230.6415783074</v>
      </c>
      <c r="O29" s="894">
        <f t="shared" si="2"/>
        <v>-3592814.4643280217</v>
      </c>
      <c r="P29" s="833"/>
      <c r="Q29" s="682"/>
      <c r="R29" s="833"/>
      <c r="S29" s="833"/>
      <c r="T29" s="833"/>
      <c r="U29" s="833"/>
      <c r="V29" s="833"/>
      <c r="W29" s="833"/>
      <c r="X29" s="833"/>
      <c r="Y29" s="833"/>
      <c r="Z29" s="833"/>
      <c r="AA29" s="833"/>
      <c r="AB29" s="833"/>
      <c r="AC29" s="833"/>
      <c r="AD29" s="833"/>
    </row>
    <row r="30" spans="1:30" hidden="1" outlineLevel="1">
      <c r="A30" s="579"/>
      <c r="B30" s="604">
        <v>42216</v>
      </c>
      <c r="C30" s="604"/>
      <c r="D30" s="612"/>
      <c r="E30" s="612">
        <f t="shared" si="3"/>
        <v>-6494703.0701314239</v>
      </c>
      <c r="F30" s="608">
        <f>(E18+E30+SUM(E19:E29)*2)/24</f>
        <v>-5896112.9254188491</v>
      </c>
      <c r="G30" s="612">
        <f t="shared" si="5"/>
        <v>-138185.17170492391</v>
      </c>
      <c r="H30" s="608">
        <f t="shared" si="6"/>
        <v>1105481.3736393915</v>
      </c>
      <c r="I30" s="608">
        <f>(H18+H30+SUM(H19:H29)*2)/24</f>
        <v>368493.7912131304</v>
      </c>
      <c r="J30" s="608">
        <f t="shared" si="7"/>
        <v>-5527619.1342057185</v>
      </c>
      <c r="K30" s="608">
        <f>(-D30*0.35)+(G30*0.35)</f>
        <v>-48364.810096723362</v>
      </c>
      <c r="L30" s="608">
        <f t="shared" si="1"/>
        <v>1886227.5937722118</v>
      </c>
      <c r="M30" s="608">
        <f>(L18+L30+SUM(L19:L29)*2)/24</f>
        <v>1934666.696972002</v>
      </c>
      <c r="N30" s="616">
        <f>M30+J30</f>
        <v>-3592952.4372337162</v>
      </c>
      <c r="O30" s="894">
        <f t="shared" si="2"/>
        <v>-3502994.1027198201</v>
      </c>
      <c r="P30" s="833"/>
      <c r="Q30" s="682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33"/>
      <c r="AC30" s="833"/>
      <c r="AD30" s="833"/>
    </row>
    <row r="31" spans="1:30" s="833" customFormat="1" collapsed="1">
      <c r="A31" s="579"/>
      <c r="B31" s="604">
        <v>42247</v>
      </c>
      <c r="C31" s="604"/>
      <c r="D31" s="612"/>
      <c r="E31" s="612">
        <f t="shared" si="3"/>
        <v>-6494703.0701314239</v>
      </c>
      <c r="F31" s="608">
        <f>(E19+E31+SUM(E20:E30)*2)/24</f>
        <v>-6157996.113730601</v>
      </c>
      <c r="G31" s="612">
        <f t="shared" si="5"/>
        <v>-138185.17170492391</v>
      </c>
      <c r="H31" s="608">
        <f t="shared" si="6"/>
        <v>1243666.5453443155</v>
      </c>
      <c r="I31" s="608">
        <f t="shared" ref="I31:I39" si="11">(H19+H31+SUM(H20:H30)*2)/24</f>
        <v>466374.95450411824</v>
      </c>
      <c r="J31" s="608">
        <f t="shared" si="7"/>
        <v>-5691621.1592264827</v>
      </c>
      <c r="K31" s="608">
        <f>(-D31*0.35)+(G31*0.35)</f>
        <v>-48364.810096723362</v>
      </c>
      <c r="L31" s="608">
        <f t="shared" si="1"/>
        <v>1837862.7836754886</v>
      </c>
      <c r="M31" s="608">
        <f t="shared" si="8"/>
        <v>1992067.4057292689</v>
      </c>
      <c r="N31" s="616">
        <f t="shared" si="10"/>
        <v>-3699553.7534972141</v>
      </c>
      <c r="O31" s="894">
        <f t="shared" si="2"/>
        <v>-3413173.7411116199</v>
      </c>
      <c r="Q31" s="682"/>
    </row>
    <row r="32" spans="1:30" s="833" customFormat="1">
      <c r="A32" s="579"/>
      <c r="B32" s="604">
        <v>42277</v>
      </c>
      <c r="C32" s="604"/>
      <c r="D32" s="612"/>
      <c r="E32" s="612">
        <f t="shared" si="3"/>
        <v>-6494703.0701314239</v>
      </c>
      <c r="F32" s="608">
        <f t="shared" ref="F32:F39" si="12">(E20+E32+SUM(E21:E31)*2)/24</f>
        <v>-6345055.5339532802</v>
      </c>
      <c r="G32" s="612">
        <f t="shared" si="5"/>
        <v>-138185.17170492391</v>
      </c>
      <c r="H32" s="608">
        <f t="shared" si="6"/>
        <v>1381851.7170492394</v>
      </c>
      <c r="I32" s="608">
        <f t="shared" si="11"/>
        <v>575771.5487705163</v>
      </c>
      <c r="J32" s="608">
        <f t="shared" si="7"/>
        <v>-5769283.985182764</v>
      </c>
      <c r="K32" s="608">
        <f t="shared" si="0"/>
        <v>-48364.810096723362</v>
      </c>
      <c r="L32" s="608">
        <f t="shared" si="1"/>
        <v>1789497.9735787653</v>
      </c>
      <c r="M32" s="608">
        <f t="shared" ref="M32:M39" si="13">(L20+L32+SUM(L21:L31)*2)/24</f>
        <v>2019249.3948139676</v>
      </c>
      <c r="N32" s="616">
        <f t="shared" si="10"/>
        <v>-3750034.5903687961</v>
      </c>
      <c r="O32" s="894">
        <f t="shared" si="2"/>
        <v>-3323353.3795034196</v>
      </c>
      <c r="Q32" s="682"/>
    </row>
    <row r="33" spans="1:30">
      <c r="A33" s="579"/>
      <c r="B33" s="604">
        <v>42308</v>
      </c>
      <c r="C33" s="604"/>
      <c r="D33" s="612"/>
      <c r="E33" s="612">
        <f t="shared" si="3"/>
        <v>-6494703.0701314239</v>
      </c>
      <c r="F33" s="608">
        <f t="shared" si="12"/>
        <v>-6457291.1860868866</v>
      </c>
      <c r="G33" s="612">
        <f t="shared" si="5"/>
        <v>-138185.17170492391</v>
      </c>
      <c r="H33" s="608">
        <f t="shared" si="6"/>
        <v>1520036.8887541634</v>
      </c>
      <c r="I33" s="608">
        <f t="shared" si="11"/>
        <v>696683.5740123248</v>
      </c>
      <c r="J33" s="608">
        <f t="shared" si="7"/>
        <v>-5760607.6120745614</v>
      </c>
      <c r="K33" s="608">
        <f t="shared" si="0"/>
        <v>-48364.810096723362</v>
      </c>
      <c r="L33" s="608">
        <f t="shared" si="1"/>
        <v>1741133.163482042</v>
      </c>
      <c r="M33" s="608">
        <f t="shared" si="13"/>
        <v>2016212.6642260973</v>
      </c>
      <c r="N33" s="616">
        <f t="shared" si="10"/>
        <v>-3744394.9478484644</v>
      </c>
      <c r="O33" s="894">
        <f t="shared" si="2"/>
        <v>-3233533.017895218</v>
      </c>
      <c r="P33" s="833"/>
      <c r="Q33" s="682"/>
      <c r="R33" s="833"/>
      <c r="S33" s="833"/>
      <c r="T33" s="833"/>
      <c r="U33" s="833"/>
      <c r="V33" s="833"/>
      <c r="W33" s="833"/>
      <c r="X33" s="833"/>
      <c r="Y33" s="833"/>
      <c r="Z33" s="833"/>
      <c r="AA33" s="833"/>
      <c r="AB33" s="833"/>
      <c r="AC33" s="833"/>
      <c r="AD33" s="833"/>
    </row>
    <row r="34" spans="1:30">
      <c r="A34" s="579"/>
      <c r="B34" s="604">
        <v>42338</v>
      </c>
      <c r="C34" s="604"/>
      <c r="D34" s="612"/>
      <c r="E34" s="612">
        <f t="shared" si="3"/>
        <v>-6494703.0701314239</v>
      </c>
      <c r="F34" s="608">
        <f>(E22+E34+SUM(E23:E33)*2)/24</f>
        <v>-6494703.070131422</v>
      </c>
      <c r="G34" s="612">
        <f t="shared" si="5"/>
        <v>-138185.17170492391</v>
      </c>
      <c r="H34" s="608">
        <f t="shared" si="6"/>
        <v>1658222.0604590874</v>
      </c>
      <c r="I34" s="608">
        <f>(H22+H34+SUM(H23:H33)*2)/24</f>
        <v>829111.03022954368</v>
      </c>
      <c r="J34" s="608">
        <f t="shared" si="7"/>
        <v>-5665592.0399018787</v>
      </c>
      <c r="K34" s="608">
        <f t="shared" si="0"/>
        <v>-48364.810096723362</v>
      </c>
      <c r="L34" s="608">
        <f t="shared" si="1"/>
        <v>1692768.3533853188</v>
      </c>
      <c r="M34" s="608">
        <f>(L22+L34+SUM(L23:L33)*2)/24</f>
        <v>1982957.2139656583</v>
      </c>
      <c r="N34" s="616">
        <f>M34+J34</f>
        <v>-3682634.8259362206</v>
      </c>
      <c r="O34" s="894">
        <f t="shared" si="2"/>
        <v>-3143712.6562870173</v>
      </c>
      <c r="P34" s="833"/>
      <c r="Q34" s="682"/>
      <c r="R34" s="833"/>
      <c r="S34" s="833"/>
      <c r="T34" s="833"/>
      <c r="U34" s="833"/>
      <c r="V34" s="833"/>
      <c r="W34" s="833"/>
      <c r="X34" s="833"/>
      <c r="Y34" s="833"/>
      <c r="Z34" s="833"/>
      <c r="AA34" s="833"/>
      <c r="AB34" s="833"/>
      <c r="AC34" s="833"/>
      <c r="AD34" s="833"/>
    </row>
    <row r="35" spans="1:30" s="833" customFormat="1">
      <c r="A35" s="579"/>
      <c r="B35" s="605">
        <v>42369</v>
      </c>
      <c r="C35" s="605"/>
      <c r="D35" s="611"/>
      <c r="E35" s="611">
        <f t="shared" si="3"/>
        <v>-6494703.0701314239</v>
      </c>
      <c r="F35" s="608">
        <f t="shared" si="12"/>
        <v>-6494703.070131422</v>
      </c>
      <c r="G35" s="611">
        <f>E35/47</f>
        <v>-138185.17170492391</v>
      </c>
      <c r="H35" s="610">
        <f t="shared" si="6"/>
        <v>1796407.2321640113</v>
      </c>
      <c r="I35" s="608">
        <f t="shared" si="11"/>
        <v>967296.20193446754</v>
      </c>
      <c r="J35" s="608">
        <f t="shared" si="7"/>
        <v>-5527406.868196955</v>
      </c>
      <c r="K35" s="610">
        <f t="shared" si="0"/>
        <v>-48364.810096723362</v>
      </c>
      <c r="L35" s="610">
        <f t="shared" si="1"/>
        <v>1644403.5432885955</v>
      </c>
      <c r="M35" s="608">
        <f t="shared" si="13"/>
        <v>1934592.4038689351</v>
      </c>
      <c r="N35" s="616">
        <f t="shared" si="10"/>
        <v>-3592814.4643280199</v>
      </c>
      <c r="O35" s="619">
        <f t="shared" si="2"/>
        <v>-3053892.294678817</v>
      </c>
      <c r="Q35" s="682"/>
    </row>
    <row r="36" spans="1:30" s="833" customFormat="1">
      <c r="A36" s="579"/>
      <c r="B36" s="605">
        <v>42400</v>
      </c>
      <c r="C36" s="605"/>
      <c r="D36" s="611"/>
      <c r="E36" s="611">
        <f t="shared" si="3"/>
        <v>-6494703.0701314239</v>
      </c>
      <c r="F36" s="608">
        <f t="shared" si="12"/>
        <v>-6494703.070131422</v>
      </c>
      <c r="G36" s="611">
        <f t="shared" ref="G36:G68" si="14">E36/47</f>
        <v>-138185.17170492391</v>
      </c>
      <c r="H36" s="610">
        <f>H35-G36</f>
        <v>1934592.4038689353</v>
      </c>
      <c r="I36" s="608">
        <f t="shared" si="11"/>
        <v>1105481.3736393915</v>
      </c>
      <c r="J36" s="608">
        <f t="shared" si="7"/>
        <v>-5389221.6964920303</v>
      </c>
      <c r="K36" s="610">
        <f t="shared" si="0"/>
        <v>-48364.810096723362</v>
      </c>
      <c r="L36" s="610">
        <f t="shared" si="1"/>
        <v>1596038.7331918722</v>
      </c>
      <c r="M36" s="608">
        <f t="shared" si="13"/>
        <v>1886227.593772212</v>
      </c>
      <c r="N36" s="616">
        <f t="shared" si="10"/>
        <v>-3502994.1027198182</v>
      </c>
      <c r="O36" s="619">
        <f t="shared" si="2"/>
        <v>-2964071.9330706168</v>
      </c>
      <c r="Q36" s="682"/>
    </row>
    <row r="37" spans="1:30">
      <c r="A37" s="579"/>
      <c r="B37" s="605">
        <v>42428</v>
      </c>
      <c r="C37" s="605"/>
      <c r="D37" s="611"/>
      <c r="E37" s="611">
        <f t="shared" si="3"/>
        <v>-6494703.0701314239</v>
      </c>
      <c r="F37" s="608">
        <f t="shared" si="12"/>
        <v>-6494703.070131422</v>
      </c>
      <c r="G37" s="611">
        <f t="shared" si="14"/>
        <v>-138185.17170492391</v>
      </c>
      <c r="H37" s="610">
        <f t="shared" si="6"/>
        <v>2072777.5755738593</v>
      </c>
      <c r="I37" s="608">
        <f t="shared" si="11"/>
        <v>1243666.5453443155</v>
      </c>
      <c r="J37" s="608">
        <f t="shared" si="7"/>
        <v>-5251036.5247871066</v>
      </c>
      <c r="K37" s="610">
        <f t="shared" si="0"/>
        <v>-48364.810096723362</v>
      </c>
      <c r="L37" s="610">
        <f t="shared" si="1"/>
        <v>1547673.923095149</v>
      </c>
      <c r="M37" s="608">
        <f t="shared" si="13"/>
        <v>1837862.7836754888</v>
      </c>
      <c r="N37" s="616">
        <f t="shared" si="10"/>
        <v>-3413173.7411116175</v>
      </c>
      <c r="O37" s="619">
        <f t="shared" si="2"/>
        <v>-2874251.5714624161</v>
      </c>
      <c r="P37" s="833"/>
      <c r="Q37" s="682"/>
      <c r="R37" s="833"/>
      <c r="S37" s="833"/>
      <c r="T37" s="833"/>
      <c r="U37" s="833"/>
      <c r="V37" s="833"/>
      <c r="W37" s="833"/>
      <c r="X37" s="833"/>
      <c r="Y37" s="833"/>
      <c r="Z37" s="833"/>
      <c r="AA37" s="833"/>
      <c r="AB37" s="833"/>
      <c r="AC37" s="833"/>
      <c r="AD37" s="833"/>
    </row>
    <row r="38" spans="1:30">
      <c r="A38" s="579"/>
      <c r="B38" s="605">
        <v>42460</v>
      </c>
      <c r="C38" s="605"/>
      <c r="D38" s="611"/>
      <c r="E38" s="611">
        <f t="shared" si="3"/>
        <v>-6494703.0701314239</v>
      </c>
      <c r="F38" s="608">
        <f t="shared" si="12"/>
        <v>-6494703.070131422</v>
      </c>
      <c r="G38" s="611">
        <f t="shared" si="14"/>
        <v>-138185.17170492391</v>
      </c>
      <c r="H38" s="610">
        <f t="shared" si="6"/>
        <v>2210962.747278783</v>
      </c>
      <c r="I38" s="608">
        <f>(H26+H38+SUM(H27:H37)*2)/24</f>
        <v>1381851.7170492394</v>
      </c>
      <c r="J38" s="608">
        <f t="shared" si="7"/>
        <v>-5112851.3530821828</v>
      </c>
      <c r="K38" s="610">
        <f t="shared" si="0"/>
        <v>-48364.810096723362</v>
      </c>
      <c r="L38" s="610">
        <f t="shared" si="1"/>
        <v>1499309.1129984257</v>
      </c>
      <c r="M38" s="608">
        <f t="shared" si="13"/>
        <v>1789497.9735787653</v>
      </c>
      <c r="N38" s="616">
        <f t="shared" si="10"/>
        <v>-3323353.3795034178</v>
      </c>
      <c r="O38" s="619">
        <f t="shared" si="2"/>
        <v>-2784431.2098542154</v>
      </c>
      <c r="Q38" s="682"/>
    </row>
    <row r="39" spans="1:30" s="833" customFormat="1">
      <c r="A39" s="579"/>
      <c r="B39" s="604">
        <v>42490</v>
      </c>
      <c r="C39" s="605"/>
      <c r="D39" s="611"/>
      <c r="E39" s="611">
        <f t="shared" si="3"/>
        <v>-6494703.0701314239</v>
      </c>
      <c r="F39" s="608">
        <f t="shared" si="12"/>
        <v>-6494703.070131422</v>
      </c>
      <c r="G39" s="611">
        <f>E39/47</f>
        <v>-138185.17170492391</v>
      </c>
      <c r="H39" s="610">
        <f t="shared" si="6"/>
        <v>2349147.9189837067</v>
      </c>
      <c r="I39" s="608">
        <f t="shared" si="11"/>
        <v>1520036.8887541636</v>
      </c>
      <c r="J39" s="608">
        <f t="shared" si="7"/>
        <v>-4974666.1813772582</v>
      </c>
      <c r="K39" s="610">
        <f t="shared" si="0"/>
        <v>-48364.810096723362</v>
      </c>
      <c r="L39" s="610">
        <f t="shared" si="1"/>
        <v>1450944.3029017025</v>
      </c>
      <c r="M39" s="608">
        <f t="shared" si="13"/>
        <v>1741133.163482042</v>
      </c>
      <c r="N39" s="616">
        <f t="shared" si="10"/>
        <v>-3233533.0178952161</v>
      </c>
      <c r="O39" s="619">
        <f t="shared" si="2"/>
        <v>-2694610.8482460147</v>
      </c>
      <c r="Q39" s="682"/>
    </row>
    <row r="40" spans="1:30">
      <c r="A40" s="580"/>
      <c r="B40" s="604">
        <v>42521</v>
      </c>
      <c r="C40" s="617"/>
      <c r="D40" s="610"/>
      <c r="E40" s="608">
        <f t="shared" si="3"/>
        <v>-6494703.0701314239</v>
      </c>
      <c r="F40" s="608">
        <f>(E28+E40+SUM(E29:E39)*2)/24</f>
        <v>-6494703.070131422</v>
      </c>
      <c r="G40" s="611">
        <f t="shared" si="14"/>
        <v>-138185.17170492391</v>
      </c>
      <c r="H40" s="608">
        <f t="shared" si="6"/>
        <v>2487333.0906886305</v>
      </c>
      <c r="I40" s="608">
        <f>(H28+H40+SUM(H29:H39)*2)/24</f>
        <v>1658222.0604590876</v>
      </c>
      <c r="J40" s="608">
        <f t="shared" si="7"/>
        <v>-4836481.0096723344</v>
      </c>
      <c r="K40" s="608">
        <f t="shared" si="0"/>
        <v>-48364.810096723362</v>
      </c>
      <c r="L40" s="608">
        <f t="shared" si="1"/>
        <v>1402579.4928049792</v>
      </c>
      <c r="M40" s="608">
        <f>(L28+L40+SUM(L29:L39)*2)/24</f>
        <v>1692768.353385319</v>
      </c>
      <c r="N40" s="616">
        <f>M40+J40</f>
        <v>-3143712.6562870154</v>
      </c>
      <c r="O40" s="619">
        <f t="shared" si="2"/>
        <v>-2604790.486637814</v>
      </c>
      <c r="Q40" s="682"/>
    </row>
    <row r="41" spans="1:30" s="833" customFormat="1">
      <c r="A41" s="580"/>
      <c r="B41" s="614">
        <v>42551</v>
      </c>
      <c r="C41" s="617"/>
      <c r="D41" s="610"/>
      <c r="E41" s="608">
        <f t="shared" si="3"/>
        <v>-6494703.0701314239</v>
      </c>
      <c r="F41" s="608">
        <f t="shared" ref="F41:F45" si="15">(E29+E41+SUM(E30:E40)*2)/24</f>
        <v>-6494703.070131422</v>
      </c>
      <c r="G41" s="611">
        <f t="shared" si="14"/>
        <v>-138185.17170492391</v>
      </c>
      <c r="H41" s="608">
        <f t="shared" si="6"/>
        <v>2625518.2623935542</v>
      </c>
      <c r="I41" s="608">
        <f t="shared" ref="I41:I44" si="16">(H29+H41+SUM(H30:H40)*2)/24</f>
        <v>1796407.2321640113</v>
      </c>
      <c r="J41" s="608">
        <f t="shared" si="7"/>
        <v>-4698295.8379674107</v>
      </c>
      <c r="K41" s="608">
        <f t="shared" si="0"/>
        <v>-48364.810096723362</v>
      </c>
      <c r="L41" s="608">
        <f t="shared" si="1"/>
        <v>1354214.6827082559</v>
      </c>
      <c r="M41" s="608">
        <f t="shared" ref="M41:M45" si="17">(L29+L41+SUM(L30:L40)*2)/24</f>
        <v>1644403.5432885957</v>
      </c>
      <c r="N41" s="616">
        <f t="shared" ref="N41:N82" si="18">M41+J41</f>
        <v>-3053892.2946788147</v>
      </c>
      <c r="O41" s="619">
        <f t="shared" si="2"/>
        <v>-2514970.1250296137</v>
      </c>
      <c r="Q41" s="682"/>
    </row>
    <row r="42" spans="1:30">
      <c r="A42" s="580"/>
      <c r="B42" s="605">
        <v>42582</v>
      </c>
      <c r="C42" s="617"/>
      <c r="D42" s="610"/>
      <c r="E42" s="608">
        <f t="shared" si="3"/>
        <v>-6494703.0701314239</v>
      </c>
      <c r="F42" s="608">
        <f t="shared" si="15"/>
        <v>-6494703.070131422</v>
      </c>
      <c r="G42" s="611">
        <f t="shared" si="14"/>
        <v>-138185.17170492391</v>
      </c>
      <c r="H42" s="608">
        <f t="shared" si="6"/>
        <v>2763703.4340984779</v>
      </c>
      <c r="I42" s="608">
        <f t="shared" si="16"/>
        <v>1934592.4038689351</v>
      </c>
      <c r="J42" s="608">
        <f t="shared" si="7"/>
        <v>-4560110.6662624869</v>
      </c>
      <c r="K42" s="608">
        <f t="shared" si="0"/>
        <v>-48364.810096723362</v>
      </c>
      <c r="L42" s="608">
        <f t="shared" si="1"/>
        <v>1305849.8726115327</v>
      </c>
      <c r="M42" s="608">
        <f t="shared" si="17"/>
        <v>1596038.7331918722</v>
      </c>
      <c r="N42" s="616">
        <f t="shared" si="18"/>
        <v>-2964071.9330706149</v>
      </c>
      <c r="O42" s="619">
        <f t="shared" si="2"/>
        <v>-2425149.7634214135</v>
      </c>
      <c r="Q42" s="682"/>
    </row>
    <row r="43" spans="1:30">
      <c r="A43" s="580"/>
      <c r="B43" s="605">
        <v>42613</v>
      </c>
      <c r="C43" s="617"/>
      <c r="D43" s="610"/>
      <c r="E43" s="608">
        <f t="shared" si="3"/>
        <v>-6494703.0701314239</v>
      </c>
      <c r="F43" s="608">
        <f t="shared" si="15"/>
        <v>-6494703.070131422</v>
      </c>
      <c r="G43" s="611">
        <f t="shared" si="14"/>
        <v>-138185.17170492391</v>
      </c>
      <c r="H43" s="608">
        <f t="shared" si="6"/>
        <v>2901888.6058034017</v>
      </c>
      <c r="I43" s="608">
        <f>(H31+H43+SUM(H32:H42)*2)/24</f>
        <v>2072777.5755738588</v>
      </c>
      <c r="J43" s="608">
        <f>F43+I43</f>
        <v>-4421925.4945575632</v>
      </c>
      <c r="K43" s="608">
        <f t="shared" si="0"/>
        <v>-48364.810096723362</v>
      </c>
      <c r="L43" s="608">
        <f t="shared" si="1"/>
        <v>1257485.0625148094</v>
      </c>
      <c r="M43" s="608">
        <f t="shared" si="17"/>
        <v>1547673.923095149</v>
      </c>
      <c r="N43" s="616">
        <f t="shared" si="18"/>
        <v>-2874251.5714624142</v>
      </c>
      <c r="O43" s="619">
        <f>E43+H43+L43</f>
        <v>-2335329.4018132128</v>
      </c>
      <c r="Q43" s="682"/>
    </row>
    <row r="44" spans="1:30">
      <c r="A44" s="580"/>
      <c r="B44" s="605">
        <v>42643</v>
      </c>
      <c r="C44" s="617"/>
      <c r="D44" s="610"/>
      <c r="E44" s="608">
        <f t="shared" si="3"/>
        <v>-6494703.0701314239</v>
      </c>
      <c r="F44" s="608">
        <f t="shared" si="15"/>
        <v>-6494703.070131422</v>
      </c>
      <c r="G44" s="611">
        <f t="shared" si="14"/>
        <v>-138185.17170492391</v>
      </c>
      <c r="H44" s="608">
        <f t="shared" si="6"/>
        <v>3040073.7775083254</v>
      </c>
      <c r="I44" s="608">
        <f t="shared" si="16"/>
        <v>2210962.747278783</v>
      </c>
      <c r="J44" s="608">
        <f t="shared" si="7"/>
        <v>-4283740.3228526395</v>
      </c>
      <c r="K44" s="608">
        <f>(-D44*0.35)+(G44*0.35)</f>
        <v>-48364.810096723362</v>
      </c>
      <c r="L44" s="608">
        <f t="shared" si="1"/>
        <v>1209120.2524180862</v>
      </c>
      <c r="M44" s="608">
        <f t="shared" si="17"/>
        <v>1499309.1129984257</v>
      </c>
      <c r="N44" s="616">
        <f t="shared" si="18"/>
        <v>-2784431.2098542135</v>
      </c>
      <c r="O44" s="619">
        <f t="shared" si="2"/>
        <v>-2245509.0402050121</v>
      </c>
      <c r="Q44" s="682"/>
    </row>
    <row r="45" spans="1:30">
      <c r="A45" s="580"/>
      <c r="B45" s="605">
        <v>42674</v>
      </c>
      <c r="C45" s="617"/>
      <c r="D45" s="610"/>
      <c r="E45" s="608">
        <f t="shared" si="3"/>
        <v>-6494703.0701314239</v>
      </c>
      <c r="F45" s="608">
        <f t="shared" si="15"/>
        <v>-6494703.070131422</v>
      </c>
      <c r="G45" s="611">
        <f t="shared" si="14"/>
        <v>-138185.17170492391</v>
      </c>
      <c r="H45" s="608">
        <f t="shared" si="6"/>
        <v>3178258.9492132491</v>
      </c>
      <c r="I45" s="608">
        <f>(H33+H45+SUM(H34:H44)*2)/24</f>
        <v>2349147.9189837067</v>
      </c>
      <c r="J45" s="608">
        <f>F45+I45</f>
        <v>-4145555.1511477153</v>
      </c>
      <c r="K45" s="608">
        <f>(-D45*0.35)+(G45*0.35)</f>
        <v>-48364.810096723362</v>
      </c>
      <c r="L45" s="608">
        <f>L44+K45</f>
        <v>1160755.4423213629</v>
      </c>
      <c r="M45" s="608">
        <f t="shared" si="17"/>
        <v>1450944.3029017027</v>
      </c>
      <c r="N45" s="616">
        <f t="shared" si="18"/>
        <v>-2694610.8482460128</v>
      </c>
      <c r="O45" s="619">
        <f t="shared" si="2"/>
        <v>-2155688.6785968118</v>
      </c>
      <c r="Q45" s="682"/>
    </row>
    <row r="46" spans="1:30">
      <c r="A46" s="580"/>
      <c r="B46" s="605">
        <v>42704</v>
      </c>
      <c r="C46" s="617"/>
      <c r="D46" s="610"/>
      <c r="E46" s="608">
        <f t="shared" si="3"/>
        <v>-6494703.0701314239</v>
      </c>
      <c r="F46" s="608">
        <f t="shared" ref="F46:F73" si="19">(E34+E46+SUM(E35:E45)*2)/24</f>
        <v>-6494703.070131422</v>
      </c>
      <c r="G46" s="611">
        <f t="shared" si="14"/>
        <v>-138185.17170492391</v>
      </c>
      <c r="H46" s="608">
        <f t="shared" si="6"/>
        <v>3316444.1209181729</v>
      </c>
      <c r="I46" s="608">
        <f t="shared" ref="I46:I82" si="20">(H34+H46+SUM(H35:H45)*2)/24</f>
        <v>2487333.0906886305</v>
      </c>
      <c r="J46" s="608">
        <f t="shared" ref="J46:J68" si="21">F46+I46</f>
        <v>-4007369.9794427915</v>
      </c>
      <c r="K46" s="608">
        <f t="shared" ref="K46:K59" si="22">(-D46*0.35)+(G46*0.35)</f>
        <v>-48364.810096723362</v>
      </c>
      <c r="L46" s="608">
        <f t="shared" ref="L46:L81" si="23">L45+K46</f>
        <v>1112390.6322246396</v>
      </c>
      <c r="M46" s="608">
        <f t="shared" ref="M46:M82" si="24">(L34+L46+SUM(L35:L45)*2)/24</f>
        <v>1402579.4928049792</v>
      </c>
      <c r="N46" s="616">
        <f t="shared" si="18"/>
        <v>-2604790.4866378121</v>
      </c>
      <c r="O46" s="619">
        <f t="shared" si="2"/>
        <v>-2065868.3169886114</v>
      </c>
      <c r="Q46" s="682"/>
    </row>
    <row r="47" spans="1:30">
      <c r="A47" s="579"/>
      <c r="B47" s="605">
        <v>42735</v>
      </c>
      <c r="C47" s="604"/>
      <c r="D47" s="611"/>
      <c r="E47" s="608">
        <f t="shared" si="3"/>
        <v>-6494703.0701314239</v>
      </c>
      <c r="F47" s="608">
        <f t="shared" si="19"/>
        <v>-6494703.070131422</v>
      </c>
      <c r="G47" s="611">
        <f t="shared" si="14"/>
        <v>-138185.17170492391</v>
      </c>
      <c r="H47" s="608">
        <f t="shared" si="6"/>
        <v>3454629.2926230966</v>
      </c>
      <c r="I47" s="608">
        <f t="shared" si="20"/>
        <v>2625518.2623935542</v>
      </c>
      <c r="J47" s="608">
        <f t="shared" si="21"/>
        <v>-3869184.8077378678</v>
      </c>
      <c r="K47" s="608">
        <f t="shared" si="22"/>
        <v>-48364.810096723362</v>
      </c>
      <c r="L47" s="608">
        <f t="shared" si="23"/>
        <v>1064025.8221279164</v>
      </c>
      <c r="M47" s="608">
        <f t="shared" si="24"/>
        <v>1354214.6827082562</v>
      </c>
      <c r="N47" s="616">
        <f t="shared" si="18"/>
        <v>-2514970.1250296114</v>
      </c>
      <c r="O47" s="619">
        <f t="shared" si="2"/>
        <v>-1976047.9553804109</v>
      </c>
      <c r="Q47" s="682"/>
    </row>
    <row r="48" spans="1:30">
      <c r="A48" s="579"/>
      <c r="B48" s="605">
        <v>42766</v>
      </c>
      <c r="C48" s="604"/>
      <c r="D48" s="611"/>
      <c r="E48" s="608">
        <f t="shared" si="3"/>
        <v>-6494703.0701314239</v>
      </c>
      <c r="F48" s="608">
        <f t="shared" si="19"/>
        <v>-6494703.070131422</v>
      </c>
      <c r="G48" s="611">
        <f t="shared" si="14"/>
        <v>-138185.17170492391</v>
      </c>
      <c r="H48" s="608">
        <f t="shared" si="6"/>
        <v>3592814.4643280203</v>
      </c>
      <c r="I48" s="608">
        <f t="shared" si="20"/>
        <v>2763703.4340984779</v>
      </c>
      <c r="J48" s="608">
        <f t="shared" si="21"/>
        <v>-3730999.6360329441</v>
      </c>
      <c r="K48" s="608">
        <f t="shared" si="22"/>
        <v>-48364.810096723362</v>
      </c>
      <c r="L48" s="608">
        <f t="shared" si="23"/>
        <v>1015661.012031193</v>
      </c>
      <c r="M48" s="608">
        <f t="shared" si="24"/>
        <v>1305849.8726115327</v>
      </c>
      <c r="N48" s="616">
        <f t="shared" si="18"/>
        <v>-2425149.7634214116</v>
      </c>
      <c r="O48" s="619">
        <f t="shared" si="2"/>
        <v>-1886227.5937722106</v>
      </c>
      <c r="Q48" s="682"/>
    </row>
    <row r="49" spans="1:17">
      <c r="A49" s="579"/>
      <c r="B49" s="605">
        <v>42794</v>
      </c>
      <c r="C49" s="604"/>
      <c r="D49" s="611"/>
      <c r="E49" s="608">
        <f t="shared" si="3"/>
        <v>-6494703.0701314239</v>
      </c>
      <c r="F49" s="608">
        <f t="shared" si="19"/>
        <v>-6494703.070131422</v>
      </c>
      <c r="G49" s="611">
        <f t="shared" si="14"/>
        <v>-138185.17170492391</v>
      </c>
      <c r="H49" s="608">
        <f t="shared" si="6"/>
        <v>3730999.6360329441</v>
      </c>
      <c r="I49" s="608">
        <f t="shared" si="20"/>
        <v>2901888.6058034017</v>
      </c>
      <c r="J49" s="608">
        <f t="shared" si="21"/>
        <v>-3592814.4643280203</v>
      </c>
      <c r="K49" s="608">
        <f t="shared" si="22"/>
        <v>-48364.810096723362</v>
      </c>
      <c r="L49" s="608">
        <f t="shared" si="23"/>
        <v>967296.20193446963</v>
      </c>
      <c r="M49" s="608">
        <f t="shared" si="24"/>
        <v>1257485.0625148097</v>
      </c>
      <c r="N49" s="616">
        <f t="shared" si="18"/>
        <v>-2335329.4018132109</v>
      </c>
      <c r="O49" s="619">
        <f t="shared" si="2"/>
        <v>-1796407.2321640102</v>
      </c>
      <c r="Q49" s="682"/>
    </row>
    <row r="50" spans="1:17">
      <c r="A50" s="579"/>
      <c r="B50" s="605">
        <v>42825</v>
      </c>
      <c r="C50" s="604"/>
      <c r="D50" s="611"/>
      <c r="E50" s="608">
        <f t="shared" si="3"/>
        <v>-6494703.0701314239</v>
      </c>
      <c r="F50" s="608">
        <f t="shared" si="19"/>
        <v>-6494703.070131422</v>
      </c>
      <c r="G50" s="611">
        <f t="shared" si="14"/>
        <v>-138185.17170492391</v>
      </c>
      <c r="H50" s="608">
        <f t="shared" si="6"/>
        <v>3869184.8077378678</v>
      </c>
      <c r="I50" s="608">
        <f t="shared" si="20"/>
        <v>3040073.7775083254</v>
      </c>
      <c r="J50" s="608">
        <f t="shared" si="21"/>
        <v>-3454629.2926230966</v>
      </c>
      <c r="K50" s="608">
        <f t="shared" si="22"/>
        <v>-48364.810096723362</v>
      </c>
      <c r="L50" s="608">
        <f t="shared" si="23"/>
        <v>918931.39183774625</v>
      </c>
      <c r="M50" s="608">
        <f t="shared" si="24"/>
        <v>1209120.2524180862</v>
      </c>
      <c r="N50" s="616">
        <f t="shared" si="18"/>
        <v>-2245509.0402050102</v>
      </c>
      <c r="O50" s="619">
        <f t="shared" si="2"/>
        <v>-1706586.8705558097</v>
      </c>
      <c r="Q50" s="682"/>
    </row>
    <row r="51" spans="1:17" ht="16.5" customHeight="1">
      <c r="A51" s="579"/>
      <c r="B51" s="604">
        <v>42855</v>
      </c>
      <c r="C51" s="604"/>
      <c r="D51" s="611"/>
      <c r="E51" s="608">
        <f t="shared" si="3"/>
        <v>-6494703.0701314239</v>
      </c>
      <c r="F51" s="608">
        <f t="shared" si="19"/>
        <v>-6494703.070131422</v>
      </c>
      <c r="G51" s="611">
        <f t="shared" si="14"/>
        <v>-138185.17170492391</v>
      </c>
      <c r="H51" s="608">
        <f t="shared" si="6"/>
        <v>4007369.9794427915</v>
      </c>
      <c r="I51" s="608">
        <f t="shared" si="20"/>
        <v>3178258.9492132491</v>
      </c>
      <c r="J51" s="608">
        <f t="shared" si="21"/>
        <v>-3316444.1209181729</v>
      </c>
      <c r="K51" s="608">
        <f t="shared" si="22"/>
        <v>-48364.810096723362</v>
      </c>
      <c r="L51" s="608">
        <f t="shared" si="23"/>
        <v>870566.58174102288</v>
      </c>
      <c r="M51" s="608">
        <f t="shared" si="24"/>
        <v>1160755.4423213627</v>
      </c>
      <c r="N51" s="616">
        <f t="shared" si="18"/>
        <v>-2155688.6785968104</v>
      </c>
      <c r="O51" s="619">
        <f t="shared" si="2"/>
        <v>-1616766.5089476095</v>
      </c>
      <c r="Q51" s="682"/>
    </row>
    <row r="52" spans="1:17">
      <c r="A52" s="579"/>
      <c r="B52" s="604">
        <v>42886</v>
      </c>
      <c r="C52" s="604"/>
      <c r="D52" s="611"/>
      <c r="E52" s="608">
        <f t="shared" si="3"/>
        <v>-6494703.0701314239</v>
      </c>
      <c r="F52" s="608">
        <f t="shared" si="19"/>
        <v>-6494703.070131422</v>
      </c>
      <c r="G52" s="611">
        <f t="shared" si="14"/>
        <v>-138185.17170492391</v>
      </c>
      <c r="H52" s="608">
        <f t="shared" si="6"/>
        <v>4145555.1511477153</v>
      </c>
      <c r="I52" s="608">
        <f t="shared" si="20"/>
        <v>3316444.1209181729</v>
      </c>
      <c r="J52" s="608">
        <f t="shared" si="21"/>
        <v>-3178258.9492132491</v>
      </c>
      <c r="K52" s="608">
        <f t="shared" si="22"/>
        <v>-48364.810096723362</v>
      </c>
      <c r="L52" s="608">
        <f t="shared" si="23"/>
        <v>822201.7716442995</v>
      </c>
      <c r="M52" s="608">
        <f t="shared" si="24"/>
        <v>1112390.6322246396</v>
      </c>
      <c r="N52" s="616">
        <f t="shared" si="18"/>
        <v>-2065868.3169886095</v>
      </c>
      <c r="O52" s="619">
        <f t="shared" si="2"/>
        <v>-1526946.1473394092</v>
      </c>
      <c r="Q52" s="682"/>
    </row>
    <row r="53" spans="1:17">
      <c r="A53" s="579"/>
      <c r="B53" s="604">
        <v>42916</v>
      </c>
      <c r="C53" s="604"/>
      <c r="D53" s="611"/>
      <c r="E53" s="608">
        <f t="shared" si="3"/>
        <v>-6494703.0701314239</v>
      </c>
      <c r="F53" s="608">
        <f t="shared" si="19"/>
        <v>-6494703.070131422</v>
      </c>
      <c r="G53" s="611">
        <f t="shared" si="14"/>
        <v>-138185.17170492391</v>
      </c>
      <c r="H53" s="608">
        <f t="shared" si="6"/>
        <v>4283740.3228526395</v>
      </c>
      <c r="I53" s="608">
        <f t="shared" si="20"/>
        <v>3454629.2926230966</v>
      </c>
      <c r="J53" s="608">
        <f t="shared" si="21"/>
        <v>-3040073.7775083254</v>
      </c>
      <c r="K53" s="608">
        <f t="shared" si="22"/>
        <v>-48364.810096723362</v>
      </c>
      <c r="L53" s="608">
        <f t="shared" si="23"/>
        <v>773836.96154757612</v>
      </c>
      <c r="M53" s="608">
        <f t="shared" si="24"/>
        <v>1064025.8221279162</v>
      </c>
      <c r="N53" s="616">
        <f t="shared" si="18"/>
        <v>-1976047.9553804093</v>
      </c>
      <c r="O53" s="619">
        <f t="shared" si="2"/>
        <v>-1437125.7857312083</v>
      </c>
      <c r="Q53" s="682"/>
    </row>
    <row r="54" spans="1:17" s="1319" customFormat="1">
      <c r="A54" s="1351"/>
      <c r="B54" s="1325">
        <v>42947</v>
      </c>
      <c r="C54" s="1352"/>
      <c r="D54" s="1323"/>
      <c r="E54" s="1320">
        <f t="shared" si="3"/>
        <v>-6494703.0701314239</v>
      </c>
      <c r="F54" s="1320">
        <f t="shared" si="19"/>
        <v>-6494703.070131422</v>
      </c>
      <c r="G54" s="1323">
        <f t="shared" si="14"/>
        <v>-138185.17170492391</v>
      </c>
      <c r="H54" s="1320">
        <f t="shared" si="6"/>
        <v>4421925.4945575632</v>
      </c>
      <c r="I54" s="1320">
        <f t="shared" si="20"/>
        <v>3592814.4643280203</v>
      </c>
      <c r="J54" s="1320">
        <f t="shared" si="21"/>
        <v>-2901888.6058034017</v>
      </c>
      <c r="K54" s="1320">
        <f t="shared" si="22"/>
        <v>-48364.810096723362</v>
      </c>
      <c r="L54" s="1320">
        <f t="shared" si="23"/>
        <v>725472.15145085275</v>
      </c>
      <c r="M54" s="1320">
        <f t="shared" si="24"/>
        <v>1015661.0120311929</v>
      </c>
      <c r="N54" s="1321">
        <f t="shared" si="18"/>
        <v>-1886227.5937722088</v>
      </c>
      <c r="O54" s="1322">
        <f t="shared" si="2"/>
        <v>-1347305.4241230078</v>
      </c>
      <c r="Q54" s="1324"/>
    </row>
    <row r="55" spans="1:17">
      <c r="A55" s="579"/>
      <c r="B55" s="605">
        <v>42978</v>
      </c>
      <c r="C55" s="604"/>
      <c r="D55" s="611"/>
      <c r="E55" s="608">
        <f t="shared" si="3"/>
        <v>-6494703.0701314239</v>
      </c>
      <c r="F55" s="608">
        <f t="shared" si="19"/>
        <v>-6494703.070131422</v>
      </c>
      <c r="G55" s="611">
        <f t="shared" si="14"/>
        <v>-138185.17170492391</v>
      </c>
      <c r="H55" s="608">
        <f t="shared" si="6"/>
        <v>4560110.6662624869</v>
      </c>
      <c r="I55" s="608">
        <f t="shared" si="20"/>
        <v>3730999.6360329445</v>
      </c>
      <c r="J55" s="608">
        <f t="shared" si="21"/>
        <v>-2763703.4340984775</v>
      </c>
      <c r="K55" s="608">
        <f t="shared" si="22"/>
        <v>-48364.810096723362</v>
      </c>
      <c r="L55" s="608">
        <f t="shared" si="23"/>
        <v>677107.34135412937</v>
      </c>
      <c r="M55" s="608">
        <f t="shared" si="24"/>
        <v>967296.20193446951</v>
      </c>
      <c r="N55" s="616">
        <f t="shared" si="18"/>
        <v>-1796407.2321640081</v>
      </c>
      <c r="O55" s="619">
        <f t="shared" si="2"/>
        <v>-1257485.0625148076</v>
      </c>
      <c r="Q55" s="682"/>
    </row>
    <row r="56" spans="1:17">
      <c r="A56" s="579"/>
      <c r="B56" s="605">
        <v>43008</v>
      </c>
      <c r="C56" s="604"/>
      <c r="D56" s="611"/>
      <c r="E56" s="608">
        <f t="shared" si="3"/>
        <v>-6494703.0701314239</v>
      </c>
      <c r="F56" s="608">
        <f t="shared" si="19"/>
        <v>-6494703.070131422</v>
      </c>
      <c r="G56" s="611">
        <f t="shared" si="14"/>
        <v>-138185.17170492391</v>
      </c>
      <c r="H56" s="608">
        <f t="shared" si="6"/>
        <v>4698295.8379674107</v>
      </c>
      <c r="I56" s="608">
        <f t="shared" si="20"/>
        <v>3869184.8077378669</v>
      </c>
      <c r="J56" s="608">
        <f t="shared" si="21"/>
        <v>-2625518.2623935551</v>
      </c>
      <c r="K56" s="608">
        <f t="shared" si="22"/>
        <v>-48364.810096723362</v>
      </c>
      <c r="L56" s="608">
        <f t="shared" si="23"/>
        <v>628742.53125740599</v>
      </c>
      <c r="M56" s="608">
        <f t="shared" si="24"/>
        <v>918931.39183774625</v>
      </c>
      <c r="N56" s="616">
        <f t="shared" si="18"/>
        <v>-1706586.8705558088</v>
      </c>
      <c r="O56" s="619">
        <f t="shared" si="2"/>
        <v>-1167664.7009066073</v>
      </c>
      <c r="Q56" s="682"/>
    </row>
    <row r="57" spans="1:17">
      <c r="A57" s="579"/>
      <c r="B57" s="605">
        <v>43039</v>
      </c>
      <c r="C57" s="604"/>
      <c r="D57" s="611"/>
      <c r="E57" s="608">
        <f t="shared" si="3"/>
        <v>-6494703.0701314239</v>
      </c>
      <c r="F57" s="608">
        <f t="shared" si="19"/>
        <v>-6494703.070131422</v>
      </c>
      <c r="G57" s="611">
        <f t="shared" si="14"/>
        <v>-138185.17170492391</v>
      </c>
      <c r="H57" s="608">
        <f t="shared" si="6"/>
        <v>4836481.0096723344</v>
      </c>
      <c r="I57" s="608">
        <f t="shared" si="20"/>
        <v>4007369.9794427906</v>
      </c>
      <c r="J57" s="608">
        <f t="shared" si="21"/>
        <v>-2487333.0906886314</v>
      </c>
      <c r="K57" s="608">
        <f t="shared" si="22"/>
        <v>-48364.810096723362</v>
      </c>
      <c r="L57" s="608">
        <f t="shared" si="23"/>
        <v>580377.72116068262</v>
      </c>
      <c r="M57" s="608">
        <f t="shared" si="24"/>
        <v>870566.58174102276</v>
      </c>
      <c r="N57" s="616">
        <f t="shared" si="18"/>
        <v>-1616766.5089476085</v>
      </c>
      <c r="O57" s="619">
        <f t="shared" si="2"/>
        <v>-1077844.3392984068</v>
      </c>
      <c r="Q57" s="682"/>
    </row>
    <row r="58" spans="1:17">
      <c r="A58" s="579"/>
      <c r="B58" s="605">
        <v>43069</v>
      </c>
      <c r="C58" s="604"/>
      <c r="D58" s="611"/>
      <c r="E58" s="608">
        <f t="shared" si="3"/>
        <v>-6494703.0701314239</v>
      </c>
      <c r="F58" s="608">
        <f t="shared" si="19"/>
        <v>-6494703.070131422</v>
      </c>
      <c r="G58" s="611">
        <f t="shared" si="14"/>
        <v>-138185.17170492391</v>
      </c>
      <c r="H58" s="608">
        <f t="shared" si="6"/>
        <v>4974666.1813772582</v>
      </c>
      <c r="I58" s="608">
        <f t="shared" si="20"/>
        <v>4145555.1511477157</v>
      </c>
      <c r="J58" s="608">
        <f t="shared" si="21"/>
        <v>-2349147.9189837063</v>
      </c>
      <c r="K58" s="608">
        <f t="shared" si="22"/>
        <v>-48364.810096723362</v>
      </c>
      <c r="L58" s="608">
        <f t="shared" si="23"/>
        <v>532012.91106395924</v>
      </c>
      <c r="M58" s="608">
        <f t="shared" si="24"/>
        <v>822201.77164429938</v>
      </c>
      <c r="N58" s="616">
        <f t="shared" si="18"/>
        <v>-1526946.1473394069</v>
      </c>
      <c r="O58" s="619">
        <f t="shared" si="2"/>
        <v>-988023.97769020649</v>
      </c>
      <c r="Q58" s="682"/>
    </row>
    <row r="59" spans="1:17">
      <c r="B59" s="605">
        <v>43100</v>
      </c>
      <c r="D59" s="833"/>
      <c r="E59" s="608">
        <f t="shared" si="3"/>
        <v>-6494703.0701314239</v>
      </c>
      <c r="F59" s="608">
        <f t="shared" si="19"/>
        <v>-6494703.070131422</v>
      </c>
      <c r="G59" s="611">
        <f t="shared" si="14"/>
        <v>-138185.17170492391</v>
      </c>
      <c r="H59" s="608">
        <f t="shared" si="6"/>
        <v>5112851.3530821819</v>
      </c>
      <c r="I59" s="608">
        <f t="shared" si="20"/>
        <v>4283740.3228526404</v>
      </c>
      <c r="J59" s="608">
        <f t="shared" si="21"/>
        <v>-2210962.7472787816</v>
      </c>
      <c r="K59" s="608">
        <f t="shared" si="22"/>
        <v>-48364.810096723362</v>
      </c>
      <c r="L59" s="608">
        <f t="shared" si="23"/>
        <v>483648.10096723586</v>
      </c>
      <c r="M59" s="608">
        <f t="shared" si="24"/>
        <v>773836.96154757601</v>
      </c>
      <c r="N59" s="616">
        <f t="shared" si="18"/>
        <v>-1437125.7857312057</v>
      </c>
      <c r="O59" s="619">
        <f t="shared" si="2"/>
        <v>-898203.61608200613</v>
      </c>
      <c r="P59" s="833"/>
      <c r="Q59" s="682"/>
    </row>
    <row r="60" spans="1:17" s="1353" customFormat="1">
      <c r="B60" s="1354">
        <v>43131</v>
      </c>
      <c r="E60" s="1355">
        <f t="shared" si="3"/>
        <v>-6494703.0701314239</v>
      </c>
      <c r="F60" s="1355">
        <f t="shared" si="19"/>
        <v>-6494703.070131422</v>
      </c>
      <c r="G60" s="1356">
        <f t="shared" si="14"/>
        <v>-138185.17170492391</v>
      </c>
      <c r="H60" s="1355">
        <f t="shared" si="6"/>
        <v>5251036.5247871056</v>
      </c>
      <c r="I60" s="1355">
        <f t="shared" si="20"/>
        <v>4421925.4945575632</v>
      </c>
      <c r="J60" s="1355">
        <f t="shared" si="21"/>
        <v>-2072777.5755738588</v>
      </c>
      <c r="K60" s="1355">
        <f t="shared" ref="K60:K71" si="25">(-D60*0.21)+(G60*0.21)</f>
        <v>-29018.886058034019</v>
      </c>
      <c r="L60" s="1355">
        <f t="shared" si="23"/>
        <v>454629.21490920184</v>
      </c>
      <c r="M60" s="1355">
        <f t="shared" si="24"/>
        <v>726278.2316191314</v>
      </c>
      <c r="N60" s="1357">
        <f t="shared" si="18"/>
        <v>-1346499.3439547275</v>
      </c>
      <c r="O60" s="1358">
        <f t="shared" si="2"/>
        <v>-789037.33043511643</v>
      </c>
      <c r="Q60" s="1359"/>
    </row>
    <row r="61" spans="1:17">
      <c r="B61" s="605">
        <v>43159</v>
      </c>
      <c r="D61" s="833"/>
      <c r="E61" s="608">
        <f t="shared" si="3"/>
        <v>-6494703.0701314239</v>
      </c>
      <c r="F61" s="608">
        <f t="shared" si="19"/>
        <v>-6494703.070131422</v>
      </c>
      <c r="G61" s="611">
        <f t="shared" si="14"/>
        <v>-138185.17170492391</v>
      </c>
      <c r="H61" s="608">
        <f t="shared" si="6"/>
        <v>5389221.6964920294</v>
      </c>
      <c r="I61" s="608">
        <f t="shared" si="20"/>
        <v>4560110.666262486</v>
      </c>
      <c r="J61" s="608">
        <f t="shared" si="21"/>
        <v>-1934592.403868936</v>
      </c>
      <c r="K61" s="608">
        <f t="shared" si="25"/>
        <v>-29018.886058034019</v>
      </c>
      <c r="L61" s="608">
        <f t="shared" si="23"/>
        <v>425610.32885116781</v>
      </c>
      <c r="M61" s="608">
        <f t="shared" si="24"/>
        <v>680331.66202724422</v>
      </c>
      <c r="N61" s="616">
        <f t="shared" si="18"/>
        <v>-1254260.7418416918</v>
      </c>
      <c r="O61" s="619">
        <f t="shared" si="2"/>
        <v>-679871.04478822672</v>
      </c>
      <c r="P61" s="833"/>
      <c r="Q61" s="682"/>
    </row>
    <row r="62" spans="1:17">
      <c r="B62" s="605">
        <v>43190</v>
      </c>
      <c r="D62" s="833"/>
      <c r="E62" s="608">
        <f t="shared" si="3"/>
        <v>-6494703.0701314239</v>
      </c>
      <c r="F62" s="608">
        <f t="shared" si="19"/>
        <v>-6494703.070131422</v>
      </c>
      <c r="G62" s="611">
        <f t="shared" si="14"/>
        <v>-138185.17170492391</v>
      </c>
      <c r="H62" s="608">
        <f t="shared" si="6"/>
        <v>5527406.8681969531</v>
      </c>
      <c r="I62" s="608">
        <f t="shared" si="20"/>
        <v>4698295.8379674116</v>
      </c>
      <c r="J62" s="608">
        <f t="shared" si="21"/>
        <v>-1796407.2321640104</v>
      </c>
      <c r="K62" s="608">
        <f t="shared" si="25"/>
        <v>-29018.886058034019</v>
      </c>
      <c r="L62" s="608">
        <f t="shared" si="23"/>
        <v>396591.44279313379</v>
      </c>
      <c r="M62" s="608">
        <f t="shared" si="24"/>
        <v>635997.25277191459</v>
      </c>
      <c r="N62" s="616">
        <f t="shared" si="18"/>
        <v>-1160409.9793920959</v>
      </c>
      <c r="O62" s="619">
        <f t="shared" si="2"/>
        <v>-570704.75914133701</v>
      </c>
      <c r="P62" s="833"/>
      <c r="Q62" s="682"/>
    </row>
    <row r="63" spans="1:17">
      <c r="B63" s="604">
        <v>43220</v>
      </c>
      <c r="D63" s="833"/>
      <c r="E63" s="608">
        <f t="shared" si="3"/>
        <v>-6494703.0701314239</v>
      </c>
      <c r="F63" s="608">
        <f t="shared" si="19"/>
        <v>-6494703.070131422</v>
      </c>
      <c r="G63" s="611">
        <f t="shared" si="14"/>
        <v>-138185.17170492391</v>
      </c>
      <c r="H63" s="608">
        <f t="shared" si="6"/>
        <v>5665592.0399018768</v>
      </c>
      <c r="I63" s="608">
        <f t="shared" si="20"/>
        <v>4836481.0096723344</v>
      </c>
      <c r="J63" s="608">
        <f t="shared" si="21"/>
        <v>-1658222.0604590876</v>
      </c>
      <c r="K63" s="608">
        <f t="shared" si="25"/>
        <v>-29018.886058034019</v>
      </c>
      <c r="L63" s="608">
        <f t="shared" si="23"/>
        <v>367572.55673509976</v>
      </c>
      <c r="M63" s="608">
        <f t="shared" si="24"/>
        <v>593275.00385314215</v>
      </c>
      <c r="N63" s="616">
        <f t="shared" si="18"/>
        <v>-1064947.0566059453</v>
      </c>
      <c r="O63" s="619">
        <f t="shared" si="2"/>
        <v>-461538.4734944473</v>
      </c>
      <c r="P63" s="833"/>
      <c r="Q63" s="682"/>
    </row>
    <row r="64" spans="1:17">
      <c r="B64" s="604">
        <v>43251</v>
      </c>
      <c r="D64" s="833"/>
      <c r="E64" s="608">
        <f t="shared" si="3"/>
        <v>-6494703.0701314239</v>
      </c>
      <c r="F64" s="608">
        <f t="shared" si="19"/>
        <v>-6494703.070131422</v>
      </c>
      <c r="G64" s="611">
        <f t="shared" si="14"/>
        <v>-138185.17170492391</v>
      </c>
      <c r="H64" s="608">
        <f t="shared" si="6"/>
        <v>5803777.2116068006</v>
      </c>
      <c r="I64" s="608">
        <f t="shared" si="20"/>
        <v>4974666.1813772582</v>
      </c>
      <c r="J64" s="608">
        <f t="shared" si="21"/>
        <v>-1520036.8887541639</v>
      </c>
      <c r="K64" s="608">
        <f t="shared" si="25"/>
        <v>-29018.886058034019</v>
      </c>
      <c r="L64" s="608">
        <f t="shared" si="23"/>
        <v>338553.67067706573</v>
      </c>
      <c r="M64" s="608">
        <f t="shared" si="24"/>
        <v>552164.91527092725</v>
      </c>
      <c r="N64" s="616">
        <f t="shared" si="18"/>
        <v>-967871.97348323662</v>
      </c>
      <c r="O64" s="619">
        <f t="shared" si="2"/>
        <v>-352372.18784755759</v>
      </c>
      <c r="P64" s="833"/>
      <c r="Q64" s="682"/>
    </row>
    <row r="65" spans="2:17" s="1319" customFormat="1">
      <c r="B65" s="1325">
        <v>43281</v>
      </c>
      <c r="E65" s="1320">
        <f t="shared" si="3"/>
        <v>-6494703.0701314239</v>
      </c>
      <c r="F65" s="1320">
        <f t="shared" si="19"/>
        <v>-6494703.070131422</v>
      </c>
      <c r="G65" s="1323">
        <f t="shared" si="14"/>
        <v>-138185.17170492391</v>
      </c>
      <c r="H65" s="1320">
        <f t="shared" si="6"/>
        <v>5941962.3833117243</v>
      </c>
      <c r="I65" s="1320">
        <f t="shared" si="20"/>
        <v>5112851.3530821819</v>
      </c>
      <c r="J65" s="1320">
        <f t="shared" si="21"/>
        <v>-1381851.7170492401</v>
      </c>
      <c r="K65" s="1320">
        <f t="shared" si="25"/>
        <v>-29018.886058034019</v>
      </c>
      <c r="L65" s="1320">
        <f t="shared" si="23"/>
        <v>309534.78461903171</v>
      </c>
      <c r="M65" s="1320">
        <f t="shared" si="24"/>
        <v>512666.98702526983</v>
      </c>
      <c r="N65" s="1321">
        <f t="shared" si="18"/>
        <v>-869184.73002397036</v>
      </c>
      <c r="O65" s="1322">
        <f t="shared" si="2"/>
        <v>-243205.90220066789</v>
      </c>
      <c r="Q65" s="1324"/>
    </row>
    <row r="66" spans="2:17">
      <c r="B66" s="605">
        <v>43312</v>
      </c>
      <c r="D66" s="833"/>
      <c r="E66" s="608">
        <f t="shared" si="3"/>
        <v>-6494703.0701314239</v>
      </c>
      <c r="F66" s="608">
        <f t="shared" si="19"/>
        <v>-6494703.070131422</v>
      </c>
      <c r="G66" s="611">
        <f t="shared" si="14"/>
        <v>-138185.17170492391</v>
      </c>
      <c r="H66" s="608">
        <f t="shared" si="6"/>
        <v>6080147.555016648</v>
      </c>
      <c r="I66" s="608">
        <f t="shared" si="20"/>
        <v>5251036.5247871066</v>
      </c>
      <c r="J66" s="608">
        <f t="shared" si="21"/>
        <v>-1243666.5453443155</v>
      </c>
      <c r="K66" s="608">
        <f t="shared" si="25"/>
        <v>-29018.886058034019</v>
      </c>
      <c r="L66" s="608">
        <f t="shared" si="23"/>
        <v>280515.89856099768</v>
      </c>
      <c r="M66" s="608">
        <f t="shared" si="24"/>
        <v>474781.21911616996</v>
      </c>
      <c r="N66" s="616">
        <f t="shared" si="18"/>
        <v>-768885.32622814551</v>
      </c>
      <c r="O66" s="619">
        <f t="shared" si="2"/>
        <v>-134039.61655377818</v>
      </c>
      <c r="P66" s="833"/>
      <c r="Q66" s="682"/>
    </row>
    <row r="67" spans="2:17">
      <c r="B67" s="605">
        <v>43343</v>
      </c>
      <c r="D67" s="833"/>
      <c r="E67" s="608">
        <f t="shared" si="3"/>
        <v>-6494703.0701314239</v>
      </c>
      <c r="F67" s="608">
        <f t="shared" si="19"/>
        <v>-6494703.070131422</v>
      </c>
      <c r="G67" s="611">
        <f t="shared" si="14"/>
        <v>-138185.17170492391</v>
      </c>
      <c r="H67" s="608">
        <f t="shared" si="6"/>
        <v>6218332.7267215718</v>
      </c>
      <c r="I67" s="608">
        <f t="shared" si="20"/>
        <v>5389221.6964920303</v>
      </c>
      <c r="J67" s="608">
        <f t="shared" si="21"/>
        <v>-1105481.3736393917</v>
      </c>
      <c r="K67" s="608">
        <f t="shared" si="25"/>
        <v>-29018.886058034019</v>
      </c>
      <c r="L67" s="608">
        <f t="shared" si="23"/>
        <v>251497.01250296365</v>
      </c>
      <c r="M67" s="608">
        <f t="shared" si="24"/>
        <v>438507.6115436274</v>
      </c>
      <c r="N67" s="616">
        <f t="shared" si="18"/>
        <v>-666973.76209576428</v>
      </c>
      <c r="O67" s="619">
        <f t="shared" si="2"/>
        <v>-24873.33090688847</v>
      </c>
      <c r="P67" s="833"/>
      <c r="Q67" s="682"/>
    </row>
    <row r="68" spans="2:17">
      <c r="B68" s="605">
        <v>43373</v>
      </c>
      <c r="D68" s="833"/>
      <c r="E68" s="608">
        <f t="shared" si="3"/>
        <v>-6494703.0701314239</v>
      </c>
      <c r="F68" s="608">
        <f t="shared" si="19"/>
        <v>-6494703.070131422</v>
      </c>
      <c r="G68" s="611">
        <f t="shared" si="14"/>
        <v>-138185.17170492391</v>
      </c>
      <c r="H68" s="608">
        <f t="shared" si="6"/>
        <v>6356517.8984264955</v>
      </c>
      <c r="I68" s="608">
        <f t="shared" si="20"/>
        <v>5527406.8681969531</v>
      </c>
      <c r="J68" s="608">
        <f t="shared" si="21"/>
        <v>-967296.20193446893</v>
      </c>
      <c r="K68" s="608">
        <f t="shared" si="25"/>
        <v>-29018.886058034019</v>
      </c>
      <c r="L68" s="608">
        <f t="shared" si="23"/>
        <v>222478.12644492963</v>
      </c>
      <c r="M68" s="608">
        <f t="shared" si="24"/>
        <v>403846.16430764232</v>
      </c>
      <c r="N68" s="616">
        <f t="shared" si="18"/>
        <v>-563450.03762682667</v>
      </c>
      <c r="O68" s="619">
        <f t="shared" si="2"/>
        <v>84292.954740001238</v>
      </c>
      <c r="P68" s="833"/>
      <c r="Q68" s="682"/>
    </row>
    <row r="69" spans="2:17">
      <c r="B69" s="605">
        <v>43404</v>
      </c>
      <c r="D69" s="833"/>
      <c r="E69" s="608">
        <f t="shared" si="3"/>
        <v>-6494703.0701314239</v>
      </c>
      <c r="F69" s="608">
        <f t="shared" si="19"/>
        <v>-6494703.070131422</v>
      </c>
      <c r="G69" s="611">
        <f>E69/47</f>
        <v>-138185.17170492391</v>
      </c>
      <c r="H69" s="608">
        <f>H68-G69</f>
        <v>6494703.0701314192</v>
      </c>
      <c r="I69" s="608">
        <f t="shared" si="20"/>
        <v>5665592.0399018759</v>
      </c>
      <c r="J69" s="608">
        <f>F69+I69</f>
        <v>-829111.03022954613</v>
      </c>
      <c r="K69" s="608">
        <f t="shared" si="25"/>
        <v>-29018.886058034019</v>
      </c>
      <c r="L69" s="893">
        <f t="shared" si="23"/>
        <v>193459.2403868956</v>
      </c>
      <c r="M69" s="608">
        <f t="shared" si="24"/>
        <v>370796.87740821461</v>
      </c>
      <c r="N69" s="616">
        <f t="shared" si="18"/>
        <v>-458314.15282133152</v>
      </c>
      <c r="O69" s="619">
        <f>E69+H69+L69</f>
        <v>193459.24038689095</v>
      </c>
      <c r="P69" s="833"/>
      <c r="Q69" s="682"/>
    </row>
    <row r="70" spans="2:17">
      <c r="B70" s="605">
        <v>43434</v>
      </c>
      <c r="D70" s="833"/>
      <c r="E70" s="608">
        <f t="shared" si="3"/>
        <v>-6494703.0701314239</v>
      </c>
      <c r="F70" s="608">
        <f t="shared" si="19"/>
        <v>-6494703.070131422</v>
      </c>
      <c r="G70" s="611">
        <v>0</v>
      </c>
      <c r="H70" s="608">
        <f t="shared" ref="H70:H82" si="26">H69-G70</f>
        <v>6494703.0701314192</v>
      </c>
      <c r="I70" s="608">
        <f t="shared" si="20"/>
        <v>5798019.4961190959</v>
      </c>
      <c r="J70" s="608">
        <f>F70+I70</f>
        <v>-696683.57401232608</v>
      </c>
      <c r="K70" s="608">
        <f t="shared" si="25"/>
        <v>0</v>
      </c>
      <c r="L70" s="893">
        <f t="shared" si="23"/>
        <v>193459.2403868956</v>
      </c>
      <c r="M70" s="608">
        <f t="shared" si="24"/>
        <v>340568.87109776255</v>
      </c>
      <c r="N70" s="616">
        <f>M70+J70</f>
        <v>-356114.70291456353</v>
      </c>
      <c r="O70" s="619">
        <f t="shared" ref="O70:O76" si="27">E70+H70+L70</f>
        <v>193459.24038689095</v>
      </c>
      <c r="P70" s="833"/>
      <c r="Q70" s="682"/>
    </row>
    <row r="71" spans="2:17" s="1353" customFormat="1">
      <c r="B71" s="1354">
        <v>43465</v>
      </c>
      <c r="E71" s="1355">
        <f t="shared" si="3"/>
        <v>-6494703.0701314239</v>
      </c>
      <c r="F71" s="1355">
        <f t="shared" si="19"/>
        <v>-6494703.070131422</v>
      </c>
      <c r="G71" s="1356">
        <v>0</v>
      </c>
      <c r="H71" s="1355">
        <f t="shared" si="26"/>
        <v>6494703.0701314192</v>
      </c>
      <c r="I71" s="1355">
        <f t="shared" si="20"/>
        <v>5918931.521360904</v>
      </c>
      <c r="J71" s="1355">
        <f t="shared" ref="J71:J82" si="28">F71+I71</f>
        <v>-575771.54877051804</v>
      </c>
      <c r="K71" s="1355">
        <f t="shared" si="25"/>
        <v>0</v>
      </c>
      <c r="L71" s="1360">
        <f t="shared" si="23"/>
        <v>193459.2403868956</v>
      </c>
      <c r="M71" s="1355">
        <f>(L59+L71+SUM(L60:L70)*2)/24</f>
        <v>314371.2656287041</v>
      </c>
      <c r="N71" s="1357">
        <f>M71+J71</f>
        <v>-261400.28314181394</v>
      </c>
      <c r="O71" s="1358">
        <f t="shared" si="27"/>
        <v>193459.24038689095</v>
      </c>
      <c r="Q71" s="1359"/>
    </row>
    <row r="72" spans="2:17">
      <c r="B72" s="605">
        <v>43496</v>
      </c>
      <c r="E72" s="608">
        <f t="shared" si="3"/>
        <v>-6494703.0701314239</v>
      </c>
      <c r="F72" s="608">
        <f t="shared" si="19"/>
        <v>-6494703.070131422</v>
      </c>
      <c r="G72" s="611"/>
      <c r="H72" s="608">
        <f t="shared" si="26"/>
        <v>6494703.0701314192</v>
      </c>
      <c r="I72" s="608">
        <f t="shared" si="20"/>
        <v>6028328.1156273028</v>
      </c>
      <c r="J72" s="608">
        <f t="shared" si="28"/>
        <v>-466374.95450411923</v>
      </c>
      <c r="K72" s="608">
        <f t="shared" ref="K72:K77" si="29">(-D72*0.35)+(G72*0.35)</f>
        <v>0</v>
      </c>
      <c r="L72" s="893">
        <f t="shared" si="23"/>
        <v>193459.2403868956</v>
      </c>
      <c r="M72" s="608">
        <f t="shared" si="24"/>
        <v>291397.98083276051</v>
      </c>
      <c r="N72" s="616">
        <f t="shared" si="18"/>
        <v>-174976.97367135872</v>
      </c>
      <c r="O72" s="619">
        <f t="shared" si="27"/>
        <v>193459.24038689095</v>
      </c>
    </row>
    <row r="73" spans="2:17">
      <c r="B73" s="605">
        <v>43524</v>
      </c>
      <c r="E73" s="608">
        <f t="shared" si="3"/>
        <v>-6494703.0701314239</v>
      </c>
      <c r="F73" s="608">
        <f t="shared" si="19"/>
        <v>-6494703.070131422</v>
      </c>
      <c r="G73" s="611"/>
      <c r="H73" s="608">
        <f t="shared" si="26"/>
        <v>6494703.0701314192</v>
      </c>
      <c r="I73" s="608">
        <f t="shared" si="20"/>
        <v>6126209.2789182896</v>
      </c>
      <c r="J73" s="608">
        <f t="shared" si="28"/>
        <v>-368493.79121313244</v>
      </c>
      <c r="K73" s="608">
        <f t="shared" si="29"/>
        <v>0</v>
      </c>
      <c r="L73" s="893">
        <f t="shared" si="23"/>
        <v>193459.2403868956</v>
      </c>
      <c r="M73" s="608">
        <f t="shared" si="24"/>
        <v>270842.93654165306</v>
      </c>
      <c r="N73" s="616">
        <f t="shared" si="18"/>
        <v>-97650.854671479377</v>
      </c>
      <c r="O73" s="619">
        <f t="shared" si="27"/>
        <v>193459.24038689095</v>
      </c>
    </row>
    <row r="74" spans="2:17">
      <c r="B74" s="605">
        <v>43555</v>
      </c>
      <c r="E74" s="608">
        <f t="shared" si="3"/>
        <v>-6494703.0701314239</v>
      </c>
      <c r="F74" s="608">
        <f t="shared" ref="F74:F82" si="30">(E62+E74+SUM(E63:E73)*2)/24</f>
        <v>-6494703.070131422</v>
      </c>
      <c r="G74" s="611"/>
      <c r="H74" s="608">
        <f t="shared" si="26"/>
        <v>6494703.0701314192</v>
      </c>
      <c r="I74" s="608">
        <f t="shared" si="20"/>
        <v>6212575.0112338671</v>
      </c>
      <c r="J74" s="608">
        <f t="shared" si="28"/>
        <v>-282128.05889755487</v>
      </c>
      <c r="K74" s="608">
        <f t="shared" si="29"/>
        <v>0</v>
      </c>
      <c r="L74" s="893">
        <f t="shared" si="23"/>
        <v>193459.2403868956</v>
      </c>
      <c r="M74" s="608">
        <f t="shared" si="24"/>
        <v>252706.13275538178</v>
      </c>
      <c r="N74" s="616">
        <f t="shared" si="18"/>
        <v>-29421.926142173092</v>
      </c>
      <c r="O74" s="619">
        <f t="shared" si="27"/>
        <v>193459.24038689095</v>
      </c>
    </row>
    <row r="75" spans="2:17">
      <c r="B75" s="604">
        <v>43585</v>
      </c>
      <c r="E75" s="608">
        <f t="shared" si="3"/>
        <v>-6494703.0701314239</v>
      </c>
      <c r="F75" s="608">
        <f t="shared" si="30"/>
        <v>-6494703.070131422</v>
      </c>
      <c r="G75" s="611"/>
      <c r="H75" s="608">
        <f t="shared" si="26"/>
        <v>6494703.0701314192</v>
      </c>
      <c r="I75" s="608">
        <f t="shared" si="20"/>
        <v>6287425.3125740336</v>
      </c>
      <c r="J75" s="608">
        <f t="shared" si="28"/>
        <v>-207277.7575573884</v>
      </c>
      <c r="K75" s="608">
        <f t="shared" si="29"/>
        <v>0</v>
      </c>
      <c r="L75" s="893">
        <f t="shared" si="23"/>
        <v>193459.2403868956</v>
      </c>
      <c r="M75" s="608">
        <f t="shared" si="24"/>
        <v>236987.56947394667</v>
      </c>
      <c r="N75" s="616">
        <f t="shared" si="18"/>
        <v>29709.811916558276</v>
      </c>
      <c r="O75" s="619">
        <f t="shared" si="27"/>
        <v>193459.24038689095</v>
      </c>
    </row>
    <row r="76" spans="2:17">
      <c r="B76" s="604">
        <v>43616</v>
      </c>
      <c r="E76" s="608">
        <f t="shared" si="3"/>
        <v>-6494703.0701314239</v>
      </c>
      <c r="F76" s="608">
        <f t="shared" si="30"/>
        <v>-6494703.070131422</v>
      </c>
      <c r="G76" s="611"/>
      <c r="H76" s="608">
        <f t="shared" si="26"/>
        <v>6494703.0701314192</v>
      </c>
      <c r="I76" s="608">
        <f t="shared" si="20"/>
        <v>6350760.1829387909</v>
      </c>
      <c r="J76" s="608">
        <f t="shared" si="28"/>
        <v>-143942.88719263114</v>
      </c>
      <c r="K76" s="608">
        <f t="shared" si="29"/>
        <v>0</v>
      </c>
      <c r="L76" s="893">
        <f t="shared" si="23"/>
        <v>193459.2403868956</v>
      </c>
      <c r="M76" s="608">
        <f t="shared" si="24"/>
        <v>223687.24669734776</v>
      </c>
      <c r="N76" s="616">
        <f t="shared" si="18"/>
        <v>79744.359504716616</v>
      </c>
      <c r="O76" s="619">
        <f t="shared" si="27"/>
        <v>193459.24038689095</v>
      </c>
    </row>
    <row r="77" spans="2:17">
      <c r="B77" s="614">
        <v>43646</v>
      </c>
      <c r="E77" s="608">
        <f t="shared" si="3"/>
        <v>-6494703.0701314239</v>
      </c>
      <c r="F77" s="608">
        <f t="shared" si="30"/>
        <v>-6494703.070131422</v>
      </c>
      <c r="G77" s="611"/>
      <c r="H77" s="608">
        <f t="shared" si="26"/>
        <v>6494703.0701314192</v>
      </c>
      <c r="I77" s="608">
        <f t="shared" si="20"/>
        <v>6402579.622328137</v>
      </c>
      <c r="J77" s="608">
        <f t="shared" si="28"/>
        <v>-92123.447803284973</v>
      </c>
      <c r="K77" s="608">
        <f t="shared" si="29"/>
        <v>0</v>
      </c>
      <c r="L77" s="893">
        <f t="shared" si="23"/>
        <v>193459.2403868956</v>
      </c>
      <c r="M77" s="608">
        <f t="shared" si="24"/>
        <v>212805.16442558495</v>
      </c>
      <c r="N77" s="616">
        <f t="shared" si="18"/>
        <v>120681.71662229998</v>
      </c>
      <c r="O77" s="619"/>
    </row>
    <row r="78" spans="2:17">
      <c r="B78" s="605">
        <v>43677</v>
      </c>
      <c r="E78" s="608">
        <f t="shared" si="3"/>
        <v>-6494703.0701314239</v>
      </c>
      <c r="F78" s="608">
        <f t="shared" si="30"/>
        <v>-6494703.070131422</v>
      </c>
      <c r="G78" s="611"/>
      <c r="H78" s="608">
        <f t="shared" si="26"/>
        <v>6494703.0701314192</v>
      </c>
      <c r="I78" s="608">
        <f t="shared" si="20"/>
        <v>6442883.6307420731</v>
      </c>
      <c r="J78" s="608">
        <f t="shared" si="28"/>
        <v>-51819.439389348961</v>
      </c>
      <c r="K78" s="608"/>
      <c r="L78" s="893">
        <f t="shared" si="23"/>
        <v>193459.2403868956</v>
      </c>
      <c r="M78" s="608">
        <f t="shared" si="24"/>
        <v>204341.32265865835</v>
      </c>
      <c r="N78" s="616">
        <f t="shared" si="18"/>
        <v>152521.88326930939</v>
      </c>
      <c r="O78" s="619"/>
    </row>
    <row r="79" spans="2:17">
      <c r="B79" s="605">
        <v>43708</v>
      </c>
      <c r="E79" s="608">
        <f t="shared" si="3"/>
        <v>-6494703.0701314239</v>
      </c>
      <c r="F79" s="608">
        <f t="shared" si="30"/>
        <v>-6494703.070131422</v>
      </c>
      <c r="G79" s="611"/>
      <c r="H79" s="608">
        <f t="shared" si="26"/>
        <v>6494703.0701314192</v>
      </c>
      <c r="I79" s="608">
        <f t="shared" si="20"/>
        <v>6471672.2081805989</v>
      </c>
      <c r="J79" s="608">
        <f t="shared" si="28"/>
        <v>-23030.861950823106</v>
      </c>
      <c r="K79" s="608"/>
      <c r="L79" s="893">
        <f t="shared" si="23"/>
        <v>193459.2403868956</v>
      </c>
      <c r="M79" s="608">
        <f t="shared" si="24"/>
        <v>198295.72139656797</v>
      </c>
      <c r="N79" s="616">
        <f t="shared" si="18"/>
        <v>175264.85944574486</v>
      </c>
      <c r="O79" s="619"/>
    </row>
    <row r="80" spans="2:17">
      <c r="B80" s="605">
        <v>43738</v>
      </c>
      <c r="E80" s="608">
        <f t="shared" si="3"/>
        <v>-6494703.0701314239</v>
      </c>
      <c r="F80" s="608">
        <f t="shared" si="30"/>
        <v>-6494703.070131422</v>
      </c>
      <c r="G80" s="611"/>
      <c r="H80" s="608">
        <f t="shared" si="26"/>
        <v>6494703.0701314192</v>
      </c>
      <c r="I80" s="608">
        <f t="shared" si="20"/>
        <v>6488945.3546437146</v>
      </c>
      <c r="J80" s="608">
        <f t="shared" si="28"/>
        <v>-5757.7154877074063</v>
      </c>
      <c r="K80" s="608"/>
      <c r="L80" s="893">
        <f t="shared" si="23"/>
        <v>193459.2403868956</v>
      </c>
      <c r="M80" s="608">
        <f t="shared" si="24"/>
        <v>194668.36063931367</v>
      </c>
      <c r="N80" s="616">
        <f t="shared" si="18"/>
        <v>188910.64515160627</v>
      </c>
      <c r="O80" s="619"/>
    </row>
    <row r="81" spans="2:15">
      <c r="B81" s="605">
        <v>43769</v>
      </c>
      <c r="E81" s="608">
        <f t="shared" ref="E81:E82" si="31">E80+D81</f>
        <v>-6494703.0701314239</v>
      </c>
      <c r="F81" s="608">
        <f t="shared" si="30"/>
        <v>-6494703.070131422</v>
      </c>
      <c r="G81" s="611"/>
      <c r="H81" s="608">
        <f t="shared" si="26"/>
        <v>6494703.0701314192</v>
      </c>
      <c r="I81" s="608">
        <f t="shared" si="20"/>
        <v>6494703.0701314202</v>
      </c>
      <c r="J81" s="608">
        <f t="shared" si="28"/>
        <v>0</v>
      </c>
      <c r="K81" s="608"/>
      <c r="L81" s="893">
        <f t="shared" si="23"/>
        <v>193459.2403868956</v>
      </c>
      <c r="M81" s="608">
        <f t="shared" si="24"/>
        <v>193459.2403868956</v>
      </c>
      <c r="N81" s="616">
        <f t="shared" si="18"/>
        <v>193459.2403868956</v>
      </c>
      <c r="O81" s="619"/>
    </row>
    <row r="82" spans="2:15">
      <c r="B82" s="605">
        <v>43799</v>
      </c>
      <c r="E82" s="608">
        <f t="shared" si="31"/>
        <v>-6494703.0701314239</v>
      </c>
      <c r="F82" s="608">
        <f t="shared" si="30"/>
        <v>-6494703.070131422</v>
      </c>
      <c r="G82" s="611"/>
      <c r="H82" s="608">
        <f t="shared" si="26"/>
        <v>6494703.0701314192</v>
      </c>
      <c r="I82" s="608">
        <f t="shared" si="20"/>
        <v>6494703.0701314202</v>
      </c>
      <c r="J82" s="608">
        <f t="shared" si="28"/>
        <v>0</v>
      </c>
      <c r="K82" s="608"/>
      <c r="L82" s="608"/>
      <c r="M82" s="608">
        <f t="shared" si="24"/>
        <v>185398.43870410827</v>
      </c>
      <c r="N82" s="616">
        <f t="shared" si="18"/>
        <v>185398.43870410827</v>
      </c>
    </row>
    <row r="83" spans="2:15" ht="13.5" thickBot="1">
      <c r="B83" s="605"/>
      <c r="E83" s="608"/>
      <c r="F83" s="608"/>
      <c r="G83" s="611"/>
      <c r="H83" s="608"/>
      <c r="I83" s="608"/>
      <c r="J83" s="608"/>
      <c r="K83" s="608"/>
      <c r="L83" s="608"/>
      <c r="M83" s="608"/>
      <c r="N83" s="616"/>
    </row>
    <row r="84" spans="2:15">
      <c r="B84" s="1347" t="s">
        <v>941</v>
      </c>
      <c r="E84" s="608"/>
      <c r="F84" s="608"/>
      <c r="G84" s="1349">
        <f>SUM(G54:G65)</f>
        <v>-1658222.0604590874</v>
      </c>
      <c r="H84" s="608"/>
      <c r="I84" s="608"/>
      <c r="J84" s="608"/>
      <c r="K84" s="608"/>
      <c r="L84" s="608"/>
      <c r="M84" s="608"/>
      <c r="N84" s="616"/>
    </row>
    <row r="85" spans="2:15" ht="13.5" thickBot="1">
      <c r="B85" s="1348" t="s">
        <v>942</v>
      </c>
      <c r="E85" s="608"/>
      <c r="F85" s="608"/>
      <c r="G85" s="1350">
        <f>SUM(G60:G71)</f>
        <v>-1381851.7170492394</v>
      </c>
      <c r="H85" s="608"/>
      <c r="I85" s="608"/>
      <c r="J85" s="608"/>
      <c r="K85" s="608"/>
      <c r="L85" s="608"/>
      <c r="M85" s="608"/>
      <c r="N85" s="616"/>
    </row>
    <row r="86" spans="2:15">
      <c r="B86" s="605"/>
      <c r="E86" s="608"/>
      <c r="F86" s="608"/>
      <c r="G86" s="611"/>
      <c r="H86" s="608"/>
      <c r="I86" s="608"/>
      <c r="J86" s="608"/>
      <c r="K86" s="608"/>
      <c r="L86" s="608"/>
      <c r="M86" s="608"/>
      <c r="N86" s="616"/>
    </row>
    <row r="87" spans="2:15">
      <c r="B87" s="604"/>
      <c r="E87" s="608"/>
      <c r="F87" s="608"/>
      <c r="G87" s="611"/>
      <c r="H87" s="608"/>
      <c r="I87" s="608"/>
      <c r="J87" s="608"/>
      <c r="K87" s="608"/>
      <c r="L87" s="608"/>
      <c r="M87" s="608"/>
      <c r="N87" s="616"/>
    </row>
    <row r="88" spans="2:15">
      <c r="B88" s="604"/>
      <c r="E88" s="608"/>
      <c r="F88" s="608"/>
      <c r="G88" s="611"/>
      <c r="H88" s="608"/>
      <c r="I88" s="608"/>
      <c r="J88" s="608"/>
      <c r="K88" s="608"/>
      <c r="L88" s="608"/>
      <c r="M88" s="608"/>
      <c r="N88" s="616"/>
    </row>
    <row r="89" spans="2:15">
      <c r="B89" s="614"/>
      <c r="E89" s="608"/>
      <c r="F89" s="608"/>
      <c r="G89" s="611"/>
      <c r="H89" s="608"/>
      <c r="I89" s="608"/>
      <c r="J89" s="608"/>
      <c r="K89" s="608"/>
      <c r="L89" s="608"/>
      <c r="M89" s="608"/>
      <c r="N89" s="616"/>
    </row>
    <row r="90" spans="2:15">
      <c r="B90" s="605"/>
      <c r="E90" s="608"/>
      <c r="F90" s="608"/>
      <c r="G90" s="611"/>
      <c r="H90" s="608"/>
      <c r="I90" s="608"/>
      <c r="J90" s="608"/>
      <c r="K90" s="608"/>
      <c r="L90" s="608"/>
      <c r="M90" s="608"/>
      <c r="N90" s="616"/>
    </row>
    <row r="91" spans="2:15">
      <c r="B91" s="605"/>
      <c r="E91" s="608"/>
      <c r="F91" s="608"/>
      <c r="G91" s="611"/>
      <c r="H91" s="608"/>
      <c r="I91" s="608"/>
      <c r="J91" s="608"/>
      <c r="K91" s="608"/>
      <c r="L91" s="608"/>
      <c r="M91" s="608"/>
      <c r="N91" s="616"/>
    </row>
    <row r="92" spans="2:15">
      <c r="B92" s="605"/>
      <c r="E92" s="608"/>
      <c r="F92" s="608"/>
      <c r="G92" s="611"/>
      <c r="H92" s="608"/>
      <c r="I92" s="608"/>
      <c r="J92" s="608"/>
      <c r="K92" s="608"/>
      <c r="L92" s="608"/>
      <c r="M92" s="608"/>
      <c r="N92" s="616"/>
    </row>
    <row r="93" spans="2:15">
      <c r="B93" s="605"/>
      <c r="E93" s="608"/>
      <c r="F93" s="608"/>
      <c r="G93" s="611"/>
      <c r="H93" s="608"/>
      <c r="I93" s="608"/>
      <c r="J93" s="608"/>
      <c r="K93" s="608"/>
      <c r="L93" s="608"/>
      <c r="M93" s="608"/>
      <c r="N93" s="616"/>
    </row>
    <row r="94" spans="2:15">
      <c r="B94" s="605"/>
      <c r="E94" s="608"/>
      <c r="F94" s="608"/>
      <c r="H94" s="608"/>
      <c r="I94" s="608"/>
      <c r="J94" s="608"/>
      <c r="K94" s="608"/>
      <c r="L94" s="608"/>
      <c r="M94" s="608"/>
      <c r="N94" s="616"/>
    </row>
    <row r="95" spans="2:15">
      <c r="B95" s="605"/>
      <c r="E95" s="608"/>
      <c r="F95" s="608"/>
      <c r="H95" s="608"/>
      <c r="I95" s="608"/>
      <c r="J95" s="608"/>
      <c r="K95" s="608"/>
      <c r="L95" s="608"/>
      <c r="M95" s="608"/>
      <c r="N95" s="616"/>
    </row>
    <row r="96" spans="2:15">
      <c r="B96" s="605"/>
      <c r="E96" s="608"/>
      <c r="F96" s="608"/>
      <c r="H96" s="608"/>
      <c r="I96" s="608"/>
      <c r="J96" s="608"/>
      <c r="K96" s="608"/>
      <c r="L96" s="608"/>
      <c r="M96" s="608"/>
      <c r="N96" s="616"/>
    </row>
    <row r="97" spans="2:14">
      <c r="B97" s="605"/>
      <c r="E97" s="608"/>
      <c r="F97" s="608"/>
      <c r="H97" s="608"/>
      <c r="I97" s="608"/>
      <c r="J97" s="608"/>
      <c r="K97" s="608"/>
      <c r="L97" s="608"/>
      <c r="M97" s="608"/>
      <c r="N97" s="616"/>
    </row>
    <row r="98" spans="2:14">
      <c r="B98" s="605"/>
      <c r="E98" s="608"/>
      <c r="F98" s="608"/>
      <c r="H98" s="608"/>
      <c r="I98" s="608"/>
      <c r="J98" s="608"/>
      <c r="K98" s="608"/>
      <c r="L98" s="608"/>
      <c r="M98" s="608"/>
      <c r="N98" s="616"/>
    </row>
    <row r="99" spans="2:14">
      <c r="B99" s="604"/>
      <c r="E99" s="608"/>
      <c r="F99" s="608"/>
      <c r="H99" s="608"/>
      <c r="I99" s="608"/>
      <c r="J99" s="608"/>
      <c r="K99" s="608"/>
      <c r="L99" s="608"/>
      <c r="M99" s="608"/>
      <c r="N99" s="616"/>
    </row>
    <row r="100" spans="2:14">
      <c r="B100" s="604"/>
      <c r="E100" s="608"/>
      <c r="F100" s="608"/>
      <c r="H100" s="608"/>
      <c r="I100" s="608"/>
      <c r="J100" s="608"/>
      <c r="K100" s="608"/>
      <c r="L100" s="608"/>
      <c r="M100" s="608"/>
      <c r="N100" s="616"/>
    </row>
    <row r="101" spans="2:14">
      <c r="B101" s="614"/>
      <c r="E101" s="608"/>
      <c r="F101" s="608"/>
      <c r="H101" s="608"/>
      <c r="I101" s="608"/>
      <c r="J101" s="608"/>
      <c r="K101" s="608"/>
      <c r="L101" s="608"/>
      <c r="M101" s="608"/>
      <c r="N101" s="616"/>
    </row>
    <row r="102" spans="2:14">
      <c r="B102" s="605"/>
      <c r="E102" s="608"/>
      <c r="F102" s="608"/>
      <c r="H102" s="608"/>
      <c r="I102" s="608"/>
      <c r="J102" s="608"/>
      <c r="K102" s="608"/>
      <c r="L102" s="608"/>
      <c r="M102" s="608"/>
      <c r="N102" s="616"/>
    </row>
    <row r="103" spans="2:14">
      <c r="B103" s="605"/>
      <c r="E103" s="608"/>
      <c r="F103" s="608"/>
      <c r="H103" s="608"/>
      <c r="I103" s="608"/>
      <c r="J103" s="608"/>
      <c r="K103" s="608"/>
      <c r="L103" s="608"/>
      <c r="M103" s="608"/>
      <c r="N103" s="616"/>
    </row>
    <row r="104" spans="2:14">
      <c r="B104" s="605"/>
      <c r="E104" s="608"/>
      <c r="F104" s="608"/>
      <c r="H104" s="608"/>
      <c r="I104" s="608"/>
      <c r="J104" s="608"/>
      <c r="K104" s="608"/>
      <c r="L104" s="608"/>
      <c r="M104" s="608"/>
      <c r="N104" s="616"/>
    </row>
    <row r="105" spans="2:14">
      <c r="B105" s="605"/>
      <c r="E105" s="608"/>
      <c r="F105" s="608"/>
      <c r="H105" s="608"/>
      <c r="I105" s="608"/>
      <c r="J105" s="608"/>
      <c r="K105" s="608"/>
      <c r="L105" s="608"/>
      <c r="M105" s="608"/>
      <c r="N105" s="616"/>
    </row>
  </sheetData>
  <printOptions horizontalCentered="1"/>
  <pageMargins left="0.2" right="0.2" top="0.75" bottom="0.75" header="0.3" footer="0.3"/>
  <pageSetup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6"/>
  <sheetViews>
    <sheetView zoomScale="88" zoomScaleNormal="88" workbookViewId="0">
      <pane xSplit="3" ySplit="10" topLeftCell="D56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RowHeight="12.75" outlineLevelRow="1"/>
  <cols>
    <col min="1" max="1" width="2.42578125" style="554" customWidth="1"/>
    <col min="2" max="2" width="11.85546875" style="554" bestFit="1" customWidth="1"/>
    <col min="3" max="3" width="3.42578125" style="554" customWidth="1"/>
    <col min="4" max="4" width="12.28515625" style="554" bestFit="1" customWidth="1"/>
    <col min="5" max="7" width="14.42578125" style="554" bestFit="1" customWidth="1"/>
    <col min="8" max="8" width="15.42578125" style="554" customWidth="1"/>
    <col min="9" max="9" width="15" style="554" bestFit="1" customWidth="1"/>
    <col min="10" max="10" width="15" style="554" customWidth="1"/>
    <col min="11" max="11" width="19.28515625" style="554" customWidth="1"/>
    <col min="12" max="12" width="15.85546875" style="554" customWidth="1"/>
    <col min="13" max="13" width="14.28515625" style="554" bestFit="1" customWidth="1"/>
    <col min="14" max="15" width="14.42578125" style="554" bestFit="1" customWidth="1"/>
    <col min="16" max="16" width="11.42578125" style="554" customWidth="1"/>
    <col min="17" max="256" width="9.140625" style="554"/>
    <col min="257" max="257" width="2.42578125" style="554" customWidth="1"/>
    <col min="258" max="258" width="15.42578125" style="554" bestFit="1" customWidth="1"/>
    <col min="259" max="259" width="3.42578125" style="554" customWidth="1"/>
    <col min="260" max="261" width="15" style="554" customWidth="1"/>
    <col min="262" max="262" width="16.7109375" style="554" customWidth="1"/>
    <col min="263" max="263" width="15" style="554" bestFit="1" customWidth="1"/>
    <col min="264" max="264" width="19.140625" style="554" bestFit="1" customWidth="1"/>
    <col min="265" max="265" width="18.42578125" style="554" customWidth="1"/>
    <col min="266" max="266" width="16.7109375" style="554" customWidth="1"/>
    <col min="267" max="267" width="21" style="554" bestFit="1" customWidth="1"/>
    <col min="268" max="268" width="20.140625" style="554" bestFit="1" customWidth="1"/>
    <col min="269" max="269" width="14.140625" style="554" bestFit="1" customWidth="1"/>
    <col min="270" max="270" width="16.85546875" style="554" customWidth="1"/>
    <col min="271" max="512" width="9.140625" style="554"/>
    <col min="513" max="513" width="2.42578125" style="554" customWidth="1"/>
    <col min="514" max="514" width="15.42578125" style="554" bestFit="1" customWidth="1"/>
    <col min="515" max="515" width="3.42578125" style="554" customWidth="1"/>
    <col min="516" max="517" width="15" style="554" customWidth="1"/>
    <col min="518" max="518" width="16.7109375" style="554" customWidth="1"/>
    <col min="519" max="519" width="15" style="554" bestFit="1" customWidth="1"/>
    <col min="520" max="520" width="19.140625" style="554" bestFit="1" customWidth="1"/>
    <col min="521" max="521" width="18.42578125" style="554" customWidth="1"/>
    <col min="522" max="522" width="16.7109375" style="554" customWidth="1"/>
    <col min="523" max="523" width="21" style="554" bestFit="1" customWidth="1"/>
    <col min="524" max="524" width="20.140625" style="554" bestFit="1" customWidth="1"/>
    <col min="525" max="525" width="14.140625" style="554" bestFit="1" customWidth="1"/>
    <col min="526" max="526" width="16.85546875" style="554" customWidth="1"/>
    <col min="527" max="768" width="9.140625" style="554"/>
    <col min="769" max="769" width="2.42578125" style="554" customWidth="1"/>
    <col min="770" max="770" width="15.42578125" style="554" bestFit="1" customWidth="1"/>
    <col min="771" max="771" width="3.42578125" style="554" customWidth="1"/>
    <col min="772" max="773" width="15" style="554" customWidth="1"/>
    <col min="774" max="774" width="16.7109375" style="554" customWidth="1"/>
    <col min="775" max="775" width="15" style="554" bestFit="1" customWidth="1"/>
    <col min="776" max="776" width="19.140625" style="554" bestFit="1" customWidth="1"/>
    <col min="777" max="777" width="18.42578125" style="554" customWidth="1"/>
    <col min="778" max="778" width="16.7109375" style="554" customWidth="1"/>
    <col min="779" max="779" width="21" style="554" bestFit="1" customWidth="1"/>
    <col min="780" max="780" width="20.140625" style="554" bestFit="1" customWidth="1"/>
    <col min="781" max="781" width="14.140625" style="554" bestFit="1" customWidth="1"/>
    <col min="782" max="782" width="16.85546875" style="554" customWidth="1"/>
    <col min="783" max="1024" width="9.140625" style="554"/>
    <col min="1025" max="1025" width="2.42578125" style="554" customWidth="1"/>
    <col min="1026" max="1026" width="15.42578125" style="554" bestFit="1" customWidth="1"/>
    <col min="1027" max="1027" width="3.42578125" style="554" customWidth="1"/>
    <col min="1028" max="1029" width="15" style="554" customWidth="1"/>
    <col min="1030" max="1030" width="16.7109375" style="554" customWidth="1"/>
    <col min="1031" max="1031" width="15" style="554" bestFit="1" customWidth="1"/>
    <col min="1032" max="1032" width="19.140625" style="554" bestFit="1" customWidth="1"/>
    <col min="1033" max="1033" width="18.42578125" style="554" customWidth="1"/>
    <col min="1034" max="1034" width="16.7109375" style="554" customWidth="1"/>
    <col min="1035" max="1035" width="21" style="554" bestFit="1" customWidth="1"/>
    <col min="1036" max="1036" width="20.140625" style="554" bestFit="1" customWidth="1"/>
    <col min="1037" max="1037" width="14.140625" style="554" bestFit="1" customWidth="1"/>
    <col min="1038" max="1038" width="16.85546875" style="554" customWidth="1"/>
    <col min="1039" max="1280" width="9.140625" style="554"/>
    <col min="1281" max="1281" width="2.42578125" style="554" customWidth="1"/>
    <col min="1282" max="1282" width="15.42578125" style="554" bestFit="1" customWidth="1"/>
    <col min="1283" max="1283" width="3.42578125" style="554" customWidth="1"/>
    <col min="1284" max="1285" width="15" style="554" customWidth="1"/>
    <col min="1286" max="1286" width="16.7109375" style="554" customWidth="1"/>
    <col min="1287" max="1287" width="15" style="554" bestFit="1" customWidth="1"/>
    <col min="1288" max="1288" width="19.140625" style="554" bestFit="1" customWidth="1"/>
    <col min="1289" max="1289" width="18.42578125" style="554" customWidth="1"/>
    <col min="1290" max="1290" width="16.7109375" style="554" customWidth="1"/>
    <col min="1291" max="1291" width="21" style="554" bestFit="1" customWidth="1"/>
    <col min="1292" max="1292" width="20.140625" style="554" bestFit="1" customWidth="1"/>
    <col min="1293" max="1293" width="14.140625" style="554" bestFit="1" customWidth="1"/>
    <col min="1294" max="1294" width="16.85546875" style="554" customWidth="1"/>
    <col min="1295" max="1536" width="9.140625" style="554"/>
    <col min="1537" max="1537" width="2.42578125" style="554" customWidth="1"/>
    <col min="1538" max="1538" width="15.42578125" style="554" bestFit="1" customWidth="1"/>
    <col min="1539" max="1539" width="3.42578125" style="554" customWidth="1"/>
    <col min="1540" max="1541" width="15" style="554" customWidth="1"/>
    <col min="1542" max="1542" width="16.7109375" style="554" customWidth="1"/>
    <col min="1543" max="1543" width="15" style="554" bestFit="1" customWidth="1"/>
    <col min="1544" max="1544" width="19.140625" style="554" bestFit="1" customWidth="1"/>
    <col min="1545" max="1545" width="18.42578125" style="554" customWidth="1"/>
    <col min="1546" max="1546" width="16.7109375" style="554" customWidth="1"/>
    <col min="1547" max="1547" width="21" style="554" bestFit="1" customWidth="1"/>
    <col min="1548" max="1548" width="20.140625" style="554" bestFit="1" customWidth="1"/>
    <col min="1549" max="1549" width="14.140625" style="554" bestFit="1" customWidth="1"/>
    <col min="1550" max="1550" width="16.85546875" style="554" customWidth="1"/>
    <col min="1551" max="1792" width="9.140625" style="554"/>
    <col min="1793" max="1793" width="2.42578125" style="554" customWidth="1"/>
    <col min="1794" max="1794" width="15.42578125" style="554" bestFit="1" customWidth="1"/>
    <col min="1795" max="1795" width="3.42578125" style="554" customWidth="1"/>
    <col min="1796" max="1797" width="15" style="554" customWidth="1"/>
    <col min="1798" max="1798" width="16.7109375" style="554" customWidth="1"/>
    <col min="1799" max="1799" width="15" style="554" bestFit="1" customWidth="1"/>
    <col min="1800" max="1800" width="19.140625" style="554" bestFit="1" customWidth="1"/>
    <col min="1801" max="1801" width="18.42578125" style="554" customWidth="1"/>
    <col min="1802" max="1802" width="16.7109375" style="554" customWidth="1"/>
    <col min="1803" max="1803" width="21" style="554" bestFit="1" customWidth="1"/>
    <col min="1804" max="1804" width="20.140625" style="554" bestFit="1" customWidth="1"/>
    <col min="1805" max="1805" width="14.140625" style="554" bestFit="1" customWidth="1"/>
    <col min="1806" max="1806" width="16.85546875" style="554" customWidth="1"/>
    <col min="1807" max="2048" width="9.140625" style="554"/>
    <col min="2049" max="2049" width="2.42578125" style="554" customWidth="1"/>
    <col min="2050" max="2050" width="15.42578125" style="554" bestFit="1" customWidth="1"/>
    <col min="2051" max="2051" width="3.42578125" style="554" customWidth="1"/>
    <col min="2052" max="2053" width="15" style="554" customWidth="1"/>
    <col min="2054" max="2054" width="16.7109375" style="554" customWidth="1"/>
    <col min="2055" max="2055" width="15" style="554" bestFit="1" customWidth="1"/>
    <col min="2056" max="2056" width="19.140625" style="554" bestFit="1" customWidth="1"/>
    <col min="2057" max="2057" width="18.42578125" style="554" customWidth="1"/>
    <col min="2058" max="2058" width="16.7109375" style="554" customWidth="1"/>
    <col min="2059" max="2059" width="21" style="554" bestFit="1" customWidth="1"/>
    <col min="2060" max="2060" width="20.140625" style="554" bestFit="1" customWidth="1"/>
    <col min="2061" max="2061" width="14.140625" style="554" bestFit="1" customWidth="1"/>
    <col min="2062" max="2062" width="16.85546875" style="554" customWidth="1"/>
    <col min="2063" max="2304" width="9.140625" style="554"/>
    <col min="2305" max="2305" width="2.42578125" style="554" customWidth="1"/>
    <col min="2306" max="2306" width="15.42578125" style="554" bestFit="1" customWidth="1"/>
    <col min="2307" max="2307" width="3.42578125" style="554" customWidth="1"/>
    <col min="2308" max="2309" width="15" style="554" customWidth="1"/>
    <col min="2310" max="2310" width="16.7109375" style="554" customWidth="1"/>
    <col min="2311" max="2311" width="15" style="554" bestFit="1" customWidth="1"/>
    <col min="2312" max="2312" width="19.140625" style="554" bestFit="1" customWidth="1"/>
    <col min="2313" max="2313" width="18.42578125" style="554" customWidth="1"/>
    <col min="2314" max="2314" width="16.7109375" style="554" customWidth="1"/>
    <col min="2315" max="2315" width="21" style="554" bestFit="1" customWidth="1"/>
    <col min="2316" max="2316" width="20.140625" style="554" bestFit="1" customWidth="1"/>
    <col min="2317" max="2317" width="14.140625" style="554" bestFit="1" customWidth="1"/>
    <col min="2318" max="2318" width="16.85546875" style="554" customWidth="1"/>
    <col min="2319" max="2560" width="9.140625" style="554"/>
    <col min="2561" max="2561" width="2.42578125" style="554" customWidth="1"/>
    <col min="2562" max="2562" width="15.42578125" style="554" bestFit="1" customWidth="1"/>
    <col min="2563" max="2563" width="3.42578125" style="554" customWidth="1"/>
    <col min="2564" max="2565" width="15" style="554" customWidth="1"/>
    <col min="2566" max="2566" width="16.7109375" style="554" customWidth="1"/>
    <col min="2567" max="2567" width="15" style="554" bestFit="1" customWidth="1"/>
    <col min="2568" max="2568" width="19.140625" style="554" bestFit="1" customWidth="1"/>
    <col min="2569" max="2569" width="18.42578125" style="554" customWidth="1"/>
    <col min="2570" max="2570" width="16.7109375" style="554" customWidth="1"/>
    <col min="2571" max="2571" width="21" style="554" bestFit="1" customWidth="1"/>
    <col min="2572" max="2572" width="20.140625" style="554" bestFit="1" customWidth="1"/>
    <col min="2573" max="2573" width="14.140625" style="554" bestFit="1" customWidth="1"/>
    <col min="2574" max="2574" width="16.85546875" style="554" customWidth="1"/>
    <col min="2575" max="2816" width="9.140625" style="554"/>
    <col min="2817" max="2817" width="2.42578125" style="554" customWidth="1"/>
    <col min="2818" max="2818" width="15.42578125" style="554" bestFit="1" customWidth="1"/>
    <col min="2819" max="2819" width="3.42578125" style="554" customWidth="1"/>
    <col min="2820" max="2821" width="15" style="554" customWidth="1"/>
    <col min="2822" max="2822" width="16.7109375" style="554" customWidth="1"/>
    <col min="2823" max="2823" width="15" style="554" bestFit="1" customWidth="1"/>
    <col min="2824" max="2824" width="19.140625" style="554" bestFit="1" customWidth="1"/>
    <col min="2825" max="2825" width="18.42578125" style="554" customWidth="1"/>
    <col min="2826" max="2826" width="16.7109375" style="554" customWidth="1"/>
    <col min="2827" max="2827" width="21" style="554" bestFit="1" customWidth="1"/>
    <col min="2828" max="2828" width="20.140625" style="554" bestFit="1" customWidth="1"/>
    <col min="2829" max="2829" width="14.140625" style="554" bestFit="1" customWidth="1"/>
    <col min="2830" max="2830" width="16.85546875" style="554" customWidth="1"/>
    <col min="2831" max="3072" width="9.140625" style="554"/>
    <col min="3073" max="3073" width="2.42578125" style="554" customWidth="1"/>
    <col min="3074" max="3074" width="15.42578125" style="554" bestFit="1" customWidth="1"/>
    <col min="3075" max="3075" width="3.42578125" style="554" customWidth="1"/>
    <col min="3076" max="3077" width="15" style="554" customWidth="1"/>
    <col min="3078" max="3078" width="16.7109375" style="554" customWidth="1"/>
    <col min="3079" max="3079" width="15" style="554" bestFit="1" customWidth="1"/>
    <col min="3080" max="3080" width="19.140625" style="554" bestFit="1" customWidth="1"/>
    <col min="3081" max="3081" width="18.42578125" style="554" customWidth="1"/>
    <col min="3082" max="3082" width="16.7109375" style="554" customWidth="1"/>
    <col min="3083" max="3083" width="21" style="554" bestFit="1" customWidth="1"/>
    <col min="3084" max="3084" width="20.140625" style="554" bestFit="1" customWidth="1"/>
    <col min="3085" max="3085" width="14.140625" style="554" bestFit="1" customWidth="1"/>
    <col min="3086" max="3086" width="16.85546875" style="554" customWidth="1"/>
    <col min="3087" max="3328" width="9.140625" style="554"/>
    <col min="3329" max="3329" width="2.42578125" style="554" customWidth="1"/>
    <col min="3330" max="3330" width="15.42578125" style="554" bestFit="1" customWidth="1"/>
    <col min="3331" max="3331" width="3.42578125" style="554" customWidth="1"/>
    <col min="3332" max="3333" width="15" style="554" customWidth="1"/>
    <col min="3334" max="3334" width="16.7109375" style="554" customWidth="1"/>
    <col min="3335" max="3335" width="15" style="554" bestFit="1" customWidth="1"/>
    <col min="3336" max="3336" width="19.140625" style="554" bestFit="1" customWidth="1"/>
    <col min="3337" max="3337" width="18.42578125" style="554" customWidth="1"/>
    <col min="3338" max="3338" width="16.7109375" style="554" customWidth="1"/>
    <col min="3339" max="3339" width="21" style="554" bestFit="1" customWidth="1"/>
    <col min="3340" max="3340" width="20.140625" style="554" bestFit="1" customWidth="1"/>
    <col min="3341" max="3341" width="14.140625" style="554" bestFit="1" customWidth="1"/>
    <col min="3342" max="3342" width="16.85546875" style="554" customWidth="1"/>
    <col min="3343" max="3584" width="9.140625" style="554"/>
    <col min="3585" max="3585" width="2.42578125" style="554" customWidth="1"/>
    <col min="3586" max="3586" width="15.42578125" style="554" bestFit="1" customWidth="1"/>
    <col min="3587" max="3587" width="3.42578125" style="554" customWidth="1"/>
    <col min="3588" max="3589" width="15" style="554" customWidth="1"/>
    <col min="3590" max="3590" width="16.7109375" style="554" customWidth="1"/>
    <col min="3591" max="3591" width="15" style="554" bestFit="1" customWidth="1"/>
    <col min="3592" max="3592" width="19.140625" style="554" bestFit="1" customWidth="1"/>
    <col min="3593" max="3593" width="18.42578125" style="554" customWidth="1"/>
    <col min="3594" max="3594" width="16.7109375" style="554" customWidth="1"/>
    <col min="3595" max="3595" width="21" style="554" bestFit="1" customWidth="1"/>
    <col min="3596" max="3596" width="20.140625" style="554" bestFit="1" customWidth="1"/>
    <col min="3597" max="3597" width="14.140625" style="554" bestFit="1" customWidth="1"/>
    <col min="3598" max="3598" width="16.85546875" style="554" customWidth="1"/>
    <col min="3599" max="3840" width="9.140625" style="554"/>
    <col min="3841" max="3841" width="2.42578125" style="554" customWidth="1"/>
    <col min="3842" max="3842" width="15.42578125" style="554" bestFit="1" customWidth="1"/>
    <col min="3843" max="3843" width="3.42578125" style="554" customWidth="1"/>
    <col min="3844" max="3845" width="15" style="554" customWidth="1"/>
    <col min="3846" max="3846" width="16.7109375" style="554" customWidth="1"/>
    <col min="3847" max="3847" width="15" style="554" bestFit="1" customWidth="1"/>
    <col min="3848" max="3848" width="19.140625" style="554" bestFit="1" customWidth="1"/>
    <col min="3849" max="3849" width="18.42578125" style="554" customWidth="1"/>
    <col min="3850" max="3850" width="16.7109375" style="554" customWidth="1"/>
    <col min="3851" max="3851" width="21" style="554" bestFit="1" customWidth="1"/>
    <col min="3852" max="3852" width="20.140625" style="554" bestFit="1" customWidth="1"/>
    <col min="3853" max="3853" width="14.140625" style="554" bestFit="1" customWidth="1"/>
    <col min="3854" max="3854" width="16.85546875" style="554" customWidth="1"/>
    <col min="3855" max="4096" width="9.140625" style="554"/>
    <col min="4097" max="4097" width="2.42578125" style="554" customWidth="1"/>
    <col min="4098" max="4098" width="15.42578125" style="554" bestFit="1" customWidth="1"/>
    <col min="4099" max="4099" width="3.42578125" style="554" customWidth="1"/>
    <col min="4100" max="4101" width="15" style="554" customWidth="1"/>
    <col min="4102" max="4102" width="16.7109375" style="554" customWidth="1"/>
    <col min="4103" max="4103" width="15" style="554" bestFit="1" customWidth="1"/>
    <col min="4104" max="4104" width="19.140625" style="554" bestFit="1" customWidth="1"/>
    <col min="4105" max="4105" width="18.42578125" style="554" customWidth="1"/>
    <col min="4106" max="4106" width="16.7109375" style="554" customWidth="1"/>
    <col min="4107" max="4107" width="21" style="554" bestFit="1" customWidth="1"/>
    <col min="4108" max="4108" width="20.140625" style="554" bestFit="1" customWidth="1"/>
    <col min="4109" max="4109" width="14.140625" style="554" bestFit="1" customWidth="1"/>
    <col min="4110" max="4110" width="16.85546875" style="554" customWidth="1"/>
    <col min="4111" max="4352" width="9.140625" style="554"/>
    <col min="4353" max="4353" width="2.42578125" style="554" customWidth="1"/>
    <col min="4354" max="4354" width="15.42578125" style="554" bestFit="1" customWidth="1"/>
    <col min="4355" max="4355" width="3.42578125" style="554" customWidth="1"/>
    <col min="4356" max="4357" width="15" style="554" customWidth="1"/>
    <col min="4358" max="4358" width="16.7109375" style="554" customWidth="1"/>
    <col min="4359" max="4359" width="15" style="554" bestFit="1" customWidth="1"/>
    <col min="4360" max="4360" width="19.140625" style="554" bestFit="1" customWidth="1"/>
    <col min="4361" max="4361" width="18.42578125" style="554" customWidth="1"/>
    <col min="4362" max="4362" width="16.7109375" style="554" customWidth="1"/>
    <col min="4363" max="4363" width="21" style="554" bestFit="1" customWidth="1"/>
    <col min="4364" max="4364" width="20.140625" style="554" bestFit="1" customWidth="1"/>
    <col min="4365" max="4365" width="14.140625" style="554" bestFit="1" customWidth="1"/>
    <col min="4366" max="4366" width="16.85546875" style="554" customWidth="1"/>
    <col min="4367" max="4608" width="9.140625" style="554"/>
    <col min="4609" max="4609" width="2.42578125" style="554" customWidth="1"/>
    <col min="4610" max="4610" width="15.42578125" style="554" bestFit="1" customWidth="1"/>
    <col min="4611" max="4611" width="3.42578125" style="554" customWidth="1"/>
    <col min="4612" max="4613" width="15" style="554" customWidth="1"/>
    <col min="4614" max="4614" width="16.7109375" style="554" customWidth="1"/>
    <col min="4615" max="4615" width="15" style="554" bestFit="1" customWidth="1"/>
    <col min="4616" max="4616" width="19.140625" style="554" bestFit="1" customWidth="1"/>
    <col min="4617" max="4617" width="18.42578125" style="554" customWidth="1"/>
    <col min="4618" max="4618" width="16.7109375" style="554" customWidth="1"/>
    <col min="4619" max="4619" width="21" style="554" bestFit="1" customWidth="1"/>
    <col min="4620" max="4620" width="20.140625" style="554" bestFit="1" customWidth="1"/>
    <col min="4621" max="4621" width="14.140625" style="554" bestFit="1" customWidth="1"/>
    <col min="4622" max="4622" width="16.85546875" style="554" customWidth="1"/>
    <col min="4623" max="4864" width="9.140625" style="554"/>
    <col min="4865" max="4865" width="2.42578125" style="554" customWidth="1"/>
    <col min="4866" max="4866" width="15.42578125" style="554" bestFit="1" customWidth="1"/>
    <col min="4867" max="4867" width="3.42578125" style="554" customWidth="1"/>
    <col min="4868" max="4869" width="15" style="554" customWidth="1"/>
    <col min="4870" max="4870" width="16.7109375" style="554" customWidth="1"/>
    <col min="4871" max="4871" width="15" style="554" bestFit="1" customWidth="1"/>
    <col min="4872" max="4872" width="19.140625" style="554" bestFit="1" customWidth="1"/>
    <col min="4873" max="4873" width="18.42578125" style="554" customWidth="1"/>
    <col min="4874" max="4874" width="16.7109375" style="554" customWidth="1"/>
    <col min="4875" max="4875" width="21" style="554" bestFit="1" customWidth="1"/>
    <col min="4876" max="4876" width="20.140625" style="554" bestFit="1" customWidth="1"/>
    <col min="4877" max="4877" width="14.140625" style="554" bestFit="1" customWidth="1"/>
    <col min="4878" max="4878" width="16.85546875" style="554" customWidth="1"/>
    <col min="4879" max="5120" width="9.140625" style="554"/>
    <col min="5121" max="5121" width="2.42578125" style="554" customWidth="1"/>
    <col min="5122" max="5122" width="15.42578125" style="554" bestFit="1" customWidth="1"/>
    <col min="5123" max="5123" width="3.42578125" style="554" customWidth="1"/>
    <col min="5124" max="5125" width="15" style="554" customWidth="1"/>
    <col min="5126" max="5126" width="16.7109375" style="554" customWidth="1"/>
    <col min="5127" max="5127" width="15" style="554" bestFit="1" customWidth="1"/>
    <col min="5128" max="5128" width="19.140625" style="554" bestFit="1" customWidth="1"/>
    <col min="5129" max="5129" width="18.42578125" style="554" customWidth="1"/>
    <col min="5130" max="5130" width="16.7109375" style="554" customWidth="1"/>
    <col min="5131" max="5131" width="21" style="554" bestFit="1" customWidth="1"/>
    <col min="5132" max="5132" width="20.140625" style="554" bestFit="1" customWidth="1"/>
    <col min="5133" max="5133" width="14.140625" style="554" bestFit="1" customWidth="1"/>
    <col min="5134" max="5134" width="16.85546875" style="554" customWidth="1"/>
    <col min="5135" max="5376" width="9.140625" style="554"/>
    <col min="5377" max="5377" width="2.42578125" style="554" customWidth="1"/>
    <col min="5378" max="5378" width="15.42578125" style="554" bestFit="1" customWidth="1"/>
    <col min="5379" max="5379" width="3.42578125" style="554" customWidth="1"/>
    <col min="5380" max="5381" width="15" style="554" customWidth="1"/>
    <col min="5382" max="5382" width="16.7109375" style="554" customWidth="1"/>
    <col min="5383" max="5383" width="15" style="554" bestFit="1" customWidth="1"/>
    <col min="5384" max="5384" width="19.140625" style="554" bestFit="1" customWidth="1"/>
    <col min="5385" max="5385" width="18.42578125" style="554" customWidth="1"/>
    <col min="5386" max="5386" width="16.7109375" style="554" customWidth="1"/>
    <col min="5387" max="5387" width="21" style="554" bestFit="1" customWidth="1"/>
    <col min="5388" max="5388" width="20.140625" style="554" bestFit="1" customWidth="1"/>
    <col min="5389" max="5389" width="14.140625" style="554" bestFit="1" customWidth="1"/>
    <col min="5390" max="5390" width="16.85546875" style="554" customWidth="1"/>
    <col min="5391" max="5632" width="9.140625" style="554"/>
    <col min="5633" max="5633" width="2.42578125" style="554" customWidth="1"/>
    <col min="5634" max="5634" width="15.42578125" style="554" bestFit="1" customWidth="1"/>
    <col min="5635" max="5635" width="3.42578125" style="554" customWidth="1"/>
    <col min="5636" max="5637" width="15" style="554" customWidth="1"/>
    <col min="5638" max="5638" width="16.7109375" style="554" customWidth="1"/>
    <col min="5639" max="5639" width="15" style="554" bestFit="1" customWidth="1"/>
    <col min="5640" max="5640" width="19.140625" style="554" bestFit="1" customWidth="1"/>
    <col min="5641" max="5641" width="18.42578125" style="554" customWidth="1"/>
    <col min="5642" max="5642" width="16.7109375" style="554" customWidth="1"/>
    <col min="5643" max="5643" width="21" style="554" bestFit="1" customWidth="1"/>
    <col min="5644" max="5644" width="20.140625" style="554" bestFit="1" customWidth="1"/>
    <col min="5645" max="5645" width="14.140625" style="554" bestFit="1" customWidth="1"/>
    <col min="5646" max="5646" width="16.85546875" style="554" customWidth="1"/>
    <col min="5647" max="5888" width="9.140625" style="554"/>
    <col min="5889" max="5889" width="2.42578125" style="554" customWidth="1"/>
    <col min="5890" max="5890" width="15.42578125" style="554" bestFit="1" customWidth="1"/>
    <col min="5891" max="5891" width="3.42578125" style="554" customWidth="1"/>
    <col min="5892" max="5893" width="15" style="554" customWidth="1"/>
    <col min="5894" max="5894" width="16.7109375" style="554" customWidth="1"/>
    <col min="5895" max="5895" width="15" style="554" bestFit="1" customWidth="1"/>
    <col min="5896" max="5896" width="19.140625" style="554" bestFit="1" customWidth="1"/>
    <col min="5897" max="5897" width="18.42578125" style="554" customWidth="1"/>
    <col min="5898" max="5898" width="16.7109375" style="554" customWidth="1"/>
    <col min="5899" max="5899" width="21" style="554" bestFit="1" customWidth="1"/>
    <col min="5900" max="5900" width="20.140625" style="554" bestFit="1" customWidth="1"/>
    <col min="5901" max="5901" width="14.140625" style="554" bestFit="1" customWidth="1"/>
    <col min="5902" max="5902" width="16.85546875" style="554" customWidth="1"/>
    <col min="5903" max="6144" width="9.140625" style="554"/>
    <col min="6145" max="6145" width="2.42578125" style="554" customWidth="1"/>
    <col min="6146" max="6146" width="15.42578125" style="554" bestFit="1" customWidth="1"/>
    <col min="6147" max="6147" width="3.42578125" style="554" customWidth="1"/>
    <col min="6148" max="6149" width="15" style="554" customWidth="1"/>
    <col min="6150" max="6150" width="16.7109375" style="554" customWidth="1"/>
    <col min="6151" max="6151" width="15" style="554" bestFit="1" customWidth="1"/>
    <col min="6152" max="6152" width="19.140625" style="554" bestFit="1" customWidth="1"/>
    <col min="6153" max="6153" width="18.42578125" style="554" customWidth="1"/>
    <col min="6154" max="6154" width="16.7109375" style="554" customWidth="1"/>
    <col min="6155" max="6155" width="21" style="554" bestFit="1" customWidth="1"/>
    <col min="6156" max="6156" width="20.140625" style="554" bestFit="1" customWidth="1"/>
    <col min="6157" max="6157" width="14.140625" style="554" bestFit="1" customWidth="1"/>
    <col min="6158" max="6158" width="16.85546875" style="554" customWidth="1"/>
    <col min="6159" max="6400" width="9.140625" style="554"/>
    <col min="6401" max="6401" width="2.42578125" style="554" customWidth="1"/>
    <col min="6402" max="6402" width="15.42578125" style="554" bestFit="1" customWidth="1"/>
    <col min="6403" max="6403" width="3.42578125" style="554" customWidth="1"/>
    <col min="6404" max="6405" width="15" style="554" customWidth="1"/>
    <col min="6406" max="6406" width="16.7109375" style="554" customWidth="1"/>
    <col min="6407" max="6407" width="15" style="554" bestFit="1" customWidth="1"/>
    <col min="6408" max="6408" width="19.140625" style="554" bestFit="1" customWidth="1"/>
    <col min="6409" max="6409" width="18.42578125" style="554" customWidth="1"/>
    <col min="6410" max="6410" width="16.7109375" style="554" customWidth="1"/>
    <col min="6411" max="6411" width="21" style="554" bestFit="1" customWidth="1"/>
    <col min="6412" max="6412" width="20.140625" style="554" bestFit="1" customWidth="1"/>
    <col min="6413" max="6413" width="14.140625" style="554" bestFit="1" customWidth="1"/>
    <col min="6414" max="6414" width="16.85546875" style="554" customWidth="1"/>
    <col min="6415" max="6656" width="9.140625" style="554"/>
    <col min="6657" max="6657" width="2.42578125" style="554" customWidth="1"/>
    <col min="6658" max="6658" width="15.42578125" style="554" bestFit="1" customWidth="1"/>
    <col min="6659" max="6659" width="3.42578125" style="554" customWidth="1"/>
    <col min="6660" max="6661" width="15" style="554" customWidth="1"/>
    <col min="6662" max="6662" width="16.7109375" style="554" customWidth="1"/>
    <col min="6663" max="6663" width="15" style="554" bestFit="1" customWidth="1"/>
    <col min="6664" max="6664" width="19.140625" style="554" bestFit="1" customWidth="1"/>
    <col min="6665" max="6665" width="18.42578125" style="554" customWidth="1"/>
    <col min="6666" max="6666" width="16.7109375" style="554" customWidth="1"/>
    <col min="6667" max="6667" width="21" style="554" bestFit="1" customWidth="1"/>
    <col min="6668" max="6668" width="20.140625" style="554" bestFit="1" customWidth="1"/>
    <col min="6669" max="6669" width="14.140625" style="554" bestFit="1" customWidth="1"/>
    <col min="6670" max="6670" width="16.85546875" style="554" customWidth="1"/>
    <col min="6671" max="6912" width="9.140625" style="554"/>
    <col min="6913" max="6913" width="2.42578125" style="554" customWidth="1"/>
    <col min="6914" max="6914" width="15.42578125" style="554" bestFit="1" customWidth="1"/>
    <col min="6915" max="6915" width="3.42578125" style="554" customWidth="1"/>
    <col min="6916" max="6917" width="15" style="554" customWidth="1"/>
    <col min="6918" max="6918" width="16.7109375" style="554" customWidth="1"/>
    <col min="6919" max="6919" width="15" style="554" bestFit="1" customWidth="1"/>
    <col min="6920" max="6920" width="19.140625" style="554" bestFit="1" customWidth="1"/>
    <col min="6921" max="6921" width="18.42578125" style="554" customWidth="1"/>
    <col min="6922" max="6922" width="16.7109375" style="554" customWidth="1"/>
    <col min="6923" max="6923" width="21" style="554" bestFit="1" customWidth="1"/>
    <col min="6924" max="6924" width="20.140625" style="554" bestFit="1" customWidth="1"/>
    <col min="6925" max="6925" width="14.140625" style="554" bestFit="1" customWidth="1"/>
    <col min="6926" max="6926" width="16.85546875" style="554" customWidth="1"/>
    <col min="6927" max="7168" width="9.140625" style="554"/>
    <col min="7169" max="7169" width="2.42578125" style="554" customWidth="1"/>
    <col min="7170" max="7170" width="15.42578125" style="554" bestFit="1" customWidth="1"/>
    <col min="7171" max="7171" width="3.42578125" style="554" customWidth="1"/>
    <col min="7172" max="7173" width="15" style="554" customWidth="1"/>
    <col min="7174" max="7174" width="16.7109375" style="554" customWidth="1"/>
    <col min="7175" max="7175" width="15" style="554" bestFit="1" customWidth="1"/>
    <col min="7176" max="7176" width="19.140625" style="554" bestFit="1" customWidth="1"/>
    <col min="7177" max="7177" width="18.42578125" style="554" customWidth="1"/>
    <col min="7178" max="7178" width="16.7109375" style="554" customWidth="1"/>
    <col min="7179" max="7179" width="21" style="554" bestFit="1" customWidth="1"/>
    <col min="7180" max="7180" width="20.140625" style="554" bestFit="1" customWidth="1"/>
    <col min="7181" max="7181" width="14.140625" style="554" bestFit="1" customWidth="1"/>
    <col min="7182" max="7182" width="16.85546875" style="554" customWidth="1"/>
    <col min="7183" max="7424" width="9.140625" style="554"/>
    <col min="7425" max="7425" width="2.42578125" style="554" customWidth="1"/>
    <col min="7426" max="7426" width="15.42578125" style="554" bestFit="1" customWidth="1"/>
    <col min="7427" max="7427" width="3.42578125" style="554" customWidth="1"/>
    <col min="7428" max="7429" width="15" style="554" customWidth="1"/>
    <col min="7430" max="7430" width="16.7109375" style="554" customWidth="1"/>
    <col min="7431" max="7431" width="15" style="554" bestFit="1" customWidth="1"/>
    <col min="7432" max="7432" width="19.140625" style="554" bestFit="1" customWidth="1"/>
    <col min="7433" max="7433" width="18.42578125" style="554" customWidth="1"/>
    <col min="7434" max="7434" width="16.7109375" style="554" customWidth="1"/>
    <col min="7435" max="7435" width="21" style="554" bestFit="1" customWidth="1"/>
    <col min="7436" max="7436" width="20.140625" style="554" bestFit="1" customWidth="1"/>
    <col min="7437" max="7437" width="14.140625" style="554" bestFit="1" customWidth="1"/>
    <col min="7438" max="7438" width="16.85546875" style="554" customWidth="1"/>
    <col min="7439" max="7680" width="9.140625" style="554"/>
    <col min="7681" max="7681" width="2.42578125" style="554" customWidth="1"/>
    <col min="7682" max="7682" width="15.42578125" style="554" bestFit="1" customWidth="1"/>
    <col min="7683" max="7683" width="3.42578125" style="554" customWidth="1"/>
    <col min="7684" max="7685" width="15" style="554" customWidth="1"/>
    <col min="7686" max="7686" width="16.7109375" style="554" customWidth="1"/>
    <col min="7687" max="7687" width="15" style="554" bestFit="1" customWidth="1"/>
    <col min="7688" max="7688" width="19.140625" style="554" bestFit="1" customWidth="1"/>
    <col min="7689" max="7689" width="18.42578125" style="554" customWidth="1"/>
    <col min="7690" max="7690" width="16.7109375" style="554" customWidth="1"/>
    <col min="7691" max="7691" width="21" style="554" bestFit="1" customWidth="1"/>
    <col min="7692" max="7692" width="20.140625" style="554" bestFit="1" customWidth="1"/>
    <col min="7693" max="7693" width="14.140625" style="554" bestFit="1" customWidth="1"/>
    <col min="7694" max="7694" width="16.85546875" style="554" customWidth="1"/>
    <col min="7695" max="7936" width="9.140625" style="554"/>
    <col min="7937" max="7937" width="2.42578125" style="554" customWidth="1"/>
    <col min="7938" max="7938" width="15.42578125" style="554" bestFit="1" customWidth="1"/>
    <col min="7939" max="7939" width="3.42578125" style="554" customWidth="1"/>
    <col min="7940" max="7941" width="15" style="554" customWidth="1"/>
    <col min="7942" max="7942" width="16.7109375" style="554" customWidth="1"/>
    <col min="7943" max="7943" width="15" style="554" bestFit="1" customWidth="1"/>
    <col min="7944" max="7944" width="19.140625" style="554" bestFit="1" customWidth="1"/>
    <col min="7945" max="7945" width="18.42578125" style="554" customWidth="1"/>
    <col min="7946" max="7946" width="16.7109375" style="554" customWidth="1"/>
    <col min="7947" max="7947" width="21" style="554" bestFit="1" customWidth="1"/>
    <col min="7948" max="7948" width="20.140625" style="554" bestFit="1" customWidth="1"/>
    <col min="7949" max="7949" width="14.140625" style="554" bestFit="1" customWidth="1"/>
    <col min="7950" max="7950" width="16.85546875" style="554" customWidth="1"/>
    <col min="7951" max="8192" width="9.140625" style="554"/>
    <col min="8193" max="8193" width="2.42578125" style="554" customWidth="1"/>
    <col min="8194" max="8194" width="15.42578125" style="554" bestFit="1" customWidth="1"/>
    <col min="8195" max="8195" width="3.42578125" style="554" customWidth="1"/>
    <col min="8196" max="8197" width="15" style="554" customWidth="1"/>
    <col min="8198" max="8198" width="16.7109375" style="554" customWidth="1"/>
    <col min="8199" max="8199" width="15" style="554" bestFit="1" customWidth="1"/>
    <col min="8200" max="8200" width="19.140625" style="554" bestFit="1" customWidth="1"/>
    <col min="8201" max="8201" width="18.42578125" style="554" customWidth="1"/>
    <col min="8202" max="8202" width="16.7109375" style="554" customWidth="1"/>
    <col min="8203" max="8203" width="21" style="554" bestFit="1" customWidth="1"/>
    <col min="8204" max="8204" width="20.140625" style="554" bestFit="1" customWidth="1"/>
    <col min="8205" max="8205" width="14.140625" style="554" bestFit="1" customWidth="1"/>
    <col min="8206" max="8206" width="16.85546875" style="554" customWidth="1"/>
    <col min="8207" max="8448" width="9.140625" style="554"/>
    <col min="8449" max="8449" width="2.42578125" style="554" customWidth="1"/>
    <col min="8450" max="8450" width="15.42578125" style="554" bestFit="1" customWidth="1"/>
    <col min="8451" max="8451" width="3.42578125" style="554" customWidth="1"/>
    <col min="8452" max="8453" width="15" style="554" customWidth="1"/>
    <col min="8454" max="8454" width="16.7109375" style="554" customWidth="1"/>
    <col min="8455" max="8455" width="15" style="554" bestFit="1" customWidth="1"/>
    <col min="8456" max="8456" width="19.140625" style="554" bestFit="1" customWidth="1"/>
    <col min="8457" max="8457" width="18.42578125" style="554" customWidth="1"/>
    <col min="8458" max="8458" width="16.7109375" style="554" customWidth="1"/>
    <col min="8459" max="8459" width="21" style="554" bestFit="1" customWidth="1"/>
    <col min="8460" max="8460" width="20.140625" style="554" bestFit="1" customWidth="1"/>
    <col min="8461" max="8461" width="14.140625" style="554" bestFit="1" customWidth="1"/>
    <col min="8462" max="8462" width="16.85546875" style="554" customWidth="1"/>
    <col min="8463" max="8704" width="9.140625" style="554"/>
    <col min="8705" max="8705" width="2.42578125" style="554" customWidth="1"/>
    <col min="8706" max="8706" width="15.42578125" style="554" bestFit="1" customWidth="1"/>
    <col min="8707" max="8707" width="3.42578125" style="554" customWidth="1"/>
    <col min="8708" max="8709" width="15" style="554" customWidth="1"/>
    <col min="8710" max="8710" width="16.7109375" style="554" customWidth="1"/>
    <col min="8711" max="8711" width="15" style="554" bestFit="1" customWidth="1"/>
    <col min="8712" max="8712" width="19.140625" style="554" bestFit="1" customWidth="1"/>
    <col min="8713" max="8713" width="18.42578125" style="554" customWidth="1"/>
    <col min="8714" max="8714" width="16.7109375" style="554" customWidth="1"/>
    <col min="8715" max="8715" width="21" style="554" bestFit="1" customWidth="1"/>
    <col min="8716" max="8716" width="20.140625" style="554" bestFit="1" customWidth="1"/>
    <col min="8717" max="8717" width="14.140625" style="554" bestFit="1" customWidth="1"/>
    <col min="8718" max="8718" width="16.85546875" style="554" customWidth="1"/>
    <col min="8719" max="8960" width="9.140625" style="554"/>
    <col min="8961" max="8961" width="2.42578125" style="554" customWidth="1"/>
    <col min="8962" max="8962" width="15.42578125" style="554" bestFit="1" customWidth="1"/>
    <col min="8963" max="8963" width="3.42578125" style="554" customWidth="1"/>
    <col min="8964" max="8965" width="15" style="554" customWidth="1"/>
    <col min="8966" max="8966" width="16.7109375" style="554" customWidth="1"/>
    <col min="8967" max="8967" width="15" style="554" bestFit="1" customWidth="1"/>
    <col min="8968" max="8968" width="19.140625" style="554" bestFit="1" customWidth="1"/>
    <col min="8969" max="8969" width="18.42578125" style="554" customWidth="1"/>
    <col min="8970" max="8970" width="16.7109375" style="554" customWidth="1"/>
    <col min="8971" max="8971" width="21" style="554" bestFit="1" customWidth="1"/>
    <col min="8972" max="8972" width="20.140625" style="554" bestFit="1" customWidth="1"/>
    <col min="8973" max="8973" width="14.140625" style="554" bestFit="1" customWidth="1"/>
    <col min="8974" max="8974" width="16.85546875" style="554" customWidth="1"/>
    <col min="8975" max="9216" width="9.140625" style="554"/>
    <col min="9217" max="9217" width="2.42578125" style="554" customWidth="1"/>
    <col min="9218" max="9218" width="15.42578125" style="554" bestFit="1" customWidth="1"/>
    <col min="9219" max="9219" width="3.42578125" style="554" customWidth="1"/>
    <col min="9220" max="9221" width="15" style="554" customWidth="1"/>
    <col min="9222" max="9222" width="16.7109375" style="554" customWidth="1"/>
    <col min="9223" max="9223" width="15" style="554" bestFit="1" customWidth="1"/>
    <col min="9224" max="9224" width="19.140625" style="554" bestFit="1" customWidth="1"/>
    <col min="9225" max="9225" width="18.42578125" style="554" customWidth="1"/>
    <col min="9226" max="9226" width="16.7109375" style="554" customWidth="1"/>
    <col min="9227" max="9227" width="21" style="554" bestFit="1" customWidth="1"/>
    <col min="9228" max="9228" width="20.140625" style="554" bestFit="1" customWidth="1"/>
    <col min="9229" max="9229" width="14.140625" style="554" bestFit="1" customWidth="1"/>
    <col min="9230" max="9230" width="16.85546875" style="554" customWidth="1"/>
    <col min="9231" max="9472" width="9.140625" style="554"/>
    <col min="9473" max="9473" width="2.42578125" style="554" customWidth="1"/>
    <col min="9474" max="9474" width="15.42578125" style="554" bestFit="1" customWidth="1"/>
    <col min="9475" max="9475" width="3.42578125" style="554" customWidth="1"/>
    <col min="9476" max="9477" width="15" style="554" customWidth="1"/>
    <col min="9478" max="9478" width="16.7109375" style="554" customWidth="1"/>
    <col min="9479" max="9479" width="15" style="554" bestFit="1" customWidth="1"/>
    <col min="9480" max="9480" width="19.140625" style="554" bestFit="1" customWidth="1"/>
    <col min="9481" max="9481" width="18.42578125" style="554" customWidth="1"/>
    <col min="9482" max="9482" width="16.7109375" style="554" customWidth="1"/>
    <col min="9483" max="9483" width="21" style="554" bestFit="1" customWidth="1"/>
    <col min="9484" max="9484" width="20.140625" style="554" bestFit="1" customWidth="1"/>
    <col min="9485" max="9485" width="14.140625" style="554" bestFit="1" customWidth="1"/>
    <col min="9486" max="9486" width="16.85546875" style="554" customWidth="1"/>
    <col min="9487" max="9728" width="9.140625" style="554"/>
    <col min="9729" max="9729" width="2.42578125" style="554" customWidth="1"/>
    <col min="9730" max="9730" width="15.42578125" style="554" bestFit="1" customWidth="1"/>
    <col min="9731" max="9731" width="3.42578125" style="554" customWidth="1"/>
    <col min="9732" max="9733" width="15" style="554" customWidth="1"/>
    <col min="9734" max="9734" width="16.7109375" style="554" customWidth="1"/>
    <col min="9735" max="9735" width="15" style="554" bestFit="1" customWidth="1"/>
    <col min="9736" max="9736" width="19.140625" style="554" bestFit="1" customWidth="1"/>
    <col min="9737" max="9737" width="18.42578125" style="554" customWidth="1"/>
    <col min="9738" max="9738" width="16.7109375" style="554" customWidth="1"/>
    <col min="9739" max="9739" width="21" style="554" bestFit="1" customWidth="1"/>
    <col min="9740" max="9740" width="20.140625" style="554" bestFit="1" customWidth="1"/>
    <col min="9741" max="9741" width="14.140625" style="554" bestFit="1" customWidth="1"/>
    <col min="9742" max="9742" width="16.85546875" style="554" customWidth="1"/>
    <col min="9743" max="9984" width="9.140625" style="554"/>
    <col min="9985" max="9985" width="2.42578125" style="554" customWidth="1"/>
    <col min="9986" max="9986" width="15.42578125" style="554" bestFit="1" customWidth="1"/>
    <col min="9987" max="9987" width="3.42578125" style="554" customWidth="1"/>
    <col min="9988" max="9989" width="15" style="554" customWidth="1"/>
    <col min="9990" max="9990" width="16.7109375" style="554" customWidth="1"/>
    <col min="9991" max="9991" width="15" style="554" bestFit="1" customWidth="1"/>
    <col min="9992" max="9992" width="19.140625" style="554" bestFit="1" customWidth="1"/>
    <col min="9993" max="9993" width="18.42578125" style="554" customWidth="1"/>
    <col min="9994" max="9994" width="16.7109375" style="554" customWidth="1"/>
    <col min="9995" max="9995" width="21" style="554" bestFit="1" customWidth="1"/>
    <col min="9996" max="9996" width="20.140625" style="554" bestFit="1" customWidth="1"/>
    <col min="9997" max="9997" width="14.140625" style="554" bestFit="1" customWidth="1"/>
    <col min="9998" max="9998" width="16.85546875" style="554" customWidth="1"/>
    <col min="9999" max="10240" width="9.140625" style="554"/>
    <col min="10241" max="10241" width="2.42578125" style="554" customWidth="1"/>
    <col min="10242" max="10242" width="15.42578125" style="554" bestFit="1" customWidth="1"/>
    <col min="10243" max="10243" width="3.42578125" style="554" customWidth="1"/>
    <col min="10244" max="10245" width="15" style="554" customWidth="1"/>
    <col min="10246" max="10246" width="16.7109375" style="554" customWidth="1"/>
    <col min="10247" max="10247" width="15" style="554" bestFit="1" customWidth="1"/>
    <col min="10248" max="10248" width="19.140625" style="554" bestFit="1" customWidth="1"/>
    <col min="10249" max="10249" width="18.42578125" style="554" customWidth="1"/>
    <col min="10250" max="10250" width="16.7109375" style="554" customWidth="1"/>
    <col min="10251" max="10251" width="21" style="554" bestFit="1" customWidth="1"/>
    <col min="10252" max="10252" width="20.140625" style="554" bestFit="1" customWidth="1"/>
    <col min="10253" max="10253" width="14.140625" style="554" bestFit="1" customWidth="1"/>
    <col min="10254" max="10254" width="16.85546875" style="554" customWidth="1"/>
    <col min="10255" max="10496" width="9.140625" style="554"/>
    <col min="10497" max="10497" width="2.42578125" style="554" customWidth="1"/>
    <col min="10498" max="10498" width="15.42578125" style="554" bestFit="1" customWidth="1"/>
    <col min="10499" max="10499" width="3.42578125" style="554" customWidth="1"/>
    <col min="10500" max="10501" width="15" style="554" customWidth="1"/>
    <col min="10502" max="10502" width="16.7109375" style="554" customWidth="1"/>
    <col min="10503" max="10503" width="15" style="554" bestFit="1" customWidth="1"/>
    <col min="10504" max="10504" width="19.140625" style="554" bestFit="1" customWidth="1"/>
    <col min="10505" max="10505" width="18.42578125" style="554" customWidth="1"/>
    <col min="10506" max="10506" width="16.7109375" style="554" customWidth="1"/>
    <col min="10507" max="10507" width="21" style="554" bestFit="1" customWidth="1"/>
    <col min="10508" max="10508" width="20.140625" style="554" bestFit="1" customWidth="1"/>
    <col min="10509" max="10509" width="14.140625" style="554" bestFit="1" customWidth="1"/>
    <col min="10510" max="10510" width="16.85546875" style="554" customWidth="1"/>
    <col min="10511" max="10752" width="9.140625" style="554"/>
    <col min="10753" max="10753" width="2.42578125" style="554" customWidth="1"/>
    <col min="10754" max="10754" width="15.42578125" style="554" bestFit="1" customWidth="1"/>
    <col min="10755" max="10755" width="3.42578125" style="554" customWidth="1"/>
    <col min="10756" max="10757" width="15" style="554" customWidth="1"/>
    <col min="10758" max="10758" width="16.7109375" style="554" customWidth="1"/>
    <col min="10759" max="10759" width="15" style="554" bestFit="1" customWidth="1"/>
    <col min="10760" max="10760" width="19.140625" style="554" bestFit="1" customWidth="1"/>
    <col min="10761" max="10761" width="18.42578125" style="554" customWidth="1"/>
    <col min="10762" max="10762" width="16.7109375" style="554" customWidth="1"/>
    <col min="10763" max="10763" width="21" style="554" bestFit="1" customWidth="1"/>
    <col min="10764" max="10764" width="20.140625" style="554" bestFit="1" customWidth="1"/>
    <col min="10765" max="10765" width="14.140625" style="554" bestFit="1" customWidth="1"/>
    <col min="10766" max="10766" width="16.85546875" style="554" customWidth="1"/>
    <col min="10767" max="11008" width="9.140625" style="554"/>
    <col min="11009" max="11009" width="2.42578125" style="554" customWidth="1"/>
    <col min="11010" max="11010" width="15.42578125" style="554" bestFit="1" customWidth="1"/>
    <col min="11011" max="11011" width="3.42578125" style="554" customWidth="1"/>
    <col min="11012" max="11013" width="15" style="554" customWidth="1"/>
    <col min="11014" max="11014" width="16.7109375" style="554" customWidth="1"/>
    <col min="11015" max="11015" width="15" style="554" bestFit="1" customWidth="1"/>
    <col min="11016" max="11016" width="19.140625" style="554" bestFit="1" customWidth="1"/>
    <col min="11017" max="11017" width="18.42578125" style="554" customWidth="1"/>
    <col min="11018" max="11018" width="16.7109375" style="554" customWidth="1"/>
    <col min="11019" max="11019" width="21" style="554" bestFit="1" customWidth="1"/>
    <col min="11020" max="11020" width="20.140625" style="554" bestFit="1" customWidth="1"/>
    <col min="11021" max="11021" width="14.140625" style="554" bestFit="1" customWidth="1"/>
    <col min="11022" max="11022" width="16.85546875" style="554" customWidth="1"/>
    <col min="11023" max="11264" width="9.140625" style="554"/>
    <col min="11265" max="11265" width="2.42578125" style="554" customWidth="1"/>
    <col min="11266" max="11266" width="15.42578125" style="554" bestFit="1" customWidth="1"/>
    <col min="11267" max="11267" width="3.42578125" style="554" customWidth="1"/>
    <col min="11268" max="11269" width="15" style="554" customWidth="1"/>
    <col min="11270" max="11270" width="16.7109375" style="554" customWidth="1"/>
    <col min="11271" max="11271" width="15" style="554" bestFit="1" customWidth="1"/>
    <col min="11272" max="11272" width="19.140625" style="554" bestFit="1" customWidth="1"/>
    <col min="11273" max="11273" width="18.42578125" style="554" customWidth="1"/>
    <col min="11274" max="11274" width="16.7109375" style="554" customWidth="1"/>
    <col min="11275" max="11275" width="21" style="554" bestFit="1" customWidth="1"/>
    <col min="11276" max="11276" width="20.140625" style="554" bestFit="1" customWidth="1"/>
    <col min="11277" max="11277" width="14.140625" style="554" bestFit="1" customWidth="1"/>
    <col min="11278" max="11278" width="16.85546875" style="554" customWidth="1"/>
    <col min="11279" max="11520" width="9.140625" style="554"/>
    <col min="11521" max="11521" width="2.42578125" style="554" customWidth="1"/>
    <col min="11522" max="11522" width="15.42578125" style="554" bestFit="1" customWidth="1"/>
    <col min="11523" max="11523" width="3.42578125" style="554" customWidth="1"/>
    <col min="11524" max="11525" width="15" style="554" customWidth="1"/>
    <col min="11526" max="11526" width="16.7109375" style="554" customWidth="1"/>
    <col min="11527" max="11527" width="15" style="554" bestFit="1" customWidth="1"/>
    <col min="11528" max="11528" width="19.140625" style="554" bestFit="1" customWidth="1"/>
    <col min="11529" max="11529" width="18.42578125" style="554" customWidth="1"/>
    <col min="11530" max="11530" width="16.7109375" style="554" customWidth="1"/>
    <col min="11531" max="11531" width="21" style="554" bestFit="1" customWidth="1"/>
    <col min="11532" max="11532" width="20.140625" style="554" bestFit="1" customWidth="1"/>
    <col min="11533" max="11533" width="14.140625" style="554" bestFit="1" customWidth="1"/>
    <col min="11534" max="11534" width="16.85546875" style="554" customWidth="1"/>
    <col min="11535" max="11776" width="9.140625" style="554"/>
    <col min="11777" max="11777" width="2.42578125" style="554" customWidth="1"/>
    <col min="11778" max="11778" width="15.42578125" style="554" bestFit="1" customWidth="1"/>
    <col min="11779" max="11779" width="3.42578125" style="554" customWidth="1"/>
    <col min="11780" max="11781" width="15" style="554" customWidth="1"/>
    <col min="11782" max="11782" width="16.7109375" style="554" customWidth="1"/>
    <col min="11783" max="11783" width="15" style="554" bestFit="1" customWidth="1"/>
    <col min="11784" max="11784" width="19.140625" style="554" bestFit="1" customWidth="1"/>
    <col min="11785" max="11785" width="18.42578125" style="554" customWidth="1"/>
    <col min="11786" max="11786" width="16.7109375" style="554" customWidth="1"/>
    <col min="11787" max="11787" width="21" style="554" bestFit="1" customWidth="1"/>
    <col min="11788" max="11788" width="20.140625" style="554" bestFit="1" customWidth="1"/>
    <col min="11789" max="11789" width="14.140625" style="554" bestFit="1" customWidth="1"/>
    <col min="11790" max="11790" width="16.85546875" style="554" customWidth="1"/>
    <col min="11791" max="12032" width="9.140625" style="554"/>
    <col min="12033" max="12033" width="2.42578125" style="554" customWidth="1"/>
    <col min="12034" max="12034" width="15.42578125" style="554" bestFit="1" customWidth="1"/>
    <col min="12035" max="12035" width="3.42578125" style="554" customWidth="1"/>
    <col min="12036" max="12037" width="15" style="554" customWidth="1"/>
    <col min="12038" max="12038" width="16.7109375" style="554" customWidth="1"/>
    <col min="12039" max="12039" width="15" style="554" bestFit="1" customWidth="1"/>
    <col min="12040" max="12040" width="19.140625" style="554" bestFit="1" customWidth="1"/>
    <col min="12041" max="12041" width="18.42578125" style="554" customWidth="1"/>
    <col min="12042" max="12042" width="16.7109375" style="554" customWidth="1"/>
    <col min="12043" max="12043" width="21" style="554" bestFit="1" customWidth="1"/>
    <col min="12044" max="12044" width="20.140625" style="554" bestFit="1" customWidth="1"/>
    <col min="12045" max="12045" width="14.140625" style="554" bestFit="1" customWidth="1"/>
    <col min="12046" max="12046" width="16.85546875" style="554" customWidth="1"/>
    <col min="12047" max="12288" width="9.140625" style="554"/>
    <col min="12289" max="12289" width="2.42578125" style="554" customWidth="1"/>
    <col min="12290" max="12290" width="15.42578125" style="554" bestFit="1" customWidth="1"/>
    <col min="12291" max="12291" width="3.42578125" style="554" customWidth="1"/>
    <col min="12292" max="12293" width="15" style="554" customWidth="1"/>
    <col min="12294" max="12294" width="16.7109375" style="554" customWidth="1"/>
    <col min="12295" max="12295" width="15" style="554" bestFit="1" customWidth="1"/>
    <col min="12296" max="12296" width="19.140625" style="554" bestFit="1" customWidth="1"/>
    <col min="12297" max="12297" width="18.42578125" style="554" customWidth="1"/>
    <col min="12298" max="12298" width="16.7109375" style="554" customWidth="1"/>
    <col min="12299" max="12299" width="21" style="554" bestFit="1" customWidth="1"/>
    <col min="12300" max="12300" width="20.140625" style="554" bestFit="1" customWidth="1"/>
    <col min="12301" max="12301" width="14.140625" style="554" bestFit="1" customWidth="1"/>
    <col min="12302" max="12302" width="16.85546875" style="554" customWidth="1"/>
    <col min="12303" max="12544" width="9.140625" style="554"/>
    <col min="12545" max="12545" width="2.42578125" style="554" customWidth="1"/>
    <col min="12546" max="12546" width="15.42578125" style="554" bestFit="1" customWidth="1"/>
    <col min="12547" max="12547" width="3.42578125" style="554" customWidth="1"/>
    <col min="12548" max="12549" width="15" style="554" customWidth="1"/>
    <col min="12550" max="12550" width="16.7109375" style="554" customWidth="1"/>
    <col min="12551" max="12551" width="15" style="554" bestFit="1" customWidth="1"/>
    <col min="12552" max="12552" width="19.140625" style="554" bestFit="1" customWidth="1"/>
    <col min="12553" max="12553" width="18.42578125" style="554" customWidth="1"/>
    <col min="12554" max="12554" width="16.7109375" style="554" customWidth="1"/>
    <col min="12555" max="12555" width="21" style="554" bestFit="1" customWidth="1"/>
    <col min="12556" max="12556" width="20.140625" style="554" bestFit="1" customWidth="1"/>
    <col min="12557" max="12557" width="14.140625" style="554" bestFit="1" customWidth="1"/>
    <col min="12558" max="12558" width="16.85546875" style="554" customWidth="1"/>
    <col min="12559" max="12800" width="9.140625" style="554"/>
    <col min="12801" max="12801" width="2.42578125" style="554" customWidth="1"/>
    <col min="12802" max="12802" width="15.42578125" style="554" bestFit="1" customWidth="1"/>
    <col min="12803" max="12803" width="3.42578125" style="554" customWidth="1"/>
    <col min="12804" max="12805" width="15" style="554" customWidth="1"/>
    <col min="12806" max="12806" width="16.7109375" style="554" customWidth="1"/>
    <col min="12807" max="12807" width="15" style="554" bestFit="1" customWidth="1"/>
    <col min="12808" max="12808" width="19.140625" style="554" bestFit="1" customWidth="1"/>
    <col min="12809" max="12809" width="18.42578125" style="554" customWidth="1"/>
    <col min="12810" max="12810" width="16.7109375" style="554" customWidth="1"/>
    <col min="12811" max="12811" width="21" style="554" bestFit="1" customWidth="1"/>
    <col min="12812" max="12812" width="20.140625" style="554" bestFit="1" customWidth="1"/>
    <col min="12813" max="12813" width="14.140625" style="554" bestFit="1" customWidth="1"/>
    <col min="12814" max="12814" width="16.85546875" style="554" customWidth="1"/>
    <col min="12815" max="13056" width="9.140625" style="554"/>
    <col min="13057" max="13057" width="2.42578125" style="554" customWidth="1"/>
    <col min="13058" max="13058" width="15.42578125" style="554" bestFit="1" customWidth="1"/>
    <col min="13059" max="13059" width="3.42578125" style="554" customWidth="1"/>
    <col min="13060" max="13061" width="15" style="554" customWidth="1"/>
    <col min="13062" max="13062" width="16.7109375" style="554" customWidth="1"/>
    <col min="13063" max="13063" width="15" style="554" bestFit="1" customWidth="1"/>
    <col min="13064" max="13064" width="19.140625" style="554" bestFit="1" customWidth="1"/>
    <col min="13065" max="13065" width="18.42578125" style="554" customWidth="1"/>
    <col min="13066" max="13066" width="16.7109375" style="554" customWidth="1"/>
    <col min="13067" max="13067" width="21" style="554" bestFit="1" customWidth="1"/>
    <col min="13068" max="13068" width="20.140625" style="554" bestFit="1" customWidth="1"/>
    <col min="13069" max="13069" width="14.140625" style="554" bestFit="1" customWidth="1"/>
    <col min="13070" max="13070" width="16.85546875" style="554" customWidth="1"/>
    <col min="13071" max="13312" width="9.140625" style="554"/>
    <col min="13313" max="13313" width="2.42578125" style="554" customWidth="1"/>
    <col min="13314" max="13314" width="15.42578125" style="554" bestFit="1" customWidth="1"/>
    <col min="13315" max="13315" width="3.42578125" style="554" customWidth="1"/>
    <col min="13316" max="13317" width="15" style="554" customWidth="1"/>
    <col min="13318" max="13318" width="16.7109375" style="554" customWidth="1"/>
    <col min="13319" max="13319" width="15" style="554" bestFit="1" customWidth="1"/>
    <col min="13320" max="13320" width="19.140625" style="554" bestFit="1" customWidth="1"/>
    <col min="13321" max="13321" width="18.42578125" style="554" customWidth="1"/>
    <col min="13322" max="13322" width="16.7109375" style="554" customWidth="1"/>
    <col min="13323" max="13323" width="21" style="554" bestFit="1" customWidth="1"/>
    <col min="13324" max="13324" width="20.140625" style="554" bestFit="1" customWidth="1"/>
    <col min="13325" max="13325" width="14.140625" style="554" bestFit="1" customWidth="1"/>
    <col min="13326" max="13326" width="16.85546875" style="554" customWidth="1"/>
    <col min="13327" max="13568" width="9.140625" style="554"/>
    <col min="13569" max="13569" width="2.42578125" style="554" customWidth="1"/>
    <col min="13570" max="13570" width="15.42578125" style="554" bestFit="1" customWidth="1"/>
    <col min="13571" max="13571" width="3.42578125" style="554" customWidth="1"/>
    <col min="13572" max="13573" width="15" style="554" customWidth="1"/>
    <col min="13574" max="13574" width="16.7109375" style="554" customWidth="1"/>
    <col min="13575" max="13575" width="15" style="554" bestFit="1" customWidth="1"/>
    <col min="13576" max="13576" width="19.140625" style="554" bestFit="1" customWidth="1"/>
    <col min="13577" max="13577" width="18.42578125" style="554" customWidth="1"/>
    <col min="13578" max="13578" width="16.7109375" style="554" customWidth="1"/>
    <col min="13579" max="13579" width="21" style="554" bestFit="1" customWidth="1"/>
    <col min="13580" max="13580" width="20.140625" style="554" bestFit="1" customWidth="1"/>
    <col min="13581" max="13581" width="14.140625" style="554" bestFit="1" customWidth="1"/>
    <col min="13582" max="13582" width="16.85546875" style="554" customWidth="1"/>
    <col min="13583" max="13824" width="9.140625" style="554"/>
    <col min="13825" max="13825" width="2.42578125" style="554" customWidth="1"/>
    <col min="13826" max="13826" width="15.42578125" style="554" bestFit="1" customWidth="1"/>
    <col min="13827" max="13827" width="3.42578125" style="554" customWidth="1"/>
    <col min="13828" max="13829" width="15" style="554" customWidth="1"/>
    <col min="13830" max="13830" width="16.7109375" style="554" customWidth="1"/>
    <col min="13831" max="13831" width="15" style="554" bestFit="1" customWidth="1"/>
    <col min="13832" max="13832" width="19.140625" style="554" bestFit="1" customWidth="1"/>
    <col min="13833" max="13833" width="18.42578125" style="554" customWidth="1"/>
    <col min="13834" max="13834" width="16.7109375" style="554" customWidth="1"/>
    <col min="13835" max="13835" width="21" style="554" bestFit="1" customWidth="1"/>
    <col min="13836" max="13836" width="20.140625" style="554" bestFit="1" customWidth="1"/>
    <col min="13837" max="13837" width="14.140625" style="554" bestFit="1" customWidth="1"/>
    <col min="13838" max="13838" width="16.85546875" style="554" customWidth="1"/>
    <col min="13839" max="14080" width="9.140625" style="554"/>
    <col min="14081" max="14081" width="2.42578125" style="554" customWidth="1"/>
    <col min="14082" max="14082" width="15.42578125" style="554" bestFit="1" customWidth="1"/>
    <col min="14083" max="14083" width="3.42578125" style="554" customWidth="1"/>
    <col min="14084" max="14085" width="15" style="554" customWidth="1"/>
    <col min="14086" max="14086" width="16.7109375" style="554" customWidth="1"/>
    <col min="14087" max="14087" width="15" style="554" bestFit="1" customWidth="1"/>
    <col min="14088" max="14088" width="19.140625" style="554" bestFit="1" customWidth="1"/>
    <col min="14089" max="14089" width="18.42578125" style="554" customWidth="1"/>
    <col min="14090" max="14090" width="16.7109375" style="554" customWidth="1"/>
    <col min="14091" max="14091" width="21" style="554" bestFit="1" customWidth="1"/>
    <col min="14092" max="14092" width="20.140625" style="554" bestFit="1" customWidth="1"/>
    <col min="14093" max="14093" width="14.140625" style="554" bestFit="1" customWidth="1"/>
    <col min="14094" max="14094" width="16.85546875" style="554" customWidth="1"/>
    <col min="14095" max="14336" width="9.140625" style="554"/>
    <col min="14337" max="14337" width="2.42578125" style="554" customWidth="1"/>
    <col min="14338" max="14338" width="15.42578125" style="554" bestFit="1" customWidth="1"/>
    <col min="14339" max="14339" width="3.42578125" style="554" customWidth="1"/>
    <col min="14340" max="14341" width="15" style="554" customWidth="1"/>
    <col min="14342" max="14342" width="16.7109375" style="554" customWidth="1"/>
    <col min="14343" max="14343" width="15" style="554" bestFit="1" customWidth="1"/>
    <col min="14344" max="14344" width="19.140625" style="554" bestFit="1" customWidth="1"/>
    <col min="14345" max="14345" width="18.42578125" style="554" customWidth="1"/>
    <col min="14346" max="14346" width="16.7109375" style="554" customWidth="1"/>
    <col min="14347" max="14347" width="21" style="554" bestFit="1" customWidth="1"/>
    <col min="14348" max="14348" width="20.140625" style="554" bestFit="1" customWidth="1"/>
    <col min="14349" max="14349" width="14.140625" style="554" bestFit="1" customWidth="1"/>
    <col min="14350" max="14350" width="16.85546875" style="554" customWidth="1"/>
    <col min="14351" max="14592" width="9.140625" style="554"/>
    <col min="14593" max="14593" width="2.42578125" style="554" customWidth="1"/>
    <col min="14594" max="14594" width="15.42578125" style="554" bestFit="1" customWidth="1"/>
    <col min="14595" max="14595" width="3.42578125" style="554" customWidth="1"/>
    <col min="14596" max="14597" width="15" style="554" customWidth="1"/>
    <col min="14598" max="14598" width="16.7109375" style="554" customWidth="1"/>
    <col min="14599" max="14599" width="15" style="554" bestFit="1" customWidth="1"/>
    <col min="14600" max="14600" width="19.140625" style="554" bestFit="1" customWidth="1"/>
    <col min="14601" max="14601" width="18.42578125" style="554" customWidth="1"/>
    <col min="14602" max="14602" width="16.7109375" style="554" customWidth="1"/>
    <col min="14603" max="14603" width="21" style="554" bestFit="1" customWidth="1"/>
    <col min="14604" max="14604" width="20.140625" style="554" bestFit="1" customWidth="1"/>
    <col min="14605" max="14605" width="14.140625" style="554" bestFit="1" customWidth="1"/>
    <col min="14606" max="14606" width="16.85546875" style="554" customWidth="1"/>
    <col min="14607" max="14848" width="9.140625" style="554"/>
    <col min="14849" max="14849" width="2.42578125" style="554" customWidth="1"/>
    <col min="14850" max="14850" width="15.42578125" style="554" bestFit="1" customWidth="1"/>
    <col min="14851" max="14851" width="3.42578125" style="554" customWidth="1"/>
    <col min="14852" max="14853" width="15" style="554" customWidth="1"/>
    <col min="14854" max="14854" width="16.7109375" style="554" customWidth="1"/>
    <col min="14855" max="14855" width="15" style="554" bestFit="1" customWidth="1"/>
    <col min="14856" max="14856" width="19.140625" style="554" bestFit="1" customWidth="1"/>
    <col min="14857" max="14857" width="18.42578125" style="554" customWidth="1"/>
    <col min="14858" max="14858" width="16.7109375" style="554" customWidth="1"/>
    <col min="14859" max="14859" width="21" style="554" bestFit="1" customWidth="1"/>
    <col min="14860" max="14860" width="20.140625" style="554" bestFit="1" customWidth="1"/>
    <col min="14861" max="14861" width="14.140625" style="554" bestFit="1" customWidth="1"/>
    <col min="14862" max="14862" width="16.85546875" style="554" customWidth="1"/>
    <col min="14863" max="15104" width="9.140625" style="554"/>
    <col min="15105" max="15105" width="2.42578125" style="554" customWidth="1"/>
    <col min="15106" max="15106" width="15.42578125" style="554" bestFit="1" customWidth="1"/>
    <col min="15107" max="15107" width="3.42578125" style="554" customWidth="1"/>
    <col min="15108" max="15109" width="15" style="554" customWidth="1"/>
    <col min="15110" max="15110" width="16.7109375" style="554" customWidth="1"/>
    <col min="15111" max="15111" width="15" style="554" bestFit="1" customWidth="1"/>
    <col min="15112" max="15112" width="19.140625" style="554" bestFit="1" customWidth="1"/>
    <col min="15113" max="15113" width="18.42578125" style="554" customWidth="1"/>
    <col min="15114" max="15114" width="16.7109375" style="554" customWidth="1"/>
    <col min="15115" max="15115" width="21" style="554" bestFit="1" customWidth="1"/>
    <col min="15116" max="15116" width="20.140625" style="554" bestFit="1" customWidth="1"/>
    <col min="15117" max="15117" width="14.140625" style="554" bestFit="1" customWidth="1"/>
    <col min="15118" max="15118" width="16.85546875" style="554" customWidth="1"/>
    <col min="15119" max="15360" width="9.140625" style="554"/>
    <col min="15361" max="15361" width="2.42578125" style="554" customWidth="1"/>
    <col min="15362" max="15362" width="15.42578125" style="554" bestFit="1" customWidth="1"/>
    <col min="15363" max="15363" width="3.42578125" style="554" customWidth="1"/>
    <col min="15364" max="15365" width="15" style="554" customWidth="1"/>
    <col min="15366" max="15366" width="16.7109375" style="554" customWidth="1"/>
    <col min="15367" max="15367" width="15" style="554" bestFit="1" customWidth="1"/>
    <col min="15368" max="15368" width="19.140625" style="554" bestFit="1" customWidth="1"/>
    <col min="15369" max="15369" width="18.42578125" style="554" customWidth="1"/>
    <col min="15370" max="15370" width="16.7109375" style="554" customWidth="1"/>
    <col min="15371" max="15371" width="21" style="554" bestFit="1" customWidth="1"/>
    <col min="15372" max="15372" width="20.140625" style="554" bestFit="1" customWidth="1"/>
    <col min="15373" max="15373" width="14.140625" style="554" bestFit="1" customWidth="1"/>
    <col min="15374" max="15374" width="16.85546875" style="554" customWidth="1"/>
    <col min="15375" max="15616" width="9.140625" style="554"/>
    <col min="15617" max="15617" width="2.42578125" style="554" customWidth="1"/>
    <col min="15618" max="15618" width="15.42578125" style="554" bestFit="1" customWidth="1"/>
    <col min="15619" max="15619" width="3.42578125" style="554" customWidth="1"/>
    <col min="15620" max="15621" width="15" style="554" customWidth="1"/>
    <col min="15622" max="15622" width="16.7109375" style="554" customWidth="1"/>
    <col min="15623" max="15623" width="15" style="554" bestFit="1" customWidth="1"/>
    <col min="15624" max="15624" width="19.140625" style="554" bestFit="1" customWidth="1"/>
    <col min="15625" max="15625" width="18.42578125" style="554" customWidth="1"/>
    <col min="15626" max="15626" width="16.7109375" style="554" customWidth="1"/>
    <col min="15627" max="15627" width="21" style="554" bestFit="1" customWidth="1"/>
    <col min="15628" max="15628" width="20.140625" style="554" bestFit="1" customWidth="1"/>
    <col min="15629" max="15629" width="14.140625" style="554" bestFit="1" customWidth="1"/>
    <col min="15630" max="15630" width="16.85546875" style="554" customWidth="1"/>
    <col min="15631" max="15872" width="9.140625" style="554"/>
    <col min="15873" max="15873" width="2.42578125" style="554" customWidth="1"/>
    <col min="15874" max="15874" width="15.42578125" style="554" bestFit="1" customWidth="1"/>
    <col min="15875" max="15875" width="3.42578125" style="554" customWidth="1"/>
    <col min="15876" max="15877" width="15" style="554" customWidth="1"/>
    <col min="15878" max="15878" width="16.7109375" style="554" customWidth="1"/>
    <col min="15879" max="15879" width="15" style="554" bestFit="1" customWidth="1"/>
    <col min="15880" max="15880" width="19.140625" style="554" bestFit="1" customWidth="1"/>
    <col min="15881" max="15881" width="18.42578125" style="554" customWidth="1"/>
    <col min="15882" max="15882" width="16.7109375" style="554" customWidth="1"/>
    <col min="15883" max="15883" width="21" style="554" bestFit="1" customWidth="1"/>
    <col min="15884" max="15884" width="20.140625" style="554" bestFit="1" customWidth="1"/>
    <col min="15885" max="15885" width="14.140625" style="554" bestFit="1" customWidth="1"/>
    <col min="15886" max="15886" width="16.85546875" style="554" customWidth="1"/>
    <col min="15887" max="16128" width="9.140625" style="554"/>
    <col min="16129" max="16129" width="2.42578125" style="554" customWidth="1"/>
    <col min="16130" max="16130" width="15.42578125" style="554" bestFit="1" customWidth="1"/>
    <col min="16131" max="16131" width="3.42578125" style="554" customWidth="1"/>
    <col min="16132" max="16133" width="15" style="554" customWidth="1"/>
    <col min="16134" max="16134" width="16.7109375" style="554" customWidth="1"/>
    <col min="16135" max="16135" width="15" style="554" bestFit="1" customWidth="1"/>
    <col min="16136" max="16136" width="19.140625" style="554" bestFit="1" customWidth="1"/>
    <col min="16137" max="16137" width="18.42578125" style="554" customWidth="1"/>
    <col min="16138" max="16138" width="16.7109375" style="554" customWidth="1"/>
    <col min="16139" max="16139" width="21" style="554" bestFit="1" customWidth="1"/>
    <col min="16140" max="16140" width="20.140625" style="554" bestFit="1" customWidth="1"/>
    <col min="16141" max="16141" width="14.140625" style="554" bestFit="1" customWidth="1"/>
    <col min="16142" max="16142" width="16.85546875" style="554" customWidth="1"/>
    <col min="16143" max="16384" width="9.140625" style="554"/>
  </cols>
  <sheetData>
    <row r="1" spans="1:15">
      <c r="A1" s="578" t="s">
        <v>9</v>
      </c>
      <c r="C1" s="579"/>
      <c r="D1" s="579"/>
      <c r="E1" s="579"/>
      <c r="F1" s="579"/>
      <c r="G1" s="579"/>
      <c r="H1" s="580"/>
      <c r="I1" s="580"/>
      <c r="J1" s="580"/>
      <c r="K1" s="581"/>
      <c r="L1" s="581"/>
      <c r="M1" s="581"/>
      <c r="N1" s="581"/>
    </row>
    <row r="2" spans="1:15" ht="14.25" customHeight="1">
      <c r="A2" s="1086" t="s">
        <v>858</v>
      </c>
      <c r="C2" s="579"/>
      <c r="D2" s="579"/>
      <c r="E2" s="579"/>
      <c r="F2" s="579"/>
      <c r="G2" s="579"/>
      <c r="H2" s="580"/>
      <c r="I2" s="580"/>
      <c r="J2" s="580"/>
      <c r="K2" s="581"/>
      <c r="L2" s="581"/>
      <c r="M2" s="581"/>
      <c r="N2" s="581"/>
    </row>
    <row r="3" spans="1:15">
      <c r="A3" s="578" t="s">
        <v>817</v>
      </c>
      <c r="C3" s="579"/>
      <c r="D3" s="579"/>
      <c r="E3" s="579"/>
      <c r="F3" s="579"/>
      <c r="G3" s="579"/>
      <c r="H3" s="580"/>
      <c r="I3" s="580"/>
      <c r="J3" s="580"/>
      <c r="K3" s="581"/>
      <c r="L3" s="581"/>
      <c r="M3" s="581"/>
      <c r="N3" s="581"/>
    </row>
    <row r="4" spans="1:15">
      <c r="A4" s="579"/>
      <c r="B4" s="68"/>
      <c r="C4" s="579"/>
      <c r="D4" s="579"/>
      <c r="E4" s="579"/>
      <c r="F4" s="579"/>
      <c r="G4" s="579"/>
      <c r="H4" s="580"/>
      <c r="I4" s="580"/>
      <c r="J4" s="580"/>
      <c r="K4" s="581"/>
      <c r="L4" s="581"/>
      <c r="M4" s="581"/>
      <c r="N4" s="581"/>
    </row>
    <row r="5" spans="1:15">
      <c r="A5" s="579"/>
      <c r="B5" s="579"/>
      <c r="C5" s="579"/>
      <c r="D5" s="867" t="s">
        <v>852</v>
      </c>
      <c r="E5" s="582"/>
      <c r="F5" s="583"/>
      <c r="G5" s="867" t="s">
        <v>863</v>
      </c>
      <c r="H5" s="585"/>
      <c r="I5" s="585"/>
      <c r="J5" s="585"/>
      <c r="K5" s="876" t="s">
        <v>862</v>
      </c>
      <c r="L5" s="586"/>
      <c r="M5" s="586"/>
      <c r="N5" s="586"/>
    </row>
    <row r="6" spans="1:15" ht="13.5" thickBot="1">
      <c r="A6" s="587"/>
      <c r="B6" s="587"/>
      <c r="C6" s="587"/>
      <c r="D6" s="588" t="s">
        <v>92</v>
      </c>
      <c r="E6" s="588" t="s">
        <v>92</v>
      </c>
      <c r="F6" s="589"/>
      <c r="G6" s="590"/>
      <c r="H6" s="591"/>
      <c r="I6" s="591"/>
      <c r="J6" s="591"/>
      <c r="K6" s="591"/>
      <c r="L6" s="591"/>
      <c r="M6" s="591"/>
      <c r="N6" s="591"/>
    </row>
    <row r="7" spans="1:15">
      <c r="A7" s="579"/>
      <c r="B7" s="579"/>
      <c r="C7" s="579"/>
      <c r="D7" s="584" t="s">
        <v>93</v>
      </c>
      <c r="E7" s="592" t="s">
        <v>2</v>
      </c>
      <c r="F7" s="593" t="s">
        <v>115</v>
      </c>
      <c r="G7" s="584" t="s">
        <v>19</v>
      </c>
      <c r="H7" s="585" t="s">
        <v>20</v>
      </c>
      <c r="I7" s="585" t="s">
        <v>116</v>
      </c>
      <c r="J7" s="585" t="s">
        <v>18</v>
      </c>
      <c r="K7" s="592" t="s">
        <v>19</v>
      </c>
      <c r="L7" s="592" t="s">
        <v>20</v>
      </c>
      <c r="M7" s="594" t="s">
        <v>117</v>
      </c>
      <c r="N7" s="592" t="s">
        <v>118</v>
      </c>
      <c r="O7" s="536" t="s">
        <v>2</v>
      </c>
    </row>
    <row r="8" spans="1:15">
      <c r="A8" s="581"/>
      <c r="B8" s="592" t="s">
        <v>718</v>
      </c>
      <c r="C8" s="595"/>
      <c r="D8" s="592" t="s">
        <v>28</v>
      </c>
      <c r="E8" s="592"/>
      <c r="F8" s="594" t="s">
        <v>2</v>
      </c>
      <c r="G8" s="592" t="s">
        <v>3</v>
      </c>
      <c r="H8" s="596" t="s">
        <v>3</v>
      </c>
      <c r="I8" s="596" t="s">
        <v>712</v>
      </c>
      <c r="J8" s="596" t="s">
        <v>16</v>
      </c>
      <c r="K8" s="592" t="s">
        <v>24</v>
      </c>
      <c r="L8" s="594" t="s">
        <v>24</v>
      </c>
      <c r="M8" s="592" t="s">
        <v>18</v>
      </c>
      <c r="N8" s="592" t="s">
        <v>117</v>
      </c>
      <c r="O8" s="538" t="s">
        <v>37</v>
      </c>
    </row>
    <row r="9" spans="1:15">
      <c r="A9" s="581"/>
      <c r="B9" s="592" t="s">
        <v>7</v>
      </c>
      <c r="C9" s="595"/>
      <c r="D9" s="596" t="s">
        <v>119</v>
      </c>
      <c r="E9" s="596" t="s">
        <v>31</v>
      </c>
      <c r="F9" s="594" t="s">
        <v>32</v>
      </c>
      <c r="G9" s="596" t="s">
        <v>120</v>
      </c>
      <c r="H9" s="594" t="s">
        <v>719</v>
      </c>
      <c r="I9" s="596" t="s">
        <v>33</v>
      </c>
      <c r="J9" s="596" t="s">
        <v>122</v>
      </c>
      <c r="K9" s="596" t="s">
        <v>720</v>
      </c>
      <c r="L9" s="594" t="s">
        <v>721</v>
      </c>
      <c r="M9" s="596" t="s">
        <v>94</v>
      </c>
      <c r="N9" s="596" t="s">
        <v>125</v>
      </c>
      <c r="O9" s="538" t="s">
        <v>35</v>
      </c>
    </row>
    <row r="10" spans="1:15" ht="13.5" thickBot="1">
      <c r="A10" s="587"/>
      <c r="B10" s="597"/>
      <c r="C10" s="597"/>
      <c r="D10" s="591"/>
      <c r="E10" s="591"/>
      <c r="F10" s="598"/>
      <c r="G10" s="1087" t="s">
        <v>816</v>
      </c>
      <c r="H10" s="598" t="s">
        <v>722</v>
      </c>
      <c r="I10" s="591"/>
      <c r="J10" s="591"/>
      <c r="K10" s="591" t="s">
        <v>723</v>
      </c>
      <c r="L10" s="599" t="s">
        <v>724</v>
      </c>
      <c r="M10" s="591"/>
      <c r="N10" s="591"/>
      <c r="O10" s="541"/>
    </row>
    <row r="11" spans="1:15" hidden="1" outlineLevel="1">
      <c r="A11" s="581"/>
      <c r="B11" s="605">
        <v>41639</v>
      </c>
      <c r="C11" s="595"/>
      <c r="D11" s="596"/>
      <c r="E11" s="596"/>
      <c r="F11" s="594"/>
      <c r="G11" s="877"/>
      <c r="H11" s="594"/>
      <c r="I11" s="596"/>
      <c r="J11" s="596"/>
      <c r="K11" s="596"/>
      <c r="L11" s="878"/>
      <c r="M11" s="596"/>
      <c r="N11" s="596"/>
      <c r="O11" s="629"/>
    </row>
    <row r="12" spans="1:15" hidden="1" outlineLevel="1">
      <c r="A12" s="581"/>
      <c r="B12" s="605">
        <v>41670</v>
      </c>
      <c r="C12" s="595"/>
      <c r="D12" s="596"/>
      <c r="E12" s="596"/>
      <c r="F12" s="594"/>
      <c r="G12" s="877"/>
      <c r="H12" s="594"/>
      <c r="I12" s="596"/>
      <c r="J12" s="596"/>
      <c r="K12" s="596"/>
      <c r="L12" s="878"/>
      <c r="M12" s="596"/>
      <c r="N12" s="596"/>
      <c r="O12" s="629"/>
    </row>
    <row r="13" spans="1:15" hidden="1" outlineLevel="1">
      <c r="A13" s="581"/>
      <c r="B13" s="605">
        <v>41698</v>
      </c>
      <c r="C13" s="595"/>
      <c r="D13" s="596"/>
      <c r="E13" s="596"/>
      <c r="F13" s="594"/>
      <c r="G13" s="877"/>
      <c r="H13" s="594"/>
      <c r="I13" s="596"/>
      <c r="J13" s="596"/>
      <c r="K13" s="596"/>
      <c r="L13" s="878"/>
      <c r="M13" s="596"/>
      <c r="N13" s="596"/>
      <c r="O13" s="629"/>
    </row>
    <row r="14" spans="1:15" ht="10.15" hidden="1" customHeight="1" outlineLevel="1">
      <c r="A14" s="579"/>
      <c r="B14" s="605">
        <v>41729</v>
      </c>
      <c r="C14" s="579"/>
      <c r="D14" s="584"/>
      <c r="E14" s="600"/>
      <c r="F14" s="601"/>
      <c r="G14" s="584"/>
      <c r="H14" s="585"/>
      <c r="I14" s="602"/>
      <c r="J14" s="602"/>
      <c r="K14" s="603"/>
      <c r="L14" s="603"/>
      <c r="M14" s="603"/>
      <c r="N14" s="603"/>
    </row>
    <row r="15" spans="1:15" hidden="1" outlineLevel="1">
      <c r="A15" s="579"/>
      <c r="B15" s="604">
        <v>41759</v>
      </c>
      <c r="C15" s="605"/>
      <c r="D15" s="606"/>
      <c r="E15" s="607">
        <f>E14+D15</f>
        <v>0</v>
      </c>
      <c r="F15" s="608"/>
      <c r="G15" s="600"/>
      <c r="H15" s="609"/>
      <c r="I15" s="602"/>
      <c r="J15" s="602"/>
      <c r="K15" s="610">
        <f>(-D15*0.35)+(G15*0.35)</f>
        <v>0</v>
      </c>
      <c r="L15" s="610">
        <f>L14+K15</f>
        <v>0</v>
      </c>
      <c r="M15" s="610"/>
      <c r="N15" s="603"/>
    </row>
    <row r="16" spans="1:15" hidden="1" outlineLevel="1">
      <c r="A16" s="579"/>
      <c r="B16" s="604">
        <v>41790</v>
      </c>
      <c r="C16" s="605"/>
      <c r="D16" s="611">
        <v>-165891.27794925836</v>
      </c>
      <c r="E16" s="611">
        <f>E15+D16</f>
        <v>-165891.27794925836</v>
      </c>
      <c r="F16" s="608"/>
      <c r="G16" s="600"/>
      <c r="H16" s="609"/>
      <c r="I16" s="602"/>
      <c r="J16" s="602"/>
      <c r="K16" s="610">
        <f t="shared" ref="K16:K44" si="0">(-D16*0.35)+(G16*0.35)</f>
        <v>58061.94728224042</v>
      </c>
      <c r="L16" s="610">
        <f t="shared" ref="L16:L45" si="1">L15+K16</f>
        <v>58061.94728224042</v>
      </c>
      <c r="M16" s="610"/>
      <c r="N16" s="603"/>
      <c r="O16" s="619">
        <f>E16+H16+L16</f>
        <v>-107829.33066701794</v>
      </c>
    </row>
    <row r="17" spans="1:20" hidden="1" outlineLevel="1">
      <c r="A17" s="579"/>
      <c r="B17" s="614">
        <v>41820</v>
      </c>
      <c r="C17" s="604"/>
      <c r="D17" s="612">
        <v>-285701.64535705606</v>
      </c>
      <c r="E17" s="612">
        <f>E16+D17</f>
        <v>-451592.92330631439</v>
      </c>
      <c r="F17" s="608"/>
      <c r="G17" s="613"/>
      <c r="H17" s="602"/>
      <c r="I17" s="602"/>
      <c r="J17" s="602"/>
      <c r="K17" s="608">
        <f t="shared" si="0"/>
        <v>99995.575874969611</v>
      </c>
      <c r="L17" s="608">
        <f t="shared" si="1"/>
        <v>158057.52315721003</v>
      </c>
      <c r="M17" s="608"/>
      <c r="N17" s="603"/>
      <c r="O17" s="619">
        <f t="shared" ref="O17:O22" si="2">E17+H17+L17</f>
        <v>-293535.40014910436</v>
      </c>
      <c r="P17" s="555"/>
    </row>
    <row r="18" spans="1:20" hidden="1" outlineLevel="1">
      <c r="A18" s="579"/>
      <c r="B18" s="604">
        <v>41851</v>
      </c>
      <c r="C18" s="604"/>
      <c r="D18" s="612">
        <v>-285701.64535705606</v>
      </c>
      <c r="E18" s="612">
        <f t="shared" ref="E18:E81" si="3">E17+D18</f>
        <v>-737294.56866337045</v>
      </c>
      <c r="F18" s="608"/>
      <c r="G18" s="612"/>
      <c r="H18" s="608"/>
      <c r="I18" s="602"/>
      <c r="J18" s="602"/>
      <c r="K18" s="608">
        <f>(-D18*0.35)+(G18*0.35)</f>
        <v>99995.575874969611</v>
      </c>
      <c r="L18" s="608">
        <f>L17+K18</f>
        <v>258053.09903217963</v>
      </c>
      <c r="M18" s="608"/>
      <c r="N18" s="603"/>
      <c r="O18" s="619">
        <f t="shared" si="2"/>
        <v>-479241.46963119082</v>
      </c>
      <c r="P18" s="555"/>
    </row>
    <row r="19" spans="1:20" hidden="1" outlineLevel="1">
      <c r="A19" s="579"/>
      <c r="B19" s="604">
        <v>41882</v>
      </c>
      <c r="C19" s="615"/>
      <c r="D19" s="612">
        <v>-285701.64535705606</v>
      </c>
      <c r="E19" s="612">
        <f t="shared" si="3"/>
        <v>-1022996.2140204265</v>
      </c>
      <c r="F19" s="608"/>
      <c r="G19" s="612"/>
      <c r="H19" s="608"/>
      <c r="I19" s="602"/>
      <c r="J19" s="602"/>
      <c r="K19" s="608">
        <f t="shared" si="0"/>
        <v>99995.575874969611</v>
      </c>
      <c r="L19" s="608">
        <f t="shared" si="1"/>
        <v>358048.67490714922</v>
      </c>
      <c r="M19" s="612"/>
      <c r="N19" s="603"/>
      <c r="O19" s="619">
        <f t="shared" si="2"/>
        <v>-664947.53911327734</v>
      </c>
      <c r="P19" s="555"/>
    </row>
    <row r="20" spans="1:20" hidden="1" outlineLevel="1">
      <c r="A20" s="579"/>
      <c r="B20" s="604">
        <v>41912</v>
      </c>
      <c r="C20" s="604"/>
      <c r="D20" s="612">
        <v>-285701.64535705606</v>
      </c>
      <c r="E20" s="612">
        <f t="shared" si="3"/>
        <v>-1308697.8593774824</v>
      </c>
      <c r="F20" s="608"/>
      <c r="G20" s="612"/>
      <c r="H20" s="608"/>
      <c r="I20" s="608"/>
      <c r="J20" s="602"/>
      <c r="K20" s="608">
        <f>(-D20*0.35)+(G20*0.35)</f>
        <v>99995.575874969611</v>
      </c>
      <c r="L20" s="608">
        <f t="shared" si="1"/>
        <v>458044.25078211882</v>
      </c>
      <c r="M20" s="612"/>
      <c r="N20" s="603"/>
      <c r="O20" s="619">
        <f t="shared" si="2"/>
        <v>-850653.60859536356</v>
      </c>
      <c r="P20" s="555"/>
    </row>
    <row r="21" spans="1:20" hidden="1" outlineLevel="1">
      <c r="A21" s="579"/>
      <c r="B21" s="604">
        <v>41943</v>
      </c>
      <c r="C21" s="604"/>
      <c r="D21" s="612">
        <v>-285701.64535705606</v>
      </c>
      <c r="E21" s="612">
        <f t="shared" si="3"/>
        <v>-1594399.5047345385</v>
      </c>
      <c r="F21" s="608"/>
      <c r="G21" s="612"/>
      <c r="H21" s="608"/>
      <c r="I21" s="608"/>
      <c r="J21" s="608"/>
      <c r="K21" s="608">
        <f>(-D21*0.35)+(G21*0.35)</f>
        <v>99995.575874969611</v>
      </c>
      <c r="L21" s="608">
        <f t="shared" si="1"/>
        <v>558039.82665708847</v>
      </c>
      <c r="M21" s="612"/>
      <c r="N21" s="603"/>
      <c r="O21" s="619">
        <f t="shared" si="2"/>
        <v>-1036359.67807745</v>
      </c>
    </row>
    <row r="22" spans="1:20" hidden="1" outlineLevel="1">
      <c r="A22" s="579"/>
      <c r="B22" s="604">
        <v>41973</v>
      </c>
      <c r="C22" s="604"/>
      <c r="D22" s="608">
        <v>-285701.64535705606</v>
      </c>
      <c r="E22" s="608">
        <f t="shared" si="3"/>
        <v>-1880101.1500915946</v>
      </c>
      <c r="F22" s="608">
        <f>(E15+E22+SUM(E16:E21)*2)/24</f>
        <v>-518410.24359143229</v>
      </c>
      <c r="G22" s="612"/>
      <c r="H22" s="608"/>
      <c r="I22" s="608"/>
      <c r="J22" s="608"/>
      <c r="K22" s="608">
        <f t="shared" si="0"/>
        <v>99995.575874969611</v>
      </c>
      <c r="L22" s="608">
        <f t="shared" si="1"/>
        <v>658035.40253205807</v>
      </c>
      <c r="M22" s="608">
        <f>(L15+L22+SUM(L16:L21)*2)/24</f>
        <v>181443.58525700131</v>
      </c>
      <c r="N22" s="616">
        <f>M22+J22</f>
        <v>181443.58525700131</v>
      </c>
      <c r="O22" s="619">
        <f t="shared" si="2"/>
        <v>-1222065.7475595365</v>
      </c>
      <c r="P22" s="833"/>
      <c r="Q22" s="833"/>
      <c r="R22" s="833"/>
    </row>
    <row r="23" spans="1:20" hidden="1" outlineLevel="1">
      <c r="A23" s="579"/>
      <c r="B23" s="604">
        <v>42004</v>
      </c>
      <c r="C23" s="604"/>
      <c r="D23" s="612"/>
      <c r="E23" s="612">
        <f>E22+D23</f>
        <v>-1880101.1500915946</v>
      </c>
      <c r="F23" s="608">
        <f>(E11+E23+SUM(E12:E22)*2)/24</f>
        <v>-675085.33943239856</v>
      </c>
      <c r="G23" s="612">
        <f>E23/47</f>
        <v>-40002.152129608396</v>
      </c>
      <c r="H23" s="608">
        <f>H22-G23</f>
        <v>40002.152129608396</v>
      </c>
      <c r="I23" s="608">
        <f>(H16+H23+SUM(H17:H22)*2)/24</f>
        <v>1666.7563387336832</v>
      </c>
      <c r="J23" s="608">
        <f>F23+I23</f>
        <v>-673418.58309366484</v>
      </c>
      <c r="K23" s="608">
        <f>(-D23*0.35)+(G23*0.35)</f>
        <v>-14000.753245362937</v>
      </c>
      <c r="L23" s="608">
        <f t="shared" si="1"/>
        <v>644034.64928669517</v>
      </c>
      <c r="M23" s="608">
        <f>(L11+L23+SUM(L12:L22)*2)/24</f>
        <v>235696.50408278266</v>
      </c>
      <c r="N23" s="616">
        <f>M23+J23</f>
        <v>-437722.07901088218</v>
      </c>
      <c r="O23" s="894">
        <f>E23+H23+L23</f>
        <v>-1196064.3486752911</v>
      </c>
      <c r="P23" s="833"/>
      <c r="Q23" s="833"/>
      <c r="R23" s="833"/>
      <c r="S23" s="833"/>
      <c r="T23" s="833"/>
    </row>
    <row r="24" spans="1:20" hidden="1" outlineLevel="1">
      <c r="A24" s="579"/>
      <c r="B24" s="604">
        <v>42035</v>
      </c>
      <c r="C24" s="604"/>
      <c r="D24" s="612"/>
      <c r="E24" s="612">
        <f t="shared" si="3"/>
        <v>-1880101.1500915946</v>
      </c>
      <c r="F24" s="608">
        <f>(E12+E24+SUM(E13:E23)*2)/24</f>
        <v>-831760.43527336477</v>
      </c>
      <c r="G24" s="612">
        <f t="shared" ref="G24:G34" si="4">E24/47</f>
        <v>-40002.152129608396</v>
      </c>
      <c r="H24" s="608">
        <f>H23-G24</f>
        <v>80004.304259216791</v>
      </c>
      <c r="I24" s="608">
        <f>(H16+H24+SUM(H17:H23)*2)/24</f>
        <v>6667.0253549347326</v>
      </c>
      <c r="J24" s="608">
        <f>F24+I24</f>
        <v>-825093.40991843003</v>
      </c>
      <c r="K24" s="608">
        <f t="shared" si="0"/>
        <v>-14000.753245362937</v>
      </c>
      <c r="L24" s="608">
        <f t="shared" si="1"/>
        <v>630033.89604133228</v>
      </c>
      <c r="M24" s="608">
        <f>(L12+L24+SUM(L13:L23)*2)/24</f>
        <v>288782.69347145053</v>
      </c>
      <c r="N24" s="616">
        <f>M24+J24</f>
        <v>-536310.71644697944</v>
      </c>
      <c r="O24" s="894">
        <f t="shared" ref="O24:O68" si="5">E24+H24+L24</f>
        <v>-1170062.9497910454</v>
      </c>
      <c r="P24" s="833"/>
      <c r="Q24" s="833"/>
      <c r="R24" s="833"/>
      <c r="S24" s="833"/>
      <c r="T24" s="833"/>
    </row>
    <row r="25" spans="1:20" hidden="1" outlineLevel="1">
      <c r="A25" s="579"/>
      <c r="B25" s="604">
        <v>42063</v>
      </c>
      <c r="C25" s="604"/>
      <c r="D25" s="612"/>
      <c r="E25" s="612">
        <f t="shared" si="3"/>
        <v>-1880101.1500915946</v>
      </c>
      <c r="F25" s="608">
        <f>(E13+E25+SUM(E14:E24)*2)/24</f>
        <v>-988435.53111433098</v>
      </c>
      <c r="G25" s="612">
        <f t="shared" si="4"/>
        <v>-40002.152129608396</v>
      </c>
      <c r="H25" s="608">
        <f t="shared" ref="H25:H83" si="6">H24-G25</f>
        <v>120006.45638882519</v>
      </c>
      <c r="I25" s="608">
        <f>(H16+H25+SUM(H17:H24)*2)/24</f>
        <v>15000.807048603148</v>
      </c>
      <c r="J25" s="608">
        <f t="shared" ref="J25:J45" si="7">F25+I25</f>
        <v>-973434.72406572779</v>
      </c>
      <c r="K25" s="608">
        <f t="shared" si="0"/>
        <v>-14000.753245362937</v>
      </c>
      <c r="L25" s="608">
        <f t="shared" si="1"/>
        <v>616033.14279596938</v>
      </c>
      <c r="M25" s="608">
        <f t="shared" ref="M25:M26" si="8">(L13+L25+SUM(L14:L24)*2)/24</f>
        <v>340702.15342300473</v>
      </c>
      <c r="N25" s="616">
        <f t="shared" ref="N25" si="9">M25+J25</f>
        <v>-632732.570642723</v>
      </c>
      <c r="O25" s="894">
        <f t="shared" si="5"/>
        <v>-1144061.5509068002</v>
      </c>
      <c r="P25" s="833"/>
      <c r="Q25" s="833"/>
      <c r="R25" s="833"/>
      <c r="S25" s="833"/>
      <c r="T25" s="833"/>
    </row>
    <row r="26" spans="1:20" hidden="1" outlineLevel="1">
      <c r="A26" s="579"/>
      <c r="B26" s="604">
        <v>42094</v>
      </c>
      <c r="C26" s="604"/>
      <c r="D26" s="612"/>
      <c r="E26" s="612">
        <f t="shared" si="3"/>
        <v>-1880101.1500915946</v>
      </c>
      <c r="F26" s="608">
        <f t="shared" ref="F26:F28" si="10">(E14+E26+SUM(E15:E25)*2)/24</f>
        <v>-1145110.6269552971</v>
      </c>
      <c r="G26" s="612">
        <f t="shared" si="4"/>
        <v>-40002.152129608396</v>
      </c>
      <c r="H26" s="608">
        <f>H25-G26</f>
        <v>160008.60851843358</v>
      </c>
      <c r="I26" s="608">
        <f>(H16+H26+SUM(H17:H25)*2)/24</f>
        <v>26668.10141973893</v>
      </c>
      <c r="J26" s="608">
        <f t="shared" si="7"/>
        <v>-1118442.5255355581</v>
      </c>
      <c r="K26" s="608">
        <f t="shared" si="0"/>
        <v>-14000.753245362937</v>
      </c>
      <c r="L26" s="608">
        <f t="shared" si="1"/>
        <v>602032.38955060649</v>
      </c>
      <c r="M26" s="608">
        <f t="shared" si="8"/>
        <v>391454.88393744541</v>
      </c>
      <c r="N26" s="616">
        <f>M26+J26</f>
        <v>-726987.64159811265</v>
      </c>
      <c r="O26" s="894">
        <f t="shared" si="5"/>
        <v>-1118060.1520225545</v>
      </c>
      <c r="P26" s="833"/>
      <c r="Q26" s="833"/>
      <c r="R26" s="833"/>
      <c r="S26" s="833"/>
      <c r="T26" s="833"/>
    </row>
    <row r="27" spans="1:20" s="833" customFormat="1" hidden="1" outlineLevel="1">
      <c r="A27" s="579"/>
      <c r="B27" s="604">
        <v>42124</v>
      </c>
      <c r="C27" s="604"/>
      <c r="D27" s="612"/>
      <c r="E27" s="612">
        <f t="shared" si="3"/>
        <v>-1880101.1500915946</v>
      </c>
      <c r="F27" s="608">
        <f t="shared" si="10"/>
        <v>-1301785.7227962634</v>
      </c>
      <c r="G27" s="612">
        <f t="shared" si="4"/>
        <v>-40002.152129608396</v>
      </c>
      <c r="H27" s="608">
        <f t="shared" si="6"/>
        <v>200010.76064804196</v>
      </c>
      <c r="I27" s="608">
        <f>(H16+H27+SUM(H17:H26)*2)/24</f>
        <v>41668.908468342073</v>
      </c>
      <c r="J27" s="608">
        <f t="shared" si="7"/>
        <v>-1260116.8143279213</v>
      </c>
      <c r="K27" s="608">
        <f t="shared" si="0"/>
        <v>-14000.753245362937</v>
      </c>
      <c r="L27" s="608">
        <f t="shared" si="1"/>
        <v>588031.63630524359</v>
      </c>
      <c r="M27" s="608">
        <f>(L15+L27+SUM(L16:L26)*2)/24</f>
        <v>441040.88501477247</v>
      </c>
      <c r="N27" s="616">
        <f>M27+J27</f>
        <v>-819075.92931314884</v>
      </c>
      <c r="O27" s="894">
        <f t="shared" si="5"/>
        <v>-1092058.7531383089</v>
      </c>
    </row>
    <row r="28" spans="1:20" s="833" customFormat="1" hidden="1" outlineLevel="1">
      <c r="A28" s="579"/>
      <c r="B28" s="604">
        <v>42155</v>
      </c>
      <c r="C28" s="604"/>
      <c r="D28" s="612"/>
      <c r="E28" s="612">
        <f t="shared" si="3"/>
        <v>-1880101.1500915946</v>
      </c>
      <c r="F28" s="608">
        <f t="shared" si="10"/>
        <v>-1451548.6820560105</v>
      </c>
      <c r="G28" s="612">
        <f t="shared" si="4"/>
        <v>-40002.152129608396</v>
      </c>
      <c r="H28" s="608">
        <f t="shared" si="6"/>
        <v>240012.91277765034</v>
      </c>
      <c r="I28" s="608">
        <f>(H16+H28+SUM(H17:H27)*2)/24</f>
        <v>60003.228194412593</v>
      </c>
      <c r="J28" s="608">
        <f t="shared" si="7"/>
        <v>-1391545.4538615979</v>
      </c>
      <c r="K28" s="608">
        <f t="shared" si="0"/>
        <v>-14000.753245362937</v>
      </c>
      <c r="L28" s="608">
        <f t="shared" si="1"/>
        <v>574030.8830598807</v>
      </c>
      <c r="M28" s="608">
        <f t="shared" ref="M28:M40" si="11">(L16+L28+SUM(L17:L27)*2)/24</f>
        <v>487040.90885155933</v>
      </c>
      <c r="N28" s="616">
        <f t="shared" ref="N28:N40" si="12">M28+J28</f>
        <v>-904504.54501003865</v>
      </c>
      <c r="O28" s="894">
        <f t="shared" si="5"/>
        <v>-1066057.3542540635</v>
      </c>
    </row>
    <row r="29" spans="1:20" hidden="1" outlineLevel="1">
      <c r="A29" s="579"/>
      <c r="B29" s="604">
        <v>42185</v>
      </c>
      <c r="C29" s="604"/>
      <c r="D29" s="612"/>
      <c r="E29" s="612">
        <f t="shared" si="3"/>
        <v>-1880101.1500915946</v>
      </c>
      <c r="F29" s="608">
        <f>(E17+E29+SUM(E18:E28)*2)/24</f>
        <v>-1582495.2695113278</v>
      </c>
      <c r="G29" s="612">
        <f t="shared" si="4"/>
        <v>-40002.152129608396</v>
      </c>
      <c r="H29" s="608">
        <f t="shared" si="6"/>
        <v>280015.06490725873</v>
      </c>
      <c r="I29" s="608">
        <f>(H17+H29+SUM(H18:H28)*2)/24</f>
        <v>81671.060597950476</v>
      </c>
      <c r="J29" s="608">
        <f t="shared" si="7"/>
        <v>-1500824.2089133775</v>
      </c>
      <c r="K29" s="608">
        <f t="shared" si="0"/>
        <v>-14000.753245362937</v>
      </c>
      <c r="L29" s="608">
        <f t="shared" si="1"/>
        <v>560030.1298145178</v>
      </c>
      <c r="M29" s="608">
        <f t="shared" si="11"/>
        <v>525288.47311968217</v>
      </c>
      <c r="N29" s="616">
        <f t="shared" si="12"/>
        <v>-975535.73579369532</v>
      </c>
      <c r="O29" s="894">
        <f t="shared" si="5"/>
        <v>-1040055.9553698179</v>
      </c>
      <c r="P29" s="833"/>
      <c r="Q29" s="833"/>
      <c r="R29" s="833"/>
      <c r="S29" s="833"/>
      <c r="T29" s="833"/>
    </row>
    <row r="30" spans="1:20" hidden="1" outlineLevel="1">
      <c r="A30" s="579"/>
      <c r="B30" s="604">
        <v>42216</v>
      </c>
      <c r="C30" s="604"/>
      <c r="D30" s="612"/>
      <c r="E30" s="612">
        <f>E29+D30</f>
        <v>-1880101.1500915946</v>
      </c>
      <c r="F30" s="608">
        <f>(E18+E30+SUM(E19:E29)*2)/24</f>
        <v>-1689633.3865202237</v>
      </c>
      <c r="G30" s="612">
        <f t="shared" si="4"/>
        <v>-40002.152129608396</v>
      </c>
      <c r="H30" s="608">
        <f t="shared" si="6"/>
        <v>320017.21703686711</v>
      </c>
      <c r="I30" s="608">
        <f>(H18+H30+SUM(H19:H29)*2)/24</f>
        <v>106672.40567895571</v>
      </c>
      <c r="J30" s="608">
        <f t="shared" si="7"/>
        <v>-1582960.9808412681</v>
      </c>
      <c r="K30" s="608">
        <f>(-D30*0.35)+(G30*0.35)</f>
        <v>-14000.753245362937</v>
      </c>
      <c r="L30" s="608">
        <f t="shared" si="1"/>
        <v>546029.37656915491</v>
      </c>
      <c r="M30" s="608">
        <f t="shared" si="11"/>
        <v>554036.34329444391</v>
      </c>
      <c r="N30" s="616">
        <f t="shared" si="12"/>
        <v>-1028924.6375468242</v>
      </c>
      <c r="O30" s="894">
        <f t="shared" si="5"/>
        <v>-1014054.5564855726</v>
      </c>
      <c r="P30" s="833"/>
      <c r="Q30" s="833"/>
      <c r="R30" s="833"/>
      <c r="S30" s="833"/>
      <c r="T30" s="833"/>
    </row>
    <row r="31" spans="1:20" s="833" customFormat="1" hidden="1" outlineLevel="1">
      <c r="A31" s="579"/>
      <c r="B31" s="604">
        <v>42247</v>
      </c>
      <c r="C31" s="604"/>
      <c r="D31" s="612"/>
      <c r="E31" s="612">
        <f t="shared" si="3"/>
        <v>-1880101.1500915946</v>
      </c>
      <c r="F31" s="608">
        <f>(E19+E31+SUM(E20:E30)*2)/24</f>
        <v>-1772963.0330826985</v>
      </c>
      <c r="G31" s="612">
        <f t="shared" si="4"/>
        <v>-40002.152129608396</v>
      </c>
      <c r="H31" s="608">
        <f t="shared" si="6"/>
        <v>360019.36916647549</v>
      </c>
      <c r="I31" s="608">
        <f>(H19+H31+SUM(H20:H30)*2)/24</f>
        <v>135007.26343742831</v>
      </c>
      <c r="J31" s="608">
        <f t="shared" si="7"/>
        <v>-1637955.7696452702</v>
      </c>
      <c r="K31" s="608">
        <f>(-D31*0.35)+(G31*0.35)</f>
        <v>-14000.753245362937</v>
      </c>
      <c r="L31" s="608">
        <f t="shared" si="1"/>
        <v>532028.62332379201</v>
      </c>
      <c r="M31" s="608">
        <f t="shared" si="11"/>
        <v>573284.51937584463</v>
      </c>
      <c r="N31" s="616">
        <f>M31+J31</f>
        <v>-1064671.2502694256</v>
      </c>
      <c r="O31" s="894">
        <f t="shared" si="5"/>
        <v>-988053.15760132705</v>
      </c>
    </row>
    <row r="32" spans="1:20" collapsed="1">
      <c r="A32" s="579"/>
      <c r="B32" s="604">
        <v>42277</v>
      </c>
      <c r="C32" s="604"/>
      <c r="D32" s="612"/>
      <c r="E32" s="612">
        <f t="shared" si="3"/>
        <v>-1880101.1500915946</v>
      </c>
      <c r="F32" s="608">
        <f>(E20+E32+SUM(E21:E31)*2)/24</f>
        <v>-1832484.2091987517</v>
      </c>
      <c r="G32" s="612">
        <f t="shared" si="4"/>
        <v>-40002.152129608396</v>
      </c>
      <c r="H32" s="608">
        <f t="shared" si="6"/>
        <v>400021.52129608387</v>
      </c>
      <c r="I32" s="608">
        <f t="shared" ref="I32:I40" si="13">(H20+H32+SUM(H21:H31)*2)/24</f>
        <v>166675.63387336829</v>
      </c>
      <c r="J32" s="608">
        <f t="shared" si="7"/>
        <v>-1665808.5753253833</v>
      </c>
      <c r="K32" s="608">
        <f>(-D32*0.35)+(G32*0.35)</f>
        <v>-14000.753245362937</v>
      </c>
      <c r="L32" s="608">
        <f t="shared" si="1"/>
        <v>518027.87007842906</v>
      </c>
      <c r="M32" s="608">
        <f t="shared" si="11"/>
        <v>583033.00136388431</v>
      </c>
      <c r="N32" s="616">
        <f t="shared" si="12"/>
        <v>-1082775.5739614991</v>
      </c>
      <c r="O32" s="894">
        <f t="shared" si="5"/>
        <v>-962051.75871708151</v>
      </c>
      <c r="P32" s="833"/>
      <c r="Q32" s="833"/>
      <c r="R32" s="833"/>
      <c r="S32" s="833"/>
      <c r="T32" s="833"/>
    </row>
    <row r="33" spans="1:20">
      <c r="A33" s="579"/>
      <c r="B33" s="604">
        <v>42308</v>
      </c>
      <c r="C33" s="604"/>
      <c r="D33" s="612"/>
      <c r="E33" s="612">
        <f t="shared" si="3"/>
        <v>-1880101.1500915946</v>
      </c>
      <c r="F33" s="608">
        <f t="shared" ref="F33:F40" si="14">(E21+E33+SUM(E22:E32)*2)/24</f>
        <v>-1868196.9148683839</v>
      </c>
      <c r="G33" s="612">
        <f t="shared" si="4"/>
        <v>-40002.152129608396</v>
      </c>
      <c r="H33" s="608">
        <f t="shared" si="6"/>
        <v>440023.67342569225</v>
      </c>
      <c r="I33" s="608">
        <f t="shared" si="13"/>
        <v>201677.51698677559</v>
      </c>
      <c r="J33" s="608">
        <f t="shared" si="7"/>
        <v>-1666519.3978816082</v>
      </c>
      <c r="K33" s="608">
        <f t="shared" si="0"/>
        <v>-14000.753245362937</v>
      </c>
      <c r="L33" s="608">
        <f t="shared" si="1"/>
        <v>504027.1168330661</v>
      </c>
      <c r="M33" s="608">
        <f t="shared" si="11"/>
        <v>583281.78925856296</v>
      </c>
      <c r="N33" s="616">
        <f t="shared" si="12"/>
        <v>-1083237.6086230453</v>
      </c>
      <c r="O33" s="894">
        <f t="shared" si="5"/>
        <v>-936050.35983283632</v>
      </c>
      <c r="P33" s="833"/>
      <c r="Q33" s="833"/>
      <c r="R33" s="833"/>
      <c r="S33" s="833"/>
      <c r="T33" s="833"/>
    </row>
    <row r="34" spans="1:20">
      <c r="A34" s="579"/>
      <c r="B34" s="614">
        <v>42338</v>
      </c>
      <c r="C34" s="614"/>
      <c r="D34" s="608"/>
      <c r="E34" s="608">
        <f t="shared" si="3"/>
        <v>-1880101.1500915946</v>
      </c>
      <c r="F34" s="608">
        <f>(E22+E34+SUM(E23:E33)*2)/24</f>
        <v>-1880101.1500915948</v>
      </c>
      <c r="G34" s="608">
        <f t="shared" si="4"/>
        <v>-40002.152129608396</v>
      </c>
      <c r="H34" s="608">
        <f t="shared" si="6"/>
        <v>480025.82555530063</v>
      </c>
      <c r="I34" s="608">
        <f>(H22+H34+SUM(H23:H33)*2)/24</f>
        <v>240012.91277765029</v>
      </c>
      <c r="J34" s="608">
        <f t="shared" si="7"/>
        <v>-1640088.2373139444</v>
      </c>
      <c r="K34" s="608">
        <f t="shared" si="0"/>
        <v>-14000.753245362937</v>
      </c>
      <c r="L34" s="608">
        <f t="shared" si="1"/>
        <v>490026.36358770315</v>
      </c>
      <c r="M34" s="608">
        <f>(L22+L34+SUM(L23:L33)*2)/24</f>
        <v>574030.88305988058</v>
      </c>
      <c r="N34" s="616">
        <f t="shared" si="12"/>
        <v>-1066057.3542540637</v>
      </c>
      <c r="O34" s="894">
        <f t="shared" si="5"/>
        <v>-910048.96094859089</v>
      </c>
      <c r="P34" s="833"/>
      <c r="Q34" s="833"/>
      <c r="R34" s="833"/>
      <c r="S34" s="833"/>
      <c r="T34" s="833"/>
    </row>
    <row r="35" spans="1:20" s="833" customFormat="1">
      <c r="A35" s="579"/>
      <c r="B35" s="605">
        <v>42369</v>
      </c>
      <c r="C35" s="604"/>
      <c r="D35" s="612"/>
      <c r="E35" s="612">
        <f t="shared" si="3"/>
        <v>-1880101.1500915946</v>
      </c>
      <c r="F35" s="608">
        <f>(E23+E35+SUM(E24:E34)*2)/24</f>
        <v>-1880101.1500915948</v>
      </c>
      <c r="G35" s="608">
        <f>E35/47</f>
        <v>-40002.152129608396</v>
      </c>
      <c r="H35" s="608">
        <f t="shared" si="6"/>
        <v>520027.97768490901</v>
      </c>
      <c r="I35" s="608">
        <f>(H23+H35+SUM(H24:H34)*2)/24</f>
        <v>280015.06490725873</v>
      </c>
      <c r="J35" s="608">
        <f t="shared" si="7"/>
        <v>-1600086.0851843362</v>
      </c>
      <c r="K35" s="608">
        <f t="shared" si="0"/>
        <v>-14000.753245362937</v>
      </c>
      <c r="L35" s="608">
        <f t="shared" si="1"/>
        <v>476025.61034234019</v>
      </c>
      <c r="M35" s="608">
        <f>(L23+L35+SUM(L24:L34)*2)/24</f>
        <v>560030.1298145178</v>
      </c>
      <c r="N35" s="616">
        <f>M35+J35</f>
        <v>-1040055.9553698184</v>
      </c>
      <c r="O35" s="619">
        <f t="shared" si="5"/>
        <v>-884047.56206434534</v>
      </c>
    </row>
    <row r="36" spans="1:20">
      <c r="A36" s="579"/>
      <c r="B36" s="605">
        <v>42400</v>
      </c>
      <c r="C36" s="605"/>
      <c r="D36" s="611"/>
      <c r="E36" s="611">
        <f t="shared" si="3"/>
        <v>-1880101.1500915946</v>
      </c>
      <c r="F36" s="608">
        <f t="shared" si="14"/>
        <v>-1880101.1500915948</v>
      </c>
      <c r="G36" s="608">
        <f>E36/47</f>
        <v>-40002.152129608396</v>
      </c>
      <c r="H36" s="610">
        <f t="shared" si="6"/>
        <v>560030.12981451745</v>
      </c>
      <c r="I36" s="608">
        <f t="shared" si="13"/>
        <v>320017.21703686711</v>
      </c>
      <c r="J36" s="608">
        <f t="shared" si="7"/>
        <v>-1560083.9330547277</v>
      </c>
      <c r="K36" s="610">
        <f t="shared" si="0"/>
        <v>-14000.753245362937</v>
      </c>
      <c r="L36" s="610">
        <f t="shared" si="1"/>
        <v>462024.85709697724</v>
      </c>
      <c r="M36" s="608">
        <f t="shared" si="11"/>
        <v>546029.37656915491</v>
      </c>
      <c r="N36" s="616">
        <f t="shared" si="12"/>
        <v>-1014054.5564855728</v>
      </c>
      <c r="O36" s="619">
        <f t="shared" si="5"/>
        <v>-858046.1631800998</v>
      </c>
    </row>
    <row r="37" spans="1:20" s="833" customFormat="1">
      <c r="A37" s="579"/>
      <c r="B37" s="605">
        <v>42428</v>
      </c>
      <c r="C37" s="605"/>
      <c r="D37" s="611"/>
      <c r="E37" s="611">
        <f t="shared" si="3"/>
        <v>-1880101.1500915946</v>
      </c>
      <c r="F37" s="608">
        <f t="shared" si="14"/>
        <v>-1880101.1500915948</v>
      </c>
      <c r="G37" s="608">
        <f t="shared" ref="G37:G69" si="15">E37/47</f>
        <v>-40002.152129608396</v>
      </c>
      <c r="H37" s="610">
        <f t="shared" si="6"/>
        <v>600032.28194412589</v>
      </c>
      <c r="I37" s="608">
        <f t="shared" si="13"/>
        <v>360019.36916647555</v>
      </c>
      <c r="J37" s="608">
        <f t="shared" si="7"/>
        <v>-1520081.7809251193</v>
      </c>
      <c r="K37" s="610">
        <f t="shared" si="0"/>
        <v>-14000.753245362937</v>
      </c>
      <c r="L37" s="610">
        <f t="shared" si="1"/>
        <v>448024.10385161429</v>
      </c>
      <c r="M37" s="608">
        <f t="shared" si="11"/>
        <v>532028.62332379201</v>
      </c>
      <c r="N37" s="616">
        <f t="shared" si="12"/>
        <v>-988053.15760132729</v>
      </c>
      <c r="O37" s="619">
        <f t="shared" si="5"/>
        <v>-832044.76429585437</v>
      </c>
    </row>
    <row r="38" spans="1:20">
      <c r="A38" s="579"/>
      <c r="B38" s="605">
        <v>42460</v>
      </c>
      <c r="C38" s="605"/>
      <c r="D38" s="611"/>
      <c r="E38" s="611">
        <f t="shared" si="3"/>
        <v>-1880101.1500915946</v>
      </c>
      <c r="F38" s="608">
        <f t="shared" si="14"/>
        <v>-1880101.1500915948</v>
      </c>
      <c r="G38" s="608">
        <f t="shared" si="15"/>
        <v>-40002.152129608396</v>
      </c>
      <c r="H38" s="610">
        <f t="shared" si="6"/>
        <v>640034.43407373433</v>
      </c>
      <c r="I38" s="608">
        <f t="shared" si="13"/>
        <v>400021.52129608393</v>
      </c>
      <c r="J38" s="608">
        <f t="shared" si="7"/>
        <v>-1480079.6287955109</v>
      </c>
      <c r="K38" s="610">
        <f t="shared" si="0"/>
        <v>-14000.753245362937</v>
      </c>
      <c r="L38" s="610">
        <f t="shared" si="1"/>
        <v>434023.35060625133</v>
      </c>
      <c r="M38" s="608">
        <f t="shared" si="11"/>
        <v>518027.87007842906</v>
      </c>
      <c r="N38" s="616">
        <f>M38+J38</f>
        <v>-962051.75871708174</v>
      </c>
      <c r="O38" s="619">
        <f t="shared" si="5"/>
        <v>-806043.36541160895</v>
      </c>
    </row>
    <row r="39" spans="1:20" s="833" customFormat="1">
      <c r="A39" s="579"/>
      <c r="B39" s="604">
        <v>42490</v>
      </c>
      <c r="C39" s="605"/>
      <c r="D39" s="611"/>
      <c r="E39" s="611">
        <f t="shared" si="3"/>
        <v>-1880101.1500915946</v>
      </c>
      <c r="F39" s="608">
        <f t="shared" si="14"/>
        <v>-1880101.1500915948</v>
      </c>
      <c r="G39" s="608">
        <f t="shared" si="15"/>
        <v>-40002.152129608396</v>
      </c>
      <c r="H39" s="610">
        <f t="shared" si="6"/>
        <v>680036.58620334277</v>
      </c>
      <c r="I39" s="608">
        <f>(H27+H39+SUM(H28:H38)*2)/24</f>
        <v>440023.67342569231</v>
      </c>
      <c r="J39" s="608">
        <f t="shared" si="7"/>
        <v>-1440077.4766659024</v>
      </c>
      <c r="K39" s="610">
        <f t="shared" si="0"/>
        <v>-14000.753245362937</v>
      </c>
      <c r="L39" s="610">
        <f t="shared" si="1"/>
        <v>420022.59736088838</v>
      </c>
      <c r="M39" s="608">
        <f t="shared" si="11"/>
        <v>504027.1168330661</v>
      </c>
      <c r="N39" s="616">
        <f t="shared" si="12"/>
        <v>-936050.35983283632</v>
      </c>
      <c r="O39" s="619">
        <f t="shared" si="5"/>
        <v>-780041.9665273634</v>
      </c>
    </row>
    <row r="40" spans="1:20" s="833" customFormat="1">
      <c r="A40" s="579"/>
      <c r="B40" s="604">
        <v>42521</v>
      </c>
      <c r="C40" s="605"/>
      <c r="D40" s="611"/>
      <c r="E40" s="611">
        <f t="shared" si="3"/>
        <v>-1880101.1500915946</v>
      </c>
      <c r="F40" s="608">
        <f t="shared" si="14"/>
        <v>-1880101.1500915948</v>
      </c>
      <c r="G40" s="608">
        <f t="shared" si="15"/>
        <v>-40002.152129608396</v>
      </c>
      <c r="H40" s="610">
        <f t="shared" si="6"/>
        <v>720038.73833295121</v>
      </c>
      <c r="I40" s="608">
        <f t="shared" si="13"/>
        <v>480025.82555530063</v>
      </c>
      <c r="J40" s="608">
        <f t="shared" si="7"/>
        <v>-1400075.3245362942</v>
      </c>
      <c r="K40" s="610">
        <f t="shared" si="0"/>
        <v>-14000.753245362937</v>
      </c>
      <c r="L40" s="610">
        <f t="shared" si="1"/>
        <v>406021.84411552543</v>
      </c>
      <c r="M40" s="608">
        <f t="shared" si="11"/>
        <v>490026.36358770309</v>
      </c>
      <c r="N40" s="616">
        <f t="shared" si="12"/>
        <v>-910048.96094859112</v>
      </c>
      <c r="O40" s="619">
        <f t="shared" si="5"/>
        <v>-754040.56764311786</v>
      </c>
    </row>
    <row r="41" spans="1:20" s="833" customFormat="1">
      <c r="A41" s="580"/>
      <c r="B41" s="614">
        <v>42551</v>
      </c>
      <c r="C41" s="617"/>
      <c r="D41" s="610"/>
      <c r="E41" s="608">
        <f t="shared" si="3"/>
        <v>-1880101.1500915946</v>
      </c>
      <c r="F41" s="608">
        <f>(E29+E41+SUM(E30:E40)*2)/24</f>
        <v>-1880101.1500915948</v>
      </c>
      <c r="G41" s="608">
        <f t="shared" si="15"/>
        <v>-40002.152129608396</v>
      </c>
      <c r="H41" s="608">
        <f t="shared" si="6"/>
        <v>760040.89046255965</v>
      </c>
      <c r="I41" s="608">
        <f>(H29+H41+SUM(H30:H40)*2)/24</f>
        <v>520027.97768490919</v>
      </c>
      <c r="J41" s="608">
        <f t="shared" si="7"/>
        <v>-1360073.1724066855</v>
      </c>
      <c r="K41" s="608">
        <f t="shared" si="0"/>
        <v>-14000.753245362937</v>
      </c>
      <c r="L41" s="608">
        <f t="shared" si="1"/>
        <v>392021.09087016247</v>
      </c>
      <c r="M41" s="608">
        <f>(L29+L41+SUM(L30:L40)*2)/24</f>
        <v>476025.61034234025</v>
      </c>
      <c r="N41" s="616">
        <f>M41+J41</f>
        <v>-884047.56206434523</v>
      </c>
      <c r="O41" s="619">
        <f t="shared" si="5"/>
        <v>-728039.16875887243</v>
      </c>
    </row>
    <row r="42" spans="1:20">
      <c r="A42" s="580"/>
      <c r="B42" s="605">
        <v>42582</v>
      </c>
      <c r="C42" s="617"/>
      <c r="D42" s="610"/>
      <c r="E42" s="608">
        <f t="shared" si="3"/>
        <v>-1880101.1500915946</v>
      </c>
      <c r="F42" s="608">
        <f t="shared" ref="F42:F46" si="16">(E30+E42+SUM(E31:E41)*2)/24</f>
        <v>-1880101.1500915948</v>
      </c>
      <c r="G42" s="608">
        <f t="shared" si="15"/>
        <v>-40002.152129608396</v>
      </c>
      <c r="H42" s="608">
        <f t="shared" si="6"/>
        <v>800043.04259216809</v>
      </c>
      <c r="I42" s="608">
        <f t="shared" ref="I42:I45" si="17">(H30+H42+SUM(H31:H41)*2)/24</f>
        <v>560030.12981451757</v>
      </c>
      <c r="J42" s="608">
        <f t="shared" si="7"/>
        <v>-1320071.0202770773</v>
      </c>
      <c r="K42" s="608">
        <f t="shared" si="0"/>
        <v>-14000.753245362937</v>
      </c>
      <c r="L42" s="608">
        <f t="shared" si="1"/>
        <v>378020.33762479952</v>
      </c>
      <c r="M42" s="608">
        <f t="shared" ref="M42:M46" si="18">(L30+L42+SUM(L31:L41)*2)/24</f>
        <v>462024.8570969773</v>
      </c>
      <c r="N42" s="616">
        <f t="shared" ref="N42:N87" si="19">M42+J42</f>
        <v>-858046.16318010003</v>
      </c>
      <c r="O42" s="619">
        <f t="shared" si="5"/>
        <v>-702037.769874627</v>
      </c>
    </row>
    <row r="43" spans="1:20">
      <c r="A43" s="580"/>
      <c r="B43" s="605">
        <v>42613</v>
      </c>
      <c r="C43" s="617"/>
      <c r="D43" s="610"/>
      <c r="E43" s="608">
        <f t="shared" si="3"/>
        <v>-1880101.1500915946</v>
      </c>
      <c r="F43" s="608">
        <f t="shared" si="16"/>
        <v>-1880101.1500915948</v>
      </c>
      <c r="G43" s="608">
        <f t="shared" si="15"/>
        <v>-40002.152129608396</v>
      </c>
      <c r="H43" s="608">
        <f t="shared" si="6"/>
        <v>840045.19472177653</v>
      </c>
      <c r="I43" s="608">
        <f t="shared" si="17"/>
        <v>600032.28194412601</v>
      </c>
      <c r="J43" s="608">
        <f t="shared" si="7"/>
        <v>-1280068.8681474687</v>
      </c>
      <c r="K43" s="608">
        <f t="shared" si="0"/>
        <v>-14000.753245362937</v>
      </c>
      <c r="L43" s="608">
        <f t="shared" si="1"/>
        <v>364019.58437943656</v>
      </c>
      <c r="M43" s="608">
        <f t="shared" si="18"/>
        <v>448024.10385161429</v>
      </c>
      <c r="N43" s="616">
        <f t="shared" si="19"/>
        <v>-832044.76429585437</v>
      </c>
      <c r="O43" s="619">
        <f t="shared" si="5"/>
        <v>-676036.37099038146</v>
      </c>
      <c r="P43" s="833"/>
      <c r="Q43" s="618"/>
    </row>
    <row r="44" spans="1:20">
      <c r="A44" s="580"/>
      <c r="B44" s="605">
        <v>42643</v>
      </c>
      <c r="C44" s="617"/>
      <c r="D44" s="610"/>
      <c r="E44" s="608">
        <f t="shared" si="3"/>
        <v>-1880101.1500915946</v>
      </c>
      <c r="F44" s="608">
        <f t="shared" si="16"/>
        <v>-1880101.1500915948</v>
      </c>
      <c r="G44" s="608">
        <f t="shared" si="15"/>
        <v>-40002.152129608396</v>
      </c>
      <c r="H44" s="608">
        <f t="shared" si="6"/>
        <v>880047.34685138497</v>
      </c>
      <c r="I44" s="608">
        <f>(H32+H44+SUM(H33:H43)*2)/24</f>
        <v>640034.43407373433</v>
      </c>
      <c r="J44" s="608">
        <f>F44+I44</f>
        <v>-1240066.7160178605</v>
      </c>
      <c r="K44" s="608">
        <f t="shared" si="0"/>
        <v>-14000.753245362937</v>
      </c>
      <c r="L44" s="608">
        <f t="shared" si="1"/>
        <v>350018.83113407361</v>
      </c>
      <c r="M44" s="608">
        <f t="shared" si="18"/>
        <v>434023.35060625133</v>
      </c>
      <c r="N44" s="616">
        <f t="shared" si="19"/>
        <v>-806043.36541160918</v>
      </c>
      <c r="O44" s="619">
        <f t="shared" si="5"/>
        <v>-650034.97210613592</v>
      </c>
    </row>
    <row r="45" spans="1:20">
      <c r="A45" s="580"/>
      <c r="B45" s="605">
        <v>42674</v>
      </c>
      <c r="C45" s="617"/>
      <c r="D45" s="610"/>
      <c r="E45" s="608">
        <f t="shared" si="3"/>
        <v>-1880101.1500915946</v>
      </c>
      <c r="F45" s="608">
        <f t="shared" si="16"/>
        <v>-1880101.1500915948</v>
      </c>
      <c r="G45" s="608">
        <f t="shared" si="15"/>
        <v>-40002.152129608396</v>
      </c>
      <c r="H45" s="608">
        <f t="shared" si="6"/>
        <v>920049.4989809934</v>
      </c>
      <c r="I45" s="608">
        <f t="shared" si="17"/>
        <v>680036.58620334277</v>
      </c>
      <c r="J45" s="608">
        <f t="shared" si="7"/>
        <v>-1200064.563888252</v>
      </c>
      <c r="K45" s="608">
        <f>(-D45*0.35)+(G45*0.35)</f>
        <v>-14000.753245362937</v>
      </c>
      <c r="L45" s="608">
        <f t="shared" si="1"/>
        <v>336018.07788871066</v>
      </c>
      <c r="M45" s="608">
        <f t="shared" si="18"/>
        <v>420022.59736088844</v>
      </c>
      <c r="N45" s="616">
        <f t="shared" si="19"/>
        <v>-780041.96652736352</v>
      </c>
      <c r="O45" s="619">
        <f t="shared" si="5"/>
        <v>-624033.57322189049</v>
      </c>
    </row>
    <row r="46" spans="1:20">
      <c r="A46" s="580"/>
      <c r="B46" s="605">
        <v>42704</v>
      </c>
      <c r="C46" s="617"/>
      <c r="D46" s="610"/>
      <c r="E46" s="608">
        <f t="shared" si="3"/>
        <v>-1880101.1500915946</v>
      </c>
      <c r="F46" s="608">
        <f t="shared" si="16"/>
        <v>-1880101.1500915948</v>
      </c>
      <c r="G46" s="608">
        <f t="shared" si="15"/>
        <v>-40002.152129608396</v>
      </c>
      <c r="H46" s="608">
        <f t="shared" si="6"/>
        <v>960051.65111060184</v>
      </c>
      <c r="I46" s="608">
        <f>(H34+H46+SUM(H35:H45)*2)/24</f>
        <v>720038.73833295109</v>
      </c>
      <c r="J46" s="608">
        <f>F46+I46</f>
        <v>-1160062.4117586436</v>
      </c>
      <c r="K46" s="608">
        <f>(-D46*0.35)+(G46*0.35)</f>
        <v>-14000.753245362937</v>
      </c>
      <c r="L46" s="608">
        <f>L45+K46</f>
        <v>322017.3246433477</v>
      </c>
      <c r="M46" s="608">
        <f t="shared" si="18"/>
        <v>406021.84411552543</v>
      </c>
      <c r="N46" s="616">
        <f t="shared" si="19"/>
        <v>-754040.56764311809</v>
      </c>
      <c r="O46" s="619">
        <f t="shared" si="5"/>
        <v>-598032.17433764506</v>
      </c>
    </row>
    <row r="47" spans="1:20">
      <c r="A47" s="580"/>
      <c r="B47" s="605">
        <v>42735</v>
      </c>
      <c r="C47" s="617"/>
      <c r="D47" s="610"/>
      <c r="E47" s="608">
        <f t="shared" si="3"/>
        <v>-1880101.1500915946</v>
      </c>
      <c r="F47" s="608">
        <f t="shared" ref="F47:F74" si="20">(E35+E47+SUM(E36:E46)*2)/24</f>
        <v>-1880101.1500915948</v>
      </c>
      <c r="G47" s="608">
        <f t="shared" si="15"/>
        <v>-40002.152129608396</v>
      </c>
      <c r="H47" s="608">
        <f t="shared" si="6"/>
        <v>1000053.8032402103</v>
      </c>
      <c r="I47" s="608">
        <f t="shared" ref="I47:I83" si="21">(H35+H47+SUM(H36:H46)*2)/24</f>
        <v>760040.89046255965</v>
      </c>
      <c r="J47" s="608">
        <f t="shared" ref="J47:J68" si="22">F47+I47</f>
        <v>-1120060.2596290351</v>
      </c>
      <c r="K47" s="608">
        <f t="shared" ref="K47:K74" si="23">(-D47*0.35)+(G47*0.35)</f>
        <v>-14000.753245362937</v>
      </c>
      <c r="L47" s="608">
        <f t="shared" ref="L47:L68" si="24">L46+K47</f>
        <v>308016.57139798475</v>
      </c>
      <c r="M47" s="608">
        <f t="shared" ref="M47:M83" si="25">(L35+L47+SUM(L36:L46)*2)/24</f>
        <v>392021.09087016241</v>
      </c>
      <c r="N47" s="616">
        <f t="shared" si="19"/>
        <v>-728039.16875887266</v>
      </c>
      <c r="O47" s="619">
        <f t="shared" si="5"/>
        <v>-572030.77545339952</v>
      </c>
    </row>
    <row r="48" spans="1:20">
      <c r="A48" s="579"/>
      <c r="B48" s="605">
        <v>42766</v>
      </c>
      <c r="C48" s="604"/>
      <c r="D48" s="611"/>
      <c r="E48" s="608">
        <f t="shared" si="3"/>
        <v>-1880101.1500915946</v>
      </c>
      <c r="F48" s="608">
        <f t="shared" si="20"/>
        <v>-1880101.1500915948</v>
      </c>
      <c r="G48" s="608">
        <f t="shared" si="15"/>
        <v>-40002.152129608396</v>
      </c>
      <c r="H48" s="608">
        <f t="shared" si="6"/>
        <v>1040055.9553698187</v>
      </c>
      <c r="I48" s="608">
        <f t="shared" si="21"/>
        <v>800043.04259216797</v>
      </c>
      <c r="J48" s="608">
        <f t="shared" si="22"/>
        <v>-1080058.1074994267</v>
      </c>
      <c r="K48" s="608">
        <f t="shared" si="23"/>
        <v>-14000.753245362937</v>
      </c>
      <c r="L48" s="608">
        <f t="shared" si="24"/>
        <v>294015.8181526218</v>
      </c>
      <c r="M48" s="608">
        <f t="shared" si="25"/>
        <v>378020.33762479952</v>
      </c>
      <c r="N48" s="616">
        <f t="shared" si="19"/>
        <v>-702037.76987462724</v>
      </c>
      <c r="O48" s="619">
        <f t="shared" si="5"/>
        <v>-546029.37656915397</v>
      </c>
    </row>
    <row r="49" spans="1:15">
      <c r="A49" s="579"/>
      <c r="B49" s="605">
        <v>42794</v>
      </c>
      <c r="C49" s="604"/>
      <c r="D49" s="611"/>
      <c r="E49" s="608">
        <f t="shared" si="3"/>
        <v>-1880101.1500915946</v>
      </c>
      <c r="F49" s="608">
        <f t="shared" si="20"/>
        <v>-1880101.1500915948</v>
      </c>
      <c r="G49" s="608">
        <f t="shared" si="15"/>
        <v>-40002.152129608396</v>
      </c>
      <c r="H49" s="608">
        <f t="shared" si="6"/>
        <v>1080058.1074994272</v>
      </c>
      <c r="I49" s="608">
        <f t="shared" si="21"/>
        <v>840045.19472177653</v>
      </c>
      <c r="J49" s="608">
        <f t="shared" si="22"/>
        <v>-1040055.9553698183</v>
      </c>
      <c r="K49" s="608">
        <f t="shared" si="23"/>
        <v>-14000.753245362937</v>
      </c>
      <c r="L49" s="608">
        <f t="shared" si="24"/>
        <v>280015.06490725884</v>
      </c>
      <c r="M49" s="608">
        <f t="shared" si="25"/>
        <v>364019.58437943662</v>
      </c>
      <c r="N49" s="616">
        <f t="shared" si="19"/>
        <v>-676036.37099038158</v>
      </c>
      <c r="O49" s="619">
        <f t="shared" si="5"/>
        <v>-520027.97768490855</v>
      </c>
    </row>
    <row r="50" spans="1:15">
      <c r="A50" s="579"/>
      <c r="B50" s="605">
        <v>42825</v>
      </c>
      <c r="C50" s="604"/>
      <c r="D50" s="611"/>
      <c r="E50" s="608">
        <f t="shared" si="3"/>
        <v>-1880101.1500915946</v>
      </c>
      <c r="F50" s="608">
        <f t="shared" si="20"/>
        <v>-1880101.1500915948</v>
      </c>
      <c r="G50" s="608">
        <f t="shared" si="15"/>
        <v>-40002.152129608396</v>
      </c>
      <c r="H50" s="608">
        <f t="shared" si="6"/>
        <v>1120060.2596290356</v>
      </c>
      <c r="I50" s="608">
        <f t="shared" si="21"/>
        <v>880047.34685138473</v>
      </c>
      <c r="J50" s="608">
        <f t="shared" si="22"/>
        <v>-1000053.8032402101</v>
      </c>
      <c r="K50" s="608">
        <f t="shared" si="23"/>
        <v>-14000.753245362937</v>
      </c>
      <c r="L50" s="608">
        <f t="shared" si="24"/>
        <v>266014.31166189589</v>
      </c>
      <c r="M50" s="608">
        <f t="shared" si="25"/>
        <v>350018.83113407361</v>
      </c>
      <c r="N50" s="616">
        <f t="shared" si="19"/>
        <v>-650034.97210613638</v>
      </c>
      <c r="O50" s="619">
        <f t="shared" si="5"/>
        <v>-494026.57880066306</v>
      </c>
    </row>
    <row r="51" spans="1:15">
      <c r="A51" s="579"/>
      <c r="B51" s="604">
        <v>42855</v>
      </c>
      <c r="C51" s="604"/>
      <c r="D51" s="611"/>
      <c r="E51" s="608">
        <f t="shared" si="3"/>
        <v>-1880101.1500915946</v>
      </c>
      <c r="F51" s="608">
        <f t="shared" si="20"/>
        <v>-1880101.1500915948</v>
      </c>
      <c r="G51" s="608">
        <f t="shared" si="15"/>
        <v>-40002.152129608396</v>
      </c>
      <c r="H51" s="608">
        <f t="shared" si="6"/>
        <v>1160062.411758644</v>
      </c>
      <c r="I51" s="608">
        <f t="shared" si="21"/>
        <v>920049.4989809934</v>
      </c>
      <c r="J51" s="608">
        <f t="shared" si="22"/>
        <v>-960051.65111060138</v>
      </c>
      <c r="K51" s="608">
        <f t="shared" si="23"/>
        <v>-14000.753245362937</v>
      </c>
      <c r="L51" s="608">
        <f t="shared" si="24"/>
        <v>252013.55841653296</v>
      </c>
      <c r="M51" s="608">
        <f t="shared" si="25"/>
        <v>336018.07788871066</v>
      </c>
      <c r="N51" s="616">
        <f t="shared" si="19"/>
        <v>-624033.57322189072</v>
      </c>
      <c r="O51" s="619">
        <f t="shared" si="5"/>
        <v>-468025.17991641758</v>
      </c>
    </row>
    <row r="52" spans="1:15">
      <c r="A52" s="579"/>
      <c r="B52" s="604">
        <v>42886</v>
      </c>
      <c r="C52" s="604"/>
      <c r="D52" s="611"/>
      <c r="E52" s="608">
        <f t="shared" si="3"/>
        <v>-1880101.1500915946</v>
      </c>
      <c r="F52" s="608">
        <f t="shared" si="20"/>
        <v>-1880101.1500915948</v>
      </c>
      <c r="G52" s="608">
        <f t="shared" si="15"/>
        <v>-40002.152129608396</v>
      </c>
      <c r="H52" s="608">
        <f t="shared" si="6"/>
        <v>1200064.5638882525</v>
      </c>
      <c r="I52" s="608">
        <f t="shared" si="21"/>
        <v>960051.65111060208</v>
      </c>
      <c r="J52" s="608">
        <f t="shared" si="22"/>
        <v>-920049.49898099271</v>
      </c>
      <c r="K52" s="608">
        <f t="shared" si="23"/>
        <v>-14000.753245362937</v>
      </c>
      <c r="L52" s="608">
        <f t="shared" si="24"/>
        <v>238012.80517117004</v>
      </c>
      <c r="M52" s="608">
        <f t="shared" si="25"/>
        <v>322017.3246433477</v>
      </c>
      <c r="N52" s="616">
        <f t="shared" si="19"/>
        <v>-598032.17433764506</v>
      </c>
      <c r="O52" s="619">
        <f t="shared" si="5"/>
        <v>-442023.78103217203</v>
      </c>
    </row>
    <row r="53" spans="1:15">
      <c r="A53" s="579"/>
      <c r="B53" s="614">
        <v>42916</v>
      </c>
      <c r="C53" s="604"/>
      <c r="D53" s="611"/>
      <c r="E53" s="608">
        <f t="shared" si="3"/>
        <v>-1880101.1500915946</v>
      </c>
      <c r="F53" s="608">
        <f t="shared" si="20"/>
        <v>-1880101.1500915948</v>
      </c>
      <c r="G53" s="608">
        <f t="shared" si="15"/>
        <v>-40002.152129608396</v>
      </c>
      <c r="H53" s="608">
        <f t="shared" si="6"/>
        <v>1240066.7160178609</v>
      </c>
      <c r="I53" s="608">
        <f t="shared" si="21"/>
        <v>1000053.8032402103</v>
      </c>
      <c r="J53" s="608">
        <f t="shared" si="22"/>
        <v>-880047.3468513845</v>
      </c>
      <c r="K53" s="608">
        <f t="shared" si="23"/>
        <v>-14000.753245362937</v>
      </c>
      <c r="L53" s="608">
        <f t="shared" si="24"/>
        <v>224012.05192580711</v>
      </c>
      <c r="M53" s="608">
        <f t="shared" si="25"/>
        <v>308016.57139798475</v>
      </c>
      <c r="N53" s="616">
        <f t="shared" si="19"/>
        <v>-572030.77545339975</v>
      </c>
      <c r="O53" s="619">
        <f t="shared" si="5"/>
        <v>-416022.38214792649</v>
      </c>
    </row>
    <row r="54" spans="1:15">
      <c r="A54" s="579"/>
      <c r="B54" s="605">
        <v>42947</v>
      </c>
      <c r="C54" s="604"/>
      <c r="D54" s="611"/>
      <c r="E54" s="608">
        <f t="shared" si="3"/>
        <v>-1880101.1500915946</v>
      </c>
      <c r="F54" s="608">
        <f t="shared" si="20"/>
        <v>-1880101.1500915948</v>
      </c>
      <c r="G54" s="608">
        <f t="shared" si="15"/>
        <v>-40002.152129608396</v>
      </c>
      <c r="H54" s="608">
        <f t="shared" si="6"/>
        <v>1280068.8681474694</v>
      </c>
      <c r="I54" s="608">
        <f t="shared" si="21"/>
        <v>1040055.9553698186</v>
      </c>
      <c r="J54" s="608">
        <f t="shared" si="22"/>
        <v>-840045.19472177618</v>
      </c>
      <c r="K54" s="608">
        <f t="shared" si="23"/>
        <v>-14000.753245362937</v>
      </c>
      <c r="L54" s="608">
        <f t="shared" si="24"/>
        <v>210011.29868044419</v>
      </c>
      <c r="M54" s="608">
        <f t="shared" si="25"/>
        <v>294015.8181526218</v>
      </c>
      <c r="N54" s="616">
        <f t="shared" si="19"/>
        <v>-546029.37656915444</v>
      </c>
      <c r="O54" s="619">
        <f t="shared" si="5"/>
        <v>-390020.983263681</v>
      </c>
    </row>
    <row r="55" spans="1:15">
      <c r="A55" s="579"/>
      <c r="B55" s="605">
        <v>42978</v>
      </c>
      <c r="C55" s="604"/>
      <c r="D55" s="611"/>
      <c r="E55" s="608">
        <f t="shared" si="3"/>
        <v>-1880101.1500915946</v>
      </c>
      <c r="F55" s="608">
        <f t="shared" si="20"/>
        <v>-1880101.1500915948</v>
      </c>
      <c r="G55" s="608">
        <f t="shared" si="15"/>
        <v>-40002.152129608396</v>
      </c>
      <c r="H55" s="608">
        <f t="shared" si="6"/>
        <v>1320071.0202770778</v>
      </c>
      <c r="I55" s="608">
        <f t="shared" si="21"/>
        <v>1080058.1074994272</v>
      </c>
      <c r="J55" s="608">
        <f t="shared" si="22"/>
        <v>-800043.04259216762</v>
      </c>
      <c r="K55" s="608">
        <f t="shared" si="23"/>
        <v>-14000.753245362937</v>
      </c>
      <c r="L55" s="608">
        <f t="shared" si="24"/>
        <v>196010.54543508127</v>
      </c>
      <c r="M55" s="608">
        <f t="shared" si="25"/>
        <v>280015.0649072589</v>
      </c>
      <c r="N55" s="616">
        <f t="shared" si="19"/>
        <v>-520027.97768490872</v>
      </c>
      <c r="O55" s="619">
        <f t="shared" si="5"/>
        <v>-364019.58437943552</v>
      </c>
    </row>
    <row r="56" spans="1:15">
      <c r="A56" s="579"/>
      <c r="B56" s="605">
        <v>43008</v>
      </c>
      <c r="C56" s="604"/>
      <c r="D56" s="611"/>
      <c r="E56" s="608">
        <f t="shared" si="3"/>
        <v>-1880101.1500915946</v>
      </c>
      <c r="F56" s="608">
        <f t="shared" si="20"/>
        <v>-1880101.1500915948</v>
      </c>
      <c r="G56" s="608">
        <f t="shared" si="15"/>
        <v>-40002.152129608396</v>
      </c>
      <c r="H56" s="608">
        <f t="shared" si="6"/>
        <v>1360073.1724066862</v>
      </c>
      <c r="I56" s="608">
        <f t="shared" si="21"/>
        <v>1120060.2596290356</v>
      </c>
      <c r="J56" s="608">
        <f t="shared" si="22"/>
        <v>-760040.89046255918</v>
      </c>
      <c r="K56" s="608">
        <f t="shared" si="23"/>
        <v>-14000.753245362937</v>
      </c>
      <c r="L56" s="608">
        <f t="shared" si="24"/>
        <v>182009.79218971834</v>
      </c>
      <c r="M56" s="608">
        <f t="shared" si="25"/>
        <v>266014.31166189595</v>
      </c>
      <c r="N56" s="616">
        <f t="shared" si="19"/>
        <v>-494026.57880066324</v>
      </c>
      <c r="O56" s="619">
        <f t="shared" si="5"/>
        <v>-338018.18549518997</v>
      </c>
    </row>
    <row r="57" spans="1:15">
      <c r="A57" s="579"/>
      <c r="B57" s="605">
        <v>43039</v>
      </c>
      <c r="C57" s="604"/>
      <c r="D57" s="611"/>
      <c r="E57" s="608">
        <f t="shared" si="3"/>
        <v>-1880101.1500915946</v>
      </c>
      <c r="F57" s="608">
        <f t="shared" si="20"/>
        <v>-1880101.1500915948</v>
      </c>
      <c r="G57" s="608">
        <f t="shared" si="15"/>
        <v>-40002.152129608396</v>
      </c>
      <c r="H57" s="608">
        <f t="shared" si="6"/>
        <v>1400075.3245362947</v>
      </c>
      <c r="I57" s="608">
        <f t="shared" si="21"/>
        <v>1160062.411758644</v>
      </c>
      <c r="J57" s="608">
        <f t="shared" si="22"/>
        <v>-720038.73833295074</v>
      </c>
      <c r="K57" s="608">
        <f t="shared" si="23"/>
        <v>-14000.753245362937</v>
      </c>
      <c r="L57" s="608">
        <f t="shared" si="24"/>
        <v>168009.03894435542</v>
      </c>
      <c r="M57" s="608">
        <f t="shared" si="25"/>
        <v>252013.55841653296</v>
      </c>
      <c r="N57" s="616">
        <f t="shared" si="19"/>
        <v>-468025.17991641781</v>
      </c>
      <c r="O57" s="619">
        <f t="shared" si="5"/>
        <v>-312016.78661094443</v>
      </c>
    </row>
    <row r="58" spans="1:15">
      <c r="A58" s="579"/>
      <c r="B58" s="605">
        <v>43069</v>
      </c>
      <c r="C58" s="604"/>
      <c r="D58" s="611"/>
      <c r="E58" s="608">
        <f t="shared" si="3"/>
        <v>-1880101.1500915946</v>
      </c>
      <c r="F58" s="608">
        <f t="shared" si="20"/>
        <v>-1880101.1500915948</v>
      </c>
      <c r="G58" s="608">
        <f t="shared" si="15"/>
        <v>-40002.152129608396</v>
      </c>
      <c r="H58" s="608">
        <f t="shared" si="6"/>
        <v>1440077.4766659031</v>
      </c>
      <c r="I58" s="608">
        <f t="shared" si="21"/>
        <v>1200064.5638882525</v>
      </c>
      <c r="J58" s="608">
        <f t="shared" si="22"/>
        <v>-680036.5862033423</v>
      </c>
      <c r="K58" s="608">
        <f>(-D58*0.35)+(G58*0.35)</f>
        <v>-14000.753245362937</v>
      </c>
      <c r="L58" s="608">
        <f t="shared" si="24"/>
        <v>154008.28569899249</v>
      </c>
      <c r="M58" s="608">
        <f t="shared" si="25"/>
        <v>238012.80517117004</v>
      </c>
      <c r="N58" s="616">
        <f t="shared" si="19"/>
        <v>-442023.78103217226</v>
      </c>
      <c r="O58" s="619">
        <f t="shared" si="5"/>
        <v>-286015.38772669894</v>
      </c>
    </row>
    <row r="59" spans="1:15">
      <c r="A59" s="579"/>
      <c r="B59" s="605">
        <v>43100</v>
      </c>
      <c r="C59" s="604"/>
      <c r="D59" s="611"/>
      <c r="E59" s="608">
        <f t="shared" si="3"/>
        <v>-1880101.1500915946</v>
      </c>
      <c r="F59" s="608">
        <f t="shared" si="20"/>
        <v>-1880101.1500915948</v>
      </c>
      <c r="G59" s="608">
        <f t="shared" si="15"/>
        <v>-40002.152129608396</v>
      </c>
      <c r="H59" s="608">
        <f t="shared" si="6"/>
        <v>1480079.6287955116</v>
      </c>
      <c r="I59" s="608">
        <f t="shared" si="21"/>
        <v>1240066.7160178609</v>
      </c>
      <c r="J59" s="608">
        <f t="shared" si="22"/>
        <v>-640034.43407373386</v>
      </c>
      <c r="K59" s="608">
        <f t="shared" si="23"/>
        <v>-14000.753245362937</v>
      </c>
      <c r="L59" s="608">
        <f t="shared" si="24"/>
        <v>140007.53245362957</v>
      </c>
      <c r="M59" s="608">
        <f t="shared" si="25"/>
        <v>224012.05192580714</v>
      </c>
      <c r="N59" s="616">
        <f t="shared" si="19"/>
        <v>-416022.38214792672</v>
      </c>
      <c r="O59" s="619">
        <f t="shared" si="5"/>
        <v>-260013.98884245343</v>
      </c>
    </row>
    <row r="60" spans="1:15">
      <c r="B60" s="605">
        <v>43131</v>
      </c>
      <c r="E60" s="608">
        <f t="shared" si="3"/>
        <v>-1880101.1500915946</v>
      </c>
      <c r="F60" s="608">
        <f t="shared" si="20"/>
        <v>-1880101.1500915948</v>
      </c>
      <c r="G60" s="608">
        <f t="shared" si="15"/>
        <v>-40002.152129608396</v>
      </c>
      <c r="H60" s="608">
        <f t="shared" si="6"/>
        <v>1520081.78092512</v>
      </c>
      <c r="I60" s="608">
        <f t="shared" si="21"/>
        <v>1280068.8681474694</v>
      </c>
      <c r="J60" s="608">
        <f t="shared" si="22"/>
        <v>-600032.28194412543</v>
      </c>
      <c r="K60" s="1320">
        <f t="shared" ref="K60:K72" si="26">(-D60*0.21)+(G60*0.21)</f>
        <v>-8400.4519472177635</v>
      </c>
      <c r="L60" s="608">
        <f t="shared" si="24"/>
        <v>131607.08050641179</v>
      </c>
      <c r="M60" s="608">
        <f t="shared" si="25"/>
        <v>210244.64456786693</v>
      </c>
      <c r="N60" s="616">
        <f t="shared" si="19"/>
        <v>-389787.6373762585</v>
      </c>
      <c r="O60" s="619">
        <f t="shared" si="5"/>
        <v>-228412.28866006277</v>
      </c>
    </row>
    <row r="61" spans="1:15">
      <c r="B61" s="605">
        <v>43159</v>
      </c>
      <c r="E61" s="608">
        <f t="shared" si="3"/>
        <v>-1880101.1500915946</v>
      </c>
      <c r="F61" s="608">
        <f t="shared" si="20"/>
        <v>-1880101.1500915948</v>
      </c>
      <c r="G61" s="608">
        <f t="shared" si="15"/>
        <v>-40002.152129608396</v>
      </c>
      <c r="H61" s="608">
        <f t="shared" si="6"/>
        <v>1560083.9330547284</v>
      </c>
      <c r="I61" s="608">
        <f t="shared" si="21"/>
        <v>1320071.0202770776</v>
      </c>
      <c r="J61" s="608">
        <f t="shared" si="22"/>
        <v>-560030.12981451722</v>
      </c>
      <c r="K61" s="1320">
        <f t="shared" si="26"/>
        <v>-8400.4519472177635</v>
      </c>
      <c r="L61" s="608">
        <f t="shared" si="24"/>
        <v>123206.62855919403</v>
      </c>
      <c r="M61" s="608">
        <f t="shared" si="25"/>
        <v>196943.92898477215</v>
      </c>
      <c r="N61" s="616">
        <f t="shared" si="19"/>
        <v>-363086.20082974504</v>
      </c>
      <c r="O61" s="619">
        <f t="shared" si="5"/>
        <v>-196810.58847767208</v>
      </c>
    </row>
    <row r="62" spans="1:15">
      <c r="B62" s="605">
        <v>43190</v>
      </c>
      <c r="E62" s="608">
        <f t="shared" si="3"/>
        <v>-1880101.1500915946</v>
      </c>
      <c r="F62" s="608">
        <f t="shared" si="20"/>
        <v>-1880101.1500915948</v>
      </c>
      <c r="G62" s="608">
        <f t="shared" si="15"/>
        <v>-40002.152129608396</v>
      </c>
      <c r="H62" s="608">
        <f t="shared" si="6"/>
        <v>1600086.0851843369</v>
      </c>
      <c r="I62" s="608">
        <f t="shared" si="21"/>
        <v>1360073.1724066862</v>
      </c>
      <c r="J62" s="608">
        <f t="shared" si="22"/>
        <v>-520027.97768490855</v>
      </c>
      <c r="K62" s="1320">
        <f t="shared" si="26"/>
        <v>-8400.4519472177635</v>
      </c>
      <c r="L62" s="608">
        <f t="shared" si="24"/>
        <v>114806.17661197626</v>
      </c>
      <c r="M62" s="608">
        <f t="shared" si="25"/>
        <v>184109.90517652279</v>
      </c>
      <c r="N62" s="616">
        <f t="shared" si="19"/>
        <v>-335918.07250838575</v>
      </c>
      <c r="O62" s="619">
        <f t="shared" si="5"/>
        <v>-165208.88829528142</v>
      </c>
    </row>
    <row r="63" spans="1:15">
      <c r="B63" s="604">
        <v>43220</v>
      </c>
      <c r="E63" s="608">
        <f t="shared" si="3"/>
        <v>-1880101.1500915946</v>
      </c>
      <c r="F63" s="608">
        <f t="shared" si="20"/>
        <v>-1880101.1500915948</v>
      </c>
      <c r="G63" s="608">
        <f t="shared" si="15"/>
        <v>-40002.152129608396</v>
      </c>
      <c r="H63" s="608">
        <f t="shared" si="6"/>
        <v>1640088.2373139453</v>
      </c>
      <c r="I63" s="608">
        <f t="shared" si="21"/>
        <v>1400075.3245362947</v>
      </c>
      <c r="J63" s="608">
        <f t="shared" si="22"/>
        <v>-480025.82555530011</v>
      </c>
      <c r="K63" s="1320">
        <f t="shared" si="26"/>
        <v>-8400.4519472177635</v>
      </c>
      <c r="L63" s="608">
        <f t="shared" si="24"/>
        <v>106405.7246647585</v>
      </c>
      <c r="M63" s="608">
        <f t="shared" si="25"/>
        <v>171742.57314311885</v>
      </c>
      <c r="N63" s="616">
        <f t="shared" si="19"/>
        <v>-308283.25241218123</v>
      </c>
      <c r="O63" s="619">
        <f t="shared" si="5"/>
        <v>-133607.18811289076</v>
      </c>
    </row>
    <row r="64" spans="1:15">
      <c r="B64" s="604">
        <v>43251</v>
      </c>
      <c r="E64" s="608">
        <f t="shared" si="3"/>
        <v>-1880101.1500915946</v>
      </c>
      <c r="F64" s="608">
        <f t="shared" si="20"/>
        <v>-1880101.1500915948</v>
      </c>
      <c r="G64" s="608">
        <f t="shared" si="15"/>
        <v>-40002.152129608396</v>
      </c>
      <c r="H64" s="608">
        <f t="shared" si="6"/>
        <v>1680090.3894435538</v>
      </c>
      <c r="I64" s="608">
        <f t="shared" si="21"/>
        <v>1440077.4766659031</v>
      </c>
      <c r="J64" s="608">
        <f t="shared" si="22"/>
        <v>-440023.67342569167</v>
      </c>
      <c r="K64" s="1320">
        <f t="shared" si="26"/>
        <v>-8400.4519472177635</v>
      </c>
      <c r="L64" s="608">
        <f t="shared" si="24"/>
        <v>98005.272717540734</v>
      </c>
      <c r="M64" s="608">
        <f t="shared" si="25"/>
        <v>159841.93288456037</v>
      </c>
      <c r="N64" s="616">
        <f t="shared" si="19"/>
        <v>-280181.74054113129</v>
      </c>
      <c r="O64" s="619">
        <f t="shared" si="5"/>
        <v>-102005.48793050006</v>
      </c>
    </row>
    <row r="65" spans="2:15">
      <c r="B65" s="614">
        <v>43281</v>
      </c>
      <c r="E65" s="608">
        <f t="shared" si="3"/>
        <v>-1880101.1500915946</v>
      </c>
      <c r="F65" s="608">
        <f t="shared" si="20"/>
        <v>-1880101.1500915948</v>
      </c>
      <c r="G65" s="608">
        <f t="shared" si="15"/>
        <v>-40002.152129608396</v>
      </c>
      <c r="H65" s="608">
        <f t="shared" si="6"/>
        <v>1720092.5415731622</v>
      </c>
      <c r="I65" s="608">
        <f t="shared" si="21"/>
        <v>1480079.6287955113</v>
      </c>
      <c r="J65" s="608">
        <f t="shared" si="22"/>
        <v>-400021.52129608346</v>
      </c>
      <c r="K65" s="1320">
        <f t="shared" si="26"/>
        <v>-8400.4519472177635</v>
      </c>
      <c r="L65" s="608">
        <f t="shared" si="24"/>
        <v>89604.820770322971</v>
      </c>
      <c r="M65" s="608">
        <f t="shared" si="25"/>
        <v>148407.98440084732</v>
      </c>
      <c r="N65" s="616">
        <f t="shared" si="19"/>
        <v>-251613.53689523615</v>
      </c>
      <c r="O65" s="619">
        <f t="shared" si="5"/>
        <v>-70403.787748109389</v>
      </c>
    </row>
    <row r="66" spans="2:15" s="1319" customFormat="1">
      <c r="B66" s="1318">
        <v>43312</v>
      </c>
      <c r="E66" s="1320">
        <f t="shared" si="3"/>
        <v>-1880101.1500915946</v>
      </c>
      <c r="F66" s="1320">
        <f t="shared" si="20"/>
        <v>-1880101.1500915948</v>
      </c>
      <c r="G66" s="1320">
        <f t="shared" si="15"/>
        <v>-40002.152129608396</v>
      </c>
      <c r="H66" s="1320">
        <f t="shared" si="6"/>
        <v>1760094.6937027706</v>
      </c>
      <c r="I66" s="1320">
        <f t="shared" si="21"/>
        <v>1520081.78092512</v>
      </c>
      <c r="J66" s="1320">
        <f t="shared" si="22"/>
        <v>-360019.36916647479</v>
      </c>
      <c r="K66" s="1320">
        <f t="shared" si="26"/>
        <v>-8400.4519472177635</v>
      </c>
      <c r="L66" s="1320">
        <f t="shared" si="24"/>
        <v>81204.368823105207</v>
      </c>
      <c r="M66" s="1320">
        <f t="shared" si="25"/>
        <v>137440.72769197964</v>
      </c>
      <c r="N66" s="1321">
        <f t="shared" si="19"/>
        <v>-222578.64147449515</v>
      </c>
      <c r="O66" s="1322">
        <f t="shared" si="5"/>
        <v>-38802.087565718713</v>
      </c>
    </row>
    <row r="67" spans="2:15">
      <c r="B67" s="605">
        <v>43343</v>
      </c>
      <c r="E67" s="608">
        <f t="shared" si="3"/>
        <v>-1880101.1500915946</v>
      </c>
      <c r="F67" s="608">
        <f t="shared" si="20"/>
        <v>-1880101.1500915948</v>
      </c>
      <c r="G67" s="608">
        <f t="shared" si="15"/>
        <v>-40002.152129608396</v>
      </c>
      <c r="H67" s="608">
        <f t="shared" si="6"/>
        <v>1800096.8458323791</v>
      </c>
      <c r="I67" s="608">
        <f t="shared" si="21"/>
        <v>1560083.9330547284</v>
      </c>
      <c r="J67" s="608">
        <f t="shared" si="22"/>
        <v>-320017.21703686635</v>
      </c>
      <c r="K67" s="1320">
        <f t="shared" si="26"/>
        <v>-8400.4519472177635</v>
      </c>
      <c r="L67" s="608">
        <f t="shared" si="24"/>
        <v>72803.916875887444</v>
      </c>
      <c r="M67" s="608">
        <f t="shared" si="25"/>
        <v>126940.16275795747</v>
      </c>
      <c r="N67" s="616">
        <f t="shared" si="19"/>
        <v>-193077.05427890888</v>
      </c>
      <c r="O67" s="619">
        <f t="shared" si="5"/>
        <v>-7200.3873833280377</v>
      </c>
    </row>
    <row r="68" spans="2:15">
      <c r="B68" s="605">
        <v>43373</v>
      </c>
      <c r="E68" s="608">
        <f t="shared" si="3"/>
        <v>-1880101.1500915946</v>
      </c>
      <c r="F68" s="608">
        <f t="shared" si="20"/>
        <v>-1880101.1500915948</v>
      </c>
      <c r="G68" s="608">
        <f t="shared" si="15"/>
        <v>-40002.152129608396</v>
      </c>
      <c r="H68" s="608">
        <f t="shared" si="6"/>
        <v>1840098.9979619875</v>
      </c>
      <c r="I68" s="608">
        <f t="shared" si="21"/>
        <v>1600086.0851843366</v>
      </c>
      <c r="J68" s="608">
        <f t="shared" si="22"/>
        <v>-280015.06490725814</v>
      </c>
      <c r="K68" s="1320">
        <f t="shared" si="26"/>
        <v>-8400.4519472177635</v>
      </c>
      <c r="L68" s="608">
        <f t="shared" si="24"/>
        <v>64403.46492866968</v>
      </c>
      <c r="M68" s="608">
        <f t="shared" si="25"/>
        <v>116906.2895987807</v>
      </c>
      <c r="N68" s="616">
        <f t="shared" si="19"/>
        <v>-163108.77530847746</v>
      </c>
      <c r="O68" s="619">
        <f t="shared" si="5"/>
        <v>24401.312799062638</v>
      </c>
    </row>
    <row r="69" spans="2:15">
      <c r="B69" s="605">
        <v>43404</v>
      </c>
      <c r="E69" s="608">
        <f t="shared" si="3"/>
        <v>-1880101.1500915946</v>
      </c>
      <c r="F69" s="608">
        <f t="shared" si="20"/>
        <v>-1880101.1500915948</v>
      </c>
      <c r="G69" s="608">
        <f t="shared" si="15"/>
        <v>-40002.152129608396</v>
      </c>
      <c r="H69" s="608">
        <f t="shared" si="6"/>
        <v>1880101.1500915959</v>
      </c>
      <c r="I69" s="608">
        <f t="shared" si="21"/>
        <v>1640088.2373139451</v>
      </c>
      <c r="J69" s="608">
        <f>F69+I69</f>
        <v>-240012.9127776497</v>
      </c>
      <c r="K69" s="1320">
        <f t="shared" si="26"/>
        <v>-8400.4519472177635</v>
      </c>
      <c r="L69" s="608">
        <f>L68+K69</f>
        <v>56003.012981451917</v>
      </c>
      <c r="M69" s="608">
        <f>(L57+L69+SUM(L58:L68)*2)/24</f>
        <v>107339.10821444936</v>
      </c>
      <c r="N69" s="616">
        <f t="shared" si="19"/>
        <v>-132673.80456320033</v>
      </c>
      <c r="O69" s="619">
        <f>E69+H69+L69</f>
        <v>56003.012981453314</v>
      </c>
    </row>
    <row r="70" spans="2:15">
      <c r="B70" s="605">
        <v>43434</v>
      </c>
      <c r="E70" s="608">
        <f t="shared" si="3"/>
        <v>-1880101.1500915946</v>
      </c>
      <c r="F70" s="608">
        <f t="shared" si="20"/>
        <v>-1880101.1500915948</v>
      </c>
      <c r="G70" s="611"/>
      <c r="H70" s="608">
        <f t="shared" si="6"/>
        <v>1880101.1500915959</v>
      </c>
      <c r="I70" s="608">
        <f>(H58+H70+SUM(H59:H69)*2)/24</f>
        <v>1678423.6331048198</v>
      </c>
      <c r="J70" s="608">
        <f t="shared" ref="J70:J82" si="27">F70+I70</f>
        <v>-201677.51698677498</v>
      </c>
      <c r="K70" s="1320">
        <f t="shared" si="26"/>
        <v>0</v>
      </c>
      <c r="L70" s="608">
        <f t="shared" ref="L70:L71" si="28">L69+K70</f>
        <v>56003.012981451917</v>
      </c>
      <c r="M70" s="608">
        <f t="shared" si="25"/>
        <v>98588.637436097502</v>
      </c>
      <c r="N70" s="616">
        <f t="shared" si="19"/>
        <v>-103088.87955067748</v>
      </c>
      <c r="O70" s="619">
        <f t="shared" ref="O70" si="29">E70+H70+L70</f>
        <v>56003.012981453314</v>
      </c>
    </row>
    <row r="71" spans="2:15" s="1319" customFormat="1">
      <c r="B71" s="1318">
        <v>43465</v>
      </c>
      <c r="E71" s="1320">
        <f t="shared" si="3"/>
        <v>-1880101.1500915946</v>
      </c>
      <c r="F71" s="1320">
        <f t="shared" si="20"/>
        <v>-1880101.1500915948</v>
      </c>
      <c r="G71" s="1323"/>
      <c r="H71" s="1320">
        <f t="shared" si="6"/>
        <v>1880101.1500915959</v>
      </c>
      <c r="I71" s="1320">
        <f>(H59+H71+SUM(H60:H70)*2)/24</f>
        <v>1713425.5162182273</v>
      </c>
      <c r="J71" s="1320">
        <f t="shared" si="27"/>
        <v>-166675.63387336745</v>
      </c>
      <c r="K71" s="1320">
        <f t="shared" si="26"/>
        <v>0</v>
      </c>
      <c r="L71" s="608">
        <f t="shared" si="28"/>
        <v>56003.012981451917</v>
      </c>
      <c r="M71" s="1320">
        <f t="shared" si="25"/>
        <v>91004.896094859272</v>
      </c>
      <c r="N71" s="1321">
        <f>M71+J71</f>
        <v>-75670.737778508177</v>
      </c>
      <c r="O71" s="1322"/>
    </row>
    <row r="72" spans="2:15">
      <c r="B72" s="605">
        <v>43496</v>
      </c>
      <c r="E72" s="608">
        <f t="shared" si="3"/>
        <v>-1880101.1500915946</v>
      </c>
      <c r="F72" s="608">
        <f t="shared" si="20"/>
        <v>-1880101.1500915948</v>
      </c>
      <c r="G72" s="611"/>
      <c r="H72" s="608">
        <f t="shared" si="6"/>
        <v>1880101.1500915959</v>
      </c>
      <c r="I72" s="608">
        <f t="shared" si="21"/>
        <v>1745093.8866541674</v>
      </c>
      <c r="J72" s="608">
        <f t="shared" si="27"/>
        <v>-135007.26343742735</v>
      </c>
      <c r="K72" s="1320">
        <f t="shared" si="26"/>
        <v>0</v>
      </c>
      <c r="L72" s="608"/>
      <c r="M72" s="608">
        <f t="shared" si="25"/>
        <v>82021.079429084712</v>
      </c>
      <c r="N72" s="616">
        <f t="shared" si="19"/>
        <v>-52986.184008342636</v>
      </c>
      <c r="O72" s="619"/>
    </row>
    <row r="73" spans="2:15">
      <c r="B73" s="605">
        <v>43524</v>
      </c>
      <c r="E73" s="608">
        <f t="shared" si="3"/>
        <v>-1880101.1500915946</v>
      </c>
      <c r="F73" s="608">
        <f t="shared" si="20"/>
        <v>-1880101.1500915948</v>
      </c>
      <c r="G73" s="611"/>
      <c r="H73" s="608">
        <f t="shared" si="6"/>
        <v>1880101.1500915959</v>
      </c>
      <c r="I73" s="608">
        <f t="shared" si="21"/>
        <v>1773428.7444126403</v>
      </c>
      <c r="J73" s="608">
        <f t="shared" si="27"/>
        <v>-106672.40567895444</v>
      </c>
      <c r="K73" s="608">
        <f t="shared" si="23"/>
        <v>0</v>
      </c>
      <c r="L73" s="608"/>
      <c r="M73" s="608">
        <f t="shared" si="25"/>
        <v>71403.841551351143</v>
      </c>
      <c r="N73" s="616">
        <f t="shared" si="19"/>
        <v>-35268.564127603298</v>
      </c>
      <c r="O73" s="619"/>
    </row>
    <row r="74" spans="2:15">
      <c r="B74" s="605">
        <v>43555</v>
      </c>
      <c r="E74" s="608">
        <f t="shared" si="3"/>
        <v>-1880101.1500915946</v>
      </c>
      <c r="F74" s="608">
        <f t="shared" si="20"/>
        <v>-1880101.1500915948</v>
      </c>
      <c r="G74" s="611"/>
      <c r="H74" s="608">
        <f t="shared" si="6"/>
        <v>1880101.1500915959</v>
      </c>
      <c r="I74" s="608">
        <f t="shared" si="21"/>
        <v>1798430.0894936451</v>
      </c>
      <c r="J74" s="608">
        <f t="shared" si="27"/>
        <v>-81671.060597949661</v>
      </c>
      <c r="K74" s="608">
        <f t="shared" si="23"/>
        <v>0</v>
      </c>
      <c r="L74" s="608"/>
      <c r="M74" s="608">
        <f t="shared" si="25"/>
        <v>61486.641335885703</v>
      </c>
      <c r="N74" s="616">
        <f t="shared" si="19"/>
        <v>-20184.419262063959</v>
      </c>
      <c r="O74" s="619"/>
    </row>
    <row r="75" spans="2:15">
      <c r="B75" s="604">
        <v>43585</v>
      </c>
      <c r="E75" s="608">
        <f t="shared" si="3"/>
        <v>-1880101.1500915946</v>
      </c>
      <c r="F75" s="608">
        <f t="shared" ref="F75:F83" si="30">(E63+E75+SUM(E64:E74)*2)/24</f>
        <v>-1880101.1500915948</v>
      </c>
      <c r="G75" s="611"/>
      <c r="H75" s="608">
        <f t="shared" si="6"/>
        <v>1880101.1500915959</v>
      </c>
      <c r="I75" s="608">
        <f t="shared" si="21"/>
        <v>1820097.9218971834</v>
      </c>
      <c r="J75" s="608">
        <f t="shared" si="27"/>
        <v>-60003.228194411378</v>
      </c>
      <c r="K75" s="608"/>
      <c r="L75" s="608"/>
      <c r="M75" s="608">
        <f t="shared" si="25"/>
        <v>52269.478782688413</v>
      </c>
      <c r="N75" s="616">
        <f t="shared" si="19"/>
        <v>-7733.7494117229653</v>
      </c>
      <c r="O75" s="619"/>
    </row>
    <row r="76" spans="2:15">
      <c r="B76" s="604">
        <v>43616</v>
      </c>
      <c r="E76" s="608">
        <f t="shared" si="3"/>
        <v>-1880101.1500915946</v>
      </c>
      <c r="F76" s="608">
        <f t="shared" si="30"/>
        <v>-1880101.1500915948</v>
      </c>
      <c r="G76" s="611"/>
      <c r="H76" s="608">
        <f t="shared" si="6"/>
        <v>1880101.1500915959</v>
      </c>
      <c r="I76" s="608">
        <f t="shared" si="21"/>
        <v>1838432.2416232538</v>
      </c>
      <c r="J76" s="608">
        <f t="shared" si="27"/>
        <v>-41668.908468340989</v>
      </c>
      <c r="K76" s="608"/>
      <c r="L76" s="608"/>
      <c r="M76" s="608">
        <f t="shared" si="25"/>
        <v>43752.353891759289</v>
      </c>
      <c r="N76" s="616">
        <f t="shared" si="19"/>
        <v>2083.4454234182995</v>
      </c>
      <c r="O76" s="619"/>
    </row>
    <row r="77" spans="2:15">
      <c r="B77" s="614">
        <v>43646</v>
      </c>
      <c r="E77" s="608">
        <f t="shared" si="3"/>
        <v>-1880101.1500915946</v>
      </c>
      <c r="F77" s="608">
        <f t="shared" si="30"/>
        <v>-1880101.1500915948</v>
      </c>
      <c r="G77" s="611"/>
      <c r="H77" s="608">
        <f t="shared" si="6"/>
        <v>1880101.1500915959</v>
      </c>
      <c r="I77" s="608">
        <f t="shared" si="21"/>
        <v>1853433.0486718568</v>
      </c>
      <c r="J77" s="608">
        <f t="shared" si="27"/>
        <v>-26668.101419738028</v>
      </c>
      <c r="K77" s="608"/>
      <c r="L77" s="608"/>
      <c r="M77" s="608">
        <f t="shared" si="25"/>
        <v>35935.2666630983</v>
      </c>
      <c r="N77" s="616">
        <f t="shared" si="19"/>
        <v>9267.1652433602721</v>
      </c>
      <c r="O77" s="619"/>
    </row>
    <row r="78" spans="2:15">
      <c r="B78" s="605">
        <v>43677</v>
      </c>
      <c r="E78" s="608">
        <f t="shared" si="3"/>
        <v>-1880101.1500915946</v>
      </c>
      <c r="F78" s="608">
        <f t="shared" si="30"/>
        <v>-1880101.1500915948</v>
      </c>
      <c r="G78" s="611"/>
      <c r="H78" s="608">
        <f t="shared" si="6"/>
        <v>1880101.1500915959</v>
      </c>
      <c r="I78" s="608">
        <f t="shared" si="21"/>
        <v>1865100.343042993</v>
      </c>
      <c r="J78" s="608">
        <f t="shared" si="27"/>
        <v>-15000.807048601797</v>
      </c>
      <c r="K78" s="608"/>
      <c r="L78" s="608"/>
      <c r="M78" s="608">
        <f t="shared" si="25"/>
        <v>28818.217096705459</v>
      </c>
      <c r="N78" s="616">
        <f t="shared" si="19"/>
        <v>13817.410048103662</v>
      </c>
      <c r="O78" s="619"/>
    </row>
    <row r="79" spans="2:15">
      <c r="B79" s="605">
        <v>43708</v>
      </c>
      <c r="E79" s="608">
        <f t="shared" si="3"/>
        <v>-1880101.1500915946</v>
      </c>
      <c r="F79" s="608">
        <f t="shared" si="30"/>
        <v>-1880101.1500915948</v>
      </c>
      <c r="G79" s="611"/>
      <c r="H79" s="608">
        <f t="shared" si="6"/>
        <v>1880101.1500915959</v>
      </c>
      <c r="I79" s="608">
        <f t="shared" si="21"/>
        <v>1873434.1247366611</v>
      </c>
      <c r="J79" s="608">
        <f t="shared" si="27"/>
        <v>-6667.0253549336921</v>
      </c>
      <c r="K79" s="608"/>
      <c r="L79" s="608"/>
      <c r="M79" s="608">
        <f t="shared" si="25"/>
        <v>22401.205192580761</v>
      </c>
      <c r="N79" s="616">
        <f t="shared" si="19"/>
        <v>15734.179837647069</v>
      </c>
      <c r="O79" s="619"/>
    </row>
    <row r="80" spans="2:15">
      <c r="B80" s="605">
        <v>43738</v>
      </c>
      <c r="E80" s="608">
        <f t="shared" si="3"/>
        <v>-1880101.1500915946</v>
      </c>
      <c r="F80" s="608">
        <f t="shared" si="30"/>
        <v>-1880101.1500915948</v>
      </c>
      <c r="G80" s="611"/>
      <c r="H80" s="608">
        <f t="shared" si="6"/>
        <v>1880101.1500915959</v>
      </c>
      <c r="I80" s="608">
        <f t="shared" si="21"/>
        <v>1878434.3937528625</v>
      </c>
      <c r="J80" s="608">
        <f t="shared" si="27"/>
        <v>-1666.7563387323171</v>
      </c>
      <c r="K80" s="608"/>
      <c r="L80" s="608"/>
      <c r="M80" s="608">
        <f t="shared" si="25"/>
        <v>16684.230950724213</v>
      </c>
      <c r="N80" s="616">
        <f>M80+J80</f>
        <v>15017.474611991896</v>
      </c>
      <c r="O80" s="619"/>
    </row>
    <row r="81" spans="2:15">
      <c r="B81" s="605">
        <v>43769</v>
      </c>
      <c r="E81" s="608">
        <f t="shared" si="3"/>
        <v>-1880101.1500915946</v>
      </c>
      <c r="F81" s="608">
        <f t="shared" si="30"/>
        <v>-1880101.1500915948</v>
      </c>
      <c r="G81" s="611"/>
      <c r="H81" s="608">
        <f t="shared" si="6"/>
        <v>1880101.1500915959</v>
      </c>
      <c r="I81" s="608">
        <f t="shared" si="21"/>
        <v>1880101.1500915959</v>
      </c>
      <c r="J81" s="608">
        <f t="shared" si="27"/>
        <v>0</v>
      </c>
      <c r="K81" s="608"/>
      <c r="L81" s="608"/>
      <c r="M81" s="608">
        <f t="shared" si="25"/>
        <v>11667.294371135817</v>
      </c>
      <c r="N81" s="616">
        <f t="shared" si="19"/>
        <v>11667.294371135817</v>
      </c>
      <c r="O81" s="619"/>
    </row>
    <row r="82" spans="2:15">
      <c r="B82" s="605">
        <v>43799</v>
      </c>
      <c r="E82" s="608">
        <f t="shared" ref="E82:E83" si="31">E81+D82</f>
        <v>-1880101.1500915946</v>
      </c>
      <c r="F82" s="608">
        <f t="shared" si="30"/>
        <v>-1880101.1500915948</v>
      </c>
      <c r="G82" s="611"/>
      <c r="H82" s="608">
        <f t="shared" si="6"/>
        <v>1880101.1500915959</v>
      </c>
      <c r="I82" s="608">
        <f t="shared" si="21"/>
        <v>1880101.1500915959</v>
      </c>
      <c r="J82" s="608">
        <f t="shared" si="27"/>
        <v>0</v>
      </c>
      <c r="K82" s="608"/>
      <c r="L82" s="608"/>
      <c r="M82" s="608">
        <f t="shared" si="25"/>
        <v>7000.3766226814887</v>
      </c>
      <c r="N82" s="616">
        <f t="shared" si="19"/>
        <v>7000.3766226814887</v>
      </c>
      <c r="O82" s="619"/>
    </row>
    <row r="83" spans="2:15">
      <c r="B83" s="605">
        <v>43830</v>
      </c>
      <c r="E83" s="608">
        <f t="shared" si="31"/>
        <v>-1880101.1500915946</v>
      </c>
      <c r="F83" s="608">
        <f t="shared" si="30"/>
        <v>-1880101.1500915948</v>
      </c>
      <c r="G83" s="611"/>
      <c r="H83" s="608">
        <f t="shared" si="6"/>
        <v>1880101.1500915959</v>
      </c>
      <c r="I83" s="608">
        <f t="shared" si="21"/>
        <v>1880101.1500915959</v>
      </c>
      <c r="J83" s="608"/>
      <c r="K83" s="608"/>
      <c r="L83" s="608"/>
      <c r="M83" s="608">
        <f t="shared" si="25"/>
        <v>2333.4588742271631</v>
      </c>
      <c r="N83" s="616">
        <f t="shared" si="19"/>
        <v>2333.4588742271631</v>
      </c>
      <c r="O83" s="619"/>
    </row>
    <row r="84" spans="2:15">
      <c r="B84" s="605">
        <v>43861</v>
      </c>
      <c r="E84" s="608"/>
      <c r="F84" s="608"/>
      <c r="G84" s="611"/>
      <c r="H84" s="608"/>
      <c r="I84" s="608"/>
      <c r="J84" s="608"/>
      <c r="K84" s="608"/>
      <c r="L84" s="608"/>
      <c r="M84" s="608">
        <f t="shared" ref="M84:M87" si="32">(L72+L84+SUM(L73:L83)*2)/24</f>
        <v>0</v>
      </c>
      <c r="N84" s="616">
        <f t="shared" si="19"/>
        <v>0</v>
      </c>
      <c r="O84" s="619"/>
    </row>
    <row r="85" spans="2:15">
      <c r="B85" s="605">
        <v>43889</v>
      </c>
      <c r="E85" s="608"/>
      <c r="F85" s="608"/>
      <c r="G85" s="611"/>
      <c r="H85" s="608"/>
      <c r="I85" s="608"/>
      <c r="J85" s="608"/>
      <c r="K85" s="608"/>
      <c r="L85" s="608"/>
      <c r="M85" s="608">
        <f t="shared" si="32"/>
        <v>0</v>
      </c>
      <c r="N85" s="616">
        <f t="shared" si="19"/>
        <v>0</v>
      </c>
      <c r="O85" s="619"/>
    </row>
    <row r="86" spans="2:15">
      <c r="B86" s="605">
        <v>43921</v>
      </c>
      <c r="E86" s="608"/>
      <c r="F86" s="608"/>
      <c r="G86" s="611"/>
      <c r="H86" s="608"/>
      <c r="I86" s="608"/>
      <c r="J86" s="608"/>
      <c r="K86" s="608"/>
      <c r="L86" s="608"/>
      <c r="M86" s="608">
        <f t="shared" si="32"/>
        <v>0</v>
      </c>
      <c r="N86" s="616">
        <f t="shared" si="19"/>
        <v>0</v>
      </c>
      <c r="O86" s="619"/>
    </row>
    <row r="87" spans="2:15">
      <c r="B87" s="605">
        <v>43921</v>
      </c>
      <c r="E87" s="608"/>
      <c r="F87" s="608"/>
      <c r="G87" s="611"/>
      <c r="H87" s="608"/>
      <c r="I87" s="608"/>
      <c r="J87" s="608"/>
      <c r="K87" s="608"/>
      <c r="L87" s="608"/>
      <c r="M87" s="608">
        <f t="shared" si="32"/>
        <v>0</v>
      </c>
      <c r="N87" s="616">
        <f t="shared" si="19"/>
        <v>0</v>
      </c>
      <c r="O87" s="619"/>
    </row>
    <row r="88" spans="2:15" ht="13.5" thickBot="1">
      <c r="B88" s="604"/>
      <c r="E88" s="608"/>
      <c r="F88" s="608"/>
      <c r="G88" s="611"/>
      <c r="H88" s="608"/>
      <c r="I88" s="608"/>
      <c r="J88" s="608"/>
      <c r="K88" s="608"/>
      <c r="L88" s="608"/>
      <c r="M88" s="608"/>
      <c r="N88" s="616"/>
    </row>
    <row r="89" spans="2:15" ht="13.5" thickBot="1">
      <c r="B89" s="1345" t="s">
        <v>941</v>
      </c>
      <c r="E89" s="608"/>
      <c r="F89" s="608"/>
      <c r="G89" s="1346">
        <f>SUM(G54:G65)</f>
        <v>-480025.82555530063</v>
      </c>
      <c r="H89" s="1346"/>
      <c r="I89" s="608"/>
      <c r="J89" s="608"/>
      <c r="K89" s="608"/>
      <c r="L89" s="608"/>
      <c r="M89" s="608"/>
      <c r="N89" s="616"/>
    </row>
    <row r="90" spans="2:15">
      <c r="B90" s="1345" t="s">
        <v>942</v>
      </c>
      <c r="E90" s="608"/>
      <c r="F90" s="608"/>
      <c r="G90" s="1346">
        <f>SUM(G60:G71)</f>
        <v>-400021.52129608387</v>
      </c>
      <c r="H90" s="1346"/>
      <c r="I90" s="608"/>
      <c r="J90" s="608"/>
      <c r="K90" s="608"/>
      <c r="L90" s="608"/>
      <c r="M90" s="608"/>
      <c r="N90" s="616"/>
    </row>
    <row r="91" spans="2:15">
      <c r="B91" s="605"/>
      <c r="E91" s="608"/>
      <c r="F91" s="608"/>
      <c r="G91" s="611"/>
      <c r="H91" s="608"/>
      <c r="I91" s="608"/>
      <c r="J91" s="608"/>
      <c r="K91" s="608"/>
      <c r="L91" s="608"/>
      <c r="M91" s="608"/>
      <c r="N91" s="616"/>
    </row>
    <row r="92" spans="2:15">
      <c r="B92" s="605"/>
      <c r="E92" s="608"/>
      <c r="F92" s="608"/>
      <c r="G92" s="611"/>
      <c r="H92" s="608"/>
      <c r="I92" s="608"/>
      <c r="J92" s="608"/>
      <c r="K92" s="608"/>
      <c r="L92" s="608"/>
      <c r="M92" s="608"/>
      <c r="N92" s="616"/>
    </row>
    <row r="93" spans="2:15">
      <c r="B93" s="605"/>
      <c r="E93" s="608"/>
      <c r="F93" s="608"/>
      <c r="G93" s="611"/>
      <c r="H93" s="608"/>
      <c r="I93" s="608"/>
      <c r="J93" s="608"/>
      <c r="K93" s="608"/>
      <c r="L93" s="608"/>
      <c r="M93" s="608"/>
      <c r="N93" s="616"/>
    </row>
    <row r="94" spans="2:15">
      <c r="B94" s="605"/>
      <c r="E94" s="608"/>
      <c r="F94" s="608"/>
      <c r="G94" s="611"/>
      <c r="H94" s="608"/>
      <c r="I94" s="608"/>
      <c r="J94" s="608"/>
      <c r="K94" s="608"/>
      <c r="L94" s="608"/>
      <c r="M94" s="608"/>
      <c r="N94" s="616"/>
    </row>
    <row r="95" spans="2:15">
      <c r="B95" s="605"/>
      <c r="E95" s="608"/>
      <c r="F95" s="608"/>
      <c r="H95" s="608"/>
      <c r="I95" s="608"/>
      <c r="J95" s="608"/>
      <c r="K95" s="608"/>
      <c r="L95" s="608"/>
      <c r="M95" s="608"/>
      <c r="N95" s="616"/>
    </row>
    <row r="96" spans="2:15">
      <c r="B96" s="605"/>
      <c r="E96" s="608"/>
      <c r="F96" s="608"/>
      <c r="H96" s="608"/>
      <c r="I96" s="608"/>
      <c r="J96" s="608"/>
      <c r="K96" s="608"/>
      <c r="L96" s="608"/>
      <c r="M96" s="608"/>
      <c r="N96" s="616"/>
    </row>
    <row r="97" spans="2:14">
      <c r="B97" s="605"/>
      <c r="E97" s="608"/>
      <c r="F97" s="608"/>
      <c r="H97" s="608"/>
      <c r="I97" s="608"/>
      <c r="J97" s="608"/>
      <c r="K97" s="608"/>
      <c r="L97" s="608"/>
      <c r="M97" s="608"/>
      <c r="N97" s="616"/>
    </row>
    <row r="98" spans="2:14">
      <c r="B98" s="605"/>
      <c r="E98" s="608"/>
      <c r="F98" s="608"/>
      <c r="H98" s="608"/>
      <c r="I98" s="608"/>
      <c r="J98" s="608"/>
      <c r="K98" s="608"/>
      <c r="L98" s="608"/>
      <c r="M98" s="608"/>
      <c r="N98" s="616"/>
    </row>
    <row r="99" spans="2:14">
      <c r="B99" s="605"/>
      <c r="E99" s="608"/>
      <c r="F99" s="608"/>
      <c r="H99" s="608"/>
      <c r="I99" s="608"/>
      <c r="J99" s="608"/>
      <c r="K99" s="608"/>
      <c r="L99" s="608"/>
      <c r="M99" s="608"/>
      <c r="N99" s="616"/>
    </row>
    <row r="100" spans="2:14">
      <c r="B100" s="604"/>
      <c r="E100" s="608"/>
      <c r="F100" s="608"/>
      <c r="H100" s="608"/>
      <c r="I100" s="608"/>
      <c r="J100" s="608"/>
      <c r="K100" s="608"/>
      <c r="L100" s="608"/>
      <c r="M100" s="608"/>
      <c r="N100" s="616"/>
    </row>
    <row r="101" spans="2:14">
      <c r="B101" s="604"/>
      <c r="E101" s="608"/>
      <c r="F101" s="608"/>
      <c r="H101" s="608"/>
      <c r="I101" s="608"/>
      <c r="J101" s="608"/>
      <c r="K101" s="608"/>
      <c r="L101" s="608"/>
      <c r="M101" s="608"/>
      <c r="N101" s="616"/>
    </row>
    <row r="102" spans="2:14">
      <c r="B102" s="614"/>
      <c r="E102" s="608"/>
      <c r="F102" s="608"/>
      <c r="H102" s="608"/>
      <c r="I102" s="608"/>
      <c r="J102" s="608"/>
      <c r="K102" s="608"/>
      <c r="L102" s="608"/>
      <c r="M102" s="608"/>
      <c r="N102" s="616"/>
    </row>
    <row r="103" spans="2:14">
      <c r="B103" s="605"/>
      <c r="E103" s="608"/>
      <c r="F103" s="608"/>
      <c r="H103" s="608"/>
      <c r="I103" s="608"/>
      <c r="J103" s="608"/>
      <c r="K103" s="608"/>
      <c r="L103" s="608"/>
      <c r="M103" s="608"/>
      <c r="N103" s="616"/>
    </row>
    <row r="104" spans="2:14">
      <c r="B104" s="605"/>
      <c r="E104" s="608"/>
      <c r="F104" s="608"/>
      <c r="H104" s="608"/>
      <c r="I104" s="608"/>
      <c r="J104" s="608"/>
      <c r="K104" s="608"/>
      <c r="L104" s="608"/>
      <c r="M104" s="608"/>
      <c r="N104" s="616"/>
    </row>
    <row r="105" spans="2:14">
      <c r="B105" s="605"/>
      <c r="E105" s="608"/>
      <c r="F105" s="608"/>
      <c r="H105" s="608"/>
      <c r="I105" s="608"/>
      <c r="J105" s="608"/>
      <c r="K105" s="608"/>
      <c r="L105" s="608"/>
      <c r="M105" s="608"/>
      <c r="N105" s="616"/>
    </row>
    <row r="106" spans="2:14">
      <c r="B106" s="605"/>
      <c r="E106" s="608"/>
      <c r="F106" s="608"/>
      <c r="H106" s="608"/>
      <c r="I106" s="608"/>
      <c r="J106" s="608"/>
      <c r="K106" s="608"/>
      <c r="L106" s="608"/>
      <c r="M106" s="608"/>
      <c r="N106" s="616"/>
    </row>
  </sheetData>
  <printOptions horizontalCentered="1"/>
  <pageMargins left="0.2" right="0.2" top="0.75" bottom="0.75" header="0.3" footer="0.3"/>
  <pageSetup scale="57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38404DF-17F4-4E0B-B7A2-A4810E95A69B}"/>
</file>

<file path=customXml/itemProps2.xml><?xml version="1.0" encoding="utf-8"?>
<ds:datastoreItem xmlns:ds="http://schemas.openxmlformats.org/officeDocument/2006/customXml" ds:itemID="{C7ACF4D7-E849-4E76-B344-662BC551851D}"/>
</file>

<file path=customXml/itemProps3.xml><?xml version="1.0" encoding="utf-8"?>
<ds:datastoreItem xmlns:ds="http://schemas.openxmlformats.org/officeDocument/2006/customXml" ds:itemID="{A53061A1-792F-4BA4-8F95-639363F9CB6B}"/>
</file>

<file path=customXml/itemProps4.xml><?xml version="1.0" encoding="utf-8"?>
<ds:datastoreItem xmlns:ds="http://schemas.openxmlformats.org/officeDocument/2006/customXml" ds:itemID="{CE56AECA-70E8-4D97-8EA7-92FC2CDBB8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Lead E</vt:lpstr>
      <vt:lpstr>TY Reg Assets RB</vt:lpstr>
      <vt:lpstr>RB-IS by FERC</vt:lpstr>
      <vt:lpstr>Electron Deferral</vt:lpstr>
      <vt:lpstr>T-Grant Snoq Deferral</vt:lpstr>
      <vt:lpstr>T-Grant Baker Deferral</vt:lpstr>
      <vt:lpstr>LSR Prepaid Principal</vt:lpstr>
      <vt:lpstr>Colstrip 1&amp;2 Prepaid</vt:lpstr>
      <vt:lpstr>Chelan PUD</vt:lpstr>
      <vt:lpstr>LSR Prepaid BPA interest</vt:lpstr>
      <vt:lpstr>LSR Prepaid carrying charges </vt:lpstr>
      <vt:lpstr>BNP</vt:lpstr>
      <vt:lpstr>Ferndale</vt:lpstr>
      <vt:lpstr>Snoq</vt:lpstr>
      <vt:lpstr>Mint Farm Def</vt:lpstr>
      <vt:lpstr>Baker</vt:lpstr>
      <vt:lpstr>BEP 2006 GRC</vt:lpstr>
      <vt:lpstr>FB Energy</vt:lpstr>
      <vt:lpstr>LSR Deferral 4yrs</vt:lpstr>
      <vt:lpstr>LSR Prepaid Bill Credits</vt:lpstr>
      <vt:lpstr>$89M Chelan PUD</vt:lpstr>
      <vt:lpstr>$18.5M Chelan</vt:lpstr>
      <vt:lpstr>FERC PART 12 STUDY (Baker)</vt:lpstr>
      <vt:lpstr>BPA Statement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akello</dc:creator>
  <cp:lastModifiedBy>NC</cp:lastModifiedBy>
  <cp:lastPrinted>2016-10-28T19:58:53Z</cp:lastPrinted>
  <dcterms:created xsi:type="dcterms:W3CDTF">2004-03-17T15:32:21Z</dcterms:created>
  <dcterms:modified xsi:type="dcterms:W3CDTF">2018-11-05T22:11:06Z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